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drawings/drawing4.xml" ContentType="application/vnd.openxmlformats-officedocument.drawing+xml"/>
  <Override PartName="/xl/comments6.xml" ContentType="application/vnd.openxmlformats-officedocument.spreadsheetml.comments+xml"/>
  <Override PartName="/xl/threadedComments/threadedComment5.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omments7.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12"/>
  <workbookPr codeName="ThisWorkbook"/>
  <mc:AlternateContent xmlns:mc="http://schemas.openxmlformats.org/markup-compatibility/2006">
    <mc:Choice Requires="x15">
      <x15ac:absPath xmlns:x15ac="http://schemas.microsoft.com/office/spreadsheetml/2010/11/ac" url="https://phdisegutl.sharepoint.com/sites/LIS-GENERAL-SecuritiesResearch/Shared Documents/Securities Research/One Pagers/Pre-restructuring OPs/Transportation- TL Afonso Simões/PACAAR INC (PCAR)/"/>
    </mc:Choice>
  </mc:AlternateContent>
  <xr:revisionPtr revIDLastSave="14707" documentId="8_{3DCF8227-BA01-4954-9725-96A6C15D22B2}" xr6:coauthVersionLast="47" xr6:coauthVersionMax="47" xr10:uidLastSave="{5FB0F4C3-116C-486B-A3D7-24AE5DFE4404}"/>
  <bookViews>
    <workbookView xWindow="-108" yWindow="-108" windowWidth="23256" windowHeight="12456" tabRatio="644" activeTab="6" xr2:uid="{00000000-000D-0000-FFFF-FFFF00000000}"/>
  </bookViews>
  <sheets>
    <sheet name="OP" sheetId="1" r:id="rId1"/>
    <sheet name="Acuerdo" sheetId="11" state="hidden" r:id="rId2"/>
    <sheet name="Segments" sheetId="3" r:id="rId3"/>
    <sheet name="Peers" sheetId="10" r:id="rId4"/>
    <sheet name="SARD" sheetId="23" r:id="rId5"/>
    <sheet name="ESG" sheetId="19" r:id="rId6"/>
    <sheet name="DCF" sheetId="4" r:id="rId7"/>
    <sheet name="Assumptions" sheetId="22" r:id="rId8"/>
    <sheet name="Fin. Data" sheetId="16" r:id="rId9"/>
    <sheet name="Sector Impact" sheetId="18" state="hidden" r:id="rId10"/>
    <sheet name="Inputs" sheetId="17" r:id="rId11"/>
  </sheets>
  <externalReferences>
    <externalReference r:id="rId12"/>
    <externalReference r:id="rId13"/>
  </externalReferences>
  <definedNames>
    <definedName name="_xlnm._FilterDatabase" localSheetId="7" hidden="1">Assumptions!$B$37:$C$1943</definedName>
    <definedName name="_xlnm.Print_Area" localSheetId="0">OP!$A$1:$M$82</definedName>
    <definedName name="_xlnm.Print_Area" localSheetId="2">Segments!#REF!</definedName>
    <definedName name="Sectors" localSheetId="7">'[1]Sector Impact'!$K$4:$K$16</definedName>
    <definedName name="Sectors">'Sector Impact'!$K$4:$K$16</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9" i="1" l="1"/>
  <c r="AF6" i="4"/>
  <c r="D62" i="4"/>
  <c r="E62" i="4"/>
  <c r="U210" i="22"/>
  <c r="EO140" i="22"/>
  <c r="DZ140" i="22"/>
  <c r="EA140" i="22"/>
  <c r="EB140" i="22"/>
  <c r="EC140" i="22"/>
  <c r="ED140" i="22"/>
  <c r="EE140" i="22"/>
  <c r="EF140" i="22"/>
  <c r="EG140" i="22"/>
  <c r="EH140" i="22"/>
  <c r="EI140" i="22"/>
  <c r="EJ140" i="22"/>
  <c r="DY140" i="22"/>
  <c r="DB140" i="22"/>
  <c r="DC140" i="22"/>
  <c r="DD140" i="22"/>
  <c r="DE140" i="22"/>
  <c r="DF140" i="22"/>
  <c r="DG140" i="22"/>
  <c r="DH140" i="22"/>
  <c r="DI140" i="22"/>
  <c r="DJ140" i="22"/>
  <c r="DK140" i="22"/>
  <c r="DL140" i="22"/>
  <c r="DA140" i="22"/>
  <c r="CD140" i="22"/>
  <c r="CE140" i="22"/>
  <c r="CF140" i="22"/>
  <c r="CG140" i="22"/>
  <c r="CH140" i="22"/>
  <c r="CI140" i="22"/>
  <c r="CJ140" i="22"/>
  <c r="CK140" i="22"/>
  <c r="CL140" i="22"/>
  <c r="CM140" i="22"/>
  <c r="CN140" i="22"/>
  <c r="CC140" i="22"/>
  <c r="BF140" i="22"/>
  <c r="BG140" i="22"/>
  <c r="BH140" i="22"/>
  <c r="BI140" i="22"/>
  <c r="BJ140" i="22"/>
  <c r="BK140" i="22"/>
  <c r="BL140" i="22"/>
  <c r="BM140" i="22"/>
  <c r="BN140" i="22"/>
  <c r="BO140" i="22"/>
  <c r="BP140" i="22"/>
  <c r="BE140" i="22"/>
  <c r="AW131" i="22"/>
  <c r="AX131" i="22"/>
  <c r="AY131" i="22"/>
  <c r="AZ131" i="22"/>
  <c r="BA131" i="22"/>
  <c r="BB131" i="22"/>
  <c r="BC131" i="22"/>
  <c r="BD131" i="22"/>
  <c r="BE131" i="22"/>
  <c r="BF131" i="22"/>
  <c r="BG131" i="22"/>
  <c r="BH131" i="22"/>
  <c r="BI131" i="22"/>
  <c r="BJ131" i="22"/>
  <c r="BK131" i="22"/>
  <c r="BL131" i="22"/>
  <c r="BM131" i="22"/>
  <c r="BN131" i="22"/>
  <c r="BO131" i="22"/>
  <c r="BP131" i="22"/>
  <c r="BQ131" i="22"/>
  <c r="BR131" i="22"/>
  <c r="BS131" i="22"/>
  <c r="BT131" i="22"/>
  <c r="BU131" i="22"/>
  <c r="BV131" i="22"/>
  <c r="BW131" i="22"/>
  <c r="BX131" i="22"/>
  <c r="BY131" i="22"/>
  <c r="BZ131" i="22"/>
  <c r="CA131" i="22"/>
  <c r="CB131" i="22"/>
  <c r="CC131" i="22"/>
  <c r="CD131" i="22"/>
  <c r="CE131" i="22"/>
  <c r="CF131" i="22"/>
  <c r="CG131" i="22"/>
  <c r="CH131" i="22"/>
  <c r="CI131" i="22"/>
  <c r="CJ131" i="22"/>
  <c r="CK131" i="22"/>
  <c r="CL131" i="22"/>
  <c r="CM131" i="22"/>
  <c r="CN131" i="22"/>
  <c r="CO131" i="22"/>
  <c r="CP131" i="22"/>
  <c r="CQ131" i="22"/>
  <c r="CR131" i="22"/>
  <c r="CS131" i="22"/>
  <c r="CT131" i="22"/>
  <c r="CU131" i="22"/>
  <c r="CV131" i="22"/>
  <c r="CW131" i="22"/>
  <c r="CX131" i="22"/>
  <c r="CY131" i="22"/>
  <c r="CZ131" i="22"/>
  <c r="DA131" i="22"/>
  <c r="DB131" i="22"/>
  <c r="DC131" i="22"/>
  <c r="DD131" i="22"/>
  <c r="DE131" i="22"/>
  <c r="DF131" i="22"/>
  <c r="DG131" i="22"/>
  <c r="DH131" i="22"/>
  <c r="DI131" i="22"/>
  <c r="DJ131" i="22"/>
  <c r="DK131" i="22"/>
  <c r="DL131" i="22"/>
  <c r="DM131" i="22"/>
  <c r="DN131" i="22"/>
  <c r="DO131" i="22"/>
  <c r="DP131" i="22"/>
  <c r="DQ131" i="22"/>
  <c r="DR131" i="22"/>
  <c r="DS131" i="22"/>
  <c r="DT131" i="22"/>
  <c r="DU131" i="22"/>
  <c r="DV131" i="22"/>
  <c r="DW131" i="22"/>
  <c r="DX131" i="22"/>
  <c r="DY131" i="22"/>
  <c r="DZ131" i="22"/>
  <c r="EA131" i="22"/>
  <c r="EB131" i="22"/>
  <c r="EC131" i="22"/>
  <c r="ED131" i="22"/>
  <c r="EE131" i="22"/>
  <c r="EF131" i="22"/>
  <c r="EG131" i="22"/>
  <c r="EH131" i="22"/>
  <c r="EI131" i="22"/>
  <c r="EJ131" i="22"/>
  <c r="EK131" i="22"/>
  <c r="EL131" i="22"/>
  <c r="EM131" i="22"/>
  <c r="EN131" i="22"/>
  <c r="EO131" i="22"/>
  <c r="EP131" i="22"/>
  <c r="EQ131" i="22"/>
  <c r="AV131" i="22"/>
  <c r="EL140" i="22"/>
  <c r="DN140" i="22"/>
  <c r="DO140" i="22"/>
  <c r="DP140" i="22"/>
  <c r="DQ140" i="22"/>
  <c r="DR140" i="22"/>
  <c r="DS140" i="22"/>
  <c r="DT140" i="22"/>
  <c r="DU140" i="22"/>
  <c r="DV140" i="22"/>
  <c r="DW140" i="22"/>
  <c r="DX140" i="22"/>
  <c r="DM140" i="22"/>
  <c r="CP140" i="22"/>
  <c r="CQ140" i="22"/>
  <c r="CR140" i="22"/>
  <c r="CS140" i="22"/>
  <c r="CT140" i="22"/>
  <c r="CU140" i="22"/>
  <c r="CV140" i="22"/>
  <c r="CW140" i="22"/>
  <c r="CX140" i="22"/>
  <c r="CY140" i="22"/>
  <c r="CZ140" i="22"/>
  <c r="CO140" i="22"/>
  <c r="BR140" i="22"/>
  <c r="BS140" i="22"/>
  <c r="BT140" i="22"/>
  <c r="BU140" i="22"/>
  <c r="BV140" i="22"/>
  <c r="BW140" i="22"/>
  <c r="BX140" i="22"/>
  <c r="BY140" i="22"/>
  <c r="BZ140" i="22"/>
  <c r="CA140" i="22"/>
  <c r="CB140" i="22"/>
  <c r="BQ140" i="22"/>
  <c r="AW140" i="22"/>
  <c r="AX140" i="22"/>
  <c r="AY140" i="22"/>
  <c r="AZ140" i="22"/>
  <c r="BA140" i="22"/>
  <c r="BB140" i="22"/>
  <c r="BC140" i="22"/>
  <c r="BD140" i="22"/>
  <c r="AV140" i="22"/>
  <c r="AJ147" i="22"/>
  <c r="AF147" i="22"/>
  <c r="AB147" i="22"/>
  <c r="X147" i="22"/>
  <c r="L147" i="22"/>
  <c r="H147" i="22"/>
  <c r="D147" i="22"/>
  <c r="D146" i="22"/>
  <c r="H146" i="22"/>
  <c r="L146" i="22"/>
  <c r="P146" i="22"/>
  <c r="T146" i="22"/>
  <c r="X146" i="22"/>
  <c r="AB146" i="22"/>
  <c r="AF146" i="22"/>
  <c r="AJ146" i="22"/>
  <c r="AN146" i="22"/>
  <c r="AT144" i="22"/>
  <c r="F41" i="4"/>
  <c r="E41" i="4"/>
  <c r="D41" i="4"/>
  <c r="E63" i="4"/>
  <c r="EN140" i="22"/>
  <c r="EM140" i="22"/>
  <c r="EK140" i="22"/>
  <c r="EP140" i="22"/>
  <c r="EQ140" i="22"/>
  <c r="AU144" i="22"/>
  <c r="C145" i="17"/>
  <c r="D145" i="17"/>
  <c r="E145" i="17"/>
  <c r="F145" i="17"/>
  <c r="G145" i="17"/>
  <c r="H145" i="17"/>
  <c r="I145" i="17"/>
  <c r="J145" i="17"/>
  <c r="K145" i="17"/>
  <c r="B145" i="17"/>
  <c r="C144" i="17"/>
  <c r="D144" i="17"/>
  <c r="E144" i="17"/>
  <c r="F144" i="17"/>
  <c r="G144" i="17"/>
  <c r="H144" i="17"/>
  <c r="I144" i="17"/>
  <c r="J144" i="17"/>
  <c r="K144" i="17"/>
  <c r="L144" i="17"/>
  <c r="M144" i="17"/>
  <c r="B144" i="17"/>
  <c r="L392" i="22"/>
  <c r="K392" i="22"/>
  <c r="J392" i="22"/>
  <c r="I392" i="22"/>
  <c r="H392" i="22"/>
  <c r="G392" i="22"/>
  <c r="F392" i="22"/>
  <c r="E392" i="22"/>
  <c r="D392" i="22"/>
  <c r="C392" i="22"/>
  <c r="F385" i="22"/>
  <c r="B385" i="22"/>
  <c r="B383" i="22"/>
  <c r="B384" i="22"/>
  <c r="AF7" i="4"/>
  <c r="M7" i="4"/>
  <c r="N7" i="4"/>
  <c r="O7" i="4"/>
  <c r="P7" i="4"/>
  <c r="Q7" i="4"/>
  <c r="R7" i="4"/>
  <c r="S7" i="4"/>
  <c r="T7" i="4"/>
  <c r="U7" i="4"/>
  <c r="V7" i="4"/>
  <c r="W7" i="4"/>
  <c r="X7" i="4"/>
  <c r="Y7" i="4"/>
  <c r="Z7" i="4"/>
  <c r="AA7" i="4"/>
  <c r="AB7" i="4"/>
  <c r="AC7" i="4"/>
  <c r="AD7" i="4"/>
  <c r="AE7" i="4"/>
  <c r="L7" i="4"/>
  <c r="D58" i="4"/>
  <c r="L299" i="22"/>
  <c r="M299" i="22"/>
  <c r="N299" i="22"/>
  <c r="O299" i="22"/>
  <c r="O307" i="22"/>
  <c r="N307" i="22"/>
  <c r="M307" i="22"/>
  <c r="L307" i="22"/>
  <c r="P306" i="22"/>
  <c r="P307" i="22"/>
  <c r="O305" i="22"/>
  <c r="N305" i="22"/>
  <c r="M305" i="22"/>
  <c r="L305" i="22"/>
  <c r="P304" i="22"/>
  <c r="P305" i="22"/>
  <c r="O303" i="22"/>
  <c r="N303" i="22"/>
  <c r="M303" i="22"/>
  <c r="L303" i="22"/>
  <c r="P302" i="22"/>
  <c r="P303" i="22"/>
  <c r="O301" i="22"/>
  <c r="N301" i="22"/>
  <c r="M301" i="22"/>
  <c r="L301" i="22"/>
  <c r="P300" i="22"/>
  <c r="P301" i="22"/>
  <c r="P298" i="22"/>
  <c r="P299" i="22"/>
  <c r="O297" i="22"/>
  <c r="N297" i="22"/>
  <c r="M297" i="22"/>
  <c r="L297" i="22"/>
  <c r="P296" i="22"/>
  <c r="P297" i="22"/>
  <c r="O295" i="22"/>
  <c r="N295" i="22"/>
  <c r="M295" i="22"/>
  <c r="L295" i="22"/>
  <c r="P294" i="22"/>
  <c r="P295" i="22"/>
  <c r="O293" i="22"/>
  <c r="N293" i="22"/>
  <c r="M293" i="22"/>
  <c r="L293" i="22"/>
  <c r="P292" i="22"/>
  <c r="P293" i="22"/>
  <c r="O291" i="22"/>
  <c r="N291" i="22"/>
  <c r="M291" i="22"/>
  <c r="L291" i="22"/>
  <c r="P290" i="22"/>
  <c r="P291" i="22"/>
  <c r="O289" i="22"/>
  <c r="N289" i="22"/>
  <c r="M289" i="22"/>
  <c r="L289" i="22"/>
  <c r="P288" i="22"/>
  <c r="P289" i="22"/>
  <c r="C9" i="17"/>
  <c r="D9" i="17"/>
  <c r="E9" i="17"/>
  <c r="F9" i="17"/>
  <c r="G9" i="17"/>
  <c r="H9" i="17"/>
  <c r="I9" i="17"/>
  <c r="J9" i="17"/>
  <c r="K9" i="17"/>
  <c r="B9" i="17"/>
  <c r="G307" i="22"/>
  <c r="F307" i="22"/>
  <c r="E307" i="22"/>
  <c r="D307" i="22"/>
  <c r="H306" i="22"/>
  <c r="H307" i="22"/>
  <c r="G305" i="22"/>
  <c r="F305" i="22"/>
  <c r="E305" i="22"/>
  <c r="D305" i="22"/>
  <c r="H304" i="22"/>
  <c r="H305" i="22"/>
  <c r="G303" i="22"/>
  <c r="F303" i="22"/>
  <c r="E303" i="22"/>
  <c r="D303" i="22"/>
  <c r="H302" i="22"/>
  <c r="H303" i="22"/>
  <c r="G301" i="22"/>
  <c r="F301" i="22"/>
  <c r="E301" i="22"/>
  <c r="D301" i="22"/>
  <c r="H300" i="22"/>
  <c r="H301" i="22"/>
  <c r="G299" i="22"/>
  <c r="F299" i="22"/>
  <c r="E299" i="22"/>
  <c r="D299" i="22"/>
  <c r="H298" i="22"/>
  <c r="H299" i="22"/>
  <c r="G297" i="22"/>
  <c r="F297" i="22"/>
  <c r="E297" i="22"/>
  <c r="D297" i="22"/>
  <c r="H296" i="22"/>
  <c r="H297" i="22"/>
  <c r="G295" i="22"/>
  <c r="F295" i="22"/>
  <c r="E295" i="22"/>
  <c r="D295" i="22"/>
  <c r="H294" i="22"/>
  <c r="H295" i="22"/>
  <c r="G293" i="22"/>
  <c r="F293" i="22"/>
  <c r="E293" i="22"/>
  <c r="D293" i="22"/>
  <c r="H292" i="22"/>
  <c r="H293" i="22"/>
  <c r="G291" i="22"/>
  <c r="F291" i="22"/>
  <c r="E291" i="22"/>
  <c r="D291" i="22"/>
  <c r="H290" i="22"/>
  <c r="H291" i="22"/>
  <c r="G289" i="22"/>
  <c r="F289" i="22"/>
  <c r="E289" i="22"/>
  <c r="D289" i="22"/>
  <c r="H288" i="22"/>
  <c r="H289" i="22"/>
  <c r="C66" i="17"/>
  <c r="D66" i="17"/>
  <c r="E66" i="17"/>
  <c r="F66" i="17"/>
  <c r="G66" i="17"/>
  <c r="H66" i="17"/>
  <c r="I66" i="17"/>
  <c r="J66" i="17"/>
  <c r="K66" i="17"/>
  <c r="L66" i="17"/>
  <c r="M66" i="17"/>
  <c r="B66" i="17"/>
  <c r="C65" i="17"/>
  <c r="D65" i="17"/>
  <c r="E65" i="17"/>
  <c r="F65" i="17"/>
  <c r="G65" i="17"/>
  <c r="H65" i="17"/>
  <c r="I65" i="17"/>
  <c r="J65" i="17"/>
  <c r="K65" i="17"/>
  <c r="B65" i="17"/>
  <c r="D86" i="22"/>
  <c r="G102" i="22"/>
  <c r="F102" i="22"/>
  <c r="E102" i="22"/>
  <c r="D102" i="22"/>
  <c r="H101" i="22"/>
  <c r="H102" i="22"/>
  <c r="G100" i="22"/>
  <c r="F100" i="22"/>
  <c r="E100" i="22"/>
  <c r="D100" i="22"/>
  <c r="H99" i="22"/>
  <c r="H100" i="22"/>
  <c r="G98" i="22"/>
  <c r="F98" i="22"/>
  <c r="E98" i="22"/>
  <c r="D98" i="22"/>
  <c r="H97" i="22"/>
  <c r="H98" i="22"/>
  <c r="G96" i="22"/>
  <c r="F96" i="22"/>
  <c r="E96" i="22"/>
  <c r="D96" i="22"/>
  <c r="H95" i="22"/>
  <c r="H96" i="22"/>
  <c r="G94" i="22"/>
  <c r="F94" i="22"/>
  <c r="E94" i="22"/>
  <c r="D94" i="22"/>
  <c r="H93" i="22"/>
  <c r="H94" i="22"/>
  <c r="G92" i="22"/>
  <c r="F92" i="22"/>
  <c r="E92" i="22"/>
  <c r="D92" i="22"/>
  <c r="H91" i="22"/>
  <c r="H92" i="22"/>
  <c r="G90" i="22"/>
  <c r="F90" i="22"/>
  <c r="E90" i="22"/>
  <c r="D90" i="22"/>
  <c r="H89" i="22"/>
  <c r="H90" i="22"/>
  <c r="G88" i="22"/>
  <c r="F88" i="22"/>
  <c r="E88" i="22"/>
  <c r="D88" i="22"/>
  <c r="H87" i="22"/>
  <c r="H88" i="22"/>
  <c r="G86" i="22"/>
  <c r="F86" i="22"/>
  <c r="E86" i="22"/>
  <c r="H85" i="22"/>
  <c r="H86" i="22"/>
  <c r="G84" i="22"/>
  <c r="F84" i="22"/>
  <c r="E84" i="22"/>
  <c r="D84" i="22"/>
  <c r="H83" i="22"/>
  <c r="H84" i="22"/>
  <c r="E310" i="22"/>
  <c r="F310" i="22"/>
  <c r="D310" i="22"/>
  <c r="H308" i="22"/>
  <c r="G310" i="22"/>
  <c r="M310" i="22"/>
  <c r="N310" i="22"/>
  <c r="L310" i="22"/>
  <c r="P308" i="22"/>
  <c r="O310" i="22"/>
  <c r="F105" i="22"/>
  <c r="D105" i="22"/>
  <c r="E105" i="22"/>
  <c r="G105" i="22"/>
  <c r="AE102" i="22"/>
  <c r="AD102" i="22"/>
  <c r="AC102" i="22"/>
  <c r="AB102" i="22"/>
  <c r="AF101" i="22"/>
  <c r="AF102" i="22"/>
  <c r="AE100" i="22"/>
  <c r="AD100" i="22"/>
  <c r="AC100" i="22"/>
  <c r="AB100" i="22"/>
  <c r="AF99" i="22"/>
  <c r="AF100" i="22"/>
  <c r="AE98" i="22"/>
  <c r="AD98" i="22"/>
  <c r="AC98" i="22"/>
  <c r="AB98" i="22"/>
  <c r="AF97" i="22"/>
  <c r="AF98" i="22"/>
  <c r="AE96" i="22"/>
  <c r="AD96" i="22"/>
  <c r="AC96" i="22"/>
  <c r="AB96" i="22"/>
  <c r="AF95" i="22"/>
  <c r="AF96" i="22"/>
  <c r="AE94" i="22"/>
  <c r="AD94" i="22"/>
  <c r="AC94" i="22"/>
  <c r="AB94" i="22"/>
  <c r="AF93" i="22"/>
  <c r="AF94" i="22"/>
  <c r="AE92" i="22"/>
  <c r="AD92" i="22"/>
  <c r="AC92" i="22"/>
  <c r="AB92" i="22"/>
  <c r="AF91" i="22"/>
  <c r="AF92" i="22"/>
  <c r="AE90" i="22"/>
  <c r="AD90" i="22"/>
  <c r="AC90" i="22"/>
  <c r="AB90" i="22"/>
  <c r="AF89" i="22"/>
  <c r="AF90" i="22"/>
  <c r="AE88" i="22"/>
  <c r="AD88" i="22"/>
  <c r="AC88" i="22"/>
  <c r="AD86" i="22"/>
  <c r="AC86" i="22"/>
  <c r="AB86" i="22"/>
  <c r="AD84" i="22"/>
  <c r="AC84" i="22"/>
  <c r="AF83" i="22"/>
  <c r="AF84" i="22"/>
  <c r="O102" i="22"/>
  <c r="N102" i="22"/>
  <c r="M102" i="22"/>
  <c r="L102" i="22"/>
  <c r="P101" i="22"/>
  <c r="P102" i="22"/>
  <c r="O100" i="22"/>
  <c r="N100" i="22"/>
  <c r="M100" i="22"/>
  <c r="L100" i="22"/>
  <c r="P99" i="22"/>
  <c r="P100" i="22"/>
  <c r="O98" i="22"/>
  <c r="N98" i="22"/>
  <c r="M98" i="22"/>
  <c r="L98" i="22"/>
  <c r="P97" i="22"/>
  <c r="P98" i="22"/>
  <c r="O96" i="22"/>
  <c r="N96" i="22"/>
  <c r="M96" i="22"/>
  <c r="L96" i="22"/>
  <c r="P95" i="22"/>
  <c r="P96" i="22"/>
  <c r="O94" i="22"/>
  <c r="N94" i="22"/>
  <c r="M94" i="22"/>
  <c r="L94" i="22"/>
  <c r="P93" i="22"/>
  <c r="P94" i="22"/>
  <c r="O92" i="22"/>
  <c r="N92" i="22"/>
  <c r="M92" i="22"/>
  <c r="L92" i="22"/>
  <c r="P91" i="22"/>
  <c r="P92" i="22"/>
  <c r="O90" i="22"/>
  <c r="N90" i="22"/>
  <c r="M90" i="22"/>
  <c r="L90" i="22"/>
  <c r="P89" i="22"/>
  <c r="P90" i="22"/>
  <c r="O88" i="22"/>
  <c r="N86" i="22"/>
  <c r="M86" i="22"/>
  <c r="L86" i="22"/>
  <c r="O84" i="22"/>
  <c r="N84" i="22"/>
  <c r="L84" i="22"/>
  <c r="T87" i="22"/>
  <c r="X87" i="22"/>
  <c r="X88" i="22"/>
  <c r="W85" i="22"/>
  <c r="V85" i="22"/>
  <c r="U85" i="22"/>
  <c r="T85" i="22"/>
  <c r="W83" i="22"/>
  <c r="V83" i="22"/>
  <c r="U83" i="22"/>
  <c r="T83" i="22"/>
  <c r="V102" i="22"/>
  <c r="W102" i="22"/>
  <c r="U102" i="22"/>
  <c r="U100" i="22"/>
  <c r="W100" i="22"/>
  <c r="W98" i="22"/>
  <c r="V98" i="22"/>
  <c r="T98" i="22"/>
  <c r="T96" i="22"/>
  <c r="V96" i="22"/>
  <c r="U96" i="22"/>
  <c r="X95" i="22"/>
  <c r="X96" i="22"/>
  <c r="V94" i="22"/>
  <c r="W94" i="22"/>
  <c r="U94" i="22"/>
  <c r="U92" i="22"/>
  <c r="W92" i="22"/>
  <c r="W90" i="22"/>
  <c r="V90" i="22"/>
  <c r="T90" i="22"/>
  <c r="D259" i="22"/>
  <c r="E259" i="22"/>
  <c r="F259" i="22"/>
  <c r="G259" i="22"/>
  <c r="H259" i="22"/>
  <c r="I259" i="22"/>
  <c r="J259" i="22"/>
  <c r="K259" i="22"/>
  <c r="L259" i="22"/>
  <c r="C259" i="22"/>
  <c r="G103" i="22"/>
  <c r="AU139" i="22"/>
  <c r="AU140" i="22"/>
  <c r="AU131" i="22"/>
  <c r="E103" i="22"/>
  <c r="AS139" i="22"/>
  <c r="O308" i="22"/>
  <c r="G308" i="22"/>
  <c r="N308" i="22"/>
  <c r="M308" i="22"/>
  <c r="H103" i="22"/>
  <c r="M255" i="22"/>
  <c r="F308" i="22"/>
  <c r="F103" i="22"/>
  <c r="AT139" i="22"/>
  <c r="AT140" i="22"/>
  <c r="AT131" i="22"/>
  <c r="E308" i="22"/>
  <c r="V88" i="22"/>
  <c r="P310" i="22"/>
  <c r="H310" i="22"/>
  <c r="U84" i="22"/>
  <c r="V86" i="22"/>
  <c r="H105" i="22"/>
  <c r="AC105" i="22"/>
  <c r="AD105" i="22"/>
  <c r="AE86" i="22"/>
  <c r="AE84" i="22"/>
  <c r="AB84" i="22"/>
  <c r="AF87" i="22"/>
  <c r="AF88" i="22"/>
  <c r="AF85" i="22"/>
  <c r="AF86" i="22"/>
  <c r="AB88" i="22"/>
  <c r="O86" i="22"/>
  <c r="O105" i="22"/>
  <c r="P87" i="22"/>
  <c r="P88" i="22"/>
  <c r="M84" i="22"/>
  <c r="P85" i="22"/>
  <c r="P86" i="22"/>
  <c r="L88" i="22"/>
  <c r="L105" i="22"/>
  <c r="P103" i="22"/>
  <c r="M256" i="22"/>
  <c r="P83" i="22"/>
  <c r="P84" i="22"/>
  <c r="M88" i="22"/>
  <c r="N88" i="22"/>
  <c r="N105" i="22"/>
  <c r="W84" i="22"/>
  <c r="T88" i="22"/>
  <c r="U88" i="22"/>
  <c r="U86" i="22"/>
  <c r="W86" i="22"/>
  <c r="X89" i="22"/>
  <c r="X90" i="22"/>
  <c r="X97" i="22"/>
  <c r="X98" i="22"/>
  <c r="X83" i="22"/>
  <c r="X84" i="22"/>
  <c r="W88" i="22"/>
  <c r="U90" i="22"/>
  <c r="X91" i="22"/>
  <c r="X92" i="22"/>
  <c r="W96" i="22"/>
  <c r="U98" i="22"/>
  <c r="X99" i="22"/>
  <c r="X100" i="22"/>
  <c r="T84" i="22"/>
  <c r="T92" i="22"/>
  <c r="T100" i="22"/>
  <c r="X85" i="22"/>
  <c r="X86" i="22"/>
  <c r="X93" i="22"/>
  <c r="X94" i="22"/>
  <c r="X101" i="22"/>
  <c r="X102" i="22"/>
  <c r="V84" i="22"/>
  <c r="T86" i="22"/>
  <c r="V92" i="22"/>
  <c r="T94" i="22"/>
  <c r="V100" i="22"/>
  <c r="T102" i="22"/>
  <c r="AR146" i="22"/>
  <c r="AS140" i="22"/>
  <c r="AS131" i="22"/>
  <c r="F104" i="22"/>
  <c r="G309" i="22"/>
  <c r="D104" i="22"/>
  <c r="H104" i="22"/>
  <c r="E104" i="22"/>
  <c r="G104" i="22"/>
  <c r="E309" i="22"/>
  <c r="D309" i="22"/>
  <c r="H309" i="22"/>
  <c r="O103" i="22"/>
  <c r="M309" i="22"/>
  <c r="L309" i="22"/>
  <c r="P309" i="22"/>
  <c r="N103" i="22"/>
  <c r="F309" i="22"/>
  <c r="N309" i="22"/>
  <c r="O309" i="22"/>
  <c r="W105" i="22"/>
  <c r="AE105" i="22"/>
  <c r="M105" i="22"/>
  <c r="AB105" i="22"/>
  <c r="AC103" i="22"/>
  <c r="U105" i="22"/>
  <c r="T105" i="22"/>
  <c r="X103" i="22"/>
  <c r="M257" i="22"/>
  <c r="V105" i="22"/>
  <c r="V103" i="22"/>
  <c r="U103" i="22"/>
  <c r="W103" i="22"/>
  <c r="P105" i="22"/>
  <c r="M103" i="22"/>
  <c r="N104" i="22"/>
  <c r="AF103" i="22"/>
  <c r="M258" i="22"/>
  <c r="AE103" i="22"/>
  <c r="AD103" i="22"/>
  <c r="AF105" i="22"/>
  <c r="X105" i="22"/>
  <c r="V104" i="22"/>
  <c r="W104" i="22"/>
  <c r="T104" i="22"/>
  <c r="X104" i="22"/>
  <c r="U104" i="22"/>
  <c r="AD104" i="22"/>
  <c r="M104" i="22"/>
  <c r="L104" i="22"/>
  <c r="P104" i="22"/>
  <c r="O104" i="22"/>
  <c r="AB104" i="22"/>
  <c r="AF104" i="22"/>
  <c r="AE104" i="22"/>
  <c r="AC104" i="22"/>
  <c r="M259" i="22"/>
  <c r="D137" i="22"/>
  <c r="D136" i="22"/>
  <c r="D135" i="22"/>
  <c r="E138" i="22"/>
  <c r="F138" i="22"/>
  <c r="G138" i="22"/>
  <c r="H138" i="22"/>
  <c r="I138" i="22"/>
  <c r="J138" i="22"/>
  <c r="K138" i="22"/>
  <c r="L138" i="22"/>
  <c r="M138" i="22"/>
  <c r="N138" i="22"/>
  <c r="O138" i="22"/>
  <c r="P138" i="22"/>
  <c r="Q138" i="22"/>
  <c r="R138" i="22"/>
  <c r="S138" i="22"/>
  <c r="T138" i="22"/>
  <c r="U138" i="22"/>
  <c r="V138" i="22"/>
  <c r="W138" i="22"/>
  <c r="X138" i="22"/>
  <c r="Y138" i="22"/>
  <c r="Z138" i="22"/>
  <c r="AA138" i="22"/>
  <c r="AB138" i="22"/>
  <c r="AC138" i="22"/>
  <c r="AD138" i="22"/>
  <c r="AE138" i="22"/>
  <c r="AF138" i="22"/>
  <c r="AG138" i="22"/>
  <c r="AH138" i="22"/>
  <c r="AI138" i="22"/>
  <c r="AJ138" i="22"/>
  <c r="AK138" i="22"/>
  <c r="AL138" i="22"/>
  <c r="AM138" i="22"/>
  <c r="AN138" i="22"/>
  <c r="AO138" i="22"/>
  <c r="AP138" i="22"/>
  <c r="AQ138" i="22"/>
  <c r="AR138" i="22"/>
  <c r="D172" i="22" a="1"/>
  <c r="G280" i="22"/>
  <c r="F280" i="22"/>
  <c r="E280" i="22"/>
  <c r="D280" i="22"/>
  <c r="G278" i="22"/>
  <c r="F278" i="22"/>
  <c r="E278" i="22"/>
  <c r="D278" i="22"/>
  <c r="G276" i="22"/>
  <c r="F276" i="22"/>
  <c r="E276" i="22"/>
  <c r="D276" i="22"/>
  <c r="G274" i="22"/>
  <c r="F274" i="22"/>
  <c r="E274" i="22"/>
  <c r="D274" i="22"/>
  <c r="G272" i="22"/>
  <c r="F272" i="22"/>
  <c r="E272" i="22"/>
  <c r="D272" i="22"/>
  <c r="G270" i="22"/>
  <c r="F270" i="22"/>
  <c r="E270" i="22"/>
  <c r="D270" i="22"/>
  <c r="G268" i="22"/>
  <c r="F268" i="22"/>
  <c r="E268" i="22"/>
  <c r="D268" i="22"/>
  <c r="G266" i="22"/>
  <c r="F266" i="22"/>
  <c r="E266" i="22"/>
  <c r="D266" i="22"/>
  <c r="G264" i="22"/>
  <c r="F264" i="22"/>
  <c r="E264" i="22"/>
  <c r="D264" i="22"/>
  <c r="G262" i="22"/>
  <c r="E262" i="22"/>
  <c r="D262" i="22"/>
  <c r="F262" i="22"/>
  <c r="G6" i="4"/>
  <c r="C380" i="22"/>
  <c r="C381" i="22"/>
  <c r="AR147" i="22"/>
  <c r="D156" i="22" a="1"/>
  <c r="D166" i="22" a="1"/>
  <c r="D154" i="22" a="1"/>
  <c r="D172" i="22"/>
  <c r="G173" i="22"/>
  <c r="E173" i="22"/>
  <c r="F173" i="22"/>
  <c r="D164" i="22" a="1"/>
  <c r="D158" i="22" a="1"/>
  <c r="D168" i="22" a="1"/>
  <c r="D160" i="22" a="1"/>
  <c r="AN144" i="22"/>
  <c r="D170" i="22" a="1"/>
  <c r="D162" i="22" a="1"/>
  <c r="AK140" i="22"/>
  <c r="AK131" i="22"/>
  <c r="AK144" i="22"/>
  <c r="U140" i="22"/>
  <c r="U131" i="22"/>
  <c r="U144" i="22"/>
  <c r="M140" i="22"/>
  <c r="M131" i="22"/>
  <c r="M144" i="22"/>
  <c r="L140" i="22"/>
  <c r="L131" i="22"/>
  <c r="L144" i="22"/>
  <c r="AJ140" i="22"/>
  <c r="AJ131" i="22"/>
  <c r="AJ144" i="22"/>
  <c r="T140" i="22"/>
  <c r="T131" i="22"/>
  <c r="T144" i="22"/>
  <c r="AQ140" i="22"/>
  <c r="AQ131" i="22"/>
  <c r="AQ144" i="22"/>
  <c r="AA140" i="22"/>
  <c r="AA131" i="22"/>
  <c r="AA144" i="22"/>
  <c r="AF140" i="22"/>
  <c r="AF131" i="22"/>
  <c r="AF144" i="22"/>
  <c r="P140" i="22"/>
  <c r="P131" i="22"/>
  <c r="P144" i="22"/>
  <c r="H140" i="22"/>
  <c r="H131" i="22"/>
  <c r="H144" i="22"/>
  <c r="AM140" i="22"/>
  <c r="AM131" i="22"/>
  <c r="AM144" i="22"/>
  <c r="AE140" i="22"/>
  <c r="AE131" i="22"/>
  <c r="AE144" i="22"/>
  <c r="W140" i="22"/>
  <c r="W131" i="22"/>
  <c r="W144" i="22"/>
  <c r="O140" i="22"/>
  <c r="O131" i="22"/>
  <c r="O144" i="22"/>
  <c r="G140" i="22"/>
  <c r="G131" i="22"/>
  <c r="G144" i="22"/>
  <c r="AC140" i="22"/>
  <c r="AC131" i="22"/>
  <c r="AC144" i="22"/>
  <c r="E140" i="22"/>
  <c r="E131" i="22"/>
  <c r="AR144" i="22"/>
  <c r="AS144" i="22"/>
  <c r="AB140" i="22"/>
  <c r="AB131" i="22"/>
  <c r="AB144" i="22"/>
  <c r="AI140" i="22"/>
  <c r="AI131" i="22"/>
  <c r="AI144" i="22"/>
  <c r="S140" i="22"/>
  <c r="S131" i="22"/>
  <c r="S144" i="22"/>
  <c r="K140" i="22"/>
  <c r="K131" i="22"/>
  <c r="K144" i="22"/>
  <c r="AP140" i="22"/>
  <c r="AP131" i="22"/>
  <c r="AP144" i="22"/>
  <c r="AH140" i="22"/>
  <c r="AH131" i="22"/>
  <c r="AH144" i="22"/>
  <c r="Z140" i="22"/>
  <c r="Z131" i="22"/>
  <c r="Z144" i="22"/>
  <c r="R140" i="22"/>
  <c r="R131" i="22"/>
  <c r="R144" i="22"/>
  <c r="J140" i="22"/>
  <c r="J131" i="22"/>
  <c r="J144" i="22"/>
  <c r="AO140" i="22"/>
  <c r="AO131" i="22"/>
  <c r="AO144" i="22"/>
  <c r="AG140" i="22"/>
  <c r="AG131" i="22"/>
  <c r="AG144" i="22"/>
  <c r="Y140" i="22"/>
  <c r="Y131" i="22"/>
  <c r="Y144" i="22"/>
  <c r="Q140" i="22"/>
  <c r="Q131" i="22"/>
  <c r="Q144" i="22"/>
  <c r="I140" i="22"/>
  <c r="I131" i="22"/>
  <c r="I144" i="22"/>
  <c r="X140" i="22"/>
  <c r="X131" i="22"/>
  <c r="X144" i="22"/>
  <c r="AL140" i="22"/>
  <c r="AL131" i="22"/>
  <c r="AL144" i="22"/>
  <c r="AD140" i="22"/>
  <c r="AD131" i="22"/>
  <c r="AD144" i="22"/>
  <c r="V140" i="22"/>
  <c r="V131" i="22"/>
  <c r="V144" i="22"/>
  <c r="N140" i="22"/>
  <c r="N131" i="22"/>
  <c r="N144" i="22"/>
  <c r="F140" i="22"/>
  <c r="F131" i="22"/>
  <c r="F144" i="22"/>
  <c r="AN140" i="22"/>
  <c r="AN131" i="22"/>
  <c r="AU150" i="22"/>
  <c r="AR140" i="22"/>
  <c r="AR131" i="22"/>
  <c r="F281" i="22"/>
  <c r="G281" i="22"/>
  <c r="E277" i="22"/>
  <c r="G263" i="22"/>
  <c r="F263" i="22"/>
  <c r="G271" i="22"/>
  <c r="H262" i="22"/>
  <c r="H263" i="22"/>
  <c r="F277" i="22"/>
  <c r="G267" i="22"/>
  <c r="D138" i="22"/>
  <c r="D277" i="22"/>
  <c r="E263" i="22"/>
  <c r="F267" i="22"/>
  <c r="F271" i="22"/>
  <c r="F275" i="22"/>
  <c r="F279" i="22"/>
  <c r="G277" i="22"/>
  <c r="D281" i="22"/>
  <c r="E281" i="22"/>
  <c r="D271" i="22"/>
  <c r="G275" i="22"/>
  <c r="D273" i="22"/>
  <c r="E279" i="22"/>
  <c r="E271" i="22"/>
  <c r="D267" i="22"/>
  <c r="D275" i="22"/>
  <c r="G279" i="22"/>
  <c r="E265" i="22"/>
  <c r="E267" i="22"/>
  <c r="E275" i="22"/>
  <c r="H270" i="22"/>
  <c r="H271" i="22"/>
  <c r="H274" i="22"/>
  <c r="H275" i="22"/>
  <c r="D279" i="22"/>
  <c r="E273" i="22"/>
  <c r="H272" i="22"/>
  <c r="H273" i="22"/>
  <c r="G273" i="22"/>
  <c r="F273" i="22"/>
  <c r="H268" i="22"/>
  <c r="H269" i="22"/>
  <c r="D269" i="22"/>
  <c r="E269" i="22"/>
  <c r="G269" i="22"/>
  <c r="F269" i="22"/>
  <c r="F265" i="22"/>
  <c r="D265" i="22"/>
  <c r="G265" i="22"/>
  <c r="H264" i="22"/>
  <c r="H265" i="22"/>
  <c r="H276" i="22"/>
  <c r="H277" i="22"/>
  <c r="H278" i="22"/>
  <c r="H279" i="22"/>
  <c r="H280" i="22"/>
  <c r="H281" i="22"/>
  <c r="H266" i="22"/>
  <c r="H267" i="22"/>
  <c r="D263" i="22"/>
  <c r="D162" i="22"/>
  <c r="E163" i="22"/>
  <c r="G163" i="22"/>
  <c r="F163" i="22"/>
  <c r="D164" i="22"/>
  <c r="G165" i="22"/>
  <c r="F165" i="22"/>
  <c r="E165" i="22"/>
  <c r="D170" i="22"/>
  <c r="E171" i="22"/>
  <c r="G171" i="22"/>
  <c r="F171" i="22"/>
  <c r="H172" i="22"/>
  <c r="D173" i="22"/>
  <c r="H173" i="22"/>
  <c r="D160" i="22"/>
  <c r="E161" i="22"/>
  <c r="F161" i="22"/>
  <c r="G161" i="22"/>
  <c r="D154" i="22"/>
  <c r="E155" i="22"/>
  <c r="G155" i="22"/>
  <c r="F155" i="22"/>
  <c r="D140" i="22"/>
  <c r="D131" i="22"/>
  <c r="D152" i="22" a="1"/>
  <c r="D168" i="22"/>
  <c r="E169" i="22"/>
  <c r="G169" i="22"/>
  <c r="F169" i="22"/>
  <c r="D166" i="22"/>
  <c r="G167" i="22"/>
  <c r="F167" i="22"/>
  <c r="D158" i="22"/>
  <c r="E159" i="22"/>
  <c r="G159" i="22"/>
  <c r="F159" i="22"/>
  <c r="D156" i="22"/>
  <c r="F157" i="22"/>
  <c r="G157" i="22"/>
  <c r="E157" i="22"/>
  <c r="E144" i="22"/>
  <c r="AU149" i="22"/>
  <c r="C384" i="22"/>
  <c r="D282" i="22"/>
  <c r="E282" i="22"/>
  <c r="F282" i="22"/>
  <c r="G282" i="22"/>
  <c r="D167" i="22"/>
  <c r="H166" i="22"/>
  <c r="H167" i="22"/>
  <c r="D165" i="22"/>
  <c r="H164" i="22"/>
  <c r="H165" i="22"/>
  <c r="D152" i="22"/>
  <c r="G153" i="22"/>
  <c r="G174" i="22"/>
  <c r="F153" i="22"/>
  <c r="F174" i="22"/>
  <c r="E153" i="22"/>
  <c r="E174" i="22"/>
  <c r="D161" i="22"/>
  <c r="H160" i="22"/>
  <c r="H161" i="22"/>
  <c r="D157" i="22"/>
  <c r="H156" i="22"/>
  <c r="H157" i="22"/>
  <c r="D155" i="22"/>
  <c r="H154" i="22"/>
  <c r="H155" i="22"/>
  <c r="E167" i="22"/>
  <c r="D159" i="22"/>
  <c r="H158" i="22"/>
  <c r="H159" i="22"/>
  <c r="D169" i="22"/>
  <c r="H168" i="22"/>
  <c r="H169" i="22"/>
  <c r="D171" i="22"/>
  <c r="H170" i="22"/>
  <c r="H171" i="22"/>
  <c r="D163" i="22"/>
  <c r="H162" i="22"/>
  <c r="H163" i="22"/>
  <c r="H282" i="22"/>
  <c r="D153" i="22"/>
  <c r="D174" i="22"/>
  <c r="BH144" i="22" a="1"/>
  <c r="BH144" i="22"/>
  <c r="H152" i="22"/>
  <c r="H153" i="22"/>
  <c r="D66" i="4"/>
  <c r="L16" i="22"/>
  <c r="D16" i="22"/>
  <c r="E16" i="22"/>
  <c r="F16" i="22"/>
  <c r="G16" i="22"/>
  <c r="H16" i="22"/>
  <c r="I16" i="22"/>
  <c r="J16" i="22"/>
  <c r="K16" i="22"/>
  <c r="C16" i="22"/>
  <c r="D9" i="4"/>
  <c r="E9" i="4"/>
  <c r="F9" i="4"/>
  <c r="B17" i="16"/>
  <c r="B33" i="17"/>
  <c r="F40" i="4"/>
  <c r="AZ144" i="22" a="1"/>
  <c r="AZ144" i="22"/>
  <c r="AV144" i="22" a="1"/>
  <c r="AV144" i="22"/>
  <c r="AV138" i="22"/>
  <c r="BD144" i="22" a="1"/>
  <c r="BD144" i="22"/>
  <c r="H174" i="22"/>
  <c r="C367" i="22" a="1"/>
  <c r="N118" i="22"/>
  <c r="N114" i="22"/>
  <c r="N110" i="22"/>
  <c r="AW138" i="22"/>
  <c r="AV139" i="22"/>
  <c r="C367" i="22"/>
  <c r="E56" i="4"/>
  <c r="AX138" i="22"/>
  <c r="AW139" i="22"/>
  <c r="E55" i="4"/>
  <c r="D55" i="4"/>
  <c r="E60" i="4"/>
  <c r="D60" i="4"/>
  <c r="AY138" i="22"/>
  <c r="AX139" i="22"/>
  <c r="C126" i="22"/>
  <c r="Q126" i="22"/>
  <c r="Q125" i="22"/>
  <c r="K125" i="22"/>
  <c r="J125" i="22"/>
  <c r="I125" i="22"/>
  <c r="H125" i="22"/>
  <c r="G125" i="22"/>
  <c r="F125" i="22"/>
  <c r="E125" i="22"/>
  <c r="D125" i="22"/>
  <c r="C125" i="22"/>
  <c r="M110" i="22"/>
  <c r="AZ138" i="22"/>
  <c r="AY139" i="22"/>
  <c r="AV146" i="22"/>
  <c r="C349" i="22"/>
  <c r="S20" i="22"/>
  <c r="C352" i="22"/>
  <c r="T20" i="22"/>
  <c r="F123" i="22"/>
  <c r="G128" i="22"/>
  <c r="G123" i="22"/>
  <c r="J123" i="22"/>
  <c r="K123" i="22"/>
  <c r="L123" i="22"/>
  <c r="H123" i="22"/>
  <c r="E123" i="22"/>
  <c r="I123" i="22"/>
  <c r="D128" i="22"/>
  <c r="D123" i="22"/>
  <c r="E128" i="22"/>
  <c r="F128" i="22"/>
  <c r="L128" i="22"/>
  <c r="C128" i="22"/>
  <c r="J128" i="22"/>
  <c r="H128" i="22"/>
  <c r="I128" i="22"/>
  <c r="K128" i="22"/>
  <c r="H28" i="1"/>
  <c r="H29" i="1"/>
  <c r="F29" i="1"/>
  <c r="F28" i="1"/>
  <c r="N255" i="22"/>
  <c r="N259" i="22"/>
  <c r="H6" i="4"/>
  <c r="H5" i="4"/>
  <c r="AV147" i="22"/>
  <c r="BA138" i="22"/>
  <c r="AZ139" i="22"/>
  <c r="F129" i="22"/>
  <c r="I129" i="22"/>
  <c r="L129" i="22"/>
  <c r="J129" i="22"/>
  <c r="E129" i="22"/>
  <c r="K129" i="22"/>
  <c r="D129" i="22"/>
  <c r="G129" i="22"/>
  <c r="H129" i="22"/>
  <c r="C27" i="1"/>
  <c r="C394" i="22"/>
  <c r="D63" i="4"/>
  <c r="BB138" i="22"/>
  <c r="BA139" i="22"/>
  <c r="O127" i="22"/>
  <c r="O126" i="22"/>
  <c r="D59" i="4"/>
  <c r="E59" i="4"/>
  <c r="G34" i="3" a="1"/>
  <c r="G34" i="3"/>
  <c r="D57" i="4"/>
  <c r="F50" i="4"/>
  <c r="N17" i="22"/>
  <c r="C23" i="22"/>
  <c r="F27" i="4"/>
  <c r="D19" i="4"/>
  <c r="D20" i="4"/>
  <c r="D11" i="4"/>
  <c r="BC138" i="22"/>
  <c r="BB139" i="22"/>
  <c r="B382" i="22"/>
  <c r="C369" i="22" a="1"/>
  <c r="C368" i="22" a="1"/>
  <c r="G52" i="10"/>
  <c r="D52" i="10"/>
  <c r="F52" i="10"/>
  <c r="E52" i="10"/>
  <c r="C52" i="10"/>
  <c r="H52" i="10"/>
  <c r="I52" i="10"/>
  <c r="C13" i="19"/>
  <c r="C14" i="19"/>
  <c r="C15" i="19"/>
  <c r="C16" i="19"/>
  <c r="C17" i="19"/>
  <c r="C18" i="19"/>
  <c r="C19" i="19"/>
  <c r="C20" i="19"/>
  <c r="C21" i="19"/>
  <c r="C22" i="19"/>
  <c r="C6" i="19"/>
  <c r="C7" i="19"/>
  <c r="C8" i="19"/>
  <c r="C9" i="19"/>
  <c r="C10" i="19"/>
  <c r="L12" i="19"/>
  <c r="N12" i="19"/>
  <c r="D50" i="10"/>
  <c r="H319" i="22"/>
  <c r="O319" i="22"/>
  <c r="C9" i="22"/>
  <c r="C318" i="22"/>
  <c r="C319" i="22"/>
  <c r="C359" i="22"/>
  <c r="D359" i="22"/>
  <c r="B101" i="17"/>
  <c r="C358" i="22"/>
  <c r="B5" i="16"/>
  <c r="AN147" i="22" s="1"/>
  <c r="B100" i="17"/>
  <c r="M114" i="22"/>
  <c r="M118" i="22"/>
  <c r="B115" i="22"/>
  <c r="B119" i="22"/>
  <c r="B116" i="22"/>
  <c r="B120" i="22"/>
  <c r="B114" i="22"/>
  <c r="B118" i="22"/>
  <c r="Q11" i="19"/>
  <c r="R11" i="19"/>
  <c r="S11" i="19"/>
  <c r="B23" i="3"/>
  <c r="B22" i="3"/>
  <c r="G42" i="10"/>
  <c r="F42" i="10"/>
  <c r="E42" i="10"/>
  <c r="D42" i="10"/>
  <c r="D13" i="10"/>
  <c r="M107" i="1"/>
  <c r="B13" i="17"/>
  <c r="B14" i="17"/>
  <c r="I67" i="17"/>
  <c r="C69" i="17"/>
  <c r="D69" i="17"/>
  <c r="D75" i="17"/>
  <c r="D31" i="4"/>
  <c r="E69" i="17"/>
  <c r="F69" i="17"/>
  <c r="G69" i="17"/>
  <c r="G75" i="17"/>
  <c r="H69" i="17"/>
  <c r="I69" i="17"/>
  <c r="J69" i="17"/>
  <c r="K69" i="17"/>
  <c r="C70" i="17"/>
  <c r="C75" i="17"/>
  <c r="E31" i="4"/>
  <c r="D70" i="17"/>
  <c r="E70" i="17"/>
  <c r="F70" i="17"/>
  <c r="F75" i="17"/>
  <c r="G70" i="17"/>
  <c r="H70" i="17"/>
  <c r="I70" i="17"/>
  <c r="J70" i="17"/>
  <c r="K70" i="17"/>
  <c r="K75" i="17"/>
  <c r="B69" i="17"/>
  <c r="B70" i="17"/>
  <c r="B56" i="17"/>
  <c r="C42" i="17"/>
  <c r="D42" i="17"/>
  <c r="E42" i="17"/>
  <c r="F42" i="17"/>
  <c r="G42" i="17"/>
  <c r="G46" i="17"/>
  <c r="G51" i="16"/>
  <c r="H42" i="17"/>
  <c r="I42" i="17"/>
  <c r="I46" i="17"/>
  <c r="I51" i="16"/>
  <c r="J42" i="17"/>
  <c r="J23" i="17"/>
  <c r="K42" i="17"/>
  <c r="B42" i="17"/>
  <c r="C33" i="17"/>
  <c r="C22" i="22"/>
  <c r="D33" i="17"/>
  <c r="D42" i="16"/>
  <c r="E33" i="17"/>
  <c r="E42" i="16"/>
  <c r="F33" i="17"/>
  <c r="G33" i="17"/>
  <c r="H33" i="17"/>
  <c r="I33" i="17"/>
  <c r="J33" i="17"/>
  <c r="J42" i="16"/>
  <c r="K33" i="17"/>
  <c r="C27" i="17"/>
  <c r="C31" i="17"/>
  <c r="D27" i="17"/>
  <c r="D31" i="17"/>
  <c r="E27" i="17"/>
  <c r="E31" i="17"/>
  <c r="F27" i="17"/>
  <c r="F31" i="17"/>
  <c r="G27" i="17"/>
  <c r="G32" i="17"/>
  <c r="H27" i="17"/>
  <c r="H31" i="17"/>
  <c r="I27" i="17"/>
  <c r="I32" i="17"/>
  <c r="J27" i="17"/>
  <c r="J32" i="17"/>
  <c r="K27" i="17"/>
  <c r="K31" i="17"/>
  <c r="B27" i="17"/>
  <c r="B23" i="17"/>
  <c r="AE12" i="23"/>
  <c r="W42" i="23"/>
  <c r="I5" i="23"/>
  <c r="I6" i="23"/>
  <c r="N6" i="23"/>
  <c r="I7" i="23"/>
  <c r="N7" i="23"/>
  <c r="I8" i="23"/>
  <c r="N8" i="23"/>
  <c r="I9" i="23"/>
  <c r="N9" i="23"/>
  <c r="I10" i="23"/>
  <c r="N10" i="23"/>
  <c r="I11" i="23"/>
  <c r="N11" i="23"/>
  <c r="I12" i="23"/>
  <c r="N12" i="23"/>
  <c r="I13" i="23"/>
  <c r="I14" i="23"/>
  <c r="N14" i="23"/>
  <c r="I15" i="23"/>
  <c r="N15" i="23"/>
  <c r="I16" i="23"/>
  <c r="N16" i="23"/>
  <c r="I17" i="23"/>
  <c r="N17" i="23"/>
  <c r="I18" i="23"/>
  <c r="N18" i="23"/>
  <c r="I19" i="23"/>
  <c r="N19" i="23"/>
  <c r="I20" i="23"/>
  <c r="N20" i="23"/>
  <c r="I21" i="23"/>
  <c r="I22" i="23"/>
  <c r="N22" i="23"/>
  <c r="I23" i="23"/>
  <c r="N23" i="23"/>
  <c r="I24" i="23"/>
  <c r="N24" i="23"/>
  <c r="I25" i="23"/>
  <c r="N25" i="23"/>
  <c r="I26" i="23"/>
  <c r="N26" i="23"/>
  <c r="I27" i="23"/>
  <c r="N27" i="23"/>
  <c r="I28" i="23"/>
  <c r="N28" i="23"/>
  <c r="I29" i="23"/>
  <c r="I30" i="23"/>
  <c r="N30" i="23"/>
  <c r="I31" i="23"/>
  <c r="N31" i="23"/>
  <c r="I32" i="23"/>
  <c r="N32" i="23"/>
  <c r="I33" i="23"/>
  <c r="N33" i="23"/>
  <c r="I34" i="23"/>
  <c r="N34" i="23"/>
  <c r="I35" i="23"/>
  <c r="N35" i="23"/>
  <c r="I36" i="23"/>
  <c r="N36" i="23"/>
  <c r="I37" i="23"/>
  <c r="I38" i="23"/>
  <c r="N38" i="23"/>
  <c r="I39" i="23"/>
  <c r="N39" i="23"/>
  <c r="I40" i="23"/>
  <c r="N40" i="23"/>
  <c r="I41" i="23"/>
  <c r="N41" i="23"/>
  <c r="I42" i="23"/>
  <c r="N42" i="23"/>
  <c r="I43" i="23"/>
  <c r="N43" i="23"/>
  <c r="I44" i="23"/>
  <c r="N44" i="23"/>
  <c r="I45" i="23"/>
  <c r="I46" i="23"/>
  <c r="N46" i="23"/>
  <c r="I47" i="23"/>
  <c r="N47" i="23"/>
  <c r="I48" i="23"/>
  <c r="N48" i="23"/>
  <c r="I49" i="23"/>
  <c r="N49" i="23"/>
  <c r="I50" i="23"/>
  <c r="N50" i="23"/>
  <c r="I51" i="23"/>
  <c r="N51" i="23"/>
  <c r="I52" i="23"/>
  <c r="N52" i="23"/>
  <c r="I53" i="23"/>
  <c r="I54" i="23"/>
  <c r="N54" i="23"/>
  <c r="I55" i="23"/>
  <c r="N55" i="23"/>
  <c r="I56" i="23"/>
  <c r="N56" i="23"/>
  <c r="I57" i="23"/>
  <c r="N57" i="23"/>
  <c r="I58" i="23"/>
  <c r="N58" i="23"/>
  <c r="I59" i="23"/>
  <c r="N59" i="23"/>
  <c r="I60" i="23"/>
  <c r="N60" i="23"/>
  <c r="I61" i="23"/>
  <c r="I62" i="23"/>
  <c r="N62" i="23"/>
  <c r="I63" i="23"/>
  <c r="N63" i="23"/>
  <c r="I64" i="23"/>
  <c r="N64" i="23"/>
  <c r="I65" i="23"/>
  <c r="N65" i="23"/>
  <c r="I66" i="23"/>
  <c r="N66" i="23"/>
  <c r="I67" i="23"/>
  <c r="N67" i="23"/>
  <c r="I68" i="23"/>
  <c r="N68" i="23"/>
  <c r="I69" i="23"/>
  <c r="I70" i="23"/>
  <c r="N70" i="23"/>
  <c r="I71" i="23"/>
  <c r="N71" i="23"/>
  <c r="I72" i="23"/>
  <c r="N72" i="23"/>
  <c r="I73" i="23"/>
  <c r="N73" i="23"/>
  <c r="I74" i="23"/>
  <c r="N74" i="23"/>
  <c r="I75" i="23"/>
  <c r="N75" i="23"/>
  <c r="I76" i="23"/>
  <c r="N76" i="23"/>
  <c r="I77" i="23"/>
  <c r="I78" i="23"/>
  <c r="N78" i="23"/>
  <c r="I79" i="23"/>
  <c r="N79" i="23"/>
  <c r="I80" i="23"/>
  <c r="N80" i="23"/>
  <c r="I81" i="23"/>
  <c r="N81" i="23"/>
  <c r="I82" i="23"/>
  <c r="N82" i="23"/>
  <c r="I83" i="23"/>
  <c r="N83" i="23"/>
  <c r="I84" i="23"/>
  <c r="N84" i="23"/>
  <c r="I85" i="23"/>
  <c r="I86" i="23"/>
  <c r="N86" i="23"/>
  <c r="I87" i="23"/>
  <c r="N87" i="23"/>
  <c r="I88" i="23"/>
  <c r="N88" i="23"/>
  <c r="I89" i="23"/>
  <c r="N89" i="23"/>
  <c r="I90" i="23"/>
  <c r="N90" i="23"/>
  <c r="I91" i="23"/>
  <c r="N91" i="23"/>
  <c r="I92" i="23"/>
  <c r="N92" i="23"/>
  <c r="I93" i="23"/>
  <c r="I94" i="23"/>
  <c r="N94" i="23"/>
  <c r="I95" i="23"/>
  <c r="N95" i="23"/>
  <c r="I96" i="23"/>
  <c r="N96" i="23"/>
  <c r="I97" i="23"/>
  <c r="N97" i="23"/>
  <c r="I98" i="23"/>
  <c r="N98" i="23"/>
  <c r="I99" i="23"/>
  <c r="N99" i="23"/>
  <c r="I100" i="23"/>
  <c r="N100" i="23"/>
  <c r="I101" i="23"/>
  <c r="I102" i="23"/>
  <c r="N102" i="23"/>
  <c r="I4" i="23"/>
  <c r="N5" i="23"/>
  <c r="J3" i="23"/>
  <c r="I3" i="23"/>
  <c r="AD1" i="23"/>
  <c r="D11" i="10"/>
  <c r="E11" i="10"/>
  <c r="F11" i="10"/>
  <c r="G11" i="10"/>
  <c r="D21" i="10"/>
  <c r="E21" i="10"/>
  <c r="F21" i="10"/>
  <c r="G21" i="10"/>
  <c r="E13" i="10"/>
  <c r="E16" i="10"/>
  <c r="F64" i="10"/>
  <c r="G64" i="10"/>
  <c r="D64" i="10"/>
  <c r="D25" i="10"/>
  <c r="E64" i="10"/>
  <c r="E25" i="10"/>
  <c r="D4" i="10" a="1"/>
  <c r="D4" i="10"/>
  <c r="G3" i="10" a="1"/>
  <c r="G3" i="10"/>
  <c r="G4" i="10" a="1"/>
  <c r="G4" i="10"/>
  <c r="G5" i="10" a="1"/>
  <c r="G5" i="10"/>
  <c r="G2" i="10" a="1"/>
  <c r="G2" i="10"/>
  <c r="D5" i="10" a="1"/>
  <c r="D5" i="10"/>
  <c r="D2" i="10" a="1"/>
  <c r="D2" i="10"/>
  <c r="D3" i="10" a="1"/>
  <c r="D3" i="10"/>
  <c r="F101" i="23"/>
  <c r="K101" i="23"/>
  <c r="G101" i="23"/>
  <c r="L101" i="23"/>
  <c r="H101" i="23"/>
  <c r="M101" i="23"/>
  <c r="J101" i="23"/>
  <c r="O101" i="23"/>
  <c r="F102" i="23"/>
  <c r="K102" i="23"/>
  <c r="G102" i="23"/>
  <c r="L102" i="23"/>
  <c r="H102" i="23"/>
  <c r="M102" i="23"/>
  <c r="J102" i="23"/>
  <c r="O102" i="23"/>
  <c r="F63" i="23"/>
  <c r="K63" i="23"/>
  <c r="G63" i="23"/>
  <c r="L63" i="23"/>
  <c r="H63" i="23"/>
  <c r="M63" i="23"/>
  <c r="J63" i="23"/>
  <c r="O63" i="23"/>
  <c r="F64" i="23"/>
  <c r="K64" i="23"/>
  <c r="G64" i="23"/>
  <c r="L64" i="23"/>
  <c r="H64" i="23"/>
  <c r="M64" i="23"/>
  <c r="J64" i="23"/>
  <c r="O64" i="23"/>
  <c r="F65" i="23"/>
  <c r="K65" i="23"/>
  <c r="G65" i="23"/>
  <c r="L65" i="23"/>
  <c r="H65" i="23"/>
  <c r="M65" i="23"/>
  <c r="J65" i="23"/>
  <c r="O65" i="23"/>
  <c r="F66" i="23"/>
  <c r="K66" i="23"/>
  <c r="G66" i="23"/>
  <c r="L66" i="23"/>
  <c r="H66" i="23"/>
  <c r="M66" i="23"/>
  <c r="J66" i="23"/>
  <c r="O66" i="23"/>
  <c r="F67" i="23"/>
  <c r="K67" i="23"/>
  <c r="G67" i="23"/>
  <c r="L67" i="23"/>
  <c r="H67" i="23"/>
  <c r="M67" i="23"/>
  <c r="J67" i="23"/>
  <c r="O67" i="23"/>
  <c r="F68" i="23"/>
  <c r="K68" i="23"/>
  <c r="G68" i="23"/>
  <c r="L68" i="23"/>
  <c r="H68" i="23"/>
  <c r="M68" i="23"/>
  <c r="J68" i="23"/>
  <c r="O68" i="23"/>
  <c r="F69" i="23"/>
  <c r="K69" i="23"/>
  <c r="G69" i="23"/>
  <c r="L69" i="23"/>
  <c r="H69" i="23"/>
  <c r="M69" i="23"/>
  <c r="J69" i="23"/>
  <c r="O69" i="23"/>
  <c r="F70" i="23"/>
  <c r="K70" i="23"/>
  <c r="G70" i="23"/>
  <c r="L70" i="23"/>
  <c r="H70" i="23"/>
  <c r="M70" i="23"/>
  <c r="J70" i="23"/>
  <c r="O70" i="23"/>
  <c r="F71" i="23"/>
  <c r="K71" i="23"/>
  <c r="G71" i="23"/>
  <c r="L71" i="23"/>
  <c r="H71" i="23"/>
  <c r="M71" i="23"/>
  <c r="J71" i="23"/>
  <c r="O71" i="23"/>
  <c r="F72" i="23"/>
  <c r="K72" i="23"/>
  <c r="G72" i="23"/>
  <c r="L72" i="23"/>
  <c r="H72" i="23"/>
  <c r="M72" i="23"/>
  <c r="J72" i="23"/>
  <c r="O72" i="23"/>
  <c r="F73" i="23"/>
  <c r="K73" i="23"/>
  <c r="G73" i="23"/>
  <c r="L73" i="23"/>
  <c r="H73" i="23"/>
  <c r="M73" i="23"/>
  <c r="J73" i="23"/>
  <c r="O73" i="23"/>
  <c r="F74" i="23"/>
  <c r="K74" i="23"/>
  <c r="G74" i="23"/>
  <c r="L74" i="23"/>
  <c r="H74" i="23"/>
  <c r="M74" i="23"/>
  <c r="J74" i="23"/>
  <c r="O74" i="23"/>
  <c r="F75" i="23"/>
  <c r="K75" i="23"/>
  <c r="G75" i="23"/>
  <c r="L75" i="23"/>
  <c r="H75" i="23"/>
  <c r="M75" i="23"/>
  <c r="J75" i="23"/>
  <c r="O75" i="23"/>
  <c r="F76" i="23"/>
  <c r="K76" i="23"/>
  <c r="G76" i="23"/>
  <c r="L76" i="23"/>
  <c r="H76" i="23"/>
  <c r="M76" i="23"/>
  <c r="J76" i="23"/>
  <c r="O76" i="23"/>
  <c r="F77" i="23"/>
  <c r="K77" i="23"/>
  <c r="G77" i="23"/>
  <c r="L77" i="23"/>
  <c r="H77" i="23"/>
  <c r="M77" i="23"/>
  <c r="J77" i="23"/>
  <c r="O77" i="23"/>
  <c r="F78" i="23"/>
  <c r="K78" i="23"/>
  <c r="G78" i="23"/>
  <c r="L78" i="23"/>
  <c r="H78" i="23"/>
  <c r="M78" i="23"/>
  <c r="J78" i="23"/>
  <c r="O78" i="23"/>
  <c r="F79" i="23"/>
  <c r="K79" i="23"/>
  <c r="G79" i="23"/>
  <c r="L79" i="23"/>
  <c r="H79" i="23"/>
  <c r="M79" i="23"/>
  <c r="J79" i="23"/>
  <c r="O79" i="23"/>
  <c r="F80" i="23"/>
  <c r="K80" i="23"/>
  <c r="G80" i="23"/>
  <c r="L80" i="23"/>
  <c r="H80" i="23"/>
  <c r="M80" i="23"/>
  <c r="J80" i="23"/>
  <c r="O80" i="23"/>
  <c r="F81" i="23"/>
  <c r="K81" i="23"/>
  <c r="G81" i="23"/>
  <c r="L81" i="23"/>
  <c r="H81" i="23"/>
  <c r="M81" i="23"/>
  <c r="J81" i="23"/>
  <c r="O81" i="23"/>
  <c r="F82" i="23"/>
  <c r="K82" i="23"/>
  <c r="G82" i="23"/>
  <c r="L82" i="23"/>
  <c r="H82" i="23"/>
  <c r="M82" i="23"/>
  <c r="J82" i="23"/>
  <c r="O82" i="23"/>
  <c r="F83" i="23"/>
  <c r="K83" i="23"/>
  <c r="G83" i="23"/>
  <c r="L83" i="23"/>
  <c r="H83" i="23"/>
  <c r="M83" i="23"/>
  <c r="J83" i="23"/>
  <c r="O83" i="23"/>
  <c r="F84" i="23"/>
  <c r="K84" i="23"/>
  <c r="G84" i="23"/>
  <c r="L84" i="23"/>
  <c r="H84" i="23"/>
  <c r="M84" i="23"/>
  <c r="J84" i="23"/>
  <c r="O84" i="23"/>
  <c r="F85" i="23"/>
  <c r="K85" i="23"/>
  <c r="G85" i="23"/>
  <c r="L85" i="23"/>
  <c r="H85" i="23"/>
  <c r="M85" i="23"/>
  <c r="J85" i="23"/>
  <c r="O85" i="23"/>
  <c r="F86" i="23"/>
  <c r="K86" i="23"/>
  <c r="G86" i="23"/>
  <c r="L86" i="23"/>
  <c r="H86" i="23"/>
  <c r="M86" i="23"/>
  <c r="J86" i="23"/>
  <c r="O86" i="23"/>
  <c r="F87" i="23"/>
  <c r="K87" i="23"/>
  <c r="G87" i="23"/>
  <c r="L87" i="23"/>
  <c r="H87" i="23"/>
  <c r="M87" i="23"/>
  <c r="J87" i="23"/>
  <c r="O87" i="23"/>
  <c r="F88" i="23"/>
  <c r="K88" i="23"/>
  <c r="G88" i="23"/>
  <c r="L88" i="23"/>
  <c r="H88" i="23"/>
  <c r="M88" i="23"/>
  <c r="J88" i="23"/>
  <c r="O88" i="23"/>
  <c r="F89" i="23"/>
  <c r="K89" i="23"/>
  <c r="G89" i="23"/>
  <c r="L89" i="23"/>
  <c r="H89" i="23"/>
  <c r="M89" i="23"/>
  <c r="J89" i="23"/>
  <c r="O89" i="23"/>
  <c r="F90" i="23"/>
  <c r="K90" i="23"/>
  <c r="G90" i="23"/>
  <c r="L90" i="23"/>
  <c r="H90" i="23"/>
  <c r="M90" i="23"/>
  <c r="J90" i="23"/>
  <c r="O90" i="23"/>
  <c r="F91" i="23"/>
  <c r="K91" i="23"/>
  <c r="G91" i="23"/>
  <c r="L91" i="23"/>
  <c r="H91" i="23"/>
  <c r="M91" i="23"/>
  <c r="J91" i="23"/>
  <c r="O91" i="23"/>
  <c r="F92" i="23"/>
  <c r="K92" i="23"/>
  <c r="G92" i="23"/>
  <c r="L92" i="23"/>
  <c r="H92" i="23"/>
  <c r="M92" i="23"/>
  <c r="J92" i="23"/>
  <c r="O92" i="23"/>
  <c r="F93" i="23"/>
  <c r="K93" i="23"/>
  <c r="G93" i="23"/>
  <c r="L93" i="23"/>
  <c r="H93" i="23"/>
  <c r="M93" i="23"/>
  <c r="J93" i="23"/>
  <c r="O93" i="23"/>
  <c r="F94" i="23"/>
  <c r="K94" i="23"/>
  <c r="G94" i="23"/>
  <c r="L94" i="23"/>
  <c r="H94" i="23"/>
  <c r="M94" i="23"/>
  <c r="J94" i="23"/>
  <c r="O94" i="23"/>
  <c r="F95" i="23"/>
  <c r="K95" i="23"/>
  <c r="G95" i="23"/>
  <c r="L95" i="23"/>
  <c r="H95" i="23"/>
  <c r="M95" i="23"/>
  <c r="J95" i="23"/>
  <c r="O95" i="23"/>
  <c r="F96" i="23"/>
  <c r="K96" i="23"/>
  <c r="G96" i="23"/>
  <c r="L96" i="23"/>
  <c r="H96" i="23"/>
  <c r="M96" i="23"/>
  <c r="J96" i="23"/>
  <c r="O96" i="23"/>
  <c r="F97" i="23"/>
  <c r="K97" i="23"/>
  <c r="G97" i="23"/>
  <c r="L97" i="23"/>
  <c r="H97" i="23"/>
  <c r="M97" i="23"/>
  <c r="J97" i="23"/>
  <c r="O97" i="23"/>
  <c r="F98" i="23"/>
  <c r="K98" i="23"/>
  <c r="G98" i="23"/>
  <c r="L98" i="23"/>
  <c r="H98" i="23"/>
  <c r="M98" i="23"/>
  <c r="J98" i="23"/>
  <c r="O98" i="23"/>
  <c r="F99" i="23"/>
  <c r="K99" i="23"/>
  <c r="G99" i="23"/>
  <c r="L99" i="23"/>
  <c r="H99" i="23"/>
  <c r="M99" i="23"/>
  <c r="J99" i="23"/>
  <c r="O99" i="23"/>
  <c r="F100" i="23"/>
  <c r="K100" i="23"/>
  <c r="G100" i="23"/>
  <c r="L100" i="23"/>
  <c r="H100" i="23"/>
  <c r="M100" i="23"/>
  <c r="J100" i="23"/>
  <c r="O100" i="23"/>
  <c r="F3" i="23"/>
  <c r="K3" i="23"/>
  <c r="H4" i="23"/>
  <c r="M4" i="23"/>
  <c r="H5" i="23"/>
  <c r="M5" i="23"/>
  <c r="H6" i="23"/>
  <c r="M6" i="23"/>
  <c r="H7" i="23"/>
  <c r="M7" i="23"/>
  <c r="H8" i="23"/>
  <c r="M8" i="23"/>
  <c r="H9" i="23"/>
  <c r="M9" i="23"/>
  <c r="H10" i="23"/>
  <c r="M10" i="23"/>
  <c r="H11" i="23"/>
  <c r="M11" i="23"/>
  <c r="H12" i="23"/>
  <c r="M12" i="23"/>
  <c r="H13" i="23"/>
  <c r="M13" i="23"/>
  <c r="H14" i="23"/>
  <c r="M14" i="23"/>
  <c r="H15" i="23"/>
  <c r="M15" i="23"/>
  <c r="H16" i="23"/>
  <c r="M16" i="23"/>
  <c r="H17" i="23"/>
  <c r="M17" i="23"/>
  <c r="H18" i="23"/>
  <c r="M18" i="23"/>
  <c r="H19" i="23"/>
  <c r="M19" i="23"/>
  <c r="H20" i="23"/>
  <c r="M20" i="23"/>
  <c r="H21" i="23"/>
  <c r="M21" i="23"/>
  <c r="H22" i="23"/>
  <c r="M22" i="23"/>
  <c r="H23" i="23"/>
  <c r="M23" i="23"/>
  <c r="H24" i="23"/>
  <c r="M24" i="23"/>
  <c r="H25" i="23"/>
  <c r="M25" i="23"/>
  <c r="H26" i="23"/>
  <c r="M26" i="23"/>
  <c r="H27" i="23"/>
  <c r="M27" i="23"/>
  <c r="H28" i="23"/>
  <c r="M28" i="23"/>
  <c r="H29" i="23"/>
  <c r="M29" i="23"/>
  <c r="H30" i="23"/>
  <c r="M30" i="23"/>
  <c r="H31" i="23"/>
  <c r="M31" i="23"/>
  <c r="H32" i="23"/>
  <c r="M32" i="23"/>
  <c r="H33" i="23"/>
  <c r="M33" i="23"/>
  <c r="H3" i="23"/>
  <c r="H34" i="23"/>
  <c r="M34" i="23"/>
  <c r="H35" i="23"/>
  <c r="M35" i="23"/>
  <c r="H36" i="23"/>
  <c r="M36" i="23"/>
  <c r="H37" i="23"/>
  <c r="M37" i="23"/>
  <c r="H38" i="23"/>
  <c r="M38" i="23"/>
  <c r="H39" i="23"/>
  <c r="M39" i="23"/>
  <c r="H40" i="23"/>
  <c r="M40" i="23"/>
  <c r="H41" i="23"/>
  <c r="M41" i="23"/>
  <c r="H42" i="23"/>
  <c r="M42" i="23"/>
  <c r="H43" i="23"/>
  <c r="M43" i="23"/>
  <c r="H44" i="23"/>
  <c r="M44" i="23"/>
  <c r="H45" i="23"/>
  <c r="M45" i="23"/>
  <c r="H46" i="23"/>
  <c r="M46" i="23"/>
  <c r="H47" i="23"/>
  <c r="M47" i="23"/>
  <c r="H48" i="23"/>
  <c r="M48" i="23"/>
  <c r="H49" i="23"/>
  <c r="M49" i="23"/>
  <c r="H50" i="23"/>
  <c r="M50" i="23"/>
  <c r="H51" i="23"/>
  <c r="M51" i="23"/>
  <c r="H52" i="23"/>
  <c r="M52" i="23"/>
  <c r="H53" i="23"/>
  <c r="M53" i="23"/>
  <c r="H54" i="23"/>
  <c r="M54" i="23"/>
  <c r="H55" i="23"/>
  <c r="M55" i="23"/>
  <c r="H56" i="23"/>
  <c r="M56" i="23"/>
  <c r="H57" i="23"/>
  <c r="M57" i="23"/>
  <c r="H58" i="23"/>
  <c r="M58" i="23"/>
  <c r="H59" i="23"/>
  <c r="M59" i="23"/>
  <c r="H60" i="23"/>
  <c r="M60" i="23"/>
  <c r="H61" i="23"/>
  <c r="M61" i="23"/>
  <c r="H62" i="23"/>
  <c r="M62" i="23"/>
  <c r="F7" i="23"/>
  <c r="K7" i="23"/>
  <c r="B86" i="17" a="1"/>
  <c r="B86" i="17"/>
  <c r="B84" i="16"/>
  <c r="B81" i="17" a="1"/>
  <c r="B81" i="17"/>
  <c r="B80" i="17" a="1"/>
  <c r="B80" i="17"/>
  <c r="B58" i="10"/>
  <c r="B59" i="10"/>
  <c r="B60" i="10"/>
  <c r="B5" i="17"/>
  <c r="B87" i="17"/>
  <c r="I18" i="1"/>
  <c r="E57" i="4"/>
  <c r="D56" i="4"/>
  <c r="D61" i="4"/>
  <c r="B21" i="3"/>
  <c r="B20" i="3"/>
  <c r="G2" i="17" a="1"/>
  <c r="G2" i="17"/>
  <c r="A2" i="16"/>
  <c r="E2" i="1"/>
  <c r="M6" i="3"/>
  <c r="N6" i="3"/>
  <c r="O6" i="3"/>
  <c r="P6" i="3"/>
  <c r="P5" i="3"/>
  <c r="K14" i="3"/>
  <c r="L14" i="3"/>
  <c r="M14" i="3"/>
  <c r="N14" i="3"/>
  <c r="O14" i="3"/>
  <c r="P14" i="3"/>
  <c r="P15" i="3"/>
  <c r="K16" i="3"/>
  <c r="L16" i="3"/>
  <c r="M16" i="3"/>
  <c r="N16" i="3"/>
  <c r="O16" i="3"/>
  <c r="P16" i="3"/>
  <c r="L13" i="3"/>
  <c r="M13" i="3"/>
  <c r="N13" i="3"/>
  <c r="O13" i="3"/>
  <c r="P13" i="3"/>
  <c r="K13" i="3"/>
  <c r="I17" i="3"/>
  <c r="G17" i="3"/>
  <c r="W43" i="23"/>
  <c r="W44" i="23"/>
  <c r="W56" i="23"/>
  <c r="W57" i="23"/>
  <c r="W59" i="23"/>
  <c r="W61" i="23"/>
  <c r="AN9" i="23"/>
  <c r="AM9" i="23"/>
  <c r="AL9" i="23"/>
  <c r="AK9" i="23"/>
  <c r="AJ9" i="23"/>
  <c r="D53" i="10"/>
  <c r="E53" i="10"/>
  <c r="F53" i="10"/>
  <c r="G53" i="10"/>
  <c r="E14" i="10"/>
  <c r="E34" i="10"/>
  <c r="D34" i="10"/>
  <c r="E27" i="10"/>
  <c r="H46" i="10"/>
  <c r="I46" i="10"/>
  <c r="D31" i="10"/>
  <c r="E31" i="10"/>
  <c r="F31" i="10"/>
  <c r="G31" i="10"/>
  <c r="D30" i="10"/>
  <c r="E30" i="10"/>
  <c r="F30" i="10"/>
  <c r="G30" i="10"/>
  <c r="D15" i="10"/>
  <c r="E15" i="10"/>
  <c r="F15" i="10"/>
  <c r="G15" i="10"/>
  <c r="M81" i="1"/>
  <c r="D22" i="10"/>
  <c r="D20" i="10"/>
  <c r="B82" i="17"/>
  <c r="M19" i="1"/>
  <c r="C42" i="10"/>
  <c r="C87" i="16"/>
  <c r="D87" i="16"/>
  <c r="B87" i="16"/>
  <c r="D88" i="16"/>
  <c r="C88" i="16"/>
  <c r="B88" i="16"/>
  <c r="F38" i="4"/>
  <c r="G10" i="4"/>
  <c r="G38" i="4"/>
  <c r="O9" i="19"/>
  <c r="P9" i="19"/>
  <c r="O8" i="19"/>
  <c r="P8" i="19"/>
  <c r="O7" i="19"/>
  <c r="P7" i="19"/>
  <c r="O6" i="19"/>
  <c r="P6" i="19"/>
  <c r="Q6" i="19"/>
  <c r="Q4" i="19"/>
  <c r="G8" i="10"/>
  <c r="P4" i="19"/>
  <c r="G6" i="10" a="1"/>
  <c r="G6" i="10"/>
  <c r="G34" i="10"/>
  <c r="G33" i="10"/>
  <c r="G32" i="10"/>
  <c r="G28" i="10"/>
  <c r="G27" i="10"/>
  <c r="G25" i="10"/>
  <c r="G24" i="10"/>
  <c r="G23" i="10"/>
  <c r="G22" i="10"/>
  <c r="G20" i="10"/>
  <c r="G18" i="10"/>
  <c r="G17" i="10"/>
  <c r="G16" i="10"/>
  <c r="G14" i="10"/>
  <c r="G13" i="10"/>
  <c r="D6" i="10" a="1"/>
  <c r="D6" i="10"/>
  <c r="F4" i="23"/>
  <c r="K4" i="23"/>
  <c r="G4" i="23"/>
  <c r="L4" i="23"/>
  <c r="J4" i="23"/>
  <c r="O4" i="23"/>
  <c r="F5" i="23"/>
  <c r="K5" i="23"/>
  <c r="G5" i="23"/>
  <c r="L5" i="23"/>
  <c r="J5" i="23"/>
  <c r="O5" i="23"/>
  <c r="F6" i="23"/>
  <c r="K6" i="23"/>
  <c r="G6" i="23"/>
  <c r="L6" i="23"/>
  <c r="J6" i="23"/>
  <c r="O6" i="23"/>
  <c r="G7" i="23"/>
  <c r="L7" i="23"/>
  <c r="J7" i="23"/>
  <c r="O7" i="23"/>
  <c r="F8" i="23"/>
  <c r="K8" i="23"/>
  <c r="G8" i="23"/>
  <c r="L8" i="23"/>
  <c r="J8" i="23"/>
  <c r="O8" i="23"/>
  <c r="F9" i="23"/>
  <c r="K9" i="23"/>
  <c r="G9" i="23"/>
  <c r="L9" i="23"/>
  <c r="J9" i="23"/>
  <c r="O9" i="23"/>
  <c r="F10" i="23"/>
  <c r="K10" i="23"/>
  <c r="G10" i="23"/>
  <c r="L10" i="23"/>
  <c r="J10" i="23"/>
  <c r="O10" i="23"/>
  <c r="F11" i="23"/>
  <c r="K11" i="23"/>
  <c r="G11" i="23"/>
  <c r="L11" i="23"/>
  <c r="J11" i="23"/>
  <c r="O11" i="23"/>
  <c r="F12" i="23"/>
  <c r="K12" i="23"/>
  <c r="G12" i="23"/>
  <c r="L12" i="23"/>
  <c r="J12" i="23"/>
  <c r="O12" i="23"/>
  <c r="F13" i="23"/>
  <c r="K13" i="23"/>
  <c r="G13" i="23"/>
  <c r="L13" i="23"/>
  <c r="J13" i="23"/>
  <c r="O13" i="23"/>
  <c r="F14" i="23"/>
  <c r="K14" i="23"/>
  <c r="G14" i="23"/>
  <c r="L14" i="23"/>
  <c r="J14" i="23"/>
  <c r="O14" i="23"/>
  <c r="F15" i="23"/>
  <c r="K15" i="23"/>
  <c r="G15" i="23"/>
  <c r="L15" i="23"/>
  <c r="J15" i="23"/>
  <c r="O15" i="23"/>
  <c r="F16" i="23"/>
  <c r="K16" i="23"/>
  <c r="G16" i="23"/>
  <c r="L16" i="23"/>
  <c r="J16" i="23"/>
  <c r="O16" i="23"/>
  <c r="F17" i="23"/>
  <c r="K17" i="23"/>
  <c r="G17" i="23"/>
  <c r="L17" i="23"/>
  <c r="J17" i="23"/>
  <c r="O17" i="23"/>
  <c r="F18" i="23"/>
  <c r="K18" i="23"/>
  <c r="G18" i="23"/>
  <c r="L18" i="23"/>
  <c r="J18" i="23"/>
  <c r="O18" i="23"/>
  <c r="F19" i="23"/>
  <c r="K19" i="23"/>
  <c r="G19" i="23"/>
  <c r="L19" i="23"/>
  <c r="J19" i="23"/>
  <c r="O19" i="23"/>
  <c r="F20" i="23"/>
  <c r="K20" i="23"/>
  <c r="G20" i="23"/>
  <c r="L20" i="23"/>
  <c r="J20" i="23"/>
  <c r="O20" i="23"/>
  <c r="F21" i="23"/>
  <c r="K21" i="23"/>
  <c r="G21" i="23"/>
  <c r="L21" i="23"/>
  <c r="J21" i="23"/>
  <c r="O21" i="23"/>
  <c r="F22" i="23"/>
  <c r="K22" i="23"/>
  <c r="G22" i="23"/>
  <c r="L22" i="23"/>
  <c r="J22" i="23"/>
  <c r="O22" i="23"/>
  <c r="F23" i="23"/>
  <c r="K23" i="23"/>
  <c r="G23" i="23"/>
  <c r="L23" i="23"/>
  <c r="J23" i="23"/>
  <c r="O23" i="23"/>
  <c r="F24" i="23"/>
  <c r="K24" i="23"/>
  <c r="G24" i="23"/>
  <c r="L24" i="23"/>
  <c r="J24" i="23"/>
  <c r="O24" i="23"/>
  <c r="F25" i="23"/>
  <c r="K25" i="23"/>
  <c r="G25" i="23"/>
  <c r="L25" i="23"/>
  <c r="J25" i="23"/>
  <c r="O25" i="23"/>
  <c r="F26" i="23"/>
  <c r="K26" i="23"/>
  <c r="G26" i="23"/>
  <c r="L26" i="23"/>
  <c r="J26" i="23"/>
  <c r="O26" i="23"/>
  <c r="F27" i="23"/>
  <c r="K27" i="23"/>
  <c r="G27" i="23"/>
  <c r="L27" i="23"/>
  <c r="J27" i="23"/>
  <c r="O27" i="23"/>
  <c r="F28" i="23"/>
  <c r="K28" i="23"/>
  <c r="G28" i="23"/>
  <c r="L28" i="23"/>
  <c r="J28" i="23"/>
  <c r="O28" i="23"/>
  <c r="F29" i="23"/>
  <c r="K29" i="23"/>
  <c r="G29" i="23"/>
  <c r="L29" i="23"/>
  <c r="J29" i="23"/>
  <c r="O29" i="23"/>
  <c r="F30" i="23"/>
  <c r="K30" i="23"/>
  <c r="G30" i="23"/>
  <c r="L30" i="23"/>
  <c r="J30" i="23"/>
  <c r="O30" i="23"/>
  <c r="F31" i="23"/>
  <c r="K31" i="23"/>
  <c r="G31" i="23"/>
  <c r="L31" i="23"/>
  <c r="J31" i="23"/>
  <c r="O31" i="23"/>
  <c r="F32" i="23"/>
  <c r="K32" i="23"/>
  <c r="G32" i="23"/>
  <c r="L32" i="23"/>
  <c r="J32" i="23"/>
  <c r="O32" i="23"/>
  <c r="F33" i="23"/>
  <c r="K33" i="23"/>
  <c r="G33" i="23"/>
  <c r="L33" i="23"/>
  <c r="J33" i="23"/>
  <c r="O33" i="23"/>
  <c r="G3" i="23"/>
  <c r="F34" i="23"/>
  <c r="K34" i="23"/>
  <c r="G34" i="23"/>
  <c r="L34" i="23"/>
  <c r="J34" i="23"/>
  <c r="O34" i="23"/>
  <c r="F35" i="23"/>
  <c r="K35" i="23"/>
  <c r="G35" i="23"/>
  <c r="L35" i="23"/>
  <c r="J35" i="23"/>
  <c r="O35" i="23"/>
  <c r="F36" i="23"/>
  <c r="K36" i="23"/>
  <c r="G36" i="23"/>
  <c r="L36" i="23"/>
  <c r="J36" i="23"/>
  <c r="O36" i="23"/>
  <c r="F37" i="23"/>
  <c r="K37" i="23"/>
  <c r="G37" i="23"/>
  <c r="L37" i="23"/>
  <c r="J37" i="23"/>
  <c r="O37" i="23"/>
  <c r="F38" i="23"/>
  <c r="K38" i="23"/>
  <c r="G38" i="23"/>
  <c r="L38" i="23"/>
  <c r="J38" i="23"/>
  <c r="O38" i="23"/>
  <c r="F39" i="23"/>
  <c r="K39" i="23"/>
  <c r="G39" i="23"/>
  <c r="L39" i="23"/>
  <c r="J39" i="23"/>
  <c r="O39" i="23"/>
  <c r="F40" i="23"/>
  <c r="K40" i="23"/>
  <c r="G40" i="23"/>
  <c r="L40" i="23"/>
  <c r="J40" i="23"/>
  <c r="O40" i="23"/>
  <c r="F41" i="23"/>
  <c r="K41" i="23"/>
  <c r="G41" i="23"/>
  <c r="L41" i="23"/>
  <c r="J41" i="23"/>
  <c r="O41" i="23"/>
  <c r="F42" i="23"/>
  <c r="K42" i="23"/>
  <c r="G42" i="23"/>
  <c r="L42" i="23"/>
  <c r="J42" i="23"/>
  <c r="O42" i="23"/>
  <c r="F43" i="23"/>
  <c r="K43" i="23"/>
  <c r="G43" i="23"/>
  <c r="L43" i="23"/>
  <c r="J43" i="23"/>
  <c r="O43" i="23"/>
  <c r="F44" i="23"/>
  <c r="K44" i="23"/>
  <c r="G44" i="23"/>
  <c r="L44" i="23"/>
  <c r="J44" i="23"/>
  <c r="O44" i="23"/>
  <c r="F45" i="23"/>
  <c r="K45" i="23"/>
  <c r="G45" i="23"/>
  <c r="L45" i="23"/>
  <c r="J45" i="23"/>
  <c r="O45" i="23"/>
  <c r="F46" i="23"/>
  <c r="K46" i="23"/>
  <c r="G46" i="23"/>
  <c r="L46" i="23"/>
  <c r="J46" i="23"/>
  <c r="O46" i="23"/>
  <c r="F47" i="23"/>
  <c r="K47" i="23"/>
  <c r="G47" i="23"/>
  <c r="L47" i="23"/>
  <c r="J47" i="23"/>
  <c r="O47" i="23"/>
  <c r="F48" i="23"/>
  <c r="K48" i="23"/>
  <c r="G48" i="23"/>
  <c r="L48" i="23"/>
  <c r="J48" i="23"/>
  <c r="O48" i="23"/>
  <c r="F49" i="23"/>
  <c r="K49" i="23"/>
  <c r="G49" i="23"/>
  <c r="L49" i="23"/>
  <c r="J49" i="23"/>
  <c r="O49" i="23"/>
  <c r="F50" i="23"/>
  <c r="K50" i="23"/>
  <c r="G50" i="23"/>
  <c r="L50" i="23"/>
  <c r="J50" i="23"/>
  <c r="O50" i="23"/>
  <c r="F51" i="23"/>
  <c r="K51" i="23"/>
  <c r="G51" i="23"/>
  <c r="L51" i="23"/>
  <c r="J51" i="23"/>
  <c r="O51" i="23"/>
  <c r="F52" i="23"/>
  <c r="K52" i="23"/>
  <c r="G52" i="23"/>
  <c r="L52" i="23"/>
  <c r="J52" i="23"/>
  <c r="O52" i="23"/>
  <c r="F53" i="23"/>
  <c r="K53" i="23"/>
  <c r="G53" i="23"/>
  <c r="L53" i="23"/>
  <c r="J53" i="23"/>
  <c r="O53" i="23"/>
  <c r="F54" i="23"/>
  <c r="K54" i="23"/>
  <c r="G54" i="23"/>
  <c r="L54" i="23"/>
  <c r="J54" i="23"/>
  <c r="O54" i="23"/>
  <c r="F55" i="23"/>
  <c r="K55" i="23"/>
  <c r="G55" i="23"/>
  <c r="L55" i="23"/>
  <c r="J55" i="23"/>
  <c r="O55" i="23"/>
  <c r="F56" i="23"/>
  <c r="K56" i="23"/>
  <c r="G56" i="23"/>
  <c r="L56" i="23"/>
  <c r="J56" i="23"/>
  <c r="O56" i="23"/>
  <c r="F57" i="23"/>
  <c r="K57" i="23"/>
  <c r="G57" i="23"/>
  <c r="L57" i="23"/>
  <c r="J57" i="23"/>
  <c r="O57" i="23"/>
  <c r="F58" i="23"/>
  <c r="K58" i="23"/>
  <c r="G58" i="23"/>
  <c r="L58" i="23"/>
  <c r="J58" i="23"/>
  <c r="O58" i="23"/>
  <c r="F59" i="23"/>
  <c r="K59" i="23"/>
  <c r="G59" i="23"/>
  <c r="L59" i="23"/>
  <c r="J59" i="23"/>
  <c r="O59" i="23"/>
  <c r="F60" i="23"/>
  <c r="K60" i="23"/>
  <c r="G60" i="23"/>
  <c r="L60" i="23"/>
  <c r="J60" i="23"/>
  <c r="O60" i="23"/>
  <c r="F61" i="23"/>
  <c r="K61" i="23"/>
  <c r="G61" i="23"/>
  <c r="L61" i="23"/>
  <c r="J61" i="23"/>
  <c r="O61" i="23"/>
  <c r="F62" i="23"/>
  <c r="K62" i="23"/>
  <c r="G62" i="23"/>
  <c r="L62" i="23"/>
  <c r="J62" i="23"/>
  <c r="O62" i="23"/>
  <c r="I9" i="22"/>
  <c r="I318" i="22"/>
  <c r="I320" i="22"/>
  <c r="E19" i="4"/>
  <c r="F19" i="4"/>
  <c r="C70" i="16"/>
  <c r="D70" i="16"/>
  <c r="E67" i="17"/>
  <c r="F67" i="17"/>
  <c r="G67" i="17"/>
  <c r="H67" i="17"/>
  <c r="J67" i="17"/>
  <c r="K67" i="17"/>
  <c r="B70" i="16"/>
  <c r="C60" i="17"/>
  <c r="C63" i="17"/>
  <c r="D60" i="17"/>
  <c r="D63" i="17"/>
  <c r="E60" i="17"/>
  <c r="E63" i="17"/>
  <c r="F60" i="17"/>
  <c r="F63" i="17"/>
  <c r="G60" i="17"/>
  <c r="G63" i="17"/>
  <c r="H60" i="17"/>
  <c r="H63" i="17"/>
  <c r="I60" i="17"/>
  <c r="I63" i="17"/>
  <c r="J60" i="17"/>
  <c r="J63" i="17"/>
  <c r="K60" i="17"/>
  <c r="K63" i="17"/>
  <c r="B60" i="17"/>
  <c r="B63" i="17"/>
  <c r="B46" i="17"/>
  <c r="B51" i="16"/>
  <c r="L67" i="17"/>
  <c r="AJ68" i="17"/>
  <c r="AK68" i="17"/>
  <c r="AL68" i="17"/>
  <c r="AM68" i="17"/>
  <c r="AN68" i="17"/>
  <c r="AO68" i="17"/>
  <c r="AP68" i="17"/>
  <c r="AQ68" i="17"/>
  <c r="AR68" i="17"/>
  <c r="AS68" i="17"/>
  <c r="AI68" i="17"/>
  <c r="D34" i="3"/>
  <c r="C100" i="17"/>
  <c r="C101" i="17"/>
  <c r="D358" i="22"/>
  <c r="D100" i="17"/>
  <c r="D101" i="17"/>
  <c r="E358" i="22"/>
  <c r="E100" i="17"/>
  <c r="E101" i="17"/>
  <c r="F358" i="22"/>
  <c r="F100" i="17"/>
  <c r="F101" i="17"/>
  <c r="G358" i="22"/>
  <c r="G100" i="17"/>
  <c r="G101" i="17"/>
  <c r="H358" i="22"/>
  <c r="H100" i="17"/>
  <c r="H101" i="17"/>
  <c r="I358" i="22"/>
  <c r="I100" i="17"/>
  <c r="I101" i="17"/>
  <c r="J358" i="22"/>
  <c r="J100" i="17"/>
  <c r="J101" i="17"/>
  <c r="K358" i="22"/>
  <c r="K100" i="17"/>
  <c r="K101" i="17"/>
  <c r="L358" i="22"/>
  <c r="B14" i="16"/>
  <c r="K13" i="17"/>
  <c r="K14" i="17"/>
  <c r="F23" i="17"/>
  <c r="H23" i="17"/>
  <c r="I23" i="17"/>
  <c r="D24" i="10"/>
  <c r="F24" i="10"/>
  <c r="F20" i="4"/>
  <c r="F11" i="4"/>
  <c r="E20" i="4"/>
  <c r="E11" i="4"/>
  <c r="D65" i="4"/>
  <c r="L100" i="17"/>
  <c r="L101" i="17"/>
  <c r="M100" i="17"/>
  <c r="M101" i="17"/>
  <c r="Q17" i="22"/>
  <c r="Q24" i="22"/>
  <c r="Q30" i="22"/>
  <c r="Q10" i="22"/>
  <c r="H22" i="22"/>
  <c r="H23" i="22"/>
  <c r="I23" i="22"/>
  <c r="J23" i="22"/>
  <c r="K23" i="22"/>
  <c r="L23" i="22"/>
  <c r="P17" i="22"/>
  <c r="P24" i="22"/>
  <c r="P30" i="22"/>
  <c r="N24" i="22"/>
  <c r="N30" i="22"/>
  <c r="H9" i="22"/>
  <c r="H318" i="22"/>
  <c r="J9" i="22"/>
  <c r="J318" i="22"/>
  <c r="J320" i="22"/>
  <c r="K9" i="22"/>
  <c r="K318" i="22"/>
  <c r="K320" i="22"/>
  <c r="L9" i="22"/>
  <c r="L318" i="22"/>
  <c r="L320" i="22"/>
  <c r="H8" i="22"/>
  <c r="I8" i="22"/>
  <c r="J8" i="22"/>
  <c r="K8" i="22"/>
  <c r="L8" i="22"/>
  <c r="D17" i="10"/>
  <c r="D23" i="10"/>
  <c r="F23" i="10"/>
  <c r="F22" i="10"/>
  <c r="D23" i="22"/>
  <c r="E23" i="22"/>
  <c r="F23" i="22"/>
  <c r="G23" i="22"/>
  <c r="E54" i="4"/>
  <c r="D54" i="4"/>
  <c r="D9" i="22"/>
  <c r="D318" i="22"/>
  <c r="D320" i="22"/>
  <c r="E9" i="22"/>
  <c r="E318" i="22"/>
  <c r="E320" i="22"/>
  <c r="F9" i="22"/>
  <c r="F318" i="22"/>
  <c r="F320" i="22"/>
  <c r="G9" i="22"/>
  <c r="G318" i="22"/>
  <c r="G320" i="22"/>
  <c r="D8" i="22"/>
  <c r="E8" i="22"/>
  <c r="F8" i="22"/>
  <c r="G8" i="22"/>
  <c r="C8" i="22"/>
  <c r="E38" i="4"/>
  <c r="D38" i="4"/>
  <c r="F27" i="1"/>
  <c r="M6" i="19"/>
  <c r="N6" i="19"/>
  <c r="M8" i="19"/>
  <c r="N8" i="19"/>
  <c r="Q8" i="19"/>
  <c r="M9" i="19"/>
  <c r="N9" i="19"/>
  <c r="Q9" i="19"/>
  <c r="M7" i="19"/>
  <c r="N7" i="19"/>
  <c r="Q7" i="19"/>
  <c r="D22" i="22"/>
  <c r="C21" i="22"/>
  <c r="N21" i="22"/>
  <c r="J46" i="4"/>
  <c r="D18" i="10"/>
  <c r="F18" i="10"/>
  <c r="F25" i="10"/>
  <c r="E24" i="10"/>
  <c r="F28" i="4"/>
  <c r="D27" i="4"/>
  <c r="E27" i="4"/>
  <c r="D21" i="4"/>
  <c r="E21" i="4"/>
  <c r="F21" i="4"/>
  <c r="D6" i="4"/>
  <c r="E6" i="4"/>
  <c r="F6" i="4"/>
  <c r="G5" i="4"/>
  <c r="E22" i="10"/>
  <c r="E23" i="10"/>
  <c r="E61" i="4"/>
  <c r="D4" i="4"/>
  <c r="E4" i="4"/>
  <c r="G4" i="4"/>
  <c r="H4" i="4"/>
  <c r="I4" i="4"/>
  <c r="J4" i="4"/>
  <c r="K4" i="4"/>
  <c r="L4" i="4"/>
  <c r="M4" i="4"/>
  <c r="N4" i="4"/>
  <c r="O4" i="4"/>
  <c r="P4" i="4"/>
  <c r="Q4" i="4"/>
  <c r="R4" i="4"/>
  <c r="S4" i="4"/>
  <c r="T4" i="4"/>
  <c r="U4" i="4"/>
  <c r="V4" i="4"/>
  <c r="W4" i="4"/>
  <c r="X4" i="4"/>
  <c r="Y4" i="4"/>
  <c r="Z4" i="4"/>
  <c r="AA4" i="4"/>
  <c r="AB4" i="4"/>
  <c r="AC4" i="4"/>
  <c r="AD4" i="4"/>
  <c r="AE4" i="4"/>
  <c r="AF4" i="4"/>
  <c r="AB379" i="22"/>
  <c r="AB397" i="22"/>
  <c r="F4" i="4"/>
  <c r="C7" i="22"/>
  <c r="D7" i="22"/>
  <c r="E7" i="22"/>
  <c r="C15" i="22"/>
  <c r="L109" i="22"/>
  <c r="B75" i="17"/>
  <c r="F31" i="4"/>
  <c r="B77" i="17"/>
  <c r="B47" i="17"/>
  <c r="B50" i="17"/>
  <c r="C77" i="17"/>
  <c r="F53" i="1"/>
  <c r="B4" i="16"/>
  <c r="L19" i="17"/>
  <c r="E18" i="10"/>
  <c r="E17" i="10"/>
  <c r="D8" i="10"/>
  <c r="M22" i="1"/>
  <c r="M20" i="1"/>
  <c r="L107" i="1"/>
  <c r="J107" i="1"/>
  <c r="I107" i="1"/>
  <c r="G107" i="1"/>
  <c r="H51" i="10"/>
  <c r="F8" i="10"/>
  <c r="O4" i="19"/>
  <c r="E8" i="10"/>
  <c r="E10" i="10" a="1"/>
  <c r="E10" i="10"/>
  <c r="L60" i="17"/>
  <c r="M60" i="17"/>
  <c r="M63" i="17"/>
  <c r="M67" i="17"/>
  <c r="F47" i="17"/>
  <c r="H47" i="17"/>
  <c r="I47" i="17"/>
  <c r="L47" i="17"/>
  <c r="L50" i="17"/>
  <c r="L55" i="16"/>
  <c r="M47" i="17"/>
  <c r="E47" i="17"/>
  <c r="L32" i="17"/>
  <c r="M32" i="17"/>
  <c r="F21" i="1"/>
  <c r="F22" i="1"/>
  <c r="C56" i="17"/>
  <c r="S4" i="19"/>
  <c r="R4" i="19"/>
  <c r="D77" i="17"/>
  <c r="F52" i="1"/>
  <c r="E77" i="17"/>
  <c r="F51" i="1"/>
  <c r="F77" i="17"/>
  <c r="F50" i="1"/>
  <c r="G77" i="17"/>
  <c r="F49" i="1"/>
  <c r="H77" i="17"/>
  <c r="F48" i="1"/>
  <c r="I77" i="17"/>
  <c r="F47" i="1"/>
  <c r="J77" i="17"/>
  <c r="F46" i="1"/>
  <c r="K77" i="17"/>
  <c r="F45" i="1"/>
  <c r="L77" i="17"/>
  <c r="M77" i="17"/>
  <c r="R9" i="19"/>
  <c r="R8" i="19"/>
  <c r="R7" i="19"/>
  <c r="R6" i="19"/>
  <c r="L23" i="17"/>
  <c r="L22" i="17"/>
  <c r="L18" i="16"/>
  <c r="M23" i="17"/>
  <c r="L75" i="17"/>
  <c r="M75" i="17"/>
  <c r="F26" i="1"/>
  <c r="F20" i="1"/>
  <c r="I75" i="17"/>
  <c r="J75" i="17"/>
  <c r="E75" i="17"/>
  <c r="S6" i="19"/>
  <c r="S7" i="19"/>
  <c r="S8" i="19"/>
  <c r="S9" i="19"/>
  <c r="F13" i="10"/>
  <c r="D14" i="10"/>
  <c r="F14" i="10"/>
  <c r="D16" i="10"/>
  <c r="F16" i="10"/>
  <c r="F17" i="10"/>
  <c r="E20" i="10"/>
  <c r="F20" i="10"/>
  <c r="D27" i="10"/>
  <c r="F27" i="10"/>
  <c r="D28" i="10"/>
  <c r="E28" i="10"/>
  <c r="F28" i="10"/>
  <c r="D32" i="10"/>
  <c r="E32" i="10"/>
  <c r="F32" i="10"/>
  <c r="D33" i="10"/>
  <c r="E33" i="10"/>
  <c r="F33" i="10"/>
  <c r="F34" i="10"/>
  <c r="H9" i="10"/>
  <c r="H41" i="10"/>
  <c r="C72" i="10"/>
  <c r="B10" i="3"/>
  <c r="I8" i="3"/>
  <c r="K12" i="3"/>
  <c r="L12" i="3"/>
  <c r="M12" i="3"/>
  <c r="N12" i="3"/>
  <c r="O12" i="3"/>
  <c r="P12" i="3"/>
  <c r="K4" i="3"/>
  <c r="L4" i="3"/>
  <c r="M4" i="3"/>
  <c r="N4" i="3"/>
  <c r="O4" i="3"/>
  <c r="P4" i="3"/>
  <c r="D12" i="3"/>
  <c r="E12" i="3"/>
  <c r="F12" i="3"/>
  <c r="G12" i="3"/>
  <c r="H12" i="3"/>
  <c r="I12" i="3"/>
  <c r="D4" i="3"/>
  <c r="E4" i="3"/>
  <c r="F4" i="3"/>
  <c r="G4" i="3"/>
  <c r="H4" i="3"/>
  <c r="I4" i="3"/>
  <c r="M74" i="16"/>
  <c r="L74" i="16"/>
  <c r="K74" i="16"/>
  <c r="J74" i="16"/>
  <c r="I74" i="16"/>
  <c r="H74" i="16"/>
  <c r="G74" i="16"/>
  <c r="F74" i="16"/>
  <c r="E74" i="16"/>
  <c r="D74" i="16"/>
  <c r="C74" i="16"/>
  <c r="B74" i="16"/>
  <c r="M73" i="16"/>
  <c r="L73" i="16"/>
  <c r="K73" i="16"/>
  <c r="J73" i="16"/>
  <c r="I73" i="16"/>
  <c r="H73" i="16"/>
  <c r="G73" i="16"/>
  <c r="F73" i="16"/>
  <c r="E73" i="16"/>
  <c r="D73" i="16"/>
  <c r="B73" i="16"/>
  <c r="M72" i="16"/>
  <c r="L72" i="16"/>
  <c r="K72" i="16"/>
  <c r="J72" i="16"/>
  <c r="I72" i="16"/>
  <c r="H72" i="16"/>
  <c r="G72" i="16"/>
  <c r="F72" i="16"/>
  <c r="E72" i="16"/>
  <c r="D72" i="16"/>
  <c r="C72" i="16"/>
  <c r="B72" i="16"/>
  <c r="M70" i="16"/>
  <c r="M69" i="16"/>
  <c r="L69" i="16"/>
  <c r="K69" i="16"/>
  <c r="J69" i="16"/>
  <c r="I69" i="16"/>
  <c r="H69" i="16"/>
  <c r="G69" i="16"/>
  <c r="F69" i="16"/>
  <c r="E69" i="16"/>
  <c r="D69" i="16"/>
  <c r="C69" i="16"/>
  <c r="B69" i="16"/>
  <c r="B23" i="16"/>
  <c r="C66" i="10"/>
  <c r="M62" i="16"/>
  <c r="L62" i="16"/>
  <c r="K62" i="16"/>
  <c r="J62" i="16"/>
  <c r="I62" i="16"/>
  <c r="H62" i="16"/>
  <c r="G62" i="16"/>
  <c r="F62" i="16"/>
  <c r="E62" i="16"/>
  <c r="D62" i="16"/>
  <c r="C62" i="16"/>
  <c r="B62" i="16"/>
  <c r="M84" i="16"/>
  <c r="L84" i="16"/>
  <c r="K84" i="16"/>
  <c r="J84" i="16"/>
  <c r="I84" i="16"/>
  <c r="H84" i="16"/>
  <c r="G84" i="16"/>
  <c r="F84" i="16"/>
  <c r="E84" i="16"/>
  <c r="D84" i="16"/>
  <c r="C84" i="16"/>
  <c r="M83" i="16"/>
  <c r="L83" i="16"/>
  <c r="K83" i="16"/>
  <c r="J83" i="16"/>
  <c r="I83" i="16"/>
  <c r="H83" i="16"/>
  <c r="G83" i="16"/>
  <c r="F83" i="16"/>
  <c r="E83" i="16"/>
  <c r="D83" i="16"/>
  <c r="C83" i="16"/>
  <c r="B83" i="16"/>
  <c r="M82" i="16"/>
  <c r="L82" i="16"/>
  <c r="K82" i="16"/>
  <c r="J82" i="16"/>
  <c r="I82" i="16"/>
  <c r="H82" i="16"/>
  <c r="G82" i="16"/>
  <c r="F82" i="16"/>
  <c r="E82" i="16"/>
  <c r="D82" i="16"/>
  <c r="C82" i="16"/>
  <c r="M81" i="16"/>
  <c r="L81" i="16"/>
  <c r="K81" i="16"/>
  <c r="J81" i="16"/>
  <c r="I81" i="16"/>
  <c r="H81" i="16"/>
  <c r="G81" i="16"/>
  <c r="F81" i="16"/>
  <c r="E81" i="16"/>
  <c r="D81" i="16"/>
  <c r="C81" i="16"/>
  <c r="M80" i="16"/>
  <c r="L80" i="16"/>
  <c r="K80" i="16"/>
  <c r="J80" i="16"/>
  <c r="I80" i="16"/>
  <c r="H80" i="16"/>
  <c r="G80" i="16"/>
  <c r="F80" i="16"/>
  <c r="E80" i="16"/>
  <c r="D80" i="16"/>
  <c r="C80" i="16"/>
  <c r="M79" i="16"/>
  <c r="L79" i="16"/>
  <c r="K79" i="16"/>
  <c r="J79" i="16"/>
  <c r="I79" i="16"/>
  <c r="H79" i="16"/>
  <c r="G79" i="16"/>
  <c r="F79" i="16"/>
  <c r="E79" i="16"/>
  <c r="D79" i="16"/>
  <c r="C79" i="16"/>
  <c r="B79" i="16"/>
  <c r="M78" i="16"/>
  <c r="L78" i="16"/>
  <c r="K78" i="16"/>
  <c r="J78" i="16"/>
  <c r="I78" i="16"/>
  <c r="H78" i="16"/>
  <c r="G78" i="16"/>
  <c r="F78" i="16"/>
  <c r="E78" i="16"/>
  <c r="D78" i="16"/>
  <c r="C78" i="16"/>
  <c r="B78" i="16"/>
  <c r="M52" i="16"/>
  <c r="L52" i="16"/>
  <c r="I52" i="16"/>
  <c r="H52" i="16"/>
  <c r="F52" i="16"/>
  <c r="E52" i="16"/>
  <c r="B52" i="16"/>
  <c r="C48" i="16"/>
  <c r="D48" i="16"/>
  <c r="E48" i="16"/>
  <c r="F48" i="16"/>
  <c r="G48" i="16"/>
  <c r="H48" i="16"/>
  <c r="I48" i="16"/>
  <c r="J48" i="16"/>
  <c r="K48" i="16"/>
  <c r="L48" i="16"/>
  <c r="M48" i="16"/>
  <c r="B48" i="16"/>
  <c r="M54" i="16"/>
  <c r="L54" i="16"/>
  <c r="K54" i="16"/>
  <c r="J54" i="16"/>
  <c r="I54" i="16"/>
  <c r="H54" i="16"/>
  <c r="G54" i="16"/>
  <c r="F54" i="16"/>
  <c r="E54" i="16"/>
  <c r="D54" i="16"/>
  <c r="C54" i="16"/>
  <c r="B54" i="16"/>
  <c r="M53" i="16"/>
  <c r="L53" i="16"/>
  <c r="K53" i="16"/>
  <c r="J53" i="16"/>
  <c r="I53" i="16"/>
  <c r="H53" i="16"/>
  <c r="G53" i="16"/>
  <c r="F53" i="16"/>
  <c r="E53" i="16"/>
  <c r="D53" i="16"/>
  <c r="C53" i="16"/>
  <c r="B53" i="16"/>
  <c r="M50" i="16"/>
  <c r="L50" i="16"/>
  <c r="K50" i="16"/>
  <c r="J50" i="16"/>
  <c r="I50" i="16"/>
  <c r="H50" i="16"/>
  <c r="G50" i="16"/>
  <c r="F50" i="16"/>
  <c r="E50" i="16"/>
  <c r="D50" i="16"/>
  <c r="C50" i="16"/>
  <c r="B50" i="16"/>
  <c r="M49" i="16"/>
  <c r="L49" i="16"/>
  <c r="K49" i="16"/>
  <c r="J49" i="16"/>
  <c r="I49" i="16"/>
  <c r="H49" i="16"/>
  <c r="G49" i="16"/>
  <c r="F49" i="16"/>
  <c r="E49" i="16"/>
  <c r="D49" i="16"/>
  <c r="C49" i="16"/>
  <c r="B49" i="16"/>
  <c r="B44" i="16"/>
  <c r="C74" i="10"/>
  <c r="M42" i="16"/>
  <c r="L42" i="16"/>
  <c r="K42" i="16"/>
  <c r="I42" i="16"/>
  <c r="H42" i="16"/>
  <c r="G42" i="16"/>
  <c r="F42" i="16"/>
  <c r="C42" i="16"/>
  <c r="B42" i="16"/>
  <c r="M41" i="16"/>
  <c r="L41" i="16"/>
  <c r="K41" i="16"/>
  <c r="J41" i="16"/>
  <c r="I41" i="16"/>
  <c r="H41" i="16"/>
  <c r="G41" i="16"/>
  <c r="F41" i="16"/>
  <c r="E41" i="16"/>
  <c r="D41" i="16"/>
  <c r="C41" i="16"/>
  <c r="B41" i="16"/>
  <c r="C71" i="10"/>
  <c r="M40" i="16"/>
  <c r="L40" i="16"/>
  <c r="K40" i="16"/>
  <c r="J40" i="16"/>
  <c r="I40" i="16"/>
  <c r="H40" i="16"/>
  <c r="G40" i="16"/>
  <c r="F40" i="16"/>
  <c r="E40" i="16"/>
  <c r="D40" i="16"/>
  <c r="C40" i="16"/>
  <c r="B40" i="16"/>
  <c r="C70" i="10"/>
  <c r="M39" i="16"/>
  <c r="M26" i="16"/>
  <c r="L39" i="16"/>
  <c r="K39" i="16"/>
  <c r="J39" i="16"/>
  <c r="I39" i="16"/>
  <c r="H39" i="16"/>
  <c r="G39" i="16"/>
  <c r="F39" i="16"/>
  <c r="E39" i="16"/>
  <c r="D39" i="16"/>
  <c r="C39" i="16"/>
  <c r="B39" i="16"/>
  <c r="M33" i="16"/>
  <c r="L33" i="16"/>
  <c r="K33" i="16"/>
  <c r="J33" i="16"/>
  <c r="I33" i="16"/>
  <c r="H33" i="16"/>
  <c r="G33" i="16"/>
  <c r="F33" i="16"/>
  <c r="D33" i="16"/>
  <c r="C33" i="16"/>
  <c r="B33" i="16"/>
  <c r="F24" i="4"/>
  <c r="M32" i="16"/>
  <c r="L32" i="16"/>
  <c r="K32" i="16"/>
  <c r="J32" i="16"/>
  <c r="I32" i="16"/>
  <c r="H32" i="16"/>
  <c r="G32" i="16"/>
  <c r="F32" i="16"/>
  <c r="E32" i="16"/>
  <c r="D32" i="16"/>
  <c r="D23" i="4"/>
  <c r="C32" i="16"/>
  <c r="B32" i="16"/>
  <c r="M28" i="16"/>
  <c r="L28" i="16"/>
  <c r="K28" i="16"/>
  <c r="J28" i="16"/>
  <c r="I28" i="16"/>
  <c r="H28" i="16"/>
  <c r="G28" i="16"/>
  <c r="F28" i="16"/>
  <c r="E28" i="16"/>
  <c r="D28" i="16"/>
  <c r="D29" i="4"/>
  <c r="C28" i="16"/>
  <c r="E29" i="4"/>
  <c r="B28" i="16"/>
  <c r="F29" i="4"/>
  <c r="M27" i="16"/>
  <c r="L27" i="16"/>
  <c r="K27" i="16"/>
  <c r="J27" i="16"/>
  <c r="I27" i="16"/>
  <c r="H27" i="16"/>
  <c r="G27" i="16"/>
  <c r="F27" i="16"/>
  <c r="E27" i="16"/>
  <c r="D27" i="16"/>
  <c r="C27" i="16"/>
  <c r="E30" i="4"/>
  <c r="B27" i="16"/>
  <c r="M23" i="16"/>
  <c r="L23" i="16"/>
  <c r="K23" i="16"/>
  <c r="J23" i="16"/>
  <c r="I23" i="16"/>
  <c r="H23" i="16"/>
  <c r="G23" i="16"/>
  <c r="F23" i="16"/>
  <c r="E23" i="16"/>
  <c r="D23" i="16"/>
  <c r="D17" i="4"/>
  <c r="C23" i="16"/>
  <c r="E17" i="4"/>
  <c r="M21" i="16"/>
  <c r="L21" i="16"/>
  <c r="K21" i="16"/>
  <c r="J21" i="16"/>
  <c r="I21" i="16"/>
  <c r="H21" i="16"/>
  <c r="G21" i="16"/>
  <c r="F21" i="16"/>
  <c r="E21" i="16"/>
  <c r="D21" i="16"/>
  <c r="D16" i="4"/>
  <c r="C21" i="16"/>
  <c r="E16" i="4"/>
  <c r="B21" i="16"/>
  <c r="F16" i="4"/>
  <c r="M17" i="16"/>
  <c r="L17" i="16"/>
  <c r="K17" i="16"/>
  <c r="J17" i="16"/>
  <c r="I17" i="16"/>
  <c r="H17" i="16"/>
  <c r="G17" i="16"/>
  <c r="F17" i="16"/>
  <c r="E17" i="16"/>
  <c r="D17" i="16"/>
  <c r="C17" i="16"/>
  <c r="M15" i="16"/>
  <c r="L15" i="16"/>
  <c r="K15" i="16"/>
  <c r="J15" i="16"/>
  <c r="I15" i="16"/>
  <c r="H15" i="16"/>
  <c r="G15" i="16"/>
  <c r="F15" i="16"/>
  <c r="E15" i="16"/>
  <c r="D15" i="16"/>
  <c r="D14" i="4"/>
  <c r="C15" i="16"/>
  <c r="E14" i="4"/>
  <c r="B15" i="16"/>
  <c r="M14" i="16"/>
  <c r="L14" i="16"/>
  <c r="K14" i="16"/>
  <c r="J14" i="16"/>
  <c r="I14" i="16"/>
  <c r="H14" i="16"/>
  <c r="E14" i="16"/>
  <c r="D14" i="16"/>
  <c r="D13" i="4"/>
  <c r="C14" i="16"/>
  <c r="E13" i="4"/>
  <c r="C11" i="16"/>
  <c r="D11" i="16"/>
  <c r="E11" i="16"/>
  <c r="F11" i="16"/>
  <c r="G11" i="16"/>
  <c r="H11" i="16"/>
  <c r="I11" i="16"/>
  <c r="J11" i="16"/>
  <c r="K11" i="16"/>
  <c r="L11" i="16"/>
  <c r="M11" i="16"/>
  <c r="B11" i="16"/>
  <c r="C7" i="16"/>
  <c r="D7" i="16"/>
  <c r="E7" i="16"/>
  <c r="F7" i="16"/>
  <c r="G7" i="16"/>
  <c r="H7" i="16"/>
  <c r="I7" i="16"/>
  <c r="J7" i="16"/>
  <c r="K7" i="16"/>
  <c r="L7" i="16"/>
  <c r="M7" i="16"/>
  <c r="B7" i="16"/>
  <c r="M5" i="16"/>
  <c r="M6" i="16"/>
  <c r="L5" i="16"/>
  <c r="K5" i="16"/>
  <c r="C116" i="22"/>
  <c r="J5" i="16"/>
  <c r="D112" i="22"/>
  <c r="I5" i="16"/>
  <c r="J18" i="22"/>
  <c r="H5" i="16"/>
  <c r="P147" i="22" s="1"/>
  <c r="G5" i="16"/>
  <c r="T147" i="22" s="1"/>
  <c r="F5" i="16"/>
  <c r="H116" i="22"/>
  <c r="E5" i="16"/>
  <c r="C58" i="10"/>
  <c r="D5" i="16"/>
  <c r="J116" i="22"/>
  <c r="C5" i="16"/>
  <c r="K120" i="22"/>
  <c r="M13" i="17"/>
  <c r="M14" i="17"/>
  <c r="L13" i="17"/>
  <c r="L14" i="17"/>
  <c r="J13" i="17"/>
  <c r="J14" i="17"/>
  <c r="I13" i="17"/>
  <c r="I14" i="17"/>
  <c r="H13" i="17"/>
  <c r="H14" i="17"/>
  <c r="D68" i="16"/>
  <c r="E68" i="16"/>
  <c r="F68" i="16"/>
  <c r="G68" i="16"/>
  <c r="H68" i="16"/>
  <c r="I68" i="16"/>
  <c r="K68" i="16"/>
  <c r="M71" i="16"/>
  <c r="L71" i="16"/>
  <c r="K71" i="16"/>
  <c r="J71" i="16"/>
  <c r="I71" i="16"/>
  <c r="H71" i="16"/>
  <c r="G71" i="16"/>
  <c r="F71" i="16"/>
  <c r="E71" i="16"/>
  <c r="D71" i="16"/>
  <c r="C71" i="16"/>
  <c r="B71" i="16"/>
  <c r="B67" i="16"/>
  <c r="M75" i="16"/>
  <c r="L75" i="16"/>
  <c r="K75" i="16"/>
  <c r="J75" i="16"/>
  <c r="I75" i="16"/>
  <c r="H75" i="16"/>
  <c r="G75" i="16"/>
  <c r="F75" i="16"/>
  <c r="E75" i="16"/>
  <c r="D75" i="16"/>
  <c r="C75" i="16"/>
  <c r="M67" i="16"/>
  <c r="J67" i="16"/>
  <c r="I67" i="16"/>
  <c r="H67" i="16"/>
  <c r="G67" i="16"/>
  <c r="F67" i="16"/>
  <c r="E67" i="16"/>
  <c r="D67" i="16"/>
  <c r="C67" i="16"/>
  <c r="M31" i="17"/>
  <c r="C44" i="16"/>
  <c r="B56" i="16"/>
  <c r="E50" i="17"/>
  <c r="E55" i="16"/>
  <c r="F50" i="17"/>
  <c r="F55" i="16"/>
  <c r="H50" i="17"/>
  <c r="H55" i="16"/>
  <c r="I50" i="17"/>
  <c r="I55" i="16"/>
  <c r="M50" i="17"/>
  <c r="M55" i="16"/>
  <c r="D46" i="17"/>
  <c r="D51" i="16"/>
  <c r="E46" i="17"/>
  <c r="E51" i="16"/>
  <c r="F46" i="17"/>
  <c r="F51" i="16"/>
  <c r="H46" i="17"/>
  <c r="H51" i="16"/>
  <c r="J46" i="17"/>
  <c r="J51" i="16"/>
  <c r="K46" i="17"/>
  <c r="K51" i="16"/>
  <c r="L46" i="17"/>
  <c r="L51" i="16"/>
  <c r="M46" i="17"/>
  <c r="M51" i="16"/>
  <c r="AB38" i="17"/>
  <c r="AB39" i="17"/>
  <c r="E13" i="17"/>
  <c r="E14" i="17"/>
  <c r="D13" i="17"/>
  <c r="D14" i="17"/>
  <c r="B2" i="3"/>
  <c r="C5" i="17"/>
  <c r="D5" i="17"/>
  <c r="L45" i="1"/>
  <c r="M45" i="1"/>
  <c r="B53" i="1"/>
  <c r="B52" i="1"/>
  <c r="B51" i="1"/>
  <c r="B50" i="1"/>
  <c r="B49" i="1"/>
  <c r="B48" i="1"/>
  <c r="B47" i="1"/>
  <c r="B46" i="1"/>
  <c r="B45" i="1"/>
  <c r="H29" i="10"/>
  <c r="C12" i="19"/>
  <c r="H12" i="10"/>
  <c r="M22" i="17"/>
  <c r="M18" i="16"/>
  <c r="AD53" i="17"/>
  <c r="AC53" i="17"/>
  <c r="AD52" i="17"/>
  <c r="AC52" i="17"/>
  <c r="AG49" i="17"/>
  <c r="AG52" i="17"/>
  <c r="AF49" i="17"/>
  <c r="AE49" i="17"/>
  <c r="AB49" i="17"/>
  <c r="AB53" i="17"/>
  <c r="AA49" i="17"/>
  <c r="AA52" i="17"/>
  <c r="Z49" i="17"/>
  <c r="Z53" i="17"/>
  <c r="F56" i="17"/>
  <c r="F64" i="16"/>
  <c r="AD48" i="17"/>
  <c r="AC48" i="17"/>
  <c r="AB48" i="17"/>
  <c r="AA48" i="17"/>
  <c r="Z48" i="17"/>
  <c r="AG44" i="17"/>
  <c r="AG48" i="17"/>
  <c r="AF44" i="17"/>
  <c r="AF48" i="17"/>
  <c r="AE44" i="17"/>
  <c r="AE48" i="17"/>
  <c r="AG39" i="17"/>
  <c r="AF39" i="17"/>
  <c r="AE39" i="17"/>
  <c r="AD39" i="17"/>
  <c r="AC39" i="17"/>
  <c r="AA39" i="17"/>
  <c r="Z39" i="17"/>
  <c r="O74" i="17"/>
  <c r="AE12" i="17"/>
  <c r="AG11" i="17"/>
  <c r="AF11" i="17"/>
  <c r="AE11" i="17"/>
  <c r="AD11" i="17"/>
  <c r="AG9" i="17"/>
  <c r="AF9" i="17"/>
  <c r="AD9" i="17"/>
  <c r="AC9" i="17"/>
  <c r="AB9" i="17"/>
  <c r="AA9" i="17"/>
  <c r="Z9" i="17"/>
  <c r="AG10" i="17"/>
  <c r="AF10" i="17"/>
  <c r="AE10" i="17"/>
  <c r="AD10" i="17"/>
  <c r="AC10" i="17"/>
  <c r="AB10" i="17"/>
  <c r="AA10" i="17"/>
  <c r="Z10" i="17"/>
  <c r="AG7" i="17"/>
  <c r="AG8" i="17"/>
  <c r="AF7" i="17"/>
  <c r="AF8" i="17"/>
  <c r="AE7" i="17"/>
  <c r="AE8" i="17"/>
  <c r="AD7" i="17"/>
  <c r="AD8" i="17"/>
  <c r="AC7" i="17"/>
  <c r="AC8" i="17"/>
  <c r="AB7" i="17"/>
  <c r="AB8" i="17"/>
  <c r="AA7" i="17"/>
  <c r="AA8" i="17"/>
  <c r="Z7" i="17"/>
  <c r="Z8" i="17"/>
  <c r="O7" i="17"/>
  <c r="A1" i="16"/>
  <c r="D56" i="16"/>
  <c r="G56" i="16"/>
  <c r="J56" i="16"/>
  <c r="E56" i="16"/>
  <c r="B80" i="16"/>
  <c r="B64" i="16"/>
  <c r="H56" i="16"/>
  <c r="B82" i="16"/>
  <c r="B81" i="16"/>
  <c r="L56" i="16"/>
  <c r="M56" i="16"/>
  <c r="F56" i="16"/>
  <c r="I56" i="16"/>
  <c r="C4" i="16"/>
  <c r="D4" i="16"/>
  <c r="H19" i="10"/>
  <c r="B91" i="16"/>
  <c r="H35" i="10"/>
  <c r="K56" i="17"/>
  <c r="K64" i="16"/>
  <c r="M44" i="16"/>
  <c r="M36" i="17"/>
  <c r="I44" i="16"/>
  <c r="E44" i="16"/>
  <c r="L36" i="17"/>
  <c r="I56" i="17"/>
  <c r="I64" i="16"/>
  <c r="L44" i="16"/>
  <c r="H56" i="17"/>
  <c r="H64" i="16"/>
  <c r="J44" i="16"/>
  <c r="M56" i="17"/>
  <c r="M64" i="16"/>
  <c r="G56" i="17"/>
  <c r="G64" i="16"/>
  <c r="K44" i="16"/>
  <c r="F44" i="16"/>
  <c r="G44" i="16"/>
  <c r="H44" i="16"/>
  <c r="J56" i="17"/>
  <c r="J64" i="16"/>
  <c r="E56" i="17"/>
  <c r="E64" i="16"/>
  <c r="D56" i="17"/>
  <c r="D64" i="16"/>
  <c r="C64" i="16"/>
  <c r="C56" i="16"/>
  <c r="D47" i="17"/>
  <c r="D50" i="17"/>
  <c r="D55" i="16"/>
  <c r="D44" i="16"/>
  <c r="B68" i="16"/>
  <c r="B75" i="16"/>
  <c r="C68" i="16"/>
  <c r="D67" i="17"/>
  <c r="D25" i="4"/>
  <c r="L56" i="17"/>
  <c r="L64" i="16"/>
  <c r="K56" i="16"/>
  <c r="L63" i="17"/>
  <c r="K67" i="16"/>
  <c r="L67" i="16"/>
  <c r="J68" i="16"/>
  <c r="L68" i="16"/>
  <c r="M68" i="16"/>
  <c r="BD138" i="22"/>
  <c r="BC139" i="22"/>
  <c r="AZ146" i="22"/>
  <c r="K22" i="22"/>
  <c r="G22" i="22"/>
  <c r="K23" i="17"/>
  <c r="C23" i="17"/>
  <c r="H75" i="17"/>
  <c r="J394" i="22"/>
  <c r="J393" i="22"/>
  <c r="I394" i="22"/>
  <c r="I393" i="22"/>
  <c r="C368" i="22"/>
  <c r="O368" i="22"/>
  <c r="G47" i="17"/>
  <c r="G23" i="17"/>
  <c r="H394" i="22"/>
  <c r="H393" i="22"/>
  <c r="C315" i="22"/>
  <c r="C365" i="22" a="1"/>
  <c r="E372" i="22"/>
  <c r="E28" i="4"/>
  <c r="E32" i="4"/>
  <c r="E32" i="17"/>
  <c r="E36" i="17"/>
  <c r="E37" i="17"/>
  <c r="E43" i="16"/>
  <c r="G394" i="22"/>
  <c r="G393" i="22"/>
  <c r="L112" i="22"/>
  <c r="C316" i="22"/>
  <c r="C364" i="22" a="1"/>
  <c r="F371" i="22"/>
  <c r="C76" i="10"/>
  <c r="C47" i="17"/>
  <c r="E23" i="17"/>
  <c r="B32" i="17"/>
  <c r="B36" i="17"/>
  <c r="C46" i="17"/>
  <c r="C51" i="16"/>
  <c r="I36" i="17"/>
  <c r="D32" i="17"/>
  <c r="D36" i="17"/>
  <c r="D37" i="17"/>
  <c r="D43" i="16"/>
  <c r="F394" i="22"/>
  <c r="F393" i="22"/>
  <c r="M37" i="17"/>
  <c r="M43" i="16"/>
  <c r="D23" i="17"/>
  <c r="B31" i="17"/>
  <c r="J31" i="17"/>
  <c r="D40" i="4"/>
  <c r="E394" i="22"/>
  <c r="E393" i="22"/>
  <c r="K47" i="17"/>
  <c r="F22" i="22"/>
  <c r="J22" i="22"/>
  <c r="L22" i="22"/>
  <c r="L394" i="22"/>
  <c r="E40" i="4"/>
  <c r="D394" i="22"/>
  <c r="D393" i="22"/>
  <c r="C393" i="22"/>
  <c r="O392" i="22"/>
  <c r="N392" i="22"/>
  <c r="M392" i="22"/>
  <c r="J47" i="17"/>
  <c r="E22" i="22"/>
  <c r="N22" i="22"/>
  <c r="I22" i="22"/>
  <c r="K394" i="22"/>
  <c r="AB396" i="22"/>
  <c r="C63" i="10"/>
  <c r="C19" i="22"/>
  <c r="B26" i="16"/>
  <c r="B29" i="16"/>
  <c r="G21" i="4"/>
  <c r="G11" i="4"/>
  <c r="G20" i="4"/>
  <c r="B35" i="16"/>
  <c r="B36" i="16"/>
  <c r="C369" i="22"/>
  <c r="H320" i="22"/>
  <c r="C320" i="22"/>
  <c r="F13" i="4"/>
  <c r="K30" i="1"/>
  <c r="G36" i="17"/>
  <c r="I315" i="22"/>
  <c r="H315" i="22"/>
  <c r="I31" i="17"/>
  <c r="I37" i="17"/>
  <c r="I43" i="16"/>
  <c r="G315" i="22"/>
  <c r="N319" i="22"/>
  <c r="G31" i="17"/>
  <c r="F315" i="22"/>
  <c r="G27" i="4"/>
  <c r="D28" i="4"/>
  <c r="N4" i="23"/>
  <c r="E315" i="22"/>
  <c r="J36" i="17"/>
  <c r="J37" i="17"/>
  <c r="J43" i="16"/>
  <c r="D315" i="22"/>
  <c r="F32" i="17"/>
  <c r="F36" i="17"/>
  <c r="F37" i="17"/>
  <c r="F43" i="16"/>
  <c r="N101" i="23"/>
  <c r="N93" i="23"/>
  <c r="N85" i="23"/>
  <c r="N77" i="23"/>
  <c r="N69" i="23"/>
  <c r="N61" i="23"/>
  <c r="N53" i="23"/>
  <c r="N45" i="23"/>
  <c r="N37" i="23"/>
  <c r="N29" i="23"/>
  <c r="N21" i="23"/>
  <c r="N13" i="23"/>
  <c r="K315" i="22"/>
  <c r="L315" i="22"/>
  <c r="J315" i="22"/>
  <c r="B37" i="17"/>
  <c r="B43" i="16"/>
  <c r="E24" i="1"/>
  <c r="B58" i="16"/>
  <c r="C20" i="22"/>
  <c r="G24" i="4"/>
  <c r="K116" i="22"/>
  <c r="K115" i="22"/>
  <c r="E5" i="4"/>
  <c r="H112" i="22"/>
  <c r="G316" i="22"/>
  <c r="H120" i="22"/>
  <c r="I112" i="22"/>
  <c r="I120" i="22"/>
  <c r="O367" i="22"/>
  <c r="F23" i="4"/>
  <c r="C25" i="22"/>
  <c r="C73" i="10"/>
  <c r="J112" i="22"/>
  <c r="E316" i="22"/>
  <c r="J120" i="22"/>
  <c r="K119" i="22"/>
  <c r="K112" i="22"/>
  <c r="K127" i="22"/>
  <c r="I116" i="22"/>
  <c r="J115" i="22"/>
  <c r="G39" i="4"/>
  <c r="Q45" i="4"/>
  <c r="AF47" i="4"/>
  <c r="T46" i="4"/>
  <c r="AD47" i="4"/>
  <c r="F47" i="4"/>
  <c r="N45" i="4"/>
  <c r="X47" i="4"/>
  <c r="F45" i="4"/>
  <c r="I46" i="4"/>
  <c r="N46" i="4"/>
  <c r="U47" i="4"/>
  <c r="AE46" i="4"/>
  <c r="H47" i="4"/>
  <c r="J47" i="4"/>
  <c r="AE45" i="4"/>
  <c r="K47" i="4"/>
  <c r="F46" i="4"/>
  <c r="Z47" i="4"/>
  <c r="L47" i="4"/>
  <c r="V47" i="4"/>
  <c r="N47" i="4"/>
  <c r="Q47" i="4"/>
  <c r="S46" i="4"/>
  <c r="Z45" i="4"/>
  <c r="AC45" i="4"/>
  <c r="S45" i="4"/>
  <c r="AE47" i="4"/>
  <c r="AD45" i="4"/>
  <c r="AC46" i="4"/>
  <c r="AB47" i="4"/>
  <c r="AD46" i="4"/>
  <c r="L46" i="4"/>
  <c r="Z46" i="4"/>
  <c r="H45" i="4"/>
  <c r="G46" i="4"/>
  <c r="G45" i="4"/>
  <c r="I47" i="4"/>
  <c r="O46" i="4"/>
  <c r="R45" i="4"/>
  <c r="U45" i="4"/>
  <c r="O45" i="4"/>
  <c r="AA47" i="4"/>
  <c r="T45" i="4"/>
  <c r="V45" i="4"/>
  <c r="P45" i="4"/>
  <c r="H46" i="4"/>
  <c r="L45" i="4"/>
  <c r="Y47" i="4"/>
  <c r="AC47" i="4"/>
  <c r="R47" i="4"/>
  <c r="M47" i="4"/>
  <c r="Y45" i="4"/>
  <c r="X45" i="4"/>
  <c r="K46" i="4"/>
  <c r="J45" i="4"/>
  <c r="X46" i="4"/>
  <c r="K45" i="4"/>
  <c r="W47" i="4"/>
  <c r="P46" i="4"/>
  <c r="G47" i="4"/>
  <c r="S47" i="4"/>
  <c r="C27" i="22"/>
  <c r="E379" i="22"/>
  <c r="E397" i="22"/>
  <c r="D379" i="22"/>
  <c r="D397" i="22"/>
  <c r="Z379" i="22"/>
  <c r="Z397" i="22"/>
  <c r="R379" i="22"/>
  <c r="R397" i="22"/>
  <c r="J379" i="22"/>
  <c r="J397" i="22"/>
  <c r="V379" i="22"/>
  <c r="V397" i="22"/>
  <c r="F379" i="22"/>
  <c r="F397" i="22"/>
  <c r="C379" i="22"/>
  <c r="M379" i="22"/>
  <c r="M397" i="22"/>
  <c r="Y379" i="22"/>
  <c r="Y397" i="22"/>
  <c r="Q379" i="22"/>
  <c r="Q397" i="22"/>
  <c r="I379" i="22"/>
  <c r="I397" i="22"/>
  <c r="T379" i="22"/>
  <c r="T397" i="22"/>
  <c r="L379" i="22"/>
  <c r="L397" i="22"/>
  <c r="AA379" i="22"/>
  <c r="AA397" i="22"/>
  <c r="X379" i="22"/>
  <c r="X397" i="22"/>
  <c r="P379" i="22"/>
  <c r="P397" i="22"/>
  <c r="H379" i="22"/>
  <c r="H397" i="22"/>
  <c r="N379" i="22"/>
  <c r="N397" i="22"/>
  <c r="U379" i="22"/>
  <c r="U397" i="22"/>
  <c r="S379" i="22"/>
  <c r="S397" i="22"/>
  <c r="K379" i="22"/>
  <c r="K397" i="22"/>
  <c r="W379" i="22"/>
  <c r="W397" i="22"/>
  <c r="O379" i="22"/>
  <c r="O397" i="22"/>
  <c r="G379" i="22"/>
  <c r="G397" i="22"/>
  <c r="P368" i="22"/>
  <c r="M367" i="22"/>
  <c r="N367" i="22"/>
  <c r="P367" i="22"/>
  <c r="P369" i="22"/>
  <c r="C120" i="22"/>
  <c r="C112" i="22"/>
  <c r="C127" i="22"/>
  <c r="D120" i="22"/>
  <c r="D116" i="22"/>
  <c r="D115" i="22"/>
  <c r="E120" i="22"/>
  <c r="E112" i="22"/>
  <c r="E111" i="22"/>
  <c r="E116" i="22"/>
  <c r="D127" i="22"/>
  <c r="K316" i="22"/>
  <c r="P9" i="22"/>
  <c r="Q8" i="22"/>
  <c r="G120" i="22"/>
  <c r="G116" i="22"/>
  <c r="G112" i="22"/>
  <c r="F120" i="22"/>
  <c r="F116" i="22"/>
  <c r="F112" i="22"/>
  <c r="I316" i="22"/>
  <c r="M4" i="19"/>
  <c r="C18" i="22"/>
  <c r="L120" i="22"/>
  <c r="L116" i="22"/>
  <c r="Q16" i="22"/>
  <c r="O23" i="22"/>
  <c r="K32" i="17"/>
  <c r="K36" i="17"/>
  <c r="K37" i="17"/>
  <c r="K43" i="16"/>
  <c r="C32" i="17"/>
  <c r="C36" i="17"/>
  <c r="C37" i="17"/>
  <c r="C43" i="16"/>
  <c r="H32" i="17"/>
  <c r="H36" i="17"/>
  <c r="H37" i="17"/>
  <c r="H43" i="16"/>
  <c r="B55" i="16"/>
  <c r="L37" i="17"/>
  <c r="L43" i="16"/>
  <c r="Z26" i="23"/>
  <c r="Y26" i="23"/>
  <c r="Z97" i="23"/>
  <c r="Y97" i="23"/>
  <c r="Z65" i="23"/>
  <c r="Y65" i="23"/>
  <c r="Z76" i="23"/>
  <c r="Y76" i="23"/>
  <c r="E36" i="10"/>
  <c r="E40" i="10"/>
  <c r="E37" i="10"/>
  <c r="E38" i="10"/>
  <c r="E39" i="10"/>
  <c r="Z82" i="23"/>
  <c r="Y82" i="23"/>
  <c r="Z69" i="23"/>
  <c r="Y69" i="23"/>
  <c r="Z80" i="23"/>
  <c r="Y80" i="23"/>
  <c r="F48" i="10" a="1"/>
  <c r="F48" i="10"/>
  <c r="F50" i="10"/>
  <c r="N3" i="23"/>
  <c r="Z79" i="23"/>
  <c r="Y79" i="23"/>
  <c r="G48" i="10" a="1"/>
  <c r="G48" i="10"/>
  <c r="G10" i="10" a="1"/>
  <c r="G10" i="10"/>
  <c r="F10" i="10" a="1"/>
  <c r="F10" i="10"/>
  <c r="Z84" i="23"/>
  <c r="Y84" i="23"/>
  <c r="Z54" i="23"/>
  <c r="Z33" i="23"/>
  <c r="Y33" i="23"/>
  <c r="Z30" i="23"/>
  <c r="Y30" i="23"/>
  <c r="Z7" i="23"/>
  <c r="Z61" i="23"/>
  <c r="Z24" i="23"/>
  <c r="Y24" i="23"/>
  <c r="Z78" i="23"/>
  <c r="Y78" i="23"/>
  <c r="Z29" i="23"/>
  <c r="Y29" i="23"/>
  <c r="Z71" i="23"/>
  <c r="Y71" i="23"/>
  <c r="Z25" i="23"/>
  <c r="Y25" i="23"/>
  <c r="Z66" i="23"/>
  <c r="Y66" i="23"/>
  <c r="Z22" i="23"/>
  <c r="Z83" i="23"/>
  <c r="Y83" i="23"/>
  <c r="M3" i="23"/>
  <c r="L3" i="23"/>
  <c r="Z63" i="23"/>
  <c r="Y63" i="23"/>
  <c r="D10" i="10" a="1"/>
  <c r="D10" i="10"/>
  <c r="F70" i="16"/>
  <c r="G70" i="16"/>
  <c r="H70" i="16"/>
  <c r="E48" i="10" a="1"/>
  <c r="E48" i="10"/>
  <c r="G43" i="10" a="1"/>
  <c r="G43" i="10"/>
  <c r="E43" i="10" a="1"/>
  <c r="E43" i="10"/>
  <c r="D43" i="10" a="1"/>
  <c r="D43" i="10"/>
  <c r="J70" i="16"/>
  <c r="N23" i="22"/>
  <c r="P23" i="22"/>
  <c r="C75" i="10"/>
  <c r="Z74" i="23"/>
  <c r="Y74" i="23"/>
  <c r="Z75" i="23"/>
  <c r="Y75" i="23"/>
  <c r="I70" i="16"/>
  <c r="Z52" i="17"/>
  <c r="C67" i="17"/>
  <c r="E25" i="4"/>
  <c r="C87" i="17"/>
  <c r="L70" i="16"/>
  <c r="K22" i="17"/>
  <c r="K18" i="16"/>
  <c r="H22" i="17"/>
  <c r="H18" i="16"/>
  <c r="I22" i="17"/>
  <c r="I18" i="16"/>
  <c r="B22" i="17"/>
  <c r="B18" i="16"/>
  <c r="F22" i="17"/>
  <c r="F18" i="16"/>
  <c r="AE13" i="17"/>
  <c r="AB52" i="17"/>
  <c r="AG53" i="17"/>
  <c r="Z13" i="17"/>
  <c r="AD13" i="17"/>
  <c r="O9" i="22"/>
  <c r="N9" i="22"/>
  <c r="C77" i="10"/>
  <c r="L9" i="16"/>
  <c r="L10" i="16"/>
  <c r="E22" i="17"/>
  <c r="E18" i="16"/>
  <c r="C13" i="17"/>
  <c r="C14" i="17"/>
  <c r="C27" i="10"/>
  <c r="H27" i="10"/>
  <c r="AF13" i="17"/>
  <c r="AA13" i="17"/>
  <c r="AG13" i="17"/>
  <c r="AB13" i="17"/>
  <c r="AE53" i="17"/>
  <c r="AC13" i="17"/>
  <c r="AF53" i="17"/>
  <c r="Q48" i="1"/>
  <c r="B67" i="17"/>
  <c r="F25" i="4"/>
  <c r="G13" i="17"/>
  <c r="G14" i="17"/>
  <c r="F13" i="17"/>
  <c r="F14" i="17"/>
  <c r="AA53" i="17"/>
  <c r="M16" i="16"/>
  <c r="AE52" i="17"/>
  <c r="AF52" i="17"/>
  <c r="Q21" i="22"/>
  <c r="D22" i="4"/>
  <c r="J22" i="17"/>
  <c r="J18" i="16"/>
  <c r="L2" i="1" a="1"/>
  <c r="L2" i="1"/>
  <c r="B16" i="1" a="1"/>
  <c r="B16" i="1"/>
  <c r="B8" i="10" a="1"/>
  <c r="B8" i="10"/>
  <c r="L16" i="16"/>
  <c r="M58" i="16"/>
  <c r="M60" i="16"/>
  <c r="L26" i="16"/>
  <c r="L29" i="16"/>
  <c r="L35" i="16"/>
  <c r="L36" i="16"/>
  <c r="L34" i="16"/>
  <c r="E4" i="16"/>
  <c r="F4" i="16"/>
  <c r="G4" i="16"/>
  <c r="H4" i="16"/>
  <c r="I4" i="16"/>
  <c r="J4" i="16"/>
  <c r="K4" i="16"/>
  <c r="L4" i="16"/>
  <c r="M4" i="16"/>
  <c r="D91" i="16"/>
  <c r="C91" i="16"/>
  <c r="M12" i="16"/>
  <c r="M13" i="16"/>
  <c r="L58" i="16"/>
  <c r="L59" i="16"/>
  <c r="G8" i="4"/>
  <c r="D380" i="22"/>
  <c r="C48" i="10"/>
  <c r="C20" i="1" a="1"/>
  <c r="C20" i="1"/>
  <c r="E21" i="1"/>
  <c r="G31" i="4"/>
  <c r="H31" i="4"/>
  <c r="Y46" i="4"/>
  <c r="I45" i="4"/>
  <c r="AF45" i="4"/>
  <c r="AA46" i="4"/>
  <c r="T47" i="4"/>
  <c r="U46" i="4"/>
  <c r="M45" i="4"/>
  <c r="AA45" i="4"/>
  <c r="V46" i="4"/>
  <c r="O47" i="4"/>
  <c r="Q46" i="4"/>
  <c r="AB46" i="4"/>
  <c r="AB45" i="4"/>
  <c r="W46" i="4"/>
  <c r="P47" i="4"/>
  <c r="M46" i="4"/>
  <c r="AF46" i="4"/>
  <c r="W45" i="4"/>
  <c r="R46" i="4"/>
  <c r="S35" i="23"/>
  <c r="O3" i="23"/>
  <c r="F22" i="4"/>
  <c r="K70" i="16"/>
  <c r="E22" i="4"/>
  <c r="E70" i="16"/>
  <c r="E33" i="16"/>
  <c r="E34" i="16"/>
  <c r="F14" i="16"/>
  <c r="G19" i="22"/>
  <c r="G14" i="16"/>
  <c r="H19" i="22"/>
  <c r="M35" i="16"/>
  <c r="M36" i="16"/>
  <c r="M34" i="16"/>
  <c r="M22" i="16"/>
  <c r="M8" i="16"/>
  <c r="Q52" i="1"/>
  <c r="Q53" i="1"/>
  <c r="F57" i="1"/>
  <c r="Q49" i="1"/>
  <c r="O16" i="22"/>
  <c r="P16" i="22"/>
  <c r="S16" i="22"/>
  <c r="N16" i="22"/>
  <c r="Q23" i="22"/>
  <c r="F56" i="1"/>
  <c r="Q50" i="1"/>
  <c r="Q51" i="1"/>
  <c r="Q47" i="1"/>
  <c r="F54" i="1"/>
  <c r="C9" i="16"/>
  <c r="C10" i="16"/>
  <c r="K9" i="16"/>
  <c r="K10" i="16"/>
  <c r="F18" i="22"/>
  <c r="D52" i="16"/>
  <c r="D22" i="17"/>
  <c r="D18" i="16"/>
  <c r="C22" i="17"/>
  <c r="C18" i="16"/>
  <c r="G22" i="17"/>
  <c r="G18" i="16"/>
  <c r="F28" i="22"/>
  <c r="P21" i="22"/>
  <c r="G16" i="16"/>
  <c r="D19" i="16"/>
  <c r="H28" i="22"/>
  <c r="F9" i="16"/>
  <c r="F10" i="16"/>
  <c r="G9" i="16"/>
  <c r="G10" i="16"/>
  <c r="I12" i="16"/>
  <c r="E26" i="16"/>
  <c r="E29" i="16"/>
  <c r="L27" i="22"/>
  <c r="K93" i="16"/>
  <c r="J29" i="22"/>
  <c r="I8" i="16"/>
  <c r="E16" i="16"/>
  <c r="I22" i="16"/>
  <c r="E27" i="22"/>
  <c r="K29" i="22"/>
  <c r="J16" i="16"/>
  <c r="E93" i="16"/>
  <c r="J25" i="22"/>
  <c r="K58" i="16"/>
  <c r="K60" i="16"/>
  <c r="G28" i="22"/>
  <c r="F8" i="16"/>
  <c r="E8" i="16"/>
  <c r="F93" i="16"/>
  <c r="E22" i="16"/>
  <c r="D35" i="16"/>
  <c r="D36" i="16"/>
  <c r="J58" i="16"/>
  <c r="J59" i="16"/>
  <c r="F58" i="16"/>
  <c r="F60" i="16"/>
  <c r="G19" i="16"/>
  <c r="G20" i="16"/>
  <c r="I24" i="16"/>
  <c r="J26" i="22"/>
  <c r="I9" i="16"/>
  <c r="I10" i="16"/>
  <c r="F12" i="16"/>
  <c r="K19" i="16"/>
  <c r="K20" i="16"/>
  <c r="K27" i="22"/>
  <c r="G27" i="22"/>
  <c r="F27" i="22"/>
  <c r="E35" i="16"/>
  <c r="E36" i="16"/>
  <c r="I93" i="16"/>
  <c r="C59" i="10"/>
  <c r="D18" i="22"/>
  <c r="C8" i="16"/>
  <c r="C22" i="16"/>
  <c r="D25" i="22"/>
  <c r="I6" i="16"/>
  <c r="K18" i="22"/>
  <c r="J8" i="16"/>
  <c r="G22" i="16"/>
  <c r="D27" i="22"/>
  <c r="C24" i="16"/>
  <c r="C93" i="16"/>
  <c r="K28" i="22"/>
  <c r="J93" i="16"/>
  <c r="D43" i="4"/>
  <c r="D26" i="16"/>
  <c r="D29" i="16"/>
  <c r="E18" i="22"/>
  <c r="D12" i="16"/>
  <c r="E25" i="22"/>
  <c r="I35" i="16"/>
  <c r="I36" i="16"/>
  <c r="G12" i="16"/>
  <c r="H18" i="22"/>
  <c r="G8" i="16"/>
  <c r="D19" i="22"/>
  <c r="D29" i="22"/>
  <c r="F24" i="16"/>
  <c r="G18" i="22"/>
  <c r="E6" i="16"/>
  <c r="G93" i="16"/>
  <c r="C34" i="16"/>
  <c r="E23" i="4"/>
  <c r="H26" i="22"/>
  <c r="C26" i="16"/>
  <c r="C29" i="16"/>
  <c r="J26" i="16"/>
  <c r="J29" i="16"/>
  <c r="E29" i="22"/>
  <c r="D24" i="4"/>
  <c r="D26" i="4"/>
  <c r="E26" i="22"/>
  <c r="D34" i="16"/>
  <c r="I58" i="16"/>
  <c r="I60" i="16"/>
  <c r="E58" i="16"/>
  <c r="F29" i="22"/>
  <c r="P8" i="22"/>
  <c r="O8" i="22"/>
  <c r="N8" i="22"/>
  <c r="D16" i="16"/>
  <c r="D8" i="4"/>
  <c r="D15" i="4"/>
  <c r="J19" i="22"/>
  <c r="H27" i="22"/>
  <c r="K35" i="16"/>
  <c r="K36" i="16"/>
  <c r="G34" i="16"/>
  <c r="J34" i="16"/>
  <c r="C58" i="16"/>
  <c r="C60" i="16"/>
  <c r="H29" i="22"/>
  <c r="G35" i="16"/>
  <c r="G36" i="16"/>
  <c r="K16" i="16"/>
  <c r="D24" i="16"/>
  <c r="K34" i="16"/>
  <c r="F26" i="16"/>
  <c r="F29" i="16"/>
  <c r="D58" i="16"/>
  <c r="Q9" i="22"/>
  <c r="O5" i="3"/>
  <c r="N5" i="3"/>
  <c r="M5" i="3"/>
  <c r="L5" i="3"/>
  <c r="K5" i="3"/>
  <c r="P7" i="3"/>
  <c r="H17" i="3"/>
  <c r="N17" i="3"/>
  <c r="O15" i="3"/>
  <c r="N15" i="3"/>
  <c r="N7" i="3"/>
  <c r="M15" i="3"/>
  <c r="M7" i="3"/>
  <c r="L15" i="3"/>
  <c r="L7" i="3"/>
  <c r="J22" i="16"/>
  <c r="F19" i="22"/>
  <c r="L19" i="16"/>
  <c r="L20" i="16"/>
  <c r="L12" i="16"/>
  <c r="J6" i="16"/>
  <c r="M9" i="16"/>
  <c r="M10" i="16"/>
  <c r="K26" i="16"/>
  <c r="K29" i="16"/>
  <c r="D30" i="4"/>
  <c r="D32" i="4"/>
  <c r="E24" i="4"/>
  <c r="D26" i="22"/>
  <c r="J9" i="16"/>
  <c r="J10" i="16"/>
  <c r="D6" i="16"/>
  <c r="D5" i="4"/>
  <c r="F35" i="16"/>
  <c r="F36" i="16"/>
  <c r="L6" i="16"/>
  <c r="E35" i="4"/>
  <c r="D22" i="16"/>
  <c r="G58" i="16"/>
  <c r="G29" i="22"/>
  <c r="J19" i="16"/>
  <c r="J20" i="16"/>
  <c r="K19" i="22"/>
  <c r="F6" i="16"/>
  <c r="E9" i="16"/>
  <c r="E10" i="16"/>
  <c r="J35" i="16"/>
  <c r="J36" i="16"/>
  <c r="M19" i="16"/>
  <c r="M20" i="16"/>
  <c r="E12" i="16"/>
  <c r="J12" i="16"/>
  <c r="L8" i="16"/>
  <c r="L28" i="22"/>
  <c r="J27" i="22"/>
  <c r="D8" i="16"/>
  <c r="J28" i="22"/>
  <c r="C19" i="16"/>
  <c r="C20" i="16"/>
  <c r="C6" i="16"/>
  <c r="G25" i="22"/>
  <c r="F34" i="16"/>
  <c r="H42" i="10"/>
  <c r="I42" i="10"/>
  <c r="D9" i="16"/>
  <c r="D10" i="16"/>
  <c r="E5" i="17"/>
  <c r="D87" i="17"/>
  <c r="K12" i="16"/>
  <c r="L24" i="16"/>
  <c r="K8" i="16"/>
  <c r="E19" i="22"/>
  <c r="K26" i="22"/>
  <c r="L18" i="22"/>
  <c r="C12" i="16"/>
  <c r="C16" i="16"/>
  <c r="E8" i="4"/>
  <c r="D28" i="22"/>
  <c r="M29" i="16"/>
  <c r="L22" i="16"/>
  <c r="F25" i="22"/>
  <c r="H25" i="22"/>
  <c r="D93" i="16"/>
  <c r="E28" i="22"/>
  <c r="L26" i="22"/>
  <c r="F19" i="16"/>
  <c r="F20" i="16"/>
  <c r="I34" i="16"/>
  <c r="F16" i="16"/>
  <c r="K22" i="16"/>
  <c r="E24" i="16"/>
  <c r="J24" i="16"/>
  <c r="K25" i="22"/>
  <c r="I19" i="16"/>
  <c r="I20" i="16"/>
  <c r="M24" i="16"/>
  <c r="M25" i="16"/>
  <c r="F7" i="22"/>
  <c r="E15" i="22"/>
  <c r="J109" i="22"/>
  <c r="I16" i="16"/>
  <c r="L19" i="22"/>
  <c r="G24" i="16"/>
  <c r="C35" i="16"/>
  <c r="C36" i="16"/>
  <c r="L25" i="22"/>
  <c r="G26" i="22"/>
  <c r="I26" i="16"/>
  <c r="I29" i="16"/>
  <c r="E19" i="16"/>
  <c r="E20" i="16"/>
  <c r="F22" i="16"/>
  <c r="K24" i="16"/>
  <c r="L29" i="22"/>
  <c r="D15" i="22"/>
  <c r="K109" i="22"/>
  <c r="G26" i="16"/>
  <c r="G29" i="16"/>
  <c r="H9" i="16"/>
  <c r="H10" i="16"/>
  <c r="F8" i="3"/>
  <c r="G8" i="3"/>
  <c r="E17" i="3"/>
  <c r="F17" i="3"/>
  <c r="B6" i="16"/>
  <c r="L46" i="1"/>
  <c r="G56" i="10"/>
  <c r="C65" i="10"/>
  <c r="H19" i="16"/>
  <c r="C64" i="10"/>
  <c r="C56" i="10"/>
  <c r="H34" i="16"/>
  <c r="E56" i="10"/>
  <c r="F56" i="10"/>
  <c r="M21" i="1" a="1"/>
  <c r="M21" i="1"/>
  <c r="C43" i="10"/>
  <c r="N4" i="19"/>
  <c r="C45" i="1" a="1"/>
  <c r="N51" i="1"/>
  <c r="K24" i="1"/>
  <c r="L52" i="1"/>
  <c r="M48" i="1"/>
  <c r="K29" i="1"/>
  <c r="B22" i="16"/>
  <c r="C28" i="22"/>
  <c r="M53" i="1"/>
  <c r="H58" i="16"/>
  <c r="H59" i="16"/>
  <c r="M47" i="1"/>
  <c r="B93" i="16"/>
  <c r="L49" i="1"/>
  <c r="B9" i="16"/>
  <c r="B10" i="16"/>
  <c r="B12" i="16"/>
  <c r="C60" i="10"/>
  <c r="B24" i="16"/>
  <c r="C8" i="10"/>
  <c r="C10" i="10" a="1"/>
  <c r="C10" i="10"/>
  <c r="C36" i="10"/>
  <c r="H6" i="16"/>
  <c r="H8" i="16"/>
  <c r="L50" i="1"/>
  <c r="G6" i="16"/>
  <c r="C79" i="10"/>
  <c r="B34" i="16"/>
  <c r="F14" i="4"/>
  <c r="G14" i="4"/>
  <c r="B16" i="16"/>
  <c r="F8" i="4"/>
  <c r="F7" i="4"/>
  <c r="B19" i="16"/>
  <c r="H24" i="16"/>
  <c r="H35" i="16"/>
  <c r="H36" i="16"/>
  <c r="I28" i="22"/>
  <c r="H93" i="16"/>
  <c r="H26" i="16"/>
  <c r="H29" i="16"/>
  <c r="I29" i="22"/>
  <c r="C61" i="10"/>
  <c r="B8" i="16"/>
  <c r="C69" i="10"/>
  <c r="C28" i="10"/>
  <c r="C23" i="1"/>
  <c r="C29" i="22"/>
  <c r="I18" i="22"/>
  <c r="C26" i="22"/>
  <c r="I26" i="22"/>
  <c r="I19" i="22"/>
  <c r="H22" i="16"/>
  <c r="L48" i="1"/>
  <c r="H16" i="16"/>
  <c r="H12" i="16"/>
  <c r="I27" i="22"/>
  <c r="I25" i="22"/>
  <c r="L53" i="1"/>
  <c r="L51" i="1"/>
  <c r="H45" i="1" a="1"/>
  <c r="M50" i="1"/>
  <c r="L47" i="1"/>
  <c r="M46" i="1"/>
  <c r="L54" i="1"/>
  <c r="M54" i="1"/>
  <c r="M51" i="1"/>
  <c r="E19" i="1"/>
  <c r="E20" i="1"/>
  <c r="M52" i="1"/>
  <c r="K22" i="1"/>
  <c r="M49" i="1"/>
  <c r="F17" i="4"/>
  <c r="D56" i="10"/>
  <c r="F30" i="4"/>
  <c r="F35" i="4"/>
  <c r="O255" i="22"/>
  <c r="O259" i="22"/>
  <c r="I6" i="4"/>
  <c r="I5" i="4"/>
  <c r="I31" i="4"/>
  <c r="AZ147" i="22"/>
  <c r="BE138" i="22"/>
  <c r="BD139" i="22"/>
  <c r="D53" i="4"/>
  <c r="G9" i="4"/>
  <c r="G41" i="4"/>
  <c r="T16" i="22"/>
  <c r="E53" i="4"/>
  <c r="C396" i="22"/>
  <c r="C397" i="22"/>
  <c r="C399" i="22"/>
  <c r="D372" i="22"/>
  <c r="O22" i="22"/>
  <c r="N393" i="22"/>
  <c r="M393" i="22"/>
  <c r="D381" i="22"/>
  <c r="L127" i="22"/>
  <c r="K372" i="22"/>
  <c r="M368" i="22"/>
  <c r="F372" i="22"/>
  <c r="L372" i="22"/>
  <c r="N368" i="22"/>
  <c r="J372" i="22"/>
  <c r="I372" i="22"/>
  <c r="Q22" i="22"/>
  <c r="G37" i="17"/>
  <c r="G43" i="16"/>
  <c r="G372" i="22"/>
  <c r="K371" i="22"/>
  <c r="J371" i="22"/>
  <c r="E371" i="22"/>
  <c r="L371" i="22"/>
  <c r="I371" i="22"/>
  <c r="H371" i="22"/>
  <c r="D371" i="22"/>
  <c r="P394" i="22"/>
  <c r="G50" i="17"/>
  <c r="G55" i="16"/>
  <c r="G52" i="16"/>
  <c r="P22" i="22"/>
  <c r="C50" i="17"/>
  <c r="C55" i="16"/>
  <c r="C52" i="16"/>
  <c r="K393" i="22"/>
  <c r="O393" i="22"/>
  <c r="K52" i="16"/>
  <c r="K50" i="17"/>
  <c r="K55" i="16"/>
  <c r="C365" i="22"/>
  <c r="P365" i="22"/>
  <c r="J370" i="22"/>
  <c r="K370" i="22"/>
  <c r="L370" i="22"/>
  <c r="E370" i="22"/>
  <c r="F370" i="22"/>
  <c r="H370" i="22"/>
  <c r="G370" i="22"/>
  <c r="D370" i="22"/>
  <c r="I370" i="22"/>
  <c r="H372" i="22"/>
  <c r="C364" i="22"/>
  <c r="C371" i="22"/>
  <c r="P364" i="22"/>
  <c r="G371" i="22"/>
  <c r="O394" i="22"/>
  <c r="N394" i="22"/>
  <c r="M394" i="22"/>
  <c r="J52" i="16"/>
  <c r="J50" i="17"/>
  <c r="J55" i="16"/>
  <c r="P392" i="22"/>
  <c r="H396" i="22"/>
  <c r="Y396" i="22"/>
  <c r="D399" i="22"/>
  <c r="D396" i="22"/>
  <c r="N396" i="22"/>
  <c r="Z396" i="22"/>
  <c r="G396" i="22"/>
  <c r="P396" i="22"/>
  <c r="M396" i="22"/>
  <c r="E396" i="22"/>
  <c r="O396" i="22"/>
  <c r="X396" i="22"/>
  <c r="Q396" i="22"/>
  <c r="W396" i="22"/>
  <c r="AA396" i="22"/>
  <c r="F396" i="22"/>
  <c r="L396" i="22"/>
  <c r="K396" i="22"/>
  <c r="V396" i="22"/>
  <c r="S396" i="22"/>
  <c r="T396" i="22"/>
  <c r="J396" i="22"/>
  <c r="U396" i="22"/>
  <c r="I396" i="22"/>
  <c r="R396" i="22"/>
  <c r="H11" i="4"/>
  <c r="H20" i="4"/>
  <c r="H21" i="4"/>
  <c r="M369" i="22"/>
  <c r="O369" i="22"/>
  <c r="N369" i="22"/>
  <c r="H127" i="22"/>
  <c r="D316" i="22"/>
  <c r="I111" i="22"/>
  <c r="F316" i="22"/>
  <c r="H27" i="4"/>
  <c r="I115" i="22"/>
  <c r="I127" i="22"/>
  <c r="J127" i="22"/>
  <c r="I119" i="22"/>
  <c r="G25" i="4"/>
  <c r="H25" i="4"/>
  <c r="J119" i="22"/>
  <c r="B30" i="16"/>
  <c r="B31" i="16"/>
  <c r="D34" i="4"/>
  <c r="K111" i="22"/>
  <c r="J111" i="22"/>
  <c r="D35" i="4"/>
  <c r="F15" i="4"/>
  <c r="F32" i="4"/>
  <c r="F115" i="22"/>
  <c r="F119" i="22"/>
  <c r="E119" i="22"/>
  <c r="E115" i="22"/>
  <c r="D119" i="22"/>
  <c r="D111" i="22"/>
  <c r="L316" i="22"/>
  <c r="J316" i="22"/>
  <c r="E127" i="22"/>
  <c r="N18" i="22"/>
  <c r="G127" i="22"/>
  <c r="H316" i="22"/>
  <c r="F111" i="22"/>
  <c r="F127" i="22"/>
  <c r="O18" i="22"/>
  <c r="L111" i="22"/>
  <c r="L115" i="22"/>
  <c r="L119" i="22"/>
  <c r="C34" i="10"/>
  <c r="H34" i="10"/>
  <c r="I34" i="10"/>
  <c r="H111" i="22"/>
  <c r="G111" i="22"/>
  <c r="H115" i="22"/>
  <c r="G115" i="22"/>
  <c r="H119" i="22"/>
  <c r="G119" i="22"/>
  <c r="Q18" i="22"/>
  <c r="O27" i="22"/>
  <c r="T27" i="22"/>
  <c r="E64" i="4"/>
  <c r="H8" i="4"/>
  <c r="H24" i="4"/>
  <c r="Z88" i="23"/>
  <c r="Y88" i="23"/>
  <c r="Z91" i="23"/>
  <c r="Y91" i="23"/>
  <c r="Z4" i="23"/>
  <c r="Y4" i="23"/>
  <c r="Z47" i="23"/>
  <c r="Y47" i="23"/>
  <c r="Z67" i="23"/>
  <c r="Y67" i="23"/>
  <c r="Z68" i="23"/>
  <c r="Y68" i="23"/>
  <c r="S77" i="23"/>
  <c r="Z14" i="23"/>
  <c r="Z98" i="23"/>
  <c r="Y98" i="23"/>
  <c r="Z40" i="23"/>
  <c r="Y40" i="23"/>
  <c r="Z53" i="23"/>
  <c r="Y53" i="23"/>
  <c r="Z35" i="23"/>
  <c r="Y35" i="23"/>
  <c r="Z100" i="23"/>
  <c r="Y100" i="23"/>
  <c r="Z23" i="23"/>
  <c r="Y23" i="23"/>
  <c r="Z19" i="23"/>
  <c r="Z28" i="23"/>
  <c r="Y28" i="23"/>
  <c r="Z15" i="23"/>
  <c r="Z45" i="23"/>
  <c r="Y45" i="23"/>
  <c r="S53" i="23"/>
  <c r="Z57" i="23"/>
  <c r="Z48" i="23"/>
  <c r="Y48" i="23"/>
  <c r="Z10" i="23"/>
  <c r="Y10" i="23"/>
  <c r="Z51" i="23"/>
  <c r="Y51" i="23"/>
  <c r="F39" i="10"/>
  <c r="F36" i="10"/>
  <c r="F40" i="10"/>
  <c r="F37" i="10"/>
  <c r="F38" i="10"/>
  <c r="G39" i="10"/>
  <c r="G36" i="10"/>
  <c r="G40" i="10"/>
  <c r="G37" i="10"/>
  <c r="G38" i="10"/>
  <c r="S88" i="23"/>
  <c r="Z42" i="23"/>
  <c r="Z13" i="23"/>
  <c r="Y13" i="23"/>
  <c r="Z87" i="23"/>
  <c r="Y87" i="23"/>
  <c r="Z44" i="23"/>
  <c r="Z92" i="23"/>
  <c r="Y92" i="23"/>
  <c r="Z39" i="23"/>
  <c r="Y39" i="23"/>
  <c r="Z72" i="23"/>
  <c r="Y72" i="23"/>
  <c r="Z34" i="23"/>
  <c r="Y34" i="23"/>
  <c r="Z27" i="23"/>
  <c r="Y27" i="23"/>
  <c r="Z102" i="23"/>
  <c r="Y102" i="23"/>
  <c r="Z94" i="23"/>
  <c r="Y94" i="23"/>
  <c r="Z49" i="23"/>
  <c r="Y49" i="23"/>
  <c r="Z31" i="23"/>
  <c r="Y31" i="23"/>
  <c r="Z99" i="23"/>
  <c r="Y99" i="23"/>
  <c r="Z38" i="23"/>
  <c r="Y38" i="23"/>
  <c r="Z59" i="23"/>
  <c r="Z60" i="23"/>
  <c r="Y60" i="23"/>
  <c r="Z101" i="23"/>
  <c r="Y101" i="23"/>
  <c r="Z52" i="23"/>
  <c r="Y52" i="23"/>
  <c r="Z58" i="23"/>
  <c r="Y58" i="23"/>
  <c r="Z55" i="23"/>
  <c r="Y55" i="23"/>
  <c r="Z43" i="23"/>
  <c r="Z56" i="23"/>
  <c r="Z50" i="23"/>
  <c r="Y50" i="23"/>
  <c r="S14" i="23"/>
  <c r="S87" i="23"/>
  <c r="S63" i="23"/>
  <c r="S48" i="23"/>
  <c r="S42" i="23"/>
  <c r="S45" i="23"/>
  <c r="S99" i="23"/>
  <c r="S91" i="23"/>
  <c r="S102" i="23"/>
  <c r="S33" i="23"/>
  <c r="S85" i="23"/>
  <c r="S95" i="23"/>
  <c r="S96" i="23"/>
  <c r="S6" i="23"/>
  <c r="S11" i="23"/>
  <c r="S46" i="23"/>
  <c r="Z46" i="23"/>
  <c r="Y46" i="23"/>
  <c r="S29" i="23"/>
  <c r="S7" i="23"/>
  <c r="S38" i="23"/>
  <c r="S22" i="23"/>
  <c r="S26" i="23"/>
  <c r="S47" i="23"/>
  <c r="S57" i="23"/>
  <c r="S66" i="23"/>
  <c r="S65" i="23"/>
  <c r="S80" i="23"/>
  <c r="S98" i="23"/>
  <c r="S76" i="23"/>
  <c r="S94" i="23"/>
  <c r="S13" i="23"/>
  <c r="S25" i="23"/>
  <c r="S32" i="23"/>
  <c r="S31" i="23"/>
  <c r="S19" i="23"/>
  <c r="S34" i="23"/>
  <c r="S69" i="23"/>
  <c r="S97" i="23"/>
  <c r="S18" i="23"/>
  <c r="S79" i="23"/>
  <c r="S89" i="23"/>
  <c r="S16" i="23"/>
  <c r="S37" i="23"/>
  <c r="S17" i="23"/>
  <c r="S36" i="23"/>
  <c r="S20" i="23"/>
  <c r="S59" i="23"/>
  <c r="S49" i="23"/>
  <c r="S72" i="23"/>
  <c r="S68" i="23"/>
  <c r="S83" i="23"/>
  <c r="S60" i="23"/>
  <c r="S40" i="23"/>
  <c r="S30" i="23"/>
  <c r="S15" i="23"/>
  <c r="S10" i="23"/>
  <c r="S75" i="23"/>
  <c r="S71" i="23"/>
  <c r="S82" i="23"/>
  <c r="S100" i="23"/>
  <c r="S93" i="23"/>
  <c r="S78" i="23"/>
  <c r="S74" i="23"/>
  <c r="S101" i="23"/>
  <c r="S5" i="23"/>
  <c r="S51" i="23"/>
  <c r="S52" i="23"/>
  <c r="S39" i="23"/>
  <c r="S50" i="23"/>
  <c r="S23" i="23"/>
  <c r="S61" i="23"/>
  <c r="S67" i="23"/>
  <c r="S56" i="23"/>
  <c r="S28" i="23"/>
  <c r="S24" i="23"/>
  <c r="S27" i="23"/>
  <c r="S84" i="23"/>
  <c r="S92" i="23"/>
  <c r="Z96" i="23"/>
  <c r="Y96" i="23"/>
  <c r="Z6" i="23"/>
  <c r="Y6" i="23"/>
  <c r="Z11" i="23"/>
  <c r="Y11" i="23"/>
  <c r="S64" i="23"/>
  <c r="S73" i="23"/>
  <c r="S41" i="23"/>
  <c r="S90" i="23"/>
  <c r="Z37" i="23"/>
  <c r="Y37" i="23"/>
  <c r="S86" i="23"/>
  <c r="S9" i="23"/>
  <c r="S21" i="23"/>
  <c r="Z17" i="23"/>
  <c r="Y17" i="23"/>
  <c r="S43" i="23"/>
  <c r="S70" i="23"/>
  <c r="S12" i="23"/>
  <c r="Z20" i="23"/>
  <c r="S81" i="23"/>
  <c r="S44" i="23"/>
  <c r="S8" i="23"/>
  <c r="S58" i="23"/>
  <c r="S62" i="23"/>
  <c r="Y7" i="23"/>
  <c r="Y14" i="23"/>
  <c r="Y15" i="23"/>
  <c r="Y19" i="23"/>
  <c r="Y22" i="23"/>
  <c r="Z64" i="23"/>
  <c r="Y64" i="23"/>
  <c r="Z89" i="23"/>
  <c r="Y89" i="23"/>
  <c r="Z8" i="23"/>
  <c r="Z12" i="23"/>
  <c r="Z18" i="23"/>
  <c r="Z32" i="23"/>
  <c r="Y32" i="23"/>
  <c r="Z81" i="23"/>
  <c r="Y81" i="23"/>
  <c r="Z85" i="23"/>
  <c r="Y85" i="23"/>
  <c r="Z36" i="23"/>
  <c r="Y36" i="23"/>
  <c r="Z95" i="23"/>
  <c r="Y95" i="23"/>
  <c r="Z73" i="23"/>
  <c r="Y73" i="23"/>
  <c r="Z70" i="23"/>
  <c r="Y70" i="23"/>
  <c r="Z62" i="23"/>
  <c r="Y62" i="23"/>
  <c r="Z16" i="23"/>
  <c r="Z21" i="23"/>
  <c r="Z41" i="23"/>
  <c r="Y41" i="23"/>
  <c r="Z90" i="23"/>
  <c r="Y90" i="23"/>
  <c r="Z5" i="23"/>
  <c r="Z77" i="23"/>
  <c r="Y77" i="23"/>
  <c r="Z9" i="23"/>
  <c r="Z93" i="23"/>
  <c r="Y93" i="23"/>
  <c r="Z86" i="23"/>
  <c r="Y86" i="23"/>
  <c r="D37" i="10"/>
  <c r="D39" i="10"/>
  <c r="D36" i="10"/>
  <c r="D38" i="10"/>
  <c r="D40" i="10"/>
  <c r="H43" i="10"/>
  <c r="I43" i="10"/>
  <c r="T101" i="23"/>
  <c r="T102" i="23"/>
  <c r="R101" i="23"/>
  <c r="R102" i="23"/>
  <c r="P102" i="23"/>
  <c r="P101" i="23"/>
  <c r="Q102" i="23"/>
  <c r="Q101" i="23"/>
  <c r="P55" i="23"/>
  <c r="Q65" i="23"/>
  <c r="Q68" i="23"/>
  <c r="Q71" i="23"/>
  <c r="Q74" i="23"/>
  <c r="Q77" i="23"/>
  <c r="Q80" i="23"/>
  <c r="Q83" i="23"/>
  <c r="Q86" i="23"/>
  <c r="Q89" i="23"/>
  <c r="Q92" i="23"/>
  <c r="Q95" i="23"/>
  <c r="Q98" i="23"/>
  <c r="Q64" i="23"/>
  <c r="Q67" i="23"/>
  <c r="Q70" i="23"/>
  <c r="Q73" i="23"/>
  <c r="Q76" i="23"/>
  <c r="Q79" i="23"/>
  <c r="Q82" i="23"/>
  <c r="Q85" i="23"/>
  <c r="Q88" i="23"/>
  <c r="Q91" i="23"/>
  <c r="Q94" i="23"/>
  <c r="Q97" i="23"/>
  <c r="Q100" i="23"/>
  <c r="Q63" i="23"/>
  <c r="Q66" i="23"/>
  <c r="Q69" i="23"/>
  <c r="Q72" i="23"/>
  <c r="Q75" i="23"/>
  <c r="Q78" i="23"/>
  <c r="Q81" i="23"/>
  <c r="Q84" i="23"/>
  <c r="Q87" i="23"/>
  <c r="Q90" i="23"/>
  <c r="Q93" i="23"/>
  <c r="Q96" i="23"/>
  <c r="Q99" i="23"/>
  <c r="P65" i="23"/>
  <c r="P68" i="23"/>
  <c r="P71" i="23"/>
  <c r="P74" i="23"/>
  <c r="P77" i="23"/>
  <c r="P80" i="23"/>
  <c r="P83" i="23"/>
  <c r="P86" i="23"/>
  <c r="P89" i="23"/>
  <c r="P92" i="23"/>
  <c r="P95" i="23"/>
  <c r="P98" i="23"/>
  <c r="P64" i="23"/>
  <c r="P67" i="23"/>
  <c r="P70" i="23"/>
  <c r="P73" i="23"/>
  <c r="P76" i="23"/>
  <c r="P79" i="23"/>
  <c r="P82" i="23"/>
  <c r="P85" i="23"/>
  <c r="P88" i="23"/>
  <c r="P91" i="23"/>
  <c r="P94" i="23"/>
  <c r="P97" i="23"/>
  <c r="P100" i="23"/>
  <c r="P63" i="23"/>
  <c r="P66" i="23"/>
  <c r="P69" i="23"/>
  <c r="P72" i="23"/>
  <c r="P75" i="23"/>
  <c r="P78" i="23"/>
  <c r="P81" i="23"/>
  <c r="P84" i="23"/>
  <c r="P87" i="23"/>
  <c r="P90" i="23"/>
  <c r="P93" i="23"/>
  <c r="P96" i="23"/>
  <c r="P99" i="23"/>
  <c r="T63" i="23"/>
  <c r="T66" i="23"/>
  <c r="T69" i="23"/>
  <c r="T72" i="23"/>
  <c r="T75" i="23"/>
  <c r="T78" i="23"/>
  <c r="T81" i="23"/>
  <c r="T84" i="23"/>
  <c r="T87" i="23"/>
  <c r="T90" i="23"/>
  <c r="T93" i="23"/>
  <c r="T96" i="23"/>
  <c r="T99" i="23"/>
  <c r="T65" i="23"/>
  <c r="T68" i="23"/>
  <c r="T71" i="23"/>
  <c r="T74" i="23"/>
  <c r="T77" i="23"/>
  <c r="T80" i="23"/>
  <c r="T83" i="23"/>
  <c r="T86" i="23"/>
  <c r="T89" i="23"/>
  <c r="T92" i="23"/>
  <c r="T95" i="23"/>
  <c r="T98" i="23"/>
  <c r="T64" i="23"/>
  <c r="T67" i="23"/>
  <c r="T70" i="23"/>
  <c r="T73" i="23"/>
  <c r="T76" i="23"/>
  <c r="T79" i="23"/>
  <c r="T82" i="23"/>
  <c r="T85" i="23"/>
  <c r="T88" i="23"/>
  <c r="T91" i="23"/>
  <c r="T94" i="23"/>
  <c r="T97" i="23"/>
  <c r="T100" i="23"/>
  <c r="R63" i="23"/>
  <c r="R66" i="23"/>
  <c r="R69" i="23"/>
  <c r="R72" i="23"/>
  <c r="R75" i="23"/>
  <c r="R78" i="23"/>
  <c r="R81" i="23"/>
  <c r="R84" i="23"/>
  <c r="R87" i="23"/>
  <c r="R90" i="23"/>
  <c r="R93" i="23"/>
  <c r="R96" i="23"/>
  <c r="R99" i="23"/>
  <c r="R65" i="23"/>
  <c r="R68" i="23"/>
  <c r="R71" i="23"/>
  <c r="R74" i="23"/>
  <c r="R77" i="23"/>
  <c r="R80" i="23"/>
  <c r="R83" i="23"/>
  <c r="R86" i="23"/>
  <c r="R89" i="23"/>
  <c r="R92" i="23"/>
  <c r="R95" i="23"/>
  <c r="R98" i="23"/>
  <c r="R64" i="23"/>
  <c r="R67" i="23"/>
  <c r="R70" i="23"/>
  <c r="R73" i="23"/>
  <c r="R76" i="23"/>
  <c r="R79" i="23"/>
  <c r="R82" i="23"/>
  <c r="R85" i="23"/>
  <c r="R88" i="23"/>
  <c r="R91" i="23"/>
  <c r="R94" i="23"/>
  <c r="R97" i="23"/>
  <c r="R100" i="23"/>
  <c r="P29" i="23"/>
  <c r="P50" i="23"/>
  <c r="L60" i="16"/>
  <c r="P59" i="23"/>
  <c r="P30" i="23"/>
  <c r="L13" i="16"/>
  <c r="I27" i="10"/>
  <c r="P51" i="23"/>
  <c r="P34" i="23"/>
  <c r="P28" i="23"/>
  <c r="F26" i="4"/>
  <c r="F34" i="4"/>
  <c r="F36" i="4"/>
  <c r="M59" i="16"/>
  <c r="P6" i="23"/>
  <c r="P13" i="23"/>
  <c r="P39" i="23"/>
  <c r="P26" i="23"/>
  <c r="P15" i="23"/>
  <c r="P21" i="23"/>
  <c r="P4" i="23"/>
  <c r="P41" i="23"/>
  <c r="P37" i="23"/>
  <c r="P14" i="23"/>
  <c r="P20" i="23"/>
  <c r="P53" i="23"/>
  <c r="P60" i="23"/>
  <c r="P42" i="23"/>
  <c r="P45" i="23"/>
  <c r="P61" i="23"/>
  <c r="P44" i="23"/>
  <c r="P22" i="23"/>
  <c r="P54" i="23"/>
  <c r="P57" i="23"/>
  <c r="P25" i="23"/>
  <c r="P62" i="23"/>
  <c r="P58" i="23"/>
  <c r="P49" i="23"/>
  <c r="P5" i="23"/>
  <c r="P23" i="23"/>
  <c r="P17" i="23"/>
  <c r="P11" i="23"/>
  <c r="P46" i="23"/>
  <c r="P48" i="23"/>
  <c r="P40" i="23"/>
  <c r="P47" i="23"/>
  <c r="P35" i="23"/>
  <c r="P18" i="23"/>
  <c r="P43" i="23"/>
  <c r="M30" i="16"/>
  <c r="M31" i="16"/>
  <c r="P16" i="23"/>
  <c r="P7" i="23"/>
  <c r="P31" i="23"/>
  <c r="P38" i="23"/>
  <c r="P32" i="23"/>
  <c r="P10" i="23"/>
  <c r="P56" i="23"/>
  <c r="P8" i="23"/>
  <c r="P12" i="23"/>
  <c r="P33" i="23"/>
  <c r="P36" i="23"/>
  <c r="P52" i="23"/>
  <c r="P24" i="23"/>
  <c r="P27" i="23"/>
  <c r="P19" i="23"/>
  <c r="P9" i="23"/>
  <c r="F26" i="22"/>
  <c r="Q26" i="22"/>
  <c r="K25" i="16"/>
  <c r="S55" i="23"/>
  <c r="S54" i="23"/>
  <c r="Y54" i="23"/>
  <c r="T40" i="23"/>
  <c r="T8" i="23"/>
  <c r="T36" i="23"/>
  <c r="T52" i="23"/>
  <c r="T11" i="23"/>
  <c r="T30" i="23"/>
  <c r="T23" i="23"/>
  <c r="T62" i="23"/>
  <c r="T42" i="23"/>
  <c r="T59" i="23"/>
  <c r="T51" i="23"/>
  <c r="T7" i="23"/>
  <c r="T58" i="23"/>
  <c r="T15" i="23"/>
  <c r="T27" i="23"/>
  <c r="T49" i="23"/>
  <c r="T38" i="23"/>
  <c r="T50" i="23"/>
  <c r="T60" i="23"/>
  <c r="T47" i="23"/>
  <c r="T5" i="23"/>
  <c r="T53" i="23"/>
  <c r="T39" i="23"/>
  <c r="T4" i="23"/>
  <c r="T26" i="23"/>
  <c r="T24" i="23"/>
  <c r="T17" i="23"/>
  <c r="T54" i="23"/>
  <c r="T33" i="23"/>
  <c r="T21" i="23"/>
  <c r="T13" i="23"/>
  <c r="T34" i="23"/>
  <c r="T41" i="23"/>
  <c r="T10" i="23"/>
  <c r="T32" i="23"/>
  <c r="T18" i="23"/>
  <c r="T6" i="23"/>
  <c r="T28" i="23"/>
  <c r="T48" i="23"/>
  <c r="T46" i="23"/>
  <c r="T22" i="23"/>
  <c r="T31" i="23"/>
  <c r="T16" i="23"/>
  <c r="T43" i="23"/>
  <c r="T56" i="23"/>
  <c r="T19" i="23"/>
  <c r="T44" i="23"/>
  <c r="T12" i="23"/>
  <c r="T20" i="23"/>
  <c r="T29" i="23"/>
  <c r="T14" i="23"/>
  <c r="T37" i="23"/>
  <c r="T9" i="23"/>
  <c r="T55" i="23"/>
  <c r="T57" i="23"/>
  <c r="Y3" i="23"/>
  <c r="T35" i="23"/>
  <c r="T61" i="23"/>
  <c r="T45" i="23"/>
  <c r="T25" i="23"/>
  <c r="S4" i="23"/>
  <c r="R40" i="23"/>
  <c r="R21" i="23"/>
  <c r="R7" i="23"/>
  <c r="R30" i="23"/>
  <c r="R60" i="23"/>
  <c r="R15" i="23"/>
  <c r="R6" i="23"/>
  <c r="R12" i="23"/>
  <c r="R31" i="23"/>
  <c r="R23" i="23"/>
  <c r="R50" i="23"/>
  <c r="R41" i="23"/>
  <c r="R4" i="23"/>
  <c r="R55" i="23"/>
  <c r="R36" i="23"/>
  <c r="R28" i="23"/>
  <c r="R44" i="23"/>
  <c r="R22" i="23"/>
  <c r="R45" i="23"/>
  <c r="R14" i="23"/>
  <c r="R62" i="23"/>
  <c r="R25" i="23"/>
  <c r="R27" i="23"/>
  <c r="R57" i="23"/>
  <c r="R17" i="23"/>
  <c r="R38" i="23"/>
  <c r="R8" i="23"/>
  <c r="R43" i="23"/>
  <c r="R52" i="23"/>
  <c r="R9" i="23"/>
  <c r="R34" i="23"/>
  <c r="R51" i="23"/>
  <c r="R53" i="23"/>
  <c r="R37" i="23"/>
  <c r="R48" i="23"/>
  <c r="R35" i="23"/>
  <c r="R49" i="23"/>
  <c r="R39" i="23"/>
  <c r="R24" i="23"/>
  <c r="R54" i="23"/>
  <c r="R13" i="23"/>
  <c r="R47" i="23"/>
  <c r="R33" i="23"/>
  <c r="R18" i="23"/>
  <c r="R16" i="23"/>
  <c r="R10" i="23"/>
  <c r="R26" i="23"/>
  <c r="R5" i="23"/>
  <c r="R20" i="23"/>
  <c r="R32" i="23"/>
  <c r="R56" i="23"/>
  <c r="R46" i="23"/>
  <c r="R42" i="23"/>
  <c r="R11" i="23"/>
  <c r="R58" i="23"/>
  <c r="R19" i="23"/>
  <c r="R29" i="23"/>
  <c r="R59" i="23"/>
  <c r="R61" i="23"/>
  <c r="Q56" i="23"/>
  <c r="Q25" i="23"/>
  <c r="Q34" i="23"/>
  <c r="Q52" i="23"/>
  <c r="Q24" i="23"/>
  <c r="Q59" i="23"/>
  <c r="Q60" i="23"/>
  <c r="Q4" i="23"/>
  <c r="Q50" i="23"/>
  <c r="Q28" i="23"/>
  <c r="Q57" i="23"/>
  <c r="Q54" i="23"/>
  <c r="Q20" i="23"/>
  <c r="Q14" i="23"/>
  <c r="Q6" i="23"/>
  <c r="Q5" i="23"/>
  <c r="Q31" i="23"/>
  <c r="Q36" i="23"/>
  <c r="Q48" i="23"/>
  <c r="Q18" i="23"/>
  <c r="Q32" i="23"/>
  <c r="Q41" i="23"/>
  <c r="Q37" i="23"/>
  <c r="Q27" i="23"/>
  <c r="Q47" i="23"/>
  <c r="Q40" i="23"/>
  <c r="Q10" i="23"/>
  <c r="Q51" i="23"/>
  <c r="Q7" i="23"/>
  <c r="Q17" i="23"/>
  <c r="Q11" i="23"/>
  <c r="Q62" i="23"/>
  <c r="Q61" i="23"/>
  <c r="Q12" i="23"/>
  <c r="Q29" i="23"/>
  <c r="Q22" i="23"/>
  <c r="Q43" i="23"/>
  <c r="Q33" i="23"/>
  <c r="Q16" i="23"/>
  <c r="Q42" i="23"/>
  <c r="Q35" i="23"/>
  <c r="Q30" i="23"/>
  <c r="Q38" i="23"/>
  <c r="Q13" i="23"/>
  <c r="Q53" i="23"/>
  <c r="Q15" i="23"/>
  <c r="Q58" i="23"/>
  <c r="Q45" i="23"/>
  <c r="Q26" i="23"/>
  <c r="Q23" i="23"/>
  <c r="Q9" i="23"/>
  <c r="Q8" i="23"/>
  <c r="Q21" i="23"/>
  <c r="Q19" i="23"/>
  <c r="Q46" i="23"/>
  <c r="Q55" i="23"/>
  <c r="Q49" i="23"/>
  <c r="Q44" i="23"/>
  <c r="Q39" i="23"/>
  <c r="O17" i="3"/>
  <c r="H10" i="4"/>
  <c r="K13" i="16"/>
  <c r="E13" i="16"/>
  <c r="O93" i="16"/>
  <c r="F55" i="1"/>
  <c r="I25" i="16"/>
  <c r="C13" i="16"/>
  <c r="E59" i="16"/>
  <c r="E31" i="22"/>
  <c r="D59" i="16"/>
  <c r="F59" i="16"/>
  <c r="K95" i="16"/>
  <c r="K30" i="16"/>
  <c r="K31" i="16"/>
  <c r="D20" i="16"/>
  <c r="E44" i="4"/>
  <c r="B25" i="16"/>
  <c r="D12" i="4"/>
  <c r="K59" i="16"/>
  <c r="J60" i="16"/>
  <c r="D7" i="4"/>
  <c r="F13" i="16"/>
  <c r="D60" i="16"/>
  <c r="L31" i="22"/>
  <c r="E26" i="4"/>
  <c r="E34" i="4"/>
  <c r="E36" i="4"/>
  <c r="E43" i="4"/>
  <c r="J30" i="16"/>
  <c r="J31" i="16"/>
  <c r="F25" i="16"/>
  <c r="D30" i="16"/>
  <c r="D31" i="16"/>
  <c r="I30" i="16"/>
  <c r="I31" i="16"/>
  <c r="I59" i="16"/>
  <c r="D44" i="4"/>
  <c r="F31" i="22"/>
  <c r="F30" i="16"/>
  <c r="F31" i="16"/>
  <c r="E25" i="16"/>
  <c r="D31" i="22"/>
  <c r="D95" i="16"/>
  <c r="E60" i="16"/>
  <c r="C95" i="16"/>
  <c r="C30" i="16"/>
  <c r="C31" i="16"/>
  <c r="F95" i="16"/>
  <c r="E95" i="16"/>
  <c r="C25" i="16"/>
  <c r="K31" i="22"/>
  <c r="C59" i="16"/>
  <c r="D25" i="16"/>
  <c r="E30" i="16"/>
  <c r="E31" i="16"/>
  <c r="L6" i="3"/>
  <c r="K6" i="3"/>
  <c r="H8" i="3"/>
  <c r="O7" i="3"/>
  <c r="K15" i="3"/>
  <c r="K7" i="3"/>
  <c r="G7" i="22"/>
  <c r="F15" i="22"/>
  <c r="I109" i="22"/>
  <c r="G31" i="22"/>
  <c r="O28" i="22"/>
  <c r="E15" i="4"/>
  <c r="E7" i="4"/>
  <c r="E12" i="4"/>
  <c r="J25" i="16"/>
  <c r="J13" i="16"/>
  <c r="D13" i="16"/>
  <c r="L25" i="16"/>
  <c r="E91" i="16"/>
  <c r="F5" i="17"/>
  <c r="G5" i="17"/>
  <c r="H5" i="17"/>
  <c r="I5" i="17"/>
  <c r="J5" i="17"/>
  <c r="K5" i="17"/>
  <c r="L5" i="17"/>
  <c r="M5" i="17"/>
  <c r="I13" i="16"/>
  <c r="I95" i="16"/>
  <c r="B13" i="16"/>
  <c r="G60" i="16"/>
  <c r="G95" i="16"/>
  <c r="G59" i="16"/>
  <c r="H31" i="22"/>
  <c r="J95" i="16"/>
  <c r="J31" i="22"/>
  <c r="L30" i="16"/>
  <c r="L31" i="16"/>
  <c r="E8" i="3"/>
  <c r="L8" i="3"/>
  <c r="M17" i="3"/>
  <c r="L17" i="3"/>
  <c r="M8" i="3"/>
  <c r="N27" i="22"/>
  <c r="S27" i="22"/>
  <c r="I45" i="1" a="1"/>
  <c r="S51" i="1"/>
  <c r="G50" i="10"/>
  <c r="D73" i="4"/>
  <c r="K25" i="1"/>
  <c r="H60" i="16"/>
  <c r="P27" i="22"/>
  <c r="P28" i="22"/>
  <c r="N28" i="22"/>
  <c r="H95" i="16"/>
  <c r="H20" i="16"/>
  <c r="Q25" i="22"/>
  <c r="I31" i="22"/>
  <c r="M55" i="1"/>
  <c r="E45" i="1" a="1"/>
  <c r="E45" i="1"/>
  <c r="P18" i="22"/>
  <c r="C15" i="10"/>
  <c r="H15" i="10"/>
  <c r="I15" i="10"/>
  <c r="N47" i="1"/>
  <c r="E27" i="1"/>
  <c r="C16" i="10"/>
  <c r="H16" i="10"/>
  <c r="I16" i="10"/>
  <c r="N49" i="1"/>
  <c r="N50" i="1"/>
  <c r="C45" i="1"/>
  <c r="N46" i="1"/>
  <c r="E28" i="1"/>
  <c r="N48" i="1"/>
  <c r="N52" i="1"/>
  <c r="C57" i="1"/>
  <c r="N53" i="1"/>
  <c r="E50" i="10"/>
  <c r="C56" i="1"/>
  <c r="Q28" i="22"/>
  <c r="O25" i="22"/>
  <c r="N25" i="22"/>
  <c r="P25" i="22"/>
  <c r="AG12" i="23"/>
  <c r="AK12" i="23"/>
  <c r="C31" i="10"/>
  <c r="C11" i="10"/>
  <c r="C14" i="10"/>
  <c r="H14" i="10"/>
  <c r="I14" i="10"/>
  <c r="C13" i="10"/>
  <c r="C53" i="10"/>
  <c r="H53" i="10"/>
  <c r="I53" i="10"/>
  <c r="C33" i="10"/>
  <c r="C21" i="1"/>
  <c r="L4" i="19"/>
  <c r="H10" i="10"/>
  <c r="I10" i="10"/>
  <c r="Q27" i="22"/>
  <c r="H30" i="16"/>
  <c r="H31" i="16"/>
  <c r="G30" i="16"/>
  <c r="G31" i="16"/>
  <c r="N19" i="22"/>
  <c r="O19" i="22"/>
  <c r="P19" i="22"/>
  <c r="Q19" i="22"/>
  <c r="B20" i="16"/>
  <c r="C62" i="10"/>
  <c r="K28" i="1"/>
  <c r="C50" i="10"/>
  <c r="M23" i="1"/>
  <c r="M24" i="1"/>
  <c r="H13" i="16"/>
  <c r="G13" i="16"/>
  <c r="K23" i="1"/>
  <c r="N26" i="22"/>
  <c r="N29" i="22"/>
  <c r="O29" i="22"/>
  <c r="Q29" i="22"/>
  <c r="P29" i="22"/>
  <c r="T29" i="22"/>
  <c r="E66" i="4"/>
  <c r="C32" i="10"/>
  <c r="C30" i="10"/>
  <c r="R49" i="1"/>
  <c r="R47" i="1"/>
  <c r="H45" i="1"/>
  <c r="H56" i="1"/>
  <c r="R53" i="1"/>
  <c r="R51" i="1"/>
  <c r="R48" i="1"/>
  <c r="R50" i="1"/>
  <c r="H57" i="1"/>
  <c r="R52" i="1"/>
  <c r="D45" i="1" a="1"/>
  <c r="K26" i="1"/>
  <c r="F12" i="4"/>
  <c r="C17" i="10"/>
  <c r="K21" i="1"/>
  <c r="B59" i="16"/>
  <c r="E25" i="1"/>
  <c r="F44" i="4"/>
  <c r="C31" i="22"/>
  <c r="AH12" i="23"/>
  <c r="C22" i="1"/>
  <c r="B60" i="16"/>
  <c r="B95" i="16"/>
  <c r="C78" i="10"/>
  <c r="C18" i="10"/>
  <c r="E23" i="1"/>
  <c r="E22" i="1"/>
  <c r="L55" i="1"/>
  <c r="H28" i="10"/>
  <c r="I28" i="10"/>
  <c r="G25" i="16"/>
  <c r="H25" i="16"/>
  <c r="T28" i="22"/>
  <c r="E65" i="4"/>
  <c r="E380" i="22"/>
  <c r="E381" i="22"/>
  <c r="I25" i="4"/>
  <c r="BF138" i="22"/>
  <c r="BE139" i="22"/>
  <c r="G12" i="4"/>
  <c r="G44" i="4"/>
  <c r="G28" i="4"/>
  <c r="C366" i="22" a="1"/>
  <c r="C366" i="22"/>
  <c r="E376" i="22"/>
  <c r="D384" i="22"/>
  <c r="V398" i="22"/>
  <c r="Z398" i="22"/>
  <c r="H398" i="22"/>
  <c r="E373" i="22"/>
  <c r="Q398" i="22"/>
  <c r="K398" i="22"/>
  <c r="E398" i="22"/>
  <c r="L373" i="22"/>
  <c r="C372" i="22"/>
  <c r="O372" i="22"/>
  <c r="J373" i="22"/>
  <c r="P398" i="22"/>
  <c r="P393" i="22"/>
  <c r="AA398" i="22"/>
  <c r="D398" i="22"/>
  <c r="G373" i="22"/>
  <c r="U398" i="22"/>
  <c r="L398" i="22"/>
  <c r="O398" i="22"/>
  <c r="K373" i="22"/>
  <c r="AB398" i="22"/>
  <c r="P371" i="22"/>
  <c r="N371" i="22"/>
  <c r="M371" i="22"/>
  <c r="O371" i="22"/>
  <c r="P370" i="22"/>
  <c r="O365" i="22"/>
  <c r="M365" i="22"/>
  <c r="N365" i="22"/>
  <c r="C370" i="22"/>
  <c r="W398" i="22"/>
  <c r="N364" i="22"/>
  <c r="O364" i="22"/>
  <c r="M364" i="22"/>
  <c r="M398" i="22"/>
  <c r="I398" i="22"/>
  <c r="F398" i="22"/>
  <c r="X398" i="22"/>
  <c r="R398" i="22"/>
  <c r="G398" i="22"/>
  <c r="Y398" i="22"/>
  <c r="J398" i="22"/>
  <c r="N398" i="22"/>
  <c r="T398" i="22"/>
  <c r="S398" i="22"/>
  <c r="I11" i="4"/>
  <c r="I20" i="4"/>
  <c r="I21" i="4"/>
  <c r="E399" i="22"/>
  <c r="N119" i="22"/>
  <c r="D373" i="22"/>
  <c r="H373" i="22"/>
  <c r="P372" i="22"/>
  <c r="M115" i="22"/>
  <c r="M119" i="22"/>
  <c r="N115" i="22"/>
  <c r="I373" i="22"/>
  <c r="N111" i="22"/>
  <c r="M111" i="22"/>
  <c r="F373" i="22"/>
  <c r="I27" i="4"/>
  <c r="O125" i="22"/>
  <c r="D36" i="4"/>
  <c r="F43" i="4"/>
  <c r="G13" i="4"/>
  <c r="D64" i="4"/>
  <c r="O26" i="22"/>
  <c r="P26" i="22"/>
  <c r="L6" i="19"/>
  <c r="T6" i="19"/>
  <c r="L8" i="19"/>
  <c r="T8" i="19"/>
  <c r="L9" i="19"/>
  <c r="T9" i="19"/>
  <c r="L7" i="19"/>
  <c r="T7" i="19"/>
  <c r="C55" i="1"/>
  <c r="I24" i="4"/>
  <c r="C21" i="10"/>
  <c r="U42" i="23"/>
  <c r="Y20" i="23"/>
  <c r="Y9" i="23"/>
  <c r="Y21" i="23"/>
  <c r="Y18" i="23"/>
  <c r="Y16" i="23"/>
  <c r="Y12" i="23"/>
  <c r="Y5" i="23"/>
  <c r="Y8" i="23"/>
  <c r="U82" i="23"/>
  <c r="U83" i="23"/>
  <c r="U78" i="23"/>
  <c r="U66" i="23"/>
  <c r="U70" i="23"/>
  <c r="U71" i="23"/>
  <c r="U101" i="23"/>
  <c r="U102" i="23"/>
  <c r="U81" i="23"/>
  <c r="U85" i="23"/>
  <c r="U86" i="23"/>
  <c r="U79" i="23"/>
  <c r="U80" i="23"/>
  <c r="U75" i="23"/>
  <c r="U72" i="23"/>
  <c r="U76" i="23"/>
  <c r="U77" i="23"/>
  <c r="U69" i="23"/>
  <c r="U73" i="23"/>
  <c r="U74" i="23"/>
  <c r="U99" i="23"/>
  <c r="U63" i="23"/>
  <c r="U67" i="23"/>
  <c r="U68" i="23"/>
  <c r="U96" i="23"/>
  <c r="U100" i="23"/>
  <c r="U64" i="23"/>
  <c r="U65" i="23"/>
  <c r="U93" i="23"/>
  <c r="U97" i="23"/>
  <c r="U98" i="23"/>
  <c r="U90" i="23"/>
  <c r="U94" i="23"/>
  <c r="U95" i="23"/>
  <c r="U87" i="23"/>
  <c r="U91" i="23"/>
  <c r="U92" i="23"/>
  <c r="U84" i="23"/>
  <c r="U88" i="23"/>
  <c r="U89" i="23"/>
  <c r="U28" i="23"/>
  <c r="U43" i="23"/>
  <c r="U15" i="23"/>
  <c r="U49" i="23"/>
  <c r="U62" i="23"/>
  <c r="U52" i="23"/>
  <c r="I8" i="4"/>
  <c r="U26" i="23"/>
  <c r="U34" i="23"/>
  <c r="U39" i="23"/>
  <c r="U29" i="23"/>
  <c r="U20" i="23"/>
  <c r="U38" i="23"/>
  <c r="U33" i="23"/>
  <c r="U21" i="23"/>
  <c r="U7" i="23"/>
  <c r="U36" i="23"/>
  <c r="U9" i="23"/>
  <c r="U24" i="23"/>
  <c r="U44" i="23"/>
  <c r="U54" i="23"/>
  <c r="U61" i="23"/>
  <c r="U48" i="23"/>
  <c r="U8" i="23"/>
  <c r="U13" i="23"/>
  <c r="U51" i="23"/>
  <c r="U45" i="23"/>
  <c r="U30" i="23"/>
  <c r="E30" i="1"/>
  <c r="U23" i="23"/>
  <c r="U18" i="23"/>
  <c r="U55" i="23"/>
  <c r="U25" i="23"/>
  <c r="U46" i="23"/>
  <c r="U58" i="23"/>
  <c r="U16" i="23"/>
  <c r="U11" i="23"/>
  <c r="U47" i="23"/>
  <c r="U31" i="23"/>
  <c r="U50" i="23"/>
  <c r="U56" i="23"/>
  <c r="U32" i="23"/>
  <c r="U53" i="23"/>
  <c r="U22" i="23"/>
  <c r="U57" i="23"/>
  <c r="U40" i="23"/>
  <c r="U19" i="23"/>
  <c r="U17" i="23"/>
  <c r="U27" i="23"/>
  <c r="U5" i="23"/>
  <c r="U4" i="23"/>
  <c r="U37" i="23"/>
  <c r="U6" i="23"/>
  <c r="U59" i="23"/>
  <c r="U14" i="23"/>
  <c r="U41" i="23"/>
  <c r="U60" i="23"/>
  <c r="U35" i="23"/>
  <c r="U12" i="23"/>
  <c r="U10" i="23"/>
  <c r="H39" i="4"/>
  <c r="H38" i="4"/>
  <c r="E26" i="1"/>
  <c r="O8" i="3"/>
  <c r="N8" i="3"/>
  <c r="D8" i="3"/>
  <c r="G15" i="22"/>
  <c r="H109" i="22"/>
  <c r="H7" i="22"/>
  <c r="S50" i="1"/>
  <c r="S52" i="1"/>
  <c r="S47" i="1"/>
  <c r="S48" i="1"/>
  <c r="I45" i="1"/>
  <c r="S49" i="1"/>
  <c r="L56" i="1"/>
  <c r="M56" i="1"/>
  <c r="S53" i="1"/>
  <c r="M30" i="1"/>
  <c r="C24" i="1"/>
  <c r="M26" i="1"/>
  <c r="AM12" i="23"/>
  <c r="C54" i="1"/>
  <c r="N54" i="1"/>
  <c r="H33" i="10"/>
  <c r="I33" i="10"/>
  <c r="H13" i="10"/>
  <c r="I13" i="10"/>
  <c r="H54" i="1"/>
  <c r="H11" i="10"/>
  <c r="I11" i="10"/>
  <c r="H36" i="10"/>
  <c r="I36" i="10"/>
  <c r="C37" i="10"/>
  <c r="H37" i="10"/>
  <c r="I37" i="10"/>
  <c r="H31" i="10"/>
  <c r="I31" i="10"/>
  <c r="C38" i="10"/>
  <c r="H38" i="10"/>
  <c r="I38" i="10"/>
  <c r="AL12" i="23"/>
  <c r="AJ12" i="23"/>
  <c r="M28" i="1"/>
  <c r="M31" i="1"/>
  <c r="C44" i="10"/>
  <c r="M25" i="1"/>
  <c r="H32" i="10"/>
  <c r="I32" i="10"/>
  <c r="H14" i="4"/>
  <c r="H47" i="10"/>
  <c r="I47" i="10"/>
  <c r="H50" i="10"/>
  <c r="I50" i="10"/>
  <c r="H17" i="10"/>
  <c r="I17" i="10"/>
  <c r="K27" i="1"/>
  <c r="O49" i="1"/>
  <c r="O52" i="1"/>
  <c r="D45" i="1"/>
  <c r="D56" i="1"/>
  <c r="O50" i="1"/>
  <c r="D57" i="1"/>
  <c r="O47" i="1"/>
  <c r="O48" i="1"/>
  <c r="O51" i="1"/>
  <c r="O53" i="1"/>
  <c r="C25" i="10"/>
  <c r="Q20" i="22"/>
  <c r="P20" i="22"/>
  <c r="N20" i="22"/>
  <c r="P31" i="22"/>
  <c r="O31" i="22"/>
  <c r="N31" i="22"/>
  <c r="Q31" i="22"/>
  <c r="AN12" i="23"/>
  <c r="C23" i="10"/>
  <c r="C39" i="10"/>
  <c r="C20" i="10"/>
  <c r="C22" i="10"/>
  <c r="C40" i="10"/>
  <c r="C24" i="10"/>
  <c r="H30" i="10"/>
  <c r="I30" i="10"/>
  <c r="G45" i="1" a="1"/>
  <c r="G45" i="1"/>
  <c r="BG138" i="22"/>
  <c r="BF139" i="22"/>
  <c r="O370" i="22"/>
  <c r="D377" i="22"/>
  <c r="P366" i="22"/>
  <c r="G376" i="22"/>
  <c r="C383" i="22"/>
  <c r="D383" i="22"/>
  <c r="E383" i="22"/>
  <c r="E384" i="22"/>
  <c r="M372" i="22"/>
  <c r="O366" i="22"/>
  <c r="N366" i="22"/>
  <c r="M366" i="22"/>
  <c r="N372" i="22"/>
  <c r="M370" i="22"/>
  <c r="N370" i="22"/>
  <c r="C373" i="22"/>
  <c r="P373" i="22"/>
  <c r="G15" i="4"/>
  <c r="G16" i="4"/>
  <c r="G17" i="4"/>
  <c r="K8" i="3"/>
  <c r="V47" i="23"/>
  <c r="V90" i="23"/>
  <c r="W90" i="23"/>
  <c r="V52" i="23"/>
  <c r="V22" i="23"/>
  <c r="W22" i="23"/>
  <c r="V94" i="23"/>
  <c r="W94" i="23"/>
  <c r="V61" i="23"/>
  <c r="V55" i="23"/>
  <c r="W55" i="23"/>
  <c r="V62" i="23"/>
  <c r="W62" i="23"/>
  <c r="V72" i="23"/>
  <c r="W72" i="23"/>
  <c r="V30" i="23"/>
  <c r="W30" i="23"/>
  <c r="V14" i="23"/>
  <c r="W14" i="23"/>
  <c r="V53" i="23"/>
  <c r="W53" i="23"/>
  <c r="V18" i="23"/>
  <c r="W18" i="23"/>
  <c r="V54" i="23"/>
  <c r="W54" i="23"/>
  <c r="V34" i="23"/>
  <c r="V49" i="23"/>
  <c r="V84" i="23"/>
  <c r="V100" i="23"/>
  <c r="V75" i="23"/>
  <c r="W75" i="23"/>
  <c r="V83" i="23"/>
  <c r="W83" i="23"/>
  <c r="V59" i="23"/>
  <c r="V32" i="23"/>
  <c r="W32" i="23"/>
  <c r="V23" i="23"/>
  <c r="W23" i="23"/>
  <c r="V44" i="23"/>
  <c r="V26" i="23"/>
  <c r="W26" i="23"/>
  <c r="V15" i="23"/>
  <c r="W15" i="23"/>
  <c r="V92" i="23"/>
  <c r="W92" i="23"/>
  <c r="V96" i="23"/>
  <c r="V80" i="23"/>
  <c r="V82" i="23"/>
  <c r="W82" i="23"/>
  <c r="V6" i="23"/>
  <c r="W6" i="23"/>
  <c r="V56" i="23"/>
  <c r="V24" i="23"/>
  <c r="W24" i="23"/>
  <c r="V43" i="23"/>
  <c r="V91" i="23"/>
  <c r="W91" i="23"/>
  <c r="V68" i="23"/>
  <c r="W68" i="23"/>
  <c r="V79" i="23"/>
  <c r="W79" i="23"/>
  <c r="V37" i="23"/>
  <c r="W37" i="23"/>
  <c r="V9" i="23"/>
  <c r="V41" i="23"/>
  <c r="W41" i="23"/>
  <c r="V39" i="23"/>
  <c r="W39" i="23"/>
  <c r="V88" i="23"/>
  <c r="W88" i="23"/>
  <c r="V64" i="23"/>
  <c r="W64" i="23"/>
  <c r="V78" i="23"/>
  <c r="W78" i="23"/>
  <c r="V50" i="23"/>
  <c r="W50" i="23"/>
  <c r="V28" i="23"/>
  <c r="W28" i="23"/>
  <c r="V87" i="23"/>
  <c r="W87" i="23"/>
  <c r="V67" i="23"/>
  <c r="W67" i="23"/>
  <c r="V86" i="23"/>
  <c r="W86" i="23"/>
  <c r="V4" i="23"/>
  <c r="W4" i="23"/>
  <c r="V31" i="23"/>
  <c r="W31" i="23"/>
  <c r="V36" i="23"/>
  <c r="W36" i="23"/>
  <c r="V95" i="23"/>
  <c r="W95" i="23"/>
  <c r="V63" i="23"/>
  <c r="V85" i="23"/>
  <c r="W85" i="23"/>
  <c r="V7" i="23"/>
  <c r="W7" i="23"/>
  <c r="V99" i="23"/>
  <c r="W99" i="23"/>
  <c r="V81" i="23"/>
  <c r="W81" i="23"/>
  <c r="V74" i="23"/>
  <c r="W74" i="23"/>
  <c r="V5" i="23"/>
  <c r="W5" i="23"/>
  <c r="V27" i="23"/>
  <c r="W27" i="23"/>
  <c r="V11" i="23"/>
  <c r="W11" i="23"/>
  <c r="V45" i="23"/>
  <c r="W45" i="23"/>
  <c r="V21" i="23"/>
  <c r="V102" i="23"/>
  <c r="W102" i="23"/>
  <c r="V10" i="23"/>
  <c r="W10" i="23"/>
  <c r="V17" i="23"/>
  <c r="W17" i="23"/>
  <c r="V16" i="23"/>
  <c r="W16" i="23"/>
  <c r="V51" i="23"/>
  <c r="W51" i="23"/>
  <c r="V33" i="23"/>
  <c r="W33" i="23"/>
  <c r="V98" i="23"/>
  <c r="W98" i="23"/>
  <c r="V73" i="23"/>
  <c r="W73" i="23"/>
  <c r="V101" i="23"/>
  <c r="W101" i="23"/>
  <c r="V12" i="23"/>
  <c r="W12" i="23"/>
  <c r="V19" i="23"/>
  <c r="W19" i="23"/>
  <c r="V58" i="23"/>
  <c r="W58" i="23"/>
  <c r="V13" i="23"/>
  <c r="W13" i="23"/>
  <c r="V38" i="23"/>
  <c r="W38" i="23"/>
  <c r="V97" i="23"/>
  <c r="W97" i="23"/>
  <c r="V69" i="23"/>
  <c r="W69" i="23"/>
  <c r="V71" i="23"/>
  <c r="W71" i="23"/>
  <c r="V35" i="23"/>
  <c r="W35" i="23"/>
  <c r="V40" i="23"/>
  <c r="W40" i="23"/>
  <c r="V46" i="23"/>
  <c r="W46" i="23"/>
  <c r="V8" i="23"/>
  <c r="W8" i="23"/>
  <c r="V20" i="23"/>
  <c r="W20" i="23"/>
  <c r="V93" i="23"/>
  <c r="W93" i="23"/>
  <c r="V77" i="23"/>
  <c r="W77" i="23"/>
  <c r="V70" i="23"/>
  <c r="W70" i="23"/>
  <c r="V60" i="23"/>
  <c r="W60" i="23"/>
  <c r="V57" i="23"/>
  <c r="V25" i="23"/>
  <c r="W25" i="23"/>
  <c r="V48" i="23"/>
  <c r="W48" i="23"/>
  <c r="V29" i="23"/>
  <c r="W29" i="23"/>
  <c r="V89" i="23"/>
  <c r="W89" i="23"/>
  <c r="V65" i="23"/>
  <c r="W65" i="23"/>
  <c r="V76" i="23"/>
  <c r="W76" i="23"/>
  <c r="V66" i="23"/>
  <c r="W66" i="23"/>
  <c r="V42" i="23"/>
  <c r="W84" i="23"/>
  <c r="W80" i="23"/>
  <c r="W63" i="23"/>
  <c r="W100" i="23"/>
  <c r="W96" i="23"/>
  <c r="W34" i="23"/>
  <c r="W52" i="23"/>
  <c r="W9" i="23"/>
  <c r="W49" i="23"/>
  <c r="W47" i="23"/>
  <c r="W21" i="23"/>
  <c r="I10" i="4"/>
  <c r="M57" i="1"/>
  <c r="L57" i="1"/>
  <c r="B6" i="3"/>
  <c r="H21" i="1"/>
  <c r="B5" i="3"/>
  <c r="B7" i="3"/>
  <c r="H22" i="1"/>
  <c r="I7" i="22"/>
  <c r="H15" i="22"/>
  <c r="G109" i="22"/>
  <c r="H55" i="1"/>
  <c r="AM13" i="23"/>
  <c r="AM14" i="23"/>
  <c r="M41" i="1"/>
  <c r="M27" i="1"/>
  <c r="O46" i="1"/>
  <c r="D55" i="1"/>
  <c r="AJ13" i="23"/>
  <c r="AJ14" i="23"/>
  <c r="M39" i="1"/>
  <c r="H44" i="10"/>
  <c r="I44" i="10"/>
  <c r="H39" i="10"/>
  <c r="I39" i="10"/>
  <c r="H21" i="10"/>
  <c r="I21" i="10"/>
  <c r="H40" i="10"/>
  <c r="I40" i="10"/>
  <c r="H23" i="10"/>
  <c r="I23" i="10"/>
  <c r="H24" i="10"/>
  <c r="I24" i="10"/>
  <c r="H18" i="10"/>
  <c r="I18" i="10"/>
  <c r="H22" i="10"/>
  <c r="I22" i="10"/>
  <c r="H25" i="10"/>
  <c r="I25" i="10"/>
  <c r="D54" i="1"/>
  <c r="O54" i="1"/>
  <c r="H20" i="10"/>
  <c r="I20" i="10"/>
  <c r="I14" i="4"/>
  <c r="BH138" i="22"/>
  <c r="BG139" i="22"/>
  <c r="BD146" i="22"/>
  <c r="G377" i="22"/>
  <c r="AB385" i="22"/>
  <c r="G385" i="22"/>
  <c r="H385" i="22"/>
  <c r="I385" i="22"/>
  <c r="J385" i="22"/>
  <c r="K385" i="22"/>
  <c r="L385" i="22"/>
  <c r="M385" i="22"/>
  <c r="N385" i="22"/>
  <c r="O385" i="22"/>
  <c r="P385" i="22"/>
  <c r="Q385" i="22"/>
  <c r="R385" i="22"/>
  <c r="S385" i="22"/>
  <c r="T385" i="22"/>
  <c r="U385" i="22"/>
  <c r="V385" i="22"/>
  <c r="W385" i="22"/>
  <c r="X385" i="22"/>
  <c r="Y385" i="22"/>
  <c r="Z385" i="22"/>
  <c r="AA385" i="22"/>
  <c r="M373" i="22"/>
  <c r="C385" i="22"/>
  <c r="O373" i="22"/>
  <c r="N373" i="22"/>
  <c r="G23" i="4"/>
  <c r="H23" i="4"/>
  <c r="H26" i="4"/>
  <c r="I23" i="4"/>
  <c r="I26" i="4"/>
  <c r="G29" i="4"/>
  <c r="G30" i="4"/>
  <c r="G19" i="4"/>
  <c r="G22" i="4"/>
  <c r="AI4" i="23"/>
  <c r="AI6" i="23"/>
  <c r="AI8" i="23"/>
  <c r="AF5" i="23"/>
  <c r="AF7" i="23"/>
  <c r="AF3" i="23"/>
  <c r="AG5" i="23"/>
  <c r="AG7" i="23"/>
  <c r="AH5" i="23"/>
  <c r="AH7" i="23"/>
  <c r="AI5" i="23"/>
  <c r="AI7" i="23"/>
  <c r="AF4" i="23"/>
  <c r="AF6" i="23"/>
  <c r="AF8" i="23"/>
  <c r="AG4" i="23"/>
  <c r="AG6" i="23"/>
  <c r="AG8" i="23"/>
  <c r="AH4" i="23"/>
  <c r="AH6" i="23"/>
  <c r="AH8" i="23"/>
  <c r="AH3" i="23"/>
  <c r="AI3" i="23"/>
  <c r="AG3" i="23"/>
  <c r="I38" i="4"/>
  <c r="J10" i="4"/>
  <c r="I39" i="4"/>
  <c r="H20" i="1"/>
  <c r="B8" i="3"/>
  <c r="J7" i="22"/>
  <c r="I15" i="22"/>
  <c r="F109" i="22"/>
  <c r="P255" i="22"/>
  <c r="P259" i="22"/>
  <c r="J6" i="4"/>
  <c r="BD147" i="22"/>
  <c r="BI138" i="22"/>
  <c r="BH139" i="22"/>
  <c r="D385" i="22"/>
  <c r="C382" i="22"/>
  <c r="C386" i="22"/>
  <c r="C387" i="22"/>
  <c r="G40" i="4"/>
  <c r="G26" i="4"/>
  <c r="G34" i="4"/>
  <c r="G35" i="4"/>
  <c r="G32" i="4"/>
  <c r="J39" i="4"/>
  <c r="J38" i="4"/>
  <c r="K7" i="22"/>
  <c r="J15" i="22"/>
  <c r="E109" i="22"/>
  <c r="J5" i="4"/>
  <c r="F380" i="22"/>
  <c r="J24" i="4"/>
  <c r="J21" i="4"/>
  <c r="J27" i="4"/>
  <c r="F399" i="22"/>
  <c r="J23" i="4"/>
  <c r="J8" i="4"/>
  <c r="J11" i="4"/>
  <c r="J20" i="4"/>
  <c r="BJ138" i="22"/>
  <c r="BI139" i="22"/>
  <c r="E385" i="22"/>
  <c r="E382" i="22"/>
  <c r="E386" i="22"/>
  <c r="D382" i="22"/>
  <c r="D386" i="22"/>
  <c r="D387" i="22"/>
  <c r="G36" i="4"/>
  <c r="G43" i="4"/>
  <c r="H13" i="4"/>
  <c r="H9" i="4"/>
  <c r="H41" i="4"/>
  <c r="H40" i="4"/>
  <c r="K10" i="4"/>
  <c r="K15" i="22"/>
  <c r="D109" i="22"/>
  <c r="L7" i="22"/>
  <c r="L15" i="22"/>
  <c r="C109" i="22"/>
  <c r="F381" i="22"/>
  <c r="F383" i="22"/>
  <c r="J31" i="4"/>
  <c r="J25" i="4"/>
  <c r="J26" i="4"/>
  <c r="J14" i="4"/>
  <c r="BK138" i="22"/>
  <c r="BJ139" i="22"/>
  <c r="E387" i="22"/>
  <c r="H12" i="4"/>
  <c r="H44" i="4"/>
  <c r="H28" i="4"/>
  <c r="I9" i="4"/>
  <c r="I41" i="4"/>
  <c r="I40" i="4"/>
  <c r="H15" i="4"/>
  <c r="H16" i="4"/>
  <c r="H17" i="4"/>
  <c r="H19" i="4"/>
  <c r="H22" i="4"/>
  <c r="K38" i="4"/>
  <c r="L10" i="4"/>
  <c r="K39" i="4"/>
  <c r="F382" i="22"/>
  <c r="F384" i="22"/>
  <c r="BL138" i="22"/>
  <c r="BK139" i="22"/>
  <c r="BH146" i="22"/>
  <c r="H34" i="4"/>
  <c r="J40" i="4"/>
  <c r="J9" i="4"/>
  <c r="J41" i="4"/>
  <c r="I12" i="4"/>
  <c r="I44" i="4"/>
  <c r="I28" i="4"/>
  <c r="H29" i="4"/>
  <c r="H30" i="4"/>
  <c r="L38" i="4"/>
  <c r="L39" i="4"/>
  <c r="F386" i="22"/>
  <c r="F387" i="22"/>
  <c r="BH147" i="22"/>
  <c r="Q255" i="22"/>
  <c r="Q259" i="22"/>
  <c r="K6" i="4"/>
  <c r="BM138" i="22"/>
  <c r="BL139" i="22"/>
  <c r="K9" i="4"/>
  <c r="J12" i="4"/>
  <c r="J44" i="4"/>
  <c r="J28" i="4"/>
  <c r="H35" i="4"/>
  <c r="H36" i="4"/>
  <c r="H43" i="4"/>
  <c r="I13" i="4"/>
  <c r="H32" i="4"/>
  <c r="M10" i="4"/>
  <c r="G380" i="22"/>
  <c r="K27" i="4"/>
  <c r="K8" i="4"/>
  <c r="K12" i="4"/>
  <c r="K44" i="4"/>
  <c r="K28" i="4"/>
  <c r="K24" i="4"/>
  <c r="K21" i="4"/>
  <c r="G399" i="22"/>
  <c r="K11" i="4"/>
  <c r="K20" i="4"/>
  <c r="K5" i="4"/>
  <c r="BN138" i="22"/>
  <c r="BM139" i="22"/>
  <c r="K41" i="4"/>
  <c r="I15" i="4"/>
  <c r="I16" i="4"/>
  <c r="I17" i="4"/>
  <c r="I19" i="4"/>
  <c r="I22" i="4"/>
  <c r="I34" i="4"/>
  <c r="M39" i="4"/>
  <c r="M38" i="4"/>
  <c r="N10" i="4"/>
  <c r="K14" i="4"/>
  <c r="K31" i="4"/>
  <c r="K25" i="4"/>
  <c r="G383" i="22"/>
  <c r="G381" i="22"/>
  <c r="BO138" i="22"/>
  <c r="BN139" i="22"/>
  <c r="I30" i="4"/>
  <c r="I29" i="4"/>
  <c r="N39" i="4"/>
  <c r="N38" i="4"/>
  <c r="G384" i="22"/>
  <c r="G382" i="22"/>
  <c r="BP138" i="22"/>
  <c r="BO139" i="22"/>
  <c r="BL146" i="22"/>
  <c r="I35" i="4"/>
  <c r="I36" i="4"/>
  <c r="I43" i="4"/>
  <c r="J13" i="4"/>
  <c r="I32" i="4"/>
  <c r="O10" i="4"/>
  <c r="G386" i="22"/>
  <c r="G387" i="22"/>
  <c r="BL147" i="22"/>
  <c r="R255" i="22"/>
  <c r="R259" i="22"/>
  <c r="L6" i="4"/>
  <c r="BQ138" i="22"/>
  <c r="BP139" i="22"/>
  <c r="J15" i="4"/>
  <c r="J16" i="4"/>
  <c r="J17" i="4"/>
  <c r="O39" i="4"/>
  <c r="O38" i="4"/>
  <c r="L5" i="4"/>
  <c r="H380" i="22"/>
  <c r="L24" i="4"/>
  <c r="L27" i="4"/>
  <c r="L21" i="4"/>
  <c r="L8" i="4"/>
  <c r="L11" i="4"/>
  <c r="L20" i="4"/>
  <c r="H399" i="22"/>
  <c r="BR138" i="22"/>
  <c r="BQ139" i="22"/>
  <c r="J19" i="4"/>
  <c r="J22" i="4"/>
  <c r="J34" i="4"/>
  <c r="J30" i="4"/>
  <c r="J29" i="4"/>
  <c r="P10" i="4"/>
  <c r="H381" i="22"/>
  <c r="H383" i="22"/>
  <c r="L31" i="4"/>
  <c r="L25" i="4"/>
  <c r="L14" i="4"/>
  <c r="BS138" i="22"/>
  <c r="BR139" i="22"/>
  <c r="J35" i="4"/>
  <c r="J36" i="4"/>
  <c r="J43" i="4"/>
  <c r="K13" i="4"/>
  <c r="J32" i="4"/>
  <c r="P39" i="4"/>
  <c r="P38" i="4"/>
  <c r="Q10" i="4"/>
  <c r="H382" i="22"/>
  <c r="H384" i="22"/>
  <c r="BT138" i="22"/>
  <c r="BS139" i="22"/>
  <c r="BP146" i="22"/>
  <c r="K15" i="4"/>
  <c r="K16" i="4"/>
  <c r="K17" i="4"/>
  <c r="Q39" i="4"/>
  <c r="Q38" i="4"/>
  <c r="H386" i="22"/>
  <c r="H387" i="22"/>
  <c r="S255" i="22"/>
  <c r="S259" i="22"/>
  <c r="M6" i="4"/>
  <c r="BP147" i="22"/>
  <c r="BU138" i="22"/>
  <c r="BT139" i="22"/>
  <c r="K30" i="4"/>
  <c r="K19" i="4"/>
  <c r="K22" i="4"/>
  <c r="K29" i="4"/>
  <c r="R10" i="4"/>
  <c r="M5" i="4"/>
  <c r="I380" i="22"/>
  <c r="I399" i="22"/>
  <c r="M27" i="4"/>
  <c r="M24" i="4"/>
  <c r="M21" i="4"/>
  <c r="M8" i="4"/>
  <c r="M11" i="4"/>
  <c r="M20" i="4"/>
  <c r="BV138" i="22"/>
  <c r="BU139" i="22"/>
  <c r="K35" i="4"/>
  <c r="K32" i="4"/>
  <c r="R38" i="4"/>
  <c r="S10" i="4"/>
  <c r="R39" i="4"/>
  <c r="I381" i="22"/>
  <c r="I383" i="22"/>
  <c r="M31" i="4"/>
  <c r="M25" i="4"/>
  <c r="M14" i="4"/>
  <c r="BW138" i="22"/>
  <c r="BV139" i="22"/>
  <c r="S38" i="4"/>
  <c r="S39" i="4"/>
  <c r="I382" i="22"/>
  <c r="I384" i="22"/>
  <c r="BX138" i="22"/>
  <c r="BW139" i="22"/>
  <c r="BT146" i="22"/>
  <c r="T10" i="4"/>
  <c r="I386" i="22"/>
  <c r="I387" i="22"/>
  <c r="BT147" i="22"/>
  <c r="T255" i="22"/>
  <c r="T259" i="22"/>
  <c r="N6" i="4"/>
  <c r="BY138" i="22"/>
  <c r="BX139" i="22"/>
  <c r="T38" i="4"/>
  <c r="T39" i="4"/>
  <c r="N5" i="4"/>
  <c r="J380" i="22"/>
  <c r="N8" i="4"/>
  <c r="N27" i="4"/>
  <c r="J399" i="22"/>
  <c r="N21" i="4"/>
  <c r="N24" i="4"/>
  <c r="N11" i="4"/>
  <c r="N20" i="4"/>
  <c r="BZ138" i="22"/>
  <c r="BY139" i="22"/>
  <c r="U10" i="4"/>
  <c r="J383" i="22"/>
  <c r="J381" i="22"/>
  <c r="N25" i="4"/>
  <c r="N14" i="4"/>
  <c r="N31" i="4"/>
  <c r="CA138" i="22"/>
  <c r="BZ139" i="22"/>
  <c r="U39" i="4"/>
  <c r="U38" i="4"/>
  <c r="J382" i="22"/>
  <c r="J384" i="22"/>
  <c r="CB138" i="22"/>
  <c r="CA139" i="22"/>
  <c r="BX146" i="22"/>
  <c r="V10" i="4"/>
  <c r="BX147" i="22"/>
  <c r="U255" i="22"/>
  <c r="U259" i="22"/>
  <c r="O6" i="4"/>
  <c r="J386" i="22"/>
  <c r="J387" i="22"/>
  <c r="CC138" i="22"/>
  <c r="CB139" i="22"/>
  <c r="V39" i="4"/>
  <c r="V38" i="4"/>
  <c r="O5" i="4"/>
  <c r="K380" i="22"/>
  <c r="O21" i="4"/>
  <c r="K399" i="22"/>
  <c r="O27" i="4"/>
  <c r="O24" i="4"/>
  <c r="O8" i="4"/>
  <c r="O11" i="4"/>
  <c r="O20" i="4"/>
  <c r="CD138" i="22"/>
  <c r="CC139" i="22"/>
  <c r="W10" i="4"/>
  <c r="W38" i="4"/>
  <c r="K383" i="22"/>
  <c r="K381" i="22"/>
  <c r="O31" i="4"/>
  <c r="O25" i="4"/>
  <c r="O14" i="4"/>
  <c r="CE138" i="22"/>
  <c r="CD139" i="22"/>
  <c r="X10" i="4"/>
  <c r="W39" i="4"/>
  <c r="K384" i="22"/>
  <c r="K382" i="22"/>
  <c r="CF138" i="22"/>
  <c r="CE139" i="22"/>
  <c r="CB146" i="22"/>
  <c r="X39" i="4"/>
  <c r="X38" i="4"/>
  <c r="K386" i="22"/>
  <c r="K387" i="22"/>
  <c r="CB147" i="22"/>
  <c r="V255" i="22"/>
  <c r="V259" i="22"/>
  <c r="P6" i="4"/>
  <c r="CG138" i="22"/>
  <c r="CF139" i="22"/>
  <c r="Y10" i="4"/>
  <c r="P5" i="4"/>
  <c r="L380" i="22"/>
  <c r="P27" i="4"/>
  <c r="P21" i="4"/>
  <c r="P8" i="4"/>
  <c r="P24" i="4"/>
  <c r="P11" i="4"/>
  <c r="P20" i="4"/>
  <c r="L399" i="22"/>
  <c r="CH138" i="22"/>
  <c r="CG139" i="22"/>
  <c r="Y39" i="4"/>
  <c r="Y38" i="4"/>
  <c r="L381" i="22"/>
  <c r="L383" i="22"/>
  <c r="P31" i="4"/>
  <c r="P25" i="4"/>
  <c r="P14" i="4"/>
  <c r="CI138" i="22"/>
  <c r="CH139" i="22"/>
  <c r="Z10" i="4"/>
  <c r="L382" i="22"/>
  <c r="L384" i="22"/>
  <c r="CJ138" i="22"/>
  <c r="CI139" i="22"/>
  <c r="CF146" i="22"/>
  <c r="Z39" i="4"/>
  <c r="Z38" i="4"/>
  <c r="L386" i="22"/>
  <c r="L387" i="22"/>
  <c r="CF147" i="22"/>
  <c r="W255" i="22"/>
  <c r="W259" i="22"/>
  <c r="Q6" i="4"/>
  <c r="CK138" i="22"/>
  <c r="CJ139" i="22"/>
  <c r="AA10" i="4"/>
  <c r="M380" i="22"/>
  <c r="Q8" i="4"/>
  <c r="M399" i="22"/>
  <c r="Q27" i="4"/>
  <c r="Q11" i="4"/>
  <c r="Q20" i="4"/>
  <c r="Q24" i="4"/>
  <c r="Q21" i="4"/>
  <c r="Q5" i="4"/>
  <c r="CL138" i="22"/>
  <c r="CK139" i="22"/>
  <c r="AA38" i="4"/>
  <c r="AB10" i="4"/>
  <c r="AA39" i="4"/>
  <c r="Q25" i="4"/>
  <c r="Q14" i="4"/>
  <c r="Q31" i="4"/>
  <c r="M383" i="22"/>
  <c r="M381" i="22"/>
  <c r="CM138" i="22"/>
  <c r="CL139" i="22"/>
  <c r="AB38" i="4"/>
  <c r="AC10" i="4"/>
  <c r="AB39" i="4"/>
  <c r="M384" i="22"/>
  <c r="M382" i="22"/>
  <c r="CN138" i="22"/>
  <c r="CM139" i="22"/>
  <c r="CJ146" i="22"/>
  <c r="AC38" i="4"/>
  <c r="AD10" i="4"/>
  <c r="AC39" i="4"/>
  <c r="M386" i="22"/>
  <c r="M387" i="22"/>
  <c r="CJ147" i="22"/>
  <c r="X255" i="22"/>
  <c r="X259" i="22"/>
  <c r="R6" i="4"/>
  <c r="CO138" i="22"/>
  <c r="CN139" i="22"/>
  <c r="AD39" i="4"/>
  <c r="AD38" i="4"/>
  <c r="AE10" i="4"/>
  <c r="R5" i="4"/>
  <c r="N380" i="22"/>
  <c r="R27" i="4"/>
  <c r="N399" i="22"/>
  <c r="R8" i="4"/>
  <c r="R21" i="4"/>
  <c r="R11" i="4"/>
  <c r="R20" i="4"/>
  <c r="R24" i="4"/>
  <c r="CP138" i="22"/>
  <c r="CO139" i="22"/>
  <c r="AE38" i="4"/>
  <c r="AF10" i="4"/>
  <c r="AE39" i="4"/>
  <c r="N381" i="22"/>
  <c r="N383" i="22"/>
  <c r="R31" i="4"/>
  <c r="R25" i="4"/>
  <c r="R14" i="4"/>
  <c r="CQ138" i="22"/>
  <c r="CP139" i="22"/>
  <c r="AF38" i="4"/>
  <c r="AG38" i="4"/>
  <c r="AF39" i="4"/>
  <c r="AG39" i="4"/>
  <c r="N382" i="22"/>
  <c r="N384" i="22"/>
  <c r="CR138" i="22"/>
  <c r="CQ139" i="22"/>
  <c r="CN146" i="22"/>
  <c r="CN147" i="22"/>
  <c r="Y255" i="22"/>
  <c r="Y259" i="22"/>
  <c r="S6" i="4"/>
  <c r="N386" i="22"/>
  <c r="N387" i="22"/>
  <c r="CS138" i="22"/>
  <c r="CR139" i="22"/>
  <c r="O380" i="22"/>
  <c r="S24" i="4"/>
  <c r="S27" i="4"/>
  <c r="S8" i="4"/>
  <c r="S11" i="4"/>
  <c r="S20" i="4"/>
  <c r="S21" i="4"/>
  <c r="O399" i="22"/>
  <c r="S5" i="4"/>
  <c r="CT138" i="22"/>
  <c r="CS139" i="22"/>
  <c r="S25" i="4"/>
  <c r="S14" i="4"/>
  <c r="S31" i="4"/>
  <c r="O383" i="22"/>
  <c r="O381" i="22"/>
  <c r="CU138" i="22"/>
  <c r="CT139" i="22"/>
  <c r="O382" i="22"/>
  <c r="O384" i="22"/>
  <c r="CV138" i="22"/>
  <c r="CU139" i="22"/>
  <c r="CR146" i="22"/>
  <c r="O386" i="22"/>
  <c r="O387" i="22"/>
  <c r="CR147" i="22"/>
  <c r="Z255" i="22"/>
  <c r="Z259" i="22"/>
  <c r="T6" i="4"/>
  <c r="CW138" i="22"/>
  <c r="CV139" i="22"/>
  <c r="T5" i="4"/>
  <c r="P380" i="22"/>
  <c r="T8" i="4"/>
  <c r="P399" i="22"/>
  <c r="T11" i="4"/>
  <c r="T20" i="4"/>
  <c r="T21" i="4"/>
  <c r="T24" i="4"/>
  <c r="T27" i="4"/>
  <c r="CX138" i="22"/>
  <c r="CW139" i="22"/>
  <c r="P383" i="22"/>
  <c r="P381" i="22"/>
  <c r="T31" i="4"/>
  <c r="T25" i="4"/>
  <c r="T14" i="4"/>
  <c r="CY138" i="22"/>
  <c r="CX139" i="22"/>
  <c r="P384" i="22"/>
  <c r="P382" i="22"/>
  <c r="CZ138" i="22"/>
  <c r="CY139" i="22"/>
  <c r="CV146" i="22"/>
  <c r="P386" i="22"/>
  <c r="P387" i="22"/>
  <c r="CV147" i="22"/>
  <c r="AA255" i="22"/>
  <c r="AA259" i="22"/>
  <c r="U6" i="4"/>
  <c r="DA138" i="22"/>
  <c r="CZ139" i="22"/>
  <c r="U5" i="4"/>
  <c r="Q380" i="22"/>
  <c r="U21" i="4"/>
  <c r="U24" i="4"/>
  <c r="U27" i="4"/>
  <c r="U8" i="4"/>
  <c r="Q399" i="22"/>
  <c r="U11" i="4"/>
  <c r="U20" i="4"/>
  <c r="DB138" i="22"/>
  <c r="DA139" i="22"/>
  <c r="Q381" i="22"/>
  <c r="Q383" i="22"/>
  <c r="U25" i="4"/>
  <c r="U14" i="4"/>
  <c r="U31" i="4"/>
  <c r="DC138" i="22"/>
  <c r="DB139" i="22"/>
  <c r="Q384" i="22"/>
  <c r="Q382" i="22"/>
  <c r="DD138" i="22"/>
  <c r="DC139" i="22"/>
  <c r="CZ146" i="22"/>
  <c r="Q386" i="22"/>
  <c r="Q387" i="22"/>
  <c r="CZ147" i="22"/>
  <c r="AB255" i="22"/>
  <c r="AB259" i="22"/>
  <c r="V6" i="4"/>
  <c r="DE138" i="22"/>
  <c r="DD139" i="22"/>
  <c r="V5" i="4"/>
  <c r="R380" i="22"/>
  <c r="V27" i="4"/>
  <c r="V21" i="4"/>
  <c r="V8" i="4"/>
  <c r="R399" i="22"/>
  <c r="V24" i="4"/>
  <c r="V11" i="4"/>
  <c r="V20" i="4"/>
  <c r="DF138" i="22"/>
  <c r="DE139" i="22"/>
  <c r="R381" i="22"/>
  <c r="R383" i="22"/>
  <c r="V31" i="4"/>
  <c r="V25" i="4"/>
  <c r="V14" i="4"/>
  <c r="DG138" i="22"/>
  <c r="DF139" i="22"/>
  <c r="R382" i="22"/>
  <c r="R384" i="22"/>
  <c r="DH138" i="22"/>
  <c r="DG139" i="22"/>
  <c r="DD146" i="22"/>
  <c r="R386" i="22"/>
  <c r="R387" i="22"/>
  <c r="DD147" i="22"/>
  <c r="AC255" i="22"/>
  <c r="AC259" i="22"/>
  <c r="W6" i="4"/>
  <c r="DI138" i="22"/>
  <c r="DH139" i="22"/>
  <c r="W5" i="4"/>
  <c r="S380" i="22"/>
  <c r="W8" i="4"/>
  <c r="W27" i="4"/>
  <c r="W21" i="4"/>
  <c r="W11" i="4"/>
  <c r="W20" i="4"/>
  <c r="W24" i="4"/>
  <c r="S399" i="22"/>
  <c r="DJ138" i="22"/>
  <c r="DI139" i="22"/>
  <c r="S383" i="22"/>
  <c r="S381" i="22"/>
  <c r="W31" i="4"/>
  <c r="W25" i="4"/>
  <c r="W14" i="4"/>
  <c r="DK138" i="22"/>
  <c r="DJ139" i="22"/>
  <c r="S384" i="22"/>
  <c r="S382" i="22"/>
  <c r="DL138" i="22"/>
  <c r="DK139" i="22"/>
  <c r="DH146" i="22"/>
  <c r="S386" i="22"/>
  <c r="S387" i="22"/>
  <c r="DH147" i="22"/>
  <c r="AD255" i="22"/>
  <c r="AD259" i="22"/>
  <c r="X6" i="4"/>
  <c r="DM138" i="22"/>
  <c r="DL139" i="22"/>
  <c r="X5" i="4"/>
  <c r="T380" i="22"/>
  <c r="T399" i="22"/>
  <c r="X27" i="4"/>
  <c r="X11" i="4"/>
  <c r="X20" i="4"/>
  <c r="X8" i="4"/>
  <c r="X24" i="4"/>
  <c r="X21" i="4"/>
  <c r="DN138" i="22"/>
  <c r="DM139" i="22"/>
  <c r="X25" i="4"/>
  <c r="X14" i="4"/>
  <c r="X31" i="4"/>
  <c r="T381" i="22"/>
  <c r="T383" i="22"/>
  <c r="DO138" i="22"/>
  <c r="DN139" i="22"/>
  <c r="T384" i="22"/>
  <c r="T382" i="22"/>
  <c r="DP138" i="22"/>
  <c r="DO139" i="22"/>
  <c r="DL146" i="22"/>
  <c r="DL147" i="22"/>
  <c r="AE255" i="22"/>
  <c r="AE259" i="22"/>
  <c r="Y6" i="4"/>
  <c r="T386" i="22"/>
  <c r="T387" i="22"/>
  <c r="DQ138" i="22"/>
  <c r="DP139" i="22"/>
  <c r="U380" i="22"/>
  <c r="Y24" i="4"/>
  <c r="Y11" i="4"/>
  <c r="Y20" i="4"/>
  <c r="U399" i="22"/>
  <c r="Y21" i="4"/>
  <c r="Y27" i="4"/>
  <c r="Y8" i="4"/>
  <c r="Y5" i="4"/>
  <c r="DR138" i="22"/>
  <c r="DQ139" i="22"/>
  <c r="Y31" i="4"/>
  <c r="Y14" i="4"/>
  <c r="Y25" i="4"/>
  <c r="U381" i="22"/>
  <c r="U383" i="22"/>
  <c r="DS138" i="22"/>
  <c r="DR139" i="22"/>
  <c r="U382" i="22"/>
  <c r="U384" i="22"/>
  <c r="DT138" i="22"/>
  <c r="DS139" i="22"/>
  <c r="DP146" i="22"/>
  <c r="U386" i="22"/>
  <c r="U387" i="22"/>
  <c r="DP147" i="22"/>
  <c r="AF255" i="22"/>
  <c r="AF259" i="22"/>
  <c r="Z6" i="4"/>
  <c r="DU138" i="22"/>
  <c r="DT139" i="22"/>
  <c r="Z5" i="4"/>
  <c r="V380" i="22"/>
  <c r="Z27" i="4"/>
  <c r="Z11" i="4"/>
  <c r="Z20" i="4"/>
  <c r="Z21" i="4"/>
  <c r="V399" i="22"/>
  <c r="Z8" i="4"/>
  <c r="Z24" i="4"/>
  <c r="DV138" i="22"/>
  <c r="DU139" i="22"/>
  <c r="Z25" i="4"/>
  <c r="Z31" i="4"/>
  <c r="Z14" i="4"/>
  <c r="V383" i="22"/>
  <c r="V381" i="22"/>
  <c r="DW138" i="22"/>
  <c r="DV139" i="22"/>
  <c r="V384" i="22"/>
  <c r="V382" i="22"/>
  <c r="DX138" i="22"/>
  <c r="DW139" i="22"/>
  <c r="DT146" i="22"/>
  <c r="V386" i="22"/>
  <c r="V387" i="22"/>
  <c r="DT147" i="22"/>
  <c r="AG255" i="22"/>
  <c r="AG259" i="22"/>
  <c r="AA6" i="4"/>
  <c r="DY138" i="22"/>
  <c r="DX139" i="22"/>
  <c r="W380" i="22"/>
  <c r="W399" i="22"/>
  <c r="AA11" i="4"/>
  <c r="AA20" i="4"/>
  <c r="AA27" i="4"/>
  <c r="AA8" i="4"/>
  <c r="AA21" i="4"/>
  <c r="AA24" i="4"/>
  <c r="AA5" i="4"/>
  <c r="DZ138" i="22"/>
  <c r="DY139" i="22"/>
  <c r="AA31" i="4"/>
  <c r="AA25" i="4"/>
  <c r="AA14" i="4"/>
  <c r="W381" i="22"/>
  <c r="W383" i="22"/>
  <c r="EA138" i="22"/>
  <c r="DZ139" i="22"/>
  <c r="W384" i="22"/>
  <c r="W382" i="22"/>
  <c r="EB138" i="22"/>
  <c r="EA139" i="22"/>
  <c r="DX146" i="22"/>
  <c r="W386" i="22"/>
  <c r="W387" i="22"/>
  <c r="DX147" i="22"/>
  <c r="AH255" i="22"/>
  <c r="AH259" i="22"/>
  <c r="AB6" i="4"/>
  <c r="EC138" i="22"/>
  <c r="EB139" i="22"/>
  <c r="AB5" i="4"/>
  <c r="X380" i="22"/>
  <c r="AB27" i="4"/>
  <c r="AB24" i="4"/>
  <c r="AB11" i="4"/>
  <c r="AB20" i="4"/>
  <c r="AB8" i="4"/>
  <c r="AB21" i="4"/>
  <c r="X399" i="22"/>
  <c r="ED138" i="22"/>
  <c r="EC139" i="22"/>
  <c r="X381" i="22"/>
  <c r="X383" i="22"/>
  <c r="AB31" i="4"/>
  <c r="AB14" i="4"/>
  <c r="AB25" i="4"/>
  <c r="EE138" i="22"/>
  <c r="ED139" i="22"/>
  <c r="X382" i="22"/>
  <c r="X384" i="22"/>
  <c r="EF138" i="22"/>
  <c r="EE139" i="22"/>
  <c r="EB146" i="22"/>
  <c r="EB147" i="22"/>
  <c r="AI255" i="22"/>
  <c r="AI259" i="22"/>
  <c r="AC6" i="4"/>
  <c r="X386" i="22"/>
  <c r="X387" i="22"/>
  <c r="EG138" i="22"/>
  <c r="EF139" i="22"/>
  <c r="D17" i="3"/>
  <c r="AC5" i="4"/>
  <c r="Y380" i="22"/>
  <c r="AC11" i="4"/>
  <c r="AC20" i="4"/>
  <c r="AC27" i="4"/>
  <c r="AC21" i="4"/>
  <c r="AC24" i="4"/>
  <c r="Y399" i="22"/>
  <c r="AC8" i="4"/>
  <c r="EH138" i="22"/>
  <c r="EG139" i="22"/>
  <c r="B13" i="3"/>
  <c r="H26" i="1"/>
  <c r="B16" i="3"/>
  <c r="B14" i="3"/>
  <c r="K17" i="3"/>
  <c r="B15" i="3"/>
  <c r="Y381" i="22"/>
  <c r="Y383" i="22"/>
  <c r="AC31" i="4"/>
  <c r="AC25" i="4"/>
  <c r="AC14" i="4"/>
  <c r="EI138" i="22"/>
  <c r="EH139" i="22"/>
  <c r="H27" i="1"/>
  <c r="B17" i="3"/>
  <c r="Y382" i="22"/>
  <c r="Y384" i="22"/>
  <c r="EJ138" i="22"/>
  <c r="EI139" i="22"/>
  <c r="EF146" i="22"/>
  <c r="Y386" i="22"/>
  <c r="Y387" i="22"/>
  <c r="EF147" i="22"/>
  <c r="AJ255" i="22"/>
  <c r="AJ259" i="22"/>
  <c r="AD6" i="4"/>
  <c r="EK138" i="22"/>
  <c r="EJ139" i="22"/>
  <c r="AD5" i="4"/>
  <c r="Z380" i="22"/>
  <c r="AD27" i="4"/>
  <c r="AD11" i="4"/>
  <c r="AD20" i="4"/>
  <c r="AD8" i="4"/>
  <c r="AD21" i="4"/>
  <c r="AD24" i="4"/>
  <c r="Z399" i="22"/>
  <c r="EL138" i="22"/>
  <c r="EK139" i="22"/>
  <c r="Z383" i="22"/>
  <c r="Z381" i="22"/>
  <c r="AD31" i="4"/>
  <c r="AD14" i="4"/>
  <c r="AD25" i="4"/>
  <c r="EM138" i="22"/>
  <c r="EL139" i="22"/>
  <c r="Z382" i="22"/>
  <c r="Z384" i="22"/>
  <c r="EN138" i="22"/>
  <c r="EM139" i="22"/>
  <c r="EJ146" i="22"/>
  <c r="Z386" i="22"/>
  <c r="Z387" i="22"/>
  <c r="N23" i="4"/>
  <c r="N26" i="4"/>
  <c r="M23" i="4"/>
  <c r="M26" i="4"/>
  <c r="O23" i="4"/>
  <c r="O26" i="4"/>
  <c r="K23" i="4"/>
  <c r="L23" i="4"/>
  <c r="L26" i="4"/>
  <c r="P23" i="4"/>
  <c r="P26" i="4"/>
  <c r="Q23" i="4"/>
  <c r="Q26" i="4"/>
  <c r="R23" i="4"/>
  <c r="R26" i="4"/>
  <c r="S23" i="4"/>
  <c r="S26" i="4"/>
  <c r="T23" i="4"/>
  <c r="T26" i="4"/>
  <c r="U23" i="4"/>
  <c r="U26" i="4"/>
  <c r="V23" i="4"/>
  <c r="V26" i="4"/>
  <c r="W23" i="4"/>
  <c r="W26" i="4"/>
  <c r="X23" i="4"/>
  <c r="X26" i="4"/>
  <c r="Y23" i="4"/>
  <c r="Y26" i="4"/>
  <c r="Z23" i="4"/>
  <c r="Z26" i="4"/>
  <c r="AA23" i="4"/>
  <c r="AA26" i="4"/>
  <c r="AB23" i="4"/>
  <c r="AB26" i="4"/>
  <c r="AC23" i="4"/>
  <c r="AC26" i="4"/>
  <c r="AD23" i="4"/>
  <c r="AD26" i="4"/>
  <c r="EJ147" i="22"/>
  <c r="AK255" i="22"/>
  <c r="AK259" i="22"/>
  <c r="AE6" i="4"/>
  <c r="EO138" i="22"/>
  <c r="EN139" i="22"/>
  <c r="AE5" i="4"/>
  <c r="AE24" i="4"/>
  <c r="AE21" i="4"/>
  <c r="AE11" i="4"/>
  <c r="AE20" i="4"/>
  <c r="AE8" i="4"/>
  <c r="AA399" i="22"/>
  <c r="AA380" i="22"/>
  <c r="AE27" i="4"/>
  <c r="AE23" i="4"/>
  <c r="K26" i="4"/>
  <c r="K34" i="4"/>
  <c r="K36" i="4"/>
  <c r="K43" i="4"/>
  <c r="L13" i="4"/>
  <c r="L15" i="4"/>
  <c r="L16" i="4"/>
  <c r="L17" i="4"/>
  <c r="K40" i="4"/>
  <c r="EP138" i="22"/>
  <c r="EO139" i="22"/>
  <c r="AA381" i="22"/>
  <c r="AA383" i="22"/>
  <c r="AF21" i="4"/>
  <c r="AB399" i="22"/>
  <c r="AB380" i="22"/>
  <c r="AF8" i="4"/>
  <c r="AF27" i="4"/>
  <c r="AF11" i="4"/>
  <c r="AF20" i="4"/>
  <c r="AF24" i="4"/>
  <c r="AF23" i="4"/>
  <c r="AE25" i="4"/>
  <c r="AF25" i="4"/>
  <c r="AE14" i="4"/>
  <c r="AF14" i="4"/>
  <c r="AE31" i="4"/>
  <c r="AF31" i="4"/>
  <c r="L29" i="4"/>
  <c r="L30" i="4"/>
  <c r="L9" i="4"/>
  <c r="L40" i="4"/>
  <c r="EQ138" i="22"/>
  <c r="EQ139" i="22"/>
  <c r="EP139" i="22"/>
  <c r="AB383" i="22"/>
  <c r="AB381" i="22"/>
  <c r="AE26" i="4"/>
  <c r="AF26" i="4"/>
  <c r="AG23" i="4"/>
  <c r="AA382" i="22"/>
  <c r="AA384" i="22"/>
  <c r="L41" i="4"/>
  <c r="L12" i="4"/>
  <c r="L44" i="4"/>
  <c r="L28" i="4"/>
  <c r="L32" i="4"/>
  <c r="L35" i="4"/>
  <c r="L19" i="4"/>
  <c r="L22" i="4"/>
  <c r="M40" i="4"/>
  <c r="M9" i="4"/>
  <c r="M12" i="4"/>
  <c r="M44" i="4"/>
  <c r="EN146" i="22"/>
  <c r="AB382" i="22"/>
  <c r="AB384" i="22"/>
  <c r="AA386" i="22"/>
  <c r="AA387" i="22"/>
  <c r="M28" i="4"/>
  <c r="L34" i="4"/>
  <c r="L36" i="4"/>
  <c r="L43" i="4"/>
  <c r="M13" i="4"/>
  <c r="M15" i="4"/>
  <c r="M16" i="4"/>
  <c r="M17" i="4"/>
  <c r="M29" i="4"/>
  <c r="EN147" i="22"/>
  <c r="AL255" i="22"/>
  <c r="AL259" i="22"/>
  <c r="N40" i="4"/>
  <c r="N9" i="4"/>
  <c r="N12" i="4"/>
  <c r="N44" i="4"/>
  <c r="N28" i="4"/>
  <c r="M41" i="4"/>
  <c r="AB386" i="22"/>
  <c r="AB387" i="22"/>
  <c r="N41" i="4"/>
  <c r="M30" i="4"/>
  <c r="M32" i="4"/>
  <c r="M19" i="4"/>
  <c r="M22" i="4"/>
  <c r="M34" i="4"/>
  <c r="O9" i="4"/>
  <c r="O40" i="4"/>
  <c r="M35" i="4"/>
  <c r="M36" i="4"/>
  <c r="M43" i="4"/>
  <c r="N13" i="4"/>
  <c r="N15" i="4"/>
  <c r="N16" i="4"/>
  <c r="N17" i="4"/>
  <c r="O12" i="4"/>
  <c r="O44" i="4"/>
  <c r="O28" i="4"/>
  <c r="P9" i="4"/>
  <c r="P12" i="4"/>
  <c r="P44" i="4"/>
  <c r="P40" i="4"/>
  <c r="O41" i="4"/>
  <c r="P41" i="4"/>
  <c r="P28" i="4"/>
  <c r="N29" i="4"/>
  <c r="N19" i="4"/>
  <c r="N22" i="4"/>
  <c r="N34" i="4"/>
  <c r="N30" i="4"/>
  <c r="Q40" i="4"/>
  <c r="Q9" i="4"/>
  <c r="Q12" i="4"/>
  <c r="Q44" i="4"/>
  <c r="Q28" i="4"/>
  <c r="R40" i="4"/>
  <c r="R9" i="4"/>
  <c r="R12" i="4"/>
  <c r="R44" i="4"/>
  <c r="R28" i="4"/>
  <c r="Q41" i="4"/>
  <c r="N35" i="4"/>
  <c r="N32" i="4"/>
  <c r="R41" i="4"/>
  <c r="N36" i="4"/>
  <c r="N43" i="4"/>
  <c r="O13" i="4"/>
  <c r="O15" i="4"/>
  <c r="O16" i="4"/>
  <c r="O17" i="4"/>
  <c r="S9" i="4"/>
  <c r="S12" i="4"/>
  <c r="S44" i="4"/>
  <c r="S28" i="4"/>
  <c r="S40" i="4"/>
  <c r="T9" i="4"/>
  <c r="T12" i="4"/>
  <c r="T44" i="4"/>
  <c r="T28" i="4"/>
  <c r="T40" i="4"/>
  <c r="O29" i="4"/>
  <c r="O30" i="4"/>
  <c r="O19" i="4"/>
  <c r="O22" i="4"/>
  <c r="O34" i="4"/>
  <c r="S41" i="4"/>
  <c r="O35" i="4"/>
  <c r="O36" i="4"/>
  <c r="O43" i="4"/>
  <c r="P13" i="4"/>
  <c r="P15" i="4"/>
  <c r="P16" i="4"/>
  <c r="P17" i="4"/>
  <c r="P19" i="4"/>
  <c r="P22" i="4"/>
  <c r="P34" i="4"/>
  <c r="T41" i="4"/>
  <c r="O32" i="4"/>
  <c r="U40" i="4"/>
  <c r="U9" i="4"/>
  <c r="U12" i="4"/>
  <c r="U44" i="4"/>
  <c r="U28" i="4"/>
  <c r="P29" i="4"/>
  <c r="P30" i="4"/>
  <c r="U41" i="4"/>
  <c r="V9" i="4"/>
  <c r="V12" i="4"/>
  <c r="V44" i="4"/>
  <c r="V28" i="4"/>
  <c r="V40" i="4"/>
  <c r="P35" i="4"/>
  <c r="P36" i="4"/>
  <c r="P43" i="4"/>
  <c r="Q13" i="4"/>
  <c r="Q15" i="4"/>
  <c r="Q16" i="4"/>
  <c r="Q17" i="4"/>
  <c r="P32" i="4"/>
  <c r="W40" i="4"/>
  <c r="W9" i="4"/>
  <c r="W12" i="4"/>
  <c r="W44" i="4"/>
  <c r="W28" i="4"/>
  <c r="V41" i="4"/>
  <c r="W41" i="4"/>
  <c r="X9" i="4"/>
  <c r="X12" i="4"/>
  <c r="X44" i="4"/>
  <c r="X28" i="4"/>
  <c r="X40" i="4"/>
  <c r="Q29" i="4"/>
  <c r="Q30" i="4"/>
  <c r="Q19" i="4"/>
  <c r="Q22" i="4"/>
  <c r="Q34" i="4"/>
  <c r="Q35" i="4"/>
  <c r="Q36" i="4"/>
  <c r="Q43" i="4"/>
  <c r="R13" i="4"/>
  <c r="R15" i="4"/>
  <c r="R16" i="4"/>
  <c r="R17" i="4"/>
  <c r="R29" i="4"/>
  <c r="Q32" i="4"/>
  <c r="Y9" i="4"/>
  <c r="Y12" i="4"/>
  <c r="Y44" i="4"/>
  <c r="Y28" i="4"/>
  <c r="Y40" i="4"/>
  <c r="X41" i="4"/>
  <c r="Y41" i="4"/>
  <c r="R19" i="4"/>
  <c r="R22" i="4"/>
  <c r="R34" i="4"/>
  <c r="R30" i="4"/>
  <c r="R35" i="4"/>
  <c r="Z9" i="4"/>
  <c r="Z12" i="4"/>
  <c r="Z44" i="4"/>
  <c r="Z28" i="4"/>
  <c r="Z40" i="4"/>
  <c r="R36" i="4"/>
  <c r="R43" i="4"/>
  <c r="S13" i="4"/>
  <c r="S15" i="4"/>
  <c r="S16" i="4"/>
  <c r="S17" i="4"/>
  <c r="S29" i="4"/>
  <c r="R32" i="4"/>
  <c r="AA9" i="4"/>
  <c r="AA12" i="4"/>
  <c r="AA44" i="4"/>
  <c r="AA28" i="4"/>
  <c r="AA40" i="4"/>
  <c r="Z41" i="4"/>
  <c r="S30" i="4"/>
  <c r="S35" i="4"/>
  <c r="S19" i="4"/>
  <c r="S22" i="4"/>
  <c r="S34" i="4"/>
  <c r="AA41" i="4"/>
  <c r="AB40" i="4"/>
  <c r="AB9" i="4"/>
  <c r="AB12" i="4"/>
  <c r="AB44" i="4"/>
  <c r="AB28" i="4"/>
  <c r="S32" i="4"/>
  <c r="S36" i="4"/>
  <c r="S43" i="4"/>
  <c r="T13" i="4"/>
  <c r="T15" i="4"/>
  <c r="T16" i="4"/>
  <c r="T17" i="4"/>
  <c r="T29" i="4"/>
  <c r="AC40" i="4"/>
  <c r="AC9" i="4"/>
  <c r="AC12" i="4"/>
  <c r="AC44" i="4"/>
  <c r="AC28" i="4"/>
  <c r="AB41" i="4"/>
  <c r="T30" i="4"/>
  <c r="T35" i="4"/>
  <c r="T19" i="4"/>
  <c r="T22" i="4"/>
  <c r="T34" i="4"/>
  <c r="AC41" i="4"/>
  <c r="AD9" i="4"/>
  <c r="AD12" i="4"/>
  <c r="AD44" i="4"/>
  <c r="AD28" i="4"/>
  <c r="AD40" i="4"/>
  <c r="T32" i="4"/>
  <c r="T36" i="4"/>
  <c r="T43" i="4"/>
  <c r="U13" i="4"/>
  <c r="U15" i="4"/>
  <c r="U16" i="4"/>
  <c r="U17" i="4"/>
  <c r="U29" i="4"/>
  <c r="AD41" i="4"/>
  <c r="AE9" i="4"/>
  <c r="AE12" i="4"/>
  <c r="AE44" i="4"/>
  <c r="AE28" i="4"/>
  <c r="AE40" i="4"/>
  <c r="U19" i="4"/>
  <c r="U22" i="4"/>
  <c r="U34" i="4"/>
  <c r="U30" i="4"/>
  <c r="U35" i="4"/>
  <c r="AF9" i="4"/>
  <c r="AF40" i="4"/>
  <c r="AG40" i="4"/>
  <c r="AE41" i="4"/>
  <c r="U32" i="4"/>
  <c r="U36" i="4"/>
  <c r="U43" i="4"/>
  <c r="V13" i="4"/>
  <c r="V15" i="4"/>
  <c r="V16" i="4"/>
  <c r="V17" i="4"/>
  <c r="V30" i="4"/>
  <c r="AF41" i="4"/>
  <c r="AG41" i="4"/>
  <c r="AF12" i="4"/>
  <c r="AF44" i="4"/>
  <c r="AF28" i="4"/>
  <c r="AG9" i="4"/>
  <c r="AH24" i="4"/>
  <c r="V19" i="4"/>
  <c r="V22" i="4"/>
  <c r="V34" i="4"/>
  <c r="V29" i="4"/>
  <c r="V35" i="4"/>
  <c r="V36" i="4"/>
  <c r="V43" i="4"/>
  <c r="W13" i="4"/>
  <c r="W15" i="4"/>
  <c r="W16" i="4"/>
  <c r="W17" i="4"/>
  <c r="W29" i="4"/>
  <c r="V32" i="4"/>
  <c r="W19" i="4"/>
  <c r="W22" i="4"/>
  <c r="W34" i="4"/>
  <c r="W30" i="4"/>
  <c r="W35" i="4"/>
  <c r="W32" i="4"/>
  <c r="W36" i="4"/>
  <c r="W43" i="4"/>
  <c r="X13" i="4"/>
  <c r="X15" i="4"/>
  <c r="X16" i="4"/>
  <c r="X17" i="4"/>
  <c r="X29" i="4"/>
  <c r="X19" i="4"/>
  <c r="X22" i="4"/>
  <c r="X34" i="4"/>
  <c r="X30" i="4"/>
  <c r="X35" i="4"/>
  <c r="X32" i="4"/>
  <c r="X36" i="4"/>
  <c r="X43" i="4"/>
  <c r="Y13" i="4"/>
  <c r="Y15" i="4"/>
  <c r="Y16" i="4"/>
  <c r="Y17" i="4"/>
  <c r="Y29" i="4"/>
  <c r="Y19" i="4"/>
  <c r="Y22" i="4"/>
  <c r="Y34" i="4"/>
  <c r="Y30" i="4"/>
  <c r="Y35" i="4"/>
  <c r="Y32" i="4"/>
  <c r="Y36" i="4"/>
  <c r="Y43" i="4"/>
  <c r="Z13" i="4"/>
  <c r="Z15" i="4"/>
  <c r="Z16" i="4"/>
  <c r="Z17" i="4"/>
  <c r="Z30" i="4"/>
  <c r="Z29" i="4"/>
  <c r="Z35" i="4"/>
  <c r="Z19" i="4"/>
  <c r="Z22" i="4"/>
  <c r="Z34" i="4"/>
  <c r="Z32" i="4"/>
  <c r="Z36" i="4"/>
  <c r="Z43" i="4"/>
  <c r="AA13" i="4"/>
  <c r="AA15" i="4"/>
  <c r="AA16" i="4"/>
  <c r="AA17" i="4"/>
  <c r="AA29" i="4"/>
  <c r="AA30" i="4"/>
  <c r="AA35" i="4"/>
  <c r="AA19" i="4"/>
  <c r="AA22" i="4"/>
  <c r="AA34" i="4"/>
  <c r="AA36" i="4"/>
  <c r="AA43" i="4"/>
  <c r="AB13" i="4"/>
  <c r="AB15" i="4"/>
  <c r="AB16" i="4"/>
  <c r="AB17" i="4"/>
  <c r="AB19" i="4"/>
  <c r="AB22" i="4"/>
  <c r="AB34" i="4"/>
  <c r="AA32" i="4"/>
  <c r="AB30" i="4"/>
  <c r="AB29" i="4"/>
  <c r="AB32" i="4"/>
  <c r="AB35" i="4"/>
  <c r="AB36" i="4"/>
  <c r="AB43" i="4"/>
  <c r="AC13" i="4"/>
  <c r="AC15" i="4"/>
  <c r="AC16" i="4"/>
  <c r="AC17" i="4"/>
  <c r="AC19" i="4"/>
  <c r="AC22" i="4"/>
  <c r="AC34" i="4"/>
  <c r="AC30" i="4"/>
  <c r="AC29" i="4"/>
  <c r="AC35" i="4"/>
  <c r="AC36" i="4"/>
  <c r="AC43" i="4"/>
  <c r="AD13" i="4"/>
  <c r="AD15" i="4"/>
  <c r="AD16" i="4"/>
  <c r="AD17" i="4"/>
  <c r="AD30" i="4"/>
  <c r="AC32" i="4"/>
  <c r="AD19" i="4"/>
  <c r="AD22" i="4"/>
  <c r="AD34" i="4"/>
  <c r="AD29" i="4"/>
  <c r="AD35" i="4"/>
  <c r="AD36" i="4"/>
  <c r="AD43" i="4"/>
  <c r="AE13" i="4"/>
  <c r="AE15" i="4"/>
  <c r="AE16" i="4"/>
  <c r="AE17" i="4"/>
  <c r="AE19" i="4"/>
  <c r="AE22" i="4"/>
  <c r="AE34" i="4"/>
  <c r="AD32" i="4"/>
  <c r="AE29" i="4"/>
  <c r="AE30" i="4"/>
  <c r="AE32" i="4"/>
  <c r="AE35" i="4"/>
  <c r="AE36" i="4"/>
  <c r="AE43" i="4"/>
  <c r="AF13" i="4"/>
  <c r="AF15" i="4"/>
  <c r="AF16" i="4"/>
  <c r="AF17" i="4"/>
  <c r="AF30" i="4"/>
  <c r="AF29" i="4"/>
  <c r="AF35" i="4"/>
  <c r="AF19" i="4"/>
  <c r="AF22" i="4"/>
  <c r="AF34" i="4"/>
  <c r="D71" i="4"/>
  <c r="AF32" i="4"/>
  <c r="AF36" i="4"/>
  <c r="AF43" i="4"/>
  <c r="D70" i="4"/>
  <c r="D78" i="4"/>
  <c r="D77" i="4"/>
  <c r="D72" i="4"/>
  <c r="E70" i="4"/>
  <c r="D75" i="4"/>
  <c r="E71" i="4"/>
  <c r="D74" i="4"/>
  <c r="H39" i="1"/>
  <c r="E77" i="4"/>
  <c r="E78" i="4"/>
  <c r="D80" i="4"/>
  <c r="J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tc={B8360AB7-5DB1-45D3-ABF9-3AFEF51621D6}</author>
    <author>tc={D17B5162-9C54-4F03-8882-3A424C1A2E60}</author>
    <author>tc={74106D0B-4568-4C95-B1A7-D780E3BD20D3}</author>
    <author>Eduardo Ferreira</author>
  </authors>
  <commentList>
    <comment ref="B2" authorId="0" shapeId="0" xr:uid="{B8360AB7-5DB1-45D3-ABF9-3AFEF51621D6}">
      <text>
        <t>[Threaded comment]
Your version of Excel allows you to read this threaded comment; however, any edits to it will get removed if the file is opened in a newer version of Excel. Learn more: https://go.microsoft.com/fwlink/?linkid=870924
Comment:
    Date of last update of the report</t>
      </text>
    </comment>
    <comment ref="D2" authorId="1" shapeId="0" xr:uid="{D17B5162-9C54-4F03-8882-3A424C1A2E60}">
      <text>
        <t>[Threaded comment]
Your version of Excel allows you to read this threaded comment; however, any edits to it will get removed if the file is opened in a newer version of Excel. Learn more: https://go.microsoft.com/fwlink/?linkid=870924
Comment:
    Insert the date when the company will issue their next quarter/annual report</t>
      </text>
    </comment>
    <comment ref="L2" authorId="2" shapeId="0" xr:uid="{74106D0B-4568-4C95-B1A7-D780E3BD20D3}">
      <text>
        <t>[Threaded comment]
Your version of Excel allows you to read this threaded comment; however, any edits to it will get removed if the file is opened in a newer version of Excel. Learn more: https://go.microsoft.com/fwlink/?linkid=870924
Comment:
    In what exchange the company is listed in (Input the main exchange)</t>
      </text>
    </comment>
    <comment ref="D44" authorId="3" shapeId="0" xr:uid="{3E3FFF3C-33A9-994C-B6DA-EFA3EDE9D6C0}">
      <text>
        <r>
          <rPr>
            <sz val="12"/>
            <color rgb="FFFFFFFF"/>
            <rFont val="Calibri"/>
            <family val="2"/>
          </rPr>
          <t>Eduardo Ferreira:</t>
        </r>
        <r>
          <rPr>
            <sz val="10"/>
            <color rgb="FF000000"/>
            <rFont val="Arial"/>
            <family val="2"/>
          </rPr>
          <t xml:space="preserve">
</t>
        </r>
        <r>
          <rPr>
            <sz val="10"/>
            <color rgb="FF000000"/>
            <rFont val="Arial"/>
            <family val="2"/>
          </rPr>
          <t xml:space="preserve">Op. Earnings is Earnings after Cost of good solds, regular selling, general, and adminin costs of running a business, excluding interest and taxes. (EBIT)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tc={062BC1DC-0CB7-4D29-87CB-CDB12B945015}</author>
    <author>tc={B790DD17-791D-4AC4-BD28-BBE31782A146}</author>
    <author>tc={286DAC21-0B5E-43AE-BE50-23774BF430AF}</author>
    <author>tc={C133BDA6-AEE6-488D-8A70-82461C95AE38}</author>
  </authors>
  <commentList>
    <comment ref="C7" authorId="0" shapeId="0" xr:uid="{062BC1DC-0CB7-4D29-87CB-CDB12B945015}">
      <text>
        <t>[Threaded comment]
Your version of Excel allows you to read this threaded comment; however, any edits to it will get removed if the file is opened in a newer version of Excel. Learn more: https://go.microsoft.com/fwlink/?linkid=870924
Comment:
    Mexico, South America, Australia and Other</t>
      </text>
    </comment>
    <comment ref="C15" authorId="1" shapeId="0" xr:uid="{B790DD17-791D-4AC4-BD28-BBE31782A146}">
      <text>
        <t>[Threaded comment]
Your version of Excel allows you to read this threaded comment; however, any edits to it will get removed if the file is opened in a newer version of Excel. Learn more: https://go.microsoft.com/fwlink/?linkid=870924
Comment:
    from the financing or leasing of PACCAR products and services provided to truck customers and dealers</t>
      </text>
    </comment>
    <comment ref="C16" authorId="2" shapeId="0" xr:uid="{286DAC21-0B5E-43AE-BE50-23774BF430AF}">
      <text>
        <t>[Threaded comment]
Your version of Excel allows you to read this threaded comment; however, any edits to it will get removed if the file is opened in a newer version of Excel. Learn more: https://go.microsoft.com/fwlink/?linkid=870924
Comment:
    Other includes the winch business as well as sales, income and expenses not attributable to a reportable segment</t>
      </text>
    </comment>
    <comment ref="D27" authorId="3" shapeId="0" xr:uid="{C133BDA6-AEE6-488D-8A70-82461C95AE38}">
      <text>
        <t xml:space="preserve">[Threaded comment]
Your version of Excel allows you to read this threaded comment; however, any edits to it will get removed if the file is opened in a newer version of Excel. Learn more: https://go.microsoft.com/fwlink/?linkid=870924
Comment:
    also influenced by:  globalization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tc={F368CCC5-6913-0347-8F29-B8B16DF2FC25}</author>
    <author>tc={66F19324-9A44-364B-BF27-62745DD7960F}</author>
    <author>tc={81D59438-C4D5-2D48-9F85-1A8DB411B5BB}</author>
    <author>tc={10F1DD23-2E32-6146-9BCD-9916D29911CA}</author>
    <author>Afonso Simões</author>
    <author>tc={CBA2628C-E527-B74E-9B01-2BE1DBF34941}</author>
  </authors>
  <commentList>
    <comment ref="C18" authorId="0" shapeId="0" xr:uid="{F368CCC5-6913-0347-8F29-B8B16DF2FC25}">
      <text>
        <t>[Threaded comment]
Your version of Excel allows you to read this threaded comment; however, any edits to it will get removed if the file is opened in a newer version of Excel. Learn more: https://go.microsoft.com/fwlink/?linkid=870924
Comment:
    38,7% in 2023</t>
      </text>
    </comment>
    <comment ref="D43" authorId="1" shapeId="0" xr:uid="{66F19324-9A44-364B-BF27-62745DD7960F}">
      <text>
        <t>[Threaded comment]
Your version of Excel allows you to read this threaded comment; however, any edits to it will get removed if the file is opened in a newer version of Excel. Learn more: https://go.microsoft.com/fwlink/?linkid=870924
Comment:
    Yahoo Finance says 1,01</t>
      </text>
    </comment>
    <comment ref="G43" authorId="2" shapeId="0" xr:uid="{81D59438-C4D5-2D48-9F85-1A8DB411B5BB}">
      <text>
        <t>[Threaded comment]
Your version of Excel allows you to read this threaded comment; however, any edits to it will get removed if the file is opened in a newer version of Excel. Learn more: https://go.microsoft.com/fwlink/?linkid=870924
Comment:
    1,68 Yahoo Finance</t>
      </text>
    </comment>
    <comment ref="F44" authorId="3" shapeId="0" xr:uid="{10F1DD23-2E32-6146-9BCD-9916D29911CA}">
      <text>
        <t>[Threaded comment]
Your version of Excel allows you to read this threaded comment; however, any edits to it will get removed if the file is opened in a newer version of Excel. Learn more: https://go.microsoft.com/fwlink/?linkid=870924
Comment:
    4,08% previous year</t>
      </text>
    </comment>
    <comment ref="B49" authorId="4" shapeId="0" xr:uid="{08A4033F-6D02-44FC-B9AB-7AFF333E667A}">
      <text>
        <r>
          <rPr>
            <b/>
            <sz val="9"/>
            <color rgb="FF000000"/>
            <rFont val="Tahoma"/>
            <family val="2"/>
          </rPr>
          <t>Afonso Simões:</t>
        </r>
        <r>
          <rPr>
            <sz val="9"/>
            <color rgb="FF000000"/>
            <rFont val="Tahoma"/>
            <family val="2"/>
          </rPr>
          <t xml:space="preserve">
</t>
        </r>
        <r>
          <rPr>
            <sz val="9"/>
            <color rgb="FF000000"/>
            <rFont val="Tahoma"/>
            <family val="2"/>
          </rPr>
          <t>1Y estimate</t>
        </r>
      </text>
    </comment>
    <comment ref="E49" authorId="5" shapeId="0" xr:uid="{CBA2628C-E527-B74E-9B01-2BE1DBF34941}">
      <text>
        <t xml:space="preserve">[Threaded comment]
Your version of Excel allows you to read this threaded comment; however, any edits to it will get removed if the file is opened in a newer version of Excel. Learn more: https://go.microsoft.com/fwlink/?linkid=870924
Comment:
    Market Watch
</t>
      </text>
    </comment>
    <comment ref="B70" authorId="4" shapeId="0" xr:uid="{472599F2-25B1-4482-8755-F32EF684F48A}">
      <text>
        <r>
          <rPr>
            <b/>
            <sz val="9"/>
            <color indexed="81"/>
            <rFont val="Tahoma"/>
            <family val="2"/>
          </rPr>
          <t>Afonso Simões:</t>
        </r>
        <r>
          <rPr>
            <sz val="9"/>
            <color indexed="81"/>
            <rFont val="Tahoma"/>
            <family val="2"/>
          </rPr>
          <t xml:space="preserve">
Net</t>
        </r>
      </text>
    </comment>
    <comment ref="B73" authorId="4" shapeId="0" xr:uid="{276745B7-DD1B-43A4-93A0-19337F7DC442}">
      <text>
        <r>
          <rPr>
            <b/>
            <sz val="9"/>
            <color indexed="81"/>
            <rFont val="Tahoma"/>
            <family val="2"/>
          </rPr>
          <t>Afonso Simões:</t>
        </r>
        <r>
          <rPr>
            <sz val="9"/>
            <color indexed="81"/>
            <rFont val="Tahoma"/>
            <family val="2"/>
          </rPr>
          <t xml:space="preserve">
Property, Plant and Equipment - Net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Damião Carvalho Perdigão Gonçalves Ribeiro</author>
  </authors>
  <commentList>
    <comment ref="K1" authorId="0" shapeId="0" xr:uid="{184A6058-1AB3-4A28-A1D1-6239237C27B5}">
      <text>
        <r>
          <rPr>
            <sz val="10"/>
            <rFont val="Arial"/>
            <family val="2"/>
          </rPr>
          <t>Damião Carvalho Perdigão Gonçalves Ribeiro:
Adjust length of formulas to number of companies provided by Refinitiv</t>
        </r>
      </text>
    </comment>
    <comment ref="V2" authorId="0" shapeId="0" xr:uid="{36153C84-419C-4EE8-AB46-BA7A3B30CBC2}">
      <text>
        <r>
          <rPr>
            <sz val="10"/>
            <rFont val="Arial"/>
            <family val="2"/>
          </rPr>
          <t>Damião Carvalho Perdigão Gonçalves Ribeiro:
Adjust length of formula to number of companies provided by Refinitiv</t>
        </r>
      </text>
    </comment>
    <comment ref="AE2" authorId="0" shapeId="0" xr:uid="{CBFE96F4-6BFC-42E0-B959-E7D7D2199F8A}">
      <text>
        <r>
          <rPr>
            <sz val="10"/>
            <rFont val="Arial"/>
            <family val="2"/>
          </rPr>
          <t>Damião Carvalho Perdigão Gonçalves Ribeiro:
Adjust length of formula to number of companies provided by Refinitiv</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tc={700C8CAB-D721-441E-96B5-3D8AFE144D90}</author>
    <author>tc={792A0ECF-AD3F-4B01-9E2A-5CC4D27337F6}</author>
    <author>tc={C8329289-A4B7-4358-920A-E0EB28386555}</author>
    <author>tc={B0182465-18A6-474D-9B56-172839104F30}</author>
    <author>tc={C8ACA9B9-E711-48FC-87AB-592BF22FF983}</author>
    <author>tc={A5B73C30-9D75-4525-944A-D223C900CB1A}</author>
    <author>tc={EA872A3A-68D9-477B-9792-E350A517C9D3}</author>
    <author>tc={64CB78E2-EE69-46E7-9140-8AF9DAA2B73B}</author>
    <author>tc={EE923B4E-A21B-482F-B249-48773422CBFE}</author>
    <author>tc={716972D5-F66B-4D97-9A1E-3C81AE40029B}</author>
    <author>tc={5B6287A8-68EE-4393-93C7-43E4C6B1F139}</author>
    <author>tc={0C75EED1-434F-4C69-BDDB-7008D656CD08}</author>
    <author>tc={7018352D-1142-4633-B689-1479B98A1BA4}</author>
    <author>tc={4EAAE50F-47C5-4011-AD14-C5FC7681A8D7}</author>
    <author>tc={AB6CF340-AB85-4AEC-B637-E6B087649E4B}</author>
  </authors>
  <commentList>
    <comment ref="G6" authorId="0" shapeId="0" xr:uid="{700C8CAB-D721-441E-96B5-3D8AFE144D90}">
      <text>
        <t>[Threaded comment]
Your version of Excel allows you to read this threaded comment; however, any edits to it will get removed if the file is opened in a newer version of Excel. Learn more: https://go.microsoft.com/fwlink/?linkid=870924
Comment:
    Q1 FY24: 8744,3</t>
      </text>
    </comment>
    <comment ref="G7" authorId="1" shapeId="0" xr:uid="{792A0ECF-AD3F-4B01-9E2A-5CC4D27337F6}">
      <text>
        <t>[Threaded comment]
Your version of Excel allows you to read this threaded comment; however, any edits to it will get removed if the file is opened in a newer version of Excel. Learn more: https://go.microsoft.com/fwlink/?linkid=870924
Comment:
    "PACCAR achieved excellent truck parts and other gross margins of 19% in the first quarter. We anticipate second quarter margins to be strong and in a range of 18% to 18.5%." PACCAR Q1 2024 Earnings Call Transcript</t>
      </text>
    </comment>
    <comment ref="G15" authorId="2" shapeId="0" xr:uid="{C8329289-A4B7-4358-920A-E0EB28386555}">
      <text>
        <t>[Threaded comment]
Your version of Excel allows you to read this threaded comment; however, any edits to it will get removed if the file is opened in a newer version of Excel. Learn more: https://go.microsoft.com/fwlink/?linkid=870924
Comment:
    Q1 FY2024: 1534,5
Forecast for 2024: 6755,2</t>
      </text>
    </comment>
    <comment ref="G17" authorId="3" shapeId="0" xr:uid="{B0182465-18A6-474D-9B56-172839104F30}">
      <text>
        <t>[Threaded comment]
Your version of Excel allows you to read this threaded comment; however, any edits to it will get removed if the file is opened in a newer version of Excel. Learn more: https://go.microsoft.com/fwlink/?linkid=870924
Comment:
    1Q FY24: 1195,3
Forecast for 2024: 5359,18</t>
      </text>
    </comment>
    <comment ref="G22" authorId="4" shapeId="0" xr:uid="{C8ACA9B9-E711-48FC-87AB-592BF22FF983}">
      <text>
        <t>[Threaded comment]
Your version of Excel allows you to read this threaded comment; however, any edits to it will get removed if the file is opened in a newer version of Excel. Learn more: https://go.microsoft.com/fwlink/?linkid=870924
Comment:
    Q1 FY24: 1469</t>
      </text>
    </comment>
    <comment ref="C23" authorId="5" shapeId="0" xr:uid="{A5B73C30-9D75-4525-944A-D223C900CB1A}">
      <text>
        <t>[Threaded comment]
Your version of Excel allows you to read this threaded comment; however, any edits to it will get removed if the file is opened in a newer version of Excel. Learn more: https://go.microsoft.com/fwlink/?linkid=870924
Comment:
    Excludes Acquisition of equipment for operating leases</t>
      </text>
    </comment>
    <comment ref="G23" authorId="6" shapeId="0" xr:uid="{EA872A3A-68D9-477B-9792-E350A517C9D3}">
      <text>
        <t>[Threaded comment]
Your version of Excel allows you to read this threaded comment; however, any edits to it will get removed if the file is opened in a newer version of Excel. Learn more: https://go.microsoft.com/fwlink/?linkid=870924
Comment:
    In 2024, we’re planning capital investments in the range of $700 million to $750 million</t>
      </text>
    </comment>
    <comment ref="G26" authorId="7" shapeId="0" xr:uid="{64CB78E2-EE69-46E7-9140-8AF9DAA2B73B}">
      <text>
        <t>[Threaded comment]
Your version of Excel allows you to read this threaded comment; however, any edits to it will get removed if the file is opened in a newer version of Excel. Learn more: https://go.microsoft.com/fwlink/?linkid=870924
Comment:
    Q1 FY24: -526,1</t>
      </text>
    </comment>
    <comment ref="G32" authorId="8" shapeId="0" xr:uid="{EE923B4E-A21B-482F-B249-48773422CBFE}">
      <text>
        <t>[Threaded comment]
Your version of Excel allows you to read this threaded comment; however, any edits to it will get removed if the file is opened in a newer version of Excel. Learn more: https://go.microsoft.com/fwlink/?linkid=870924
Comment:
    Q1 FY2024: -1880</t>
      </text>
    </comment>
    <comment ref="C40" authorId="9" shapeId="0" xr:uid="{716972D5-F66B-4D97-9A1E-3C81AE40029B}">
      <text>
        <t>[Threaded comment]
Your version of Excel allows you to read this threaded comment; however, any edits to it will get removed if the file is opened in a newer version of Excel. Learn more: https://go.microsoft.com/fwlink/?linkid=870924
Comment:
    Gross Value (Excluding Operating Leases)</t>
      </text>
    </comment>
    <comment ref="C41" authorId="10" shapeId="0" xr:uid="{5B6287A8-68EE-4393-93C7-43E4C6B1F139}">
      <text>
        <t>[Threaded comment]
Your version of Excel allows you to read this threaded comment; however, any edits to it will get removed if the file is opened in a newer version of Excel. Learn more: https://go.microsoft.com/fwlink/?linkid=870924
Comment:
    Only Depreciation from PPE</t>
      </text>
    </comment>
    <comment ref="D53" authorId="11" shapeId="0" xr:uid="{0C75EED1-434F-4C69-BDDB-7008D656CD08}">
      <text>
        <t>[Threaded comment]
Your version of Excel allows you to read this threaded comment; however, any edits to it will get removed if the file is opened in a newer version of Excel. Learn more: https://go.microsoft.com/fwlink/?linkid=870924
Comment:
    They don't have amortizations</t>
      </text>
    </comment>
    <comment ref="E56" authorId="12" shapeId="0" xr:uid="{7018352D-1142-4633-B689-1479B98A1BA4}">
      <text>
        <t>[Threaded comment]
Your version of Excel allows you to read this threaded comment; however, any edits to it will get removed if the file is opened in a newer version of Excel. Learn more: https://go.microsoft.com/fwlink/?linkid=870924
Comment:
    As in the guide</t>
      </text>
    </comment>
    <comment ref="D63" authorId="13" shapeId="0" xr:uid="{4EAAE50F-47C5-4011-AD14-C5FC7681A8D7}">
      <text>
        <t>[Threaded comment]
Your version of Excel allows you to read this threaded comment; however, any edits to it will get removed if the file is opened in a newer version of Excel. Learn more: https://go.microsoft.com/fwlink/?linkid=870924
Comment:
    They don't really plan on doing any acquisition, but are open to the possibility.</t>
      </text>
    </comment>
    <comment ref="D64" authorId="14" shapeId="0" xr:uid="{AB6CF340-AB85-4AEC-B637-E6B087649E4B}">
      <text>
        <t>[Threaded comment]
Your version of Excel allows you to read this threaded comment; however, any edits to it will get removed if the file is opened in a newer version of Excel. Learn more: https://go.microsoft.com/fwlink/?linkid=870924
Comment:
    They state in their presentation, that they have a 50% dividend policy, however the data in the inputs show this value as 33% so, I forecasted it to stay the same.</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tc={52BECF3C-658B-4083-A0DA-1F67DF6E04DD}</author>
    <author>tc={F8540655-C020-4C7F-80EF-C44CC1E23C68}</author>
    <author>tc={3792DACB-48E7-4C44-864B-A334E874BDFD}</author>
    <author>tc={BA454C82-AB01-40F8-A0A2-88E0B0883ABC}</author>
    <author>tc={40F9E3E6-C70D-43DD-B8C1-42C4A9E053C8}</author>
    <author>tc={0826DE32-FE81-4474-8516-31CF21568C0E}</author>
    <author>tc={4452BEF6-C202-4C43-A002-3E07CC610A57}</author>
    <author>tc={EDAA7EA2-4E96-4683-AB7C-4045FF3AF33B}</author>
    <author>tc={B7E12147-FF74-4D4F-8A25-8B1F669756DA}</author>
    <author>tc={F67BCC06-59BC-4E5B-8EFC-AC69C2A12BD9}</author>
  </authors>
  <commentList>
    <comment ref="AS138" authorId="0" shapeId="0" xr:uid="{52BECF3C-658B-4083-A0DA-1F67DF6E04DD}">
      <text>
        <t>[Threaded comment]
Your version of Excel allows you to read this threaded comment; however, any edits to it will get removed if the file is opened in a newer version of Excel. Learn more: https://go.microsoft.com/fwlink/?linkid=870924
Comment:
    "PACCAR delivered 48,100 trucks during the first quarter and anticipates second quarter deliveries to be around 48,000" PACCAR Q1 2024 Earnings Call Transcript</t>
      </text>
    </comment>
    <comment ref="D292" authorId="1" shapeId="0" xr:uid="{F8540655-C020-4C7F-80EF-C44CC1E23C68}">
      <text>
        <t>[Threaded comment]
Your version of Excel allows you to read this threaded comment; however, any edits to it will get removed if the file is opened in a newer version of Excel. Learn more: https://go.microsoft.com/fwlink/?linkid=870924
Comment:
    Includes a -942,6$ million European Commission Charge</t>
      </text>
    </comment>
    <comment ref="E292" authorId="2" shapeId="0" xr:uid="{3792DACB-48E7-4C44-864B-A334E874BDFD}">
      <text>
        <t>[Threaded comment]
Your version of Excel allows you to read this threaded comment; however, any edits to it will get removed if the file is opened in a newer version of Excel. Learn more: https://go.microsoft.com/fwlink/?linkid=870924
Comment:
    Includes a 109,6$ million European Commission Charge</t>
      </text>
    </comment>
    <comment ref="L292" authorId="3" shapeId="0" xr:uid="{BA454C82-AB01-40F8-A0A2-88E0B0883ABC}">
      <text>
        <t>[Threaded comment]
Your version of Excel allows you to read this threaded comment; however, any edits to it will get removed if the file is opened in a newer version of Excel. Learn more: https://go.microsoft.com/fwlink/?linkid=870924
Comment:
    Includes a -942,6$ million European Commission Charge</t>
      </text>
    </comment>
    <comment ref="M292" authorId="4" shapeId="0" xr:uid="{40F9E3E6-C70D-43DD-B8C1-42C4A9E053C8}">
      <text>
        <t>[Threaded comment]
Your version of Excel allows you to read this threaded comment; however, any edits to it will get removed if the file is opened in a newer version of Excel. Learn more: https://go.microsoft.com/fwlink/?linkid=870924
Comment:
    Includes a 109,6$ million European Commission Charge</t>
      </text>
    </comment>
    <comment ref="O294" authorId="5" shapeId="0" xr:uid="{0826DE32-FE81-4474-8516-31CF21568C0E}">
      <text>
        <t>[Threaded comment]
Your version of Excel allows you to read this threaded comment; however, any edits to it will get removed if the file is opened in a newer version of Excel. Learn more: https://go.microsoft.com/fwlink/?linkid=870924
Comment:
    Includes a one-time net tax benefit of $173,4 million, from the new US tax law</t>
      </text>
    </comment>
    <comment ref="D306" authorId="6" shapeId="0" xr:uid="{4452BEF6-C202-4C43-A002-3E07CC610A57}">
      <text>
        <t>[Threaded comment]
Your version of Excel allows you to read this threaded comment; however, any edits to it will get removed if the file is opened in a newer version of Excel. Learn more: https://go.microsoft.com/fwlink/?linkid=870924
Comment:
    Includes a $600 million non-recurring charge related to civil litigation in Europe</t>
      </text>
    </comment>
    <comment ref="L306" authorId="7" shapeId="0" xr:uid="{EDAA7EA2-4E96-4683-AB7C-4045FF3AF33B}">
      <text>
        <t>[Threaded comment]
Your version of Excel allows you to read this threaded comment; however, any edits to it will get removed if the file is opened in a newer version of Excel. Learn more: https://go.microsoft.com/fwlink/?linkid=870924
Comment:
    Includes a $600 million non-recurring charge related to civil litigation in Europe</t>
      </text>
    </comment>
    <comment ref="B310" authorId="8" shapeId="0" xr:uid="{B7E12147-FF74-4D4F-8A25-8B1F669756DA}">
      <text>
        <t>[Threaded comment]
Your version of Excel allows you to read this threaded comment; however, any edits to it will get removed if the file is opened in a newer version of Excel. Learn more: https://go.microsoft.com/fwlink/?linkid=870924
Comment:
    Excluding 2016 as it is clearly an outlier</t>
      </text>
    </comment>
    <comment ref="B392" authorId="9" shapeId="0" xr:uid="{F67BCC06-59BC-4E5B-8EFC-AC69C2A12BD9}">
      <text>
        <t>[Threaded comment]
Your version of Excel allows you to read this threaded comment; however, any edits to it will get removed if the file is opened in a newer version of Excel. Learn more: https://go.microsoft.com/fwlink/?linkid=870924
Comment:
    Gross Value (excluding Operating Leases)</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tc={E68105D2-438B-439D-B2E7-7A480FDD158B}</author>
    <author>tc={DA832A37-588E-4AC1-BF66-327D541D41D1}</author>
    <author>tc={C57D4B20-A51A-43A4-94D1-AEC50B8EF273}</author>
    <author>tc={B8A4D5DA-F1BD-4621-AE10-5CFE90701F12}</author>
    <author>tc={0F6B4018-B400-4D51-9042-832809EE9781}</author>
    <author>tc={49F34F47-6438-428A-879C-3D74C0245DEF}</author>
    <author>tc={A462F7C7-B776-413F-8F47-AF2946095E0F}</author>
    <author>tc={CAF30932-06FD-4016-B9BF-D4BA178255B4}</author>
    <author>tc={B3747472-DC2E-4F80-AAC2-623B07DD3A42}</author>
  </authors>
  <commentList>
    <comment ref="A10" authorId="0" shapeId="0" xr:uid="{E68105D2-438B-439D-B2E7-7A480FDD158B}">
      <text>
        <t>[Threaded comment]
Your version of Excel allows you to read this threaded comment; however, any edits to it will get removed if the file is opened in a newer version of Excel. Learn more: https://go.microsoft.com/fwlink/?linkid=870924
Comment:
    The company reports Investment Income as part of NFC, so it was included here as well.</t>
      </text>
    </comment>
    <comment ref="A19" authorId="1" shapeId="0" xr:uid="{DA832A37-588E-4AC1-BF66-327D541D41D1}">
      <text>
        <t>[Threaded comment]
Your version of Excel allows you to read this threaded comment; however, any edits to it will get removed if the file is opened in a newer version of Excel. Learn more: https://go.microsoft.com/fwlink/?linkid=870924
Comment:
    Foreign currency translation gain</t>
      </text>
    </comment>
    <comment ref="A33" authorId="2" shapeId="0" xr:uid="{C57D4B20-A51A-43A4-94D1-AEC50B8EF273}">
      <text>
        <t>[Threaded comment]
Your version of Excel allows you to read this threaded comment; however, any edits to it will get removed if the file is opened in a newer version of Excel. Learn more: https://go.microsoft.com/fwlink/?linkid=870924
Comment:
    Net</t>
      </text>
    </comment>
    <comment ref="A34" authorId="3" shapeId="0" xr:uid="{B8A4D5DA-F1BD-4621-AE10-5CFE90701F12}">
      <text>
        <t>[Threaded comment]
Your version of Excel allows you to read this threaded comment; however, any edits to it will get removed if the file is opened in a newer version of Excel. Learn more: https://go.microsoft.com/fwlink/?linkid=870924
Comment:
    Initially part of PPE</t>
      </text>
    </comment>
    <comment ref="A35" authorId="4" shapeId="0" xr:uid="{0F6B4018-B400-4D51-9042-832809EE9781}">
      <text>
        <t>[Threaded comment]
Your version of Excel allows you to read this threaded comment; however, any edits to it will get removed if the file is opened in a newer version of Excel. Learn more: https://go.microsoft.com/fwlink/?linkid=870924
Comment:
    Marketable Securities</t>
      </text>
    </comment>
    <comment ref="A49" authorId="5" shapeId="0" xr:uid="{49F34F47-6438-428A-879C-3D74C0245DEF}">
      <text>
        <t>[Threaded comment]
Your version of Excel allows you to read this threaded comment; however, any edits to it will get removed if the file is opened in a newer version of Excel. Learn more: https://go.microsoft.com/fwlink/?linkid=870924
Comment:
    Capital Lease Obligations</t>
      </text>
    </comment>
    <comment ref="A61" authorId="6" shapeId="0" xr:uid="{A462F7C7-B776-413F-8F47-AF2946095E0F}">
      <text>
        <t>[Threaded comment]
Your version of Excel allows you to read this threaded comment; however, any edits to it will get removed if the file is opened in a newer version of Excel. Learn more: https://go.microsoft.com/fwlink/?linkid=870924
Comment:
    Includes Equipment on Operating Leases and Other</t>
      </text>
    </comment>
    <comment ref="A75" authorId="7" shapeId="0" xr:uid="{CAF30932-06FD-4016-B9BF-D4BA178255B4}">
      <text>
        <t>[Threaded comment]
Your version of Excel allows you to read this threaded comment; however, any edits to it will get removed if the file is opened in a newer version of Excel. Learn more: https://go.microsoft.com/fwlink/?linkid=870924
Comment:
    Proceeds from Stock Compensation Transactions</t>
      </text>
    </comment>
    <comment ref="A103" authorId="8" shapeId="0" xr:uid="{B3747472-DC2E-4F80-AAC2-623B07DD3A42}">
      <text>
        <t>[Threaded comment]
Your version of Excel allows you to read this threaded comment; however, any edits to it will get removed if the file is opened in a newer version of Excel. Learn more: https://go.microsoft.com/fwlink/?linkid=870924
Comment:
    Found in Income Statement of Refinitiv</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4">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7"/>
        </ext>
      </extLst>
    </bk>
    <bk>
      <extLst>
        <ext uri="{3e2802c4-a4d2-4d8b-9148-e3be6c30e623}">
          <xlrd:rvb i="10"/>
        </ext>
      </extLst>
    </bk>
    <bk>
      <extLst>
        <ext uri="{3e2802c4-a4d2-4d8b-9148-e3be6c30e623}">
          <xlrd:rvb i="13"/>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4"/>
        </ext>
      </extLst>
    </bk>
  </futureMetadata>
  <futureMetadata name="XLDAPR" count="1">
    <bk>
      <extLst>
        <ext uri="{bdbb8cdc-fa1e-496e-a857-3c3f30c029c3}">
          <xda:dynamicArrayProperties fDynamic="1" fCollapsed="0"/>
        </ext>
      </extLst>
    </bk>
  </futureMetadata>
  <cellMetadata count="1">
    <bk>
      <rc t="2" v="0"/>
    </bk>
  </cellMetadata>
  <valueMetadata count="14">
    <bk>
      <rc t="1" v="0"/>
    </bk>
    <bk>
      <rc t="1" v="1"/>
    </bk>
    <bk>
      <rc t="1" v="2"/>
    </bk>
    <bk>
      <rc t="1" v="3"/>
    </bk>
    <bk>
      <rc t="1" v="4"/>
    </bk>
    <bk>
      <rc t="1" v="5"/>
    </bk>
    <bk>
      <rc t="1" v="6"/>
    </bk>
    <bk>
      <rc t="1" v="7"/>
    </bk>
    <bk>
      <rc t="1" v="8"/>
    </bk>
    <bk>
      <rc t="1" v="9"/>
    </bk>
    <bk>
      <rc t="1" v="10"/>
    </bk>
    <bk>
      <rc t="1" v="11"/>
    </bk>
    <bk>
      <rc t="1" v="12"/>
    </bk>
    <bk>
      <rc t="1" v="13"/>
    </bk>
  </valueMetadata>
</metadata>
</file>

<file path=xl/sharedStrings.xml><?xml version="1.0" encoding="utf-8"?>
<sst xmlns="http://schemas.openxmlformats.org/spreadsheetml/2006/main" count="2824" uniqueCount="1391">
  <si>
    <t>Team 12</t>
  </si>
  <si>
    <t>30th April 2024</t>
  </si>
  <si>
    <t xml:space="preserve">SIC: </t>
  </si>
  <si>
    <t>COMPANY DESCRIPTION</t>
  </si>
  <si>
    <t>CEO &amp; BOARD OF DIRECTORS</t>
  </si>
  <si>
    <t>PACCAR Inc. represents a hallmark of American innovation and industrial might, focusing on the specialized design and manufacturing of heavy commercial vehicles. This enterprise orchestrates its global operations through a trio of distinguished subsidiaries: DAF, Kenworth, and Peterbilt. Each of these brands has carved out a significant presence in the trucking industry, offering a wide range of products that cater to various markets worldwide. The essence of PACCAR's operation lies in its ability to combine cutting-edge technology with rigorous quality standards, ensuring that each vehicle that rolls off the production line is a marvel of engineering and a tool designed to withstand the demands of heavy-duty transportation.</t>
  </si>
  <si>
    <t>Name (Gender;Age)</t>
  </si>
  <si>
    <t>Tenure</t>
  </si>
  <si>
    <t>Executive?</t>
  </si>
  <si>
    <t>Other roles</t>
  </si>
  <si>
    <t>R. Preston Feight (M;56)</t>
  </si>
  <si>
    <t>5 years</t>
  </si>
  <si>
    <t>Yes</t>
  </si>
  <si>
    <t>CEO (since 2019); Was an enginner at Ford for six years</t>
  </si>
  <si>
    <t>Franklin L. Feder (M;72)</t>
  </si>
  <si>
    <t>6 years</t>
  </si>
  <si>
    <t>Director of Minerals Technologies (since 2017) ; Former CEO of Alcoa Latin Mareica &amp; Caribbean (2004-2014)</t>
  </si>
  <si>
    <t>Dame Alison J. Carnwath (F;71)</t>
  </si>
  <si>
    <t>19 years</t>
  </si>
  <si>
    <t>Senior advisor to Evercore Partners (since 2005); Director of Coller Capital (since 2015) and EG Group Ltd. And ASDA Group Ltd. (since 2021)</t>
  </si>
  <si>
    <t>Kirk S. Hachigian (M;64)</t>
  </si>
  <si>
    <t>16 years</t>
  </si>
  <si>
    <t>Chairman of Allegion PLC (since 2023); Director of NextEra Energy (since 2013); Former Chairman of JELD-WEN Holding (2016-2019)</t>
  </si>
  <si>
    <t>Barbara B. Hulit (F;57)</t>
  </si>
  <si>
    <t>1 year</t>
  </si>
  <si>
    <t>No</t>
  </si>
  <si>
    <t>Former CEO of Advanced Healthcare Solutions (2019-2022); Director of Envista Holdings (since 2021) and Novanta Corporation (since 2022)</t>
  </si>
  <si>
    <t>Roderick C. Mcgeary (M;73)</t>
  </si>
  <si>
    <t>12 years</t>
  </si>
  <si>
    <t>Director of Raymond James Financial (since 2015); Former chairman of BearingPoint (2004-2009)</t>
  </si>
  <si>
    <t>Cynthia A. Niekamp (F;64)</t>
  </si>
  <si>
    <t>Vice-President of Automotive Coating at PPG Industries; Former President of BorgWarner's TorqTransfer Systems (2004-2008); Director of Ball Corporation (since 2016)</t>
  </si>
  <si>
    <t>John M. Pigott (M;60)</t>
  </si>
  <si>
    <t>15 years</t>
  </si>
  <si>
    <t>Borther of Mark C. Pigott; Partner in Beta Business Ventures</t>
  </si>
  <si>
    <t>Mark C. Pigott (M;70)</t>
  </si>
  <si>
    <t>30 years</t>
  </si>
  <si>
    <t>Executive Chairman; Former director of Franklin Resources Inc.</t>
  </si>
  <si>
    <t>Ganesh Ramaswamy (M;55)</t>
  </si>
  <si>
    <t>3 years</t>
  </si>
  <si>
    <t>Executive Vice President of Industrial &amp; Energy Technology at Baker Hughes; Former President of Global Services for Johnson Controls (2019-2022)</t>
  </si>
  <si>
    <t>Mark A. Schulz (M;71)</t>
  </si>
  <si>
    <t>4 years</t>
  </si>
  <si>
    <t>President and CEO of M.A. Schulz and Associates; Founding partner of Fontinalis Partners LLC</t>
  </si>
  <si>
    <t>Gregory M. E. Spierkel (M;67)</t>
  </si>
  <si>
    <t>Former CEO of Ingram Micro (2005-2012); Director of sChneider Electric SE (Paris) (since 2014)</t>
  </si>
  <si>
    <t>COMPANY OVERVIEW</t>
  </si>
  <si>
    <t>Stock</t>
  </si>
  <si>
    <t>Liquidity and Solvency</t>
  </si>
  <si>
    <t>Segments</t>
  </si>
  <si>
    <t>Multiples</t>
  </si>
  <si>
    <t>Last Price</t>
  </si>
  <si>
    <t>Total Assets</t>
  </si>
  <si>
    <t>Regions</t>
  </si>
  <si>
    <t>% Sales</t>
  </si>
  <si>
    <t>Reporting Year</t>
  </si>
  <si>
    <t>Float</t>
  </si>
  <si>
    <t>Outstanding Shares</t>
  </si>
  <si>
    <t>Total Liabilities</t>
  </si>
  <si>
    <t>End of Year</t>
  </si>
  <si>
    <t>Insiders Own</t>
  </si>
  <si>
    <t>Market Cap.</t>
  </si>
  <si>
    <t>Cash/Share</t>
  </si>
  <si>
    <t>EBITDA</t>
  </si>
  <si>
    <t>b (Yahoo)</t>
  </si>
  <si>
    <t>+Total Debt</t>
  </si>
  <si>
    <t>EBITDA/Net Financial Cost (NFC)</t>
  </si>
  <si>
    <t>Depreciation &amp; Amortization</t>
  </si>
  <si>
    <t>Credit Score</t>
  </si>
  <si>
    <t>-Cash</t>
  </si>
  <si>
    <t>Debt/EBITDA</t>
  </si>
  <si>
    <t>EBIT</t>
  </si>
  <si>
    <t>Price/Book Value</t>
  </si>
  <si>
    <t>=Enterprise Value</t>
  </si>
  <si>
    <t>"Others Assets"/Asset</t>
  </si>
  <si>
    <t>Net Income</t>
  </si>
  <si>
    <t>NCF(3y avg)/Asset</t>
  </si>
  <si>
    <t>Holdings (nac/int'l)</t>
  </si>
  <si>
    <t>-</t>
  </si>
  <si>
    <t>Debt/Assets</t>
  </si>
  <si>
    <t>Categories</t>
  </si>
  <si>
    <t>EPS</t>
  </si>
  <si>
    <t>Price/Net Inc. (3y avg)</t>
  </si>
  <si>
    <t>t liq. (Holdings/Vol.)</t>
  </si>
  <si>
    <t>EBITDA Margin (average)</t>
  </si>
  <si>
    <t>ROA</t>
  </si>
  <si>
    <t>EV/Asset</t>
  </si>
  <si>
    <t>% Short</t>
  </si>
  <si>
    <t>Operating Margin (average)</t>
  </si>
  <si>
    <t>ROIC</t>
  </si>
  <si>
    <t>EV/Ebitda (3y average)</t>
  </si>
  <si>
    <t>Traffic ESG</t>
  </si>
  <si>
    <t>Net Income Margin (average)</t>
  </si>
  <si>
    <t>EBITDA (3y average)</t>
  </si>
  <si>
    <t>Price/NCF (3y average)</t>
  </si>
  <si>
    <t>E</t>
  </si>
  <si>
    <t>Net Income (3y average)</t>
  </si>
  <si>
    <t>Bonds 1,3,5a (USD)</t>
  </si>
  <si>
    <t>S</t>
  </si>
  <si>
    <t>Net Financial Cost/Avg Net Debt</t>
  </si>
  <si>
    <t>NCF (3y average)</t>
  </si>
  <si>
    <t>Div+Rep.(3y avg)/Price</t>
  </si>
  <si>
    <t>G</t>
  </si>
  <si>
    <t>Div. Yield</t>
  </si>
  <si>
    <t>INVESTMENT THESIS</t>
  </si>
  <si>
    <t>Pillars of Recommendation</t>
  </si>
  <si>
    <t>Recommendation</t>
  </si>
  <si>
    <t>Valuation Assumptions</t>
  </si>
  <si>
    <t>Pillar</t>
  </si>
  <si>
    <t>Explanation</t>
  </si>
  <si>
    <t>HOLD</t>
  </si>
  <si>
    <t>Check DCF</t>
  </si>
  <si>
    <t>Industry</t>
  </si>
  <si>
    <t>The industry it's in is very stable and PACCAR seems it be performing well amidst the industry.</t>
  </si>
  <si>
    <t>Diversification of Products</t>
  </si>
  <si>
    <t>Their expansion into the EV market could increase overall revenue and diversify it's source.</t>
  </si>
  <si>
    <t>Increase of Global Commerce</t>
  </si>
  <si>
    <t>The increase of international commerce entails a need for transportation, which boosts the industry's activity.</t>
  </si>
  <si>
    <t>Risks of Investment</t>
  </si>
  <si>
    <t>Price Target</t>
  </si>
  <si>
    <t>Valuation</t>
  </si>
  <si>
    <t>Risk</t>
  </si>
  <si>
    <t>Discount Rate</t>
  </si>
  <si>
    <t>Price M. Upside</t>
  </si>
  <si>
    <t>Cyclical</t>
  </si>
  <si>
    <t>The company is very dependant on economic cycles, so if international shipment decreases, it'll affect the company a lot.</t>
  </si>
  <si>
    <t>Dependancy on other Industries</t>
  </si>
  <si>
    <t>The transportation industry is heavily dependant on other industries, a decrease of activity on other industries will decrease the activity of the transportation industry.</t>
  </si>
  <si>
    <t>Upside</t>
  </si>
  <si>
    <t>EV M. Upside</t>
  </si>
  <si>
    <t>Production Costs, Capacity and Inflation</t>
  </si>
  <si>
    <t>The Company’s products are exposed to variability in material and commodity costs. Commodity or component price
increases, cost pressures due to inflation, significant shortages of component products and labor availability may adversely impact the Company’s financial results or use
of its production capacity.</t>
  </si>
  <si>
    <t>FINANCIAL PERFORMANCE</t>
  </si>
  <si>
    <t>Year</t>
  </si>
  <si>
    <t>Net Sales</t>
  </si>
  <si>
    <t>Operating Margin</t>
  </si>
  <si>
    <t>Dividends + Share Buyback</t>
  </si>
  <si>
    <t>Net Cash Flow</t>
  </si>
  <si>
    <t>Depreciation</t>
  </si>
  <si>
    <t>Capex + Investments</t>
  </si>
  <si>
    <t>Cash Flow</t>
  </si>
  <si>
    <t>Operating CF</t>
  </si>
  <si>
    <t>Investing CF</t>
  </si>
  <si>
    <t>Net Capex</t>
  </si>
  <si>
    <t>Investments &amp; Acquisitions</t>
  </si>
  <si>
    <t>Financing CF</t>
  </si>
  <si>
    <t>Dividends</t>
  </si>
  <si>
    <t>Share Buyback</t>
  </si>
  <si>
    <t>Annual Growth Rate</t>
  </si>
  <si>
    <t>FX</t>
  </si>
  <si>
    <t>Average Growth Rate</t>
  </si>
  <si>
    <t>Changes in Cash</t>
  </si>
  <si>
    <t>CVAR</t>
  </si>
  <si>
    <r>
      <t>Inventory/</t>
    </r>
    <r>
      <rPr>
        <sz val="10"/>
        <rFont val="Symbol"/>
        <family val="1"/>
        <charset val="2"/>
      </rPr>
      <t>D</t>
    </r>
    <r>
      <rPr>
        <sz val="10"/>
        <rFont val="Arial"/>
        <family val="2"/>
      </rPr>
      <t xml:space="preserve"> Revenues</t>
    </r>
  </si>
  <si>
    <t>Last Year</t>
  </si>
  <si>
    <t>t inversiones; t adq. neto dep.</t>
  </si>
  <si>
    <t>QUALITATIVE ANALYSIS</t>
  </si>
  <si>
    <t>SWOT ANALYSIS</t>
  </si>
  <si>
    <t>HOLDERS</t>
  </si>
  <si>
    <t>Strenghts</t>
  </si>
  <si>
    <t>Weaknesses</t>
  </si>
  <si>
    <t>Name</t>
  </si>
  <si>
    <t>% Stake</t>
  </si>
  <si>
    <r>
      <rPr>
        <b/>
        <sz val="10"/>
        <color rgb="FF000000"/>
        <rFont val="Arial"/>
        <family val="2"/>
      </rPr>
      <t>Strong Brand Portfolio:</t>
    </r>
    <r>
      <rPr>
        <sz val="10"/>
        <color rgb="FF000000"/>
        <rFont val="Arial"/>
        <family val="2"/>
      </rPr>
      <t xml:space="preserve"> PACCAR's brand portfolio, including Kenworth, Peterbilt, and DAF, caters to diverse market needs, enhancing global market penetration and ensuring sustained presence across different demographics.
</t>
    </r>
    <r>
      <rPr>
        <b/>
        <sz val="10"/>
        <color rgb="FF000000"/>
        <rFont val="Arial"/>
        <family val="2"/>
      </rPr>
      <t>Diversification:</t>
    </r>
    <r>
      <rPr>
        <sz val="10"/>
        <color rgb="FF000000"/>
        <rFont val="Arial"/>
        <family val="2"/>
      </rPr>
      <t xml:space="preserve"> Spanning truck manufacturing, financial services, and aftermarket parts, PACCAR's diversified business model mitigates risks and stabilizes revenue, supporting long-term profitability and customer engagement.
</t>
    </r>
    <r>
      <rPr>
        <b/>
        <sz val="10"/>
        <color rgb="FF000000"/>
        <rFont val="Arial"/>
        <family val="2"/>
      </rPr>
      <t>Innovation and Technology:</t>
    </r>
    <r>
      <rPr>
        <sz val="10"/>
        <color rgb="FF000000"/>
        <rFont val="Arial"/>
        <family val="2"/>
      </rPr>
      <t xml:space="preserve"> PACCAR's leadership in electric and autonomous truck technologies positions it at the forefront of industry advancements, aligning with sustainability goals and securing a competitive edge.</t>
    </r>
  </si>
  <si>
    <r>
      <rPr>
        <b/>
        <sz val="10"/>
        <color rgb="FF000000"/>
        <rFont val="Arial"/>
        <family val="2"/>
      </rPr>
      <t>Complex Regulations:</t>
    </r>
    <r>
      <rPr>
        <sz val="10"/>
        <color rgb="FF000000"/>
        <rFont val="Arial"/>
        <family val="2"/>
      </rPr>
      <t xml:space="preserve"> Adhering to stringent global regulations, like Euro VI standards, imposes continuous technological updates and R&amp;D investments, increasing operational costs and complicating production processes.
</t>
    </r>
    <r>
      <rPr>
        <b/>
        <sz val="10"/>
        <color rgb="FF000000"/>
        <rFont val="Arial"/>
        <family val="2"/>
      </rPr>
      <t>Production Complexity and Flexibility:</t>
    </r>
    <r>
      <rPr>
        <sz val="10"/>
        <color rgb="FF000000"/>
        <rFont val="Arial"/>
        <family val="2"/>
      </rPr>
      <t xml:space="preserve"> The complexity of PACCAR's production processes limits operational flexibility, hindering quick adaptation to market shifts, such as the transition to electric vehicles, and potentially increasing costs during transitions.
</t>
    </r>
    <r>
      <rPr>
        <b/>
        <sz val="10"/>
        <color rgb="FF000000"/>
        <rFont val="Arial"/>
        <family val="2"/>
      </rPr>
      <t xml:space="preserve">
High Dependence on the North American Market:</t>
    </r>
    <r>
      <rPr>
        <sz val="10"/>
        <color rgb="FF000000"/>
        <rFont val="Arial"/>
        <family val="2"/>
      </rPr>
      <t xml:space="preserve"> PACCAR's significant reliance on North America for revenue exposes it to regional economic fluctuations, which can threaten its overall financial performance.</t>
    </r>
  </si>
  <si>
    <t>Vanguard Fiduciary Ttrust Co</t>
  </si>
  <si>
    <t>11,87%</t>
  </si>
  <si>
    <t>The Vanguard Group</t>
  </si>
  <si>
    <t>BlackRock Advisors LLC</t>
  </si>
  <si>
    <t>5,58</t>
  </si>
  <si>
    <t>STATE STREET CORPORATION</t>
  </si>
  <si>
    <t>4,13%</t>
  </si>
  <si>
    <t>GEODE CAPITAL MANAGEMENT LLC</t>
  </si>
  <si>
    <t>2,4%</t>
  </si>
  <si>
    <t>FIDELITY MANAGEMENT</t>
  </si>
  <si>
    <t>2,3%</t>
  </si>
  <si>
    <t>MERRYL LYNCH INTERNATIONAL</t>
  </si>
  <si>
    <t>2,12%</t>
  </si>
  <si>
    <t>MASSACHUSETTS FINANCIAL SERVICES</t>
  </si>
  <si>
    <t>1,49%</t>
  </si>
  <si>
    <t>BLACKROCK LIFE LTD</t>
  </si>
  <si>
    <t>1,26%</t>
  </si>
  <si>
    <t>EATON VANCE MANAGEMENT</t>
  </si>
  <si>
    <t>1,23%</t>
  </si>
  <si>
    <t>Opportunities</t>
  </si>
  <si>
    <t>Threats</t>
  </si>
  <si>
    <r>
      <rPr>
        <b/>
        <sz val="10"/>
        <color rgb="FF000000"/>
        <rFont val="Arial"/>
        <family val="2"/>
      </rPr>
      <t>Government synergy:</t>
    </r>
    <r>
      <rPr>
        <sz val="10"/>
        <color rgb="FF000000"/>
        <rFont val="Arial"/>
        <family val="2"/>
      </rPr>
      <t xml:space="preserve"> Partnering with governments in emerging markets, such as Canada and Brazil, on transportation initiatives can open avenues for growth and collaboration.
</t>
    </r>
    <r>
      <rPr>
        <b/>
        <sz val="10"/>
        <color rgb="FF000000"/>
        <rFont val="Arial"/>
        <family val="2"/>
      </rPr>
      <t>Expand to emerging markets:</t>
    </r>
    <r>
      <rPr>
        <sz val="10"/>
        <color rgb="FF000000"/>
        <rFont val="Arial"/>
        <family val="2"/>
      </rPr>
      <t xml:space="preserve"> Increasing infrastructure development in Asia, Africa, and South America offers growth opportunities for PACCAR to expand its market presence and capitalize on rising demand for transportation solutions.
</t>
    </r>
    <r>
      <rPr>
        <b/>
        <sz val="10"/>
        <color rgb="FF000000"/>
        <rFont val="Arial"/>
        <family val="2"/>
      </rPr>
      <t>Electric and Autonomous Vehicles:</t>
    </r>
    <r>
      <rPr>
        <sz val="10"/>
        <color rgb="FF000000"/>
        <rFont val="Arial"/>
        <family val="2"/>
      </rPr>
      <t xml:space="preserve"> With rising interest in eco-friendly and autonomous vehicles, PACCAR can leverage its R&amp;D to accelerate developments in these areas, aligning with market trends and future demand.</t>
    </r>
  </si>
  <si>
    <r>
      <rPr>
        <b/>
        <sz val="10"/>
        <color rgb="FF000000"/>
        <rFont val="Arial"/>
        <family val="2"/>
      </rPr>
      <t>Raw material prices:</t>
    </r>
    <r>
      <rPr>
        <sz val="10"/>
        <color rgb="FF000000"/>
        <rFont val="Arial"/>
        <family val="2"/>
      </rPr>
      <t xml:space="preserve"> Volatility in raw material prices, such as steel and aluminum, can impact production costs and profitability, affecting PACCAR's bottom line.
</t>
    </r>
    <r>
      <rPr>
        <b/>
        <sz val="10"/>
        <color rgb="FF000000"/>
        <rFont val="Arial"/>
        <family val="2"/>
      </rPr>
      <t>Dependency on crucial suppliers:</t>
    </r>
    <r>
      <rPr>
        <sz val="10"/>
        <color rgb="FF000000"/>
        <rFont val="Arial"/>
        <family val="2"/>
      </rPr>
      <t xml:space="preserve"> Reliance on key suppliers for critical components poses risks of supply chain disruptions, potentially impacting production and sales.
</t>
    </r>
    <r>
      <rPr>
        <b/>
        <sz val="10"/>
        <color rgb="FF000000"/>
        <rFont val="Arial"/>
        <family val="2"/>
      </rPr>
      <t xml:space="preserve">Economic Fluctuations: </t>
    </r>
    <r>
      <rPr>
        <sz val="10"/>
        <color rgb="FF000000"/>
        <rFont val="Arial"/>
        <family val="2"/>
      </rPr>
      <t xml:space="preserve">Downturns in crucial markets like North America and Europe can reduce truck sales, adversely affecting PACCAR's revenue and profitability.
</t>
    </r>
  </si>
  <si>
    <t>TOTAL</t>
  </si>
  <si>
    <t>NOTES</t>
  </si>
  <si>
    <t>STOCK PERFORMANCE (5 years)</t>
  </si>
  <si>
    <t xml:space="preserve">In addition to its core business of truck manufacturing, PACCAR has diversified its operations to encompass a broad spectrum of related services and products. The company boasts an efficient parts division, ensuring that customers have access to high-quality components and replacements, thereby enhancing the longevity and performance of their vehicles. The financial services segment of PACCAR offers tailored financing options, insurance, and leasing solutions, facilitating the acquisition and maintenance of its vehicles by businesses of all sizes. Furthermore, PACCAR's foray into the manufacture and marketing of industrial winches complements its primary offerings, providing robust solutions for cargo handling and logistics challenges.
</t>
  </si>
  <si>
    <t>Invertir</t>
  </si>
  <si>
    <t>NO invertir</t>
  </si>
  <si>
    <t>Mantener sin elevar posición</t>
  </si>
  <si>
    <t>Mantener (y seguir comprando)</t>
  </si>
  <si>
    <t>Liquidar</t>
  </si>
  <si>
    <t>PENDIENTE</t>
  </si>
  <si>
    <t>Products</t>
  </si>
  <si>
    <t>Nominal value</t>
  </si>
  <si>
    <t>YoY Growth</t>
  </si>
  <si>
    <t>Weight</t>
  </si>
  <si>
    <t>Region (Plant)</t>
  </si>
  <si>
    <t>United States and Canada</t>
  </si>
  <si>
    <t>Europe</t>
  </si>
  <si>
    <t>Other</t>
  </si>
  <si>
    <t>Category</t>
  </si>
  <si>
    <t xml:space="preserve">Trucks </t>
  </si>
  <si>
    <t>Parts</t>
  </si>
  <si>
    <t>Financial Services</t>
  </si>
  <si>
    <t>Description</t>
  </si>
  <si>
    <t>Graphs</t>
  </si>
  <si>
    <t>The Truck segment includes the design and manufacture of high-quality, light-, medium- and heavyduty commercial trucks</t>
  </si>
  <si>
    <t>Parts segment includes the distribution of aftermarket parts for trucks and related commercial vehicles, both of which are sold through the same network of independent dealers</t>
  </si>
  <si>
    <t>Financing or leasing of PACCAR products and services provided to truck customers and dealers</t>
  </si>
  <si>
    <t>Other includes the winch business as well as sales, income and expenses not attributable to a reportable segment</t>
  </si>
  <si>
    <t>Graphs (Industry Forecasts)</t>
  </si>
  <si>
    <t>Drivers</t>
  </si>
  <si>
    <t>Economy's strenght</t>
  </si>
  <si>
    <t>Economic factors such as GDP growth, consumer spending, industrial production, and construction activity play a significant role for Paccar business. If there is a strong economic growth that will, most likely, lead to an increase in freight transportation needs.</t>
  </si>
  <si>
    <r>
      <t>Economic Conditions</t>
    </r>
    <r>
      <rPr>
        <sz val="12"/>
        <color rgb="FFECECEC"/>
        <rFont val="Söhne"/>
        <charset val="1"/>
      </rPr>
      <t>: Economic factors such as GDP growth, consumer spending, industrial production, and construction activity play a significant role in driving demand for trucks. Strong economic growth typically leads to increased freight transportation needs, boosting demand for new trucks.</t>
    </r>
  </si>
  <si>
    <t>Dependent sectors</t>
  </si>
  <si>
    <t>This industry is interconnected with other sectors such as manufacturing, agriculture, retail, and logistics. Changes in supply chain dynamics and shifts in trade patterns will impact demand for trucks. (e.g.: e-commerce)</t>
  </si>
  <si>
    <t>Environmental adaptability</t>
  </si>
  <si>
    <t>The recent environmental issues and sustainability concerns are increasing demand for cleaner, more fuel-efficient trucks with lower carbon emissions. Regulatory initiatives and efforts are influencing manufacturers to develop eco-friendly solutions.</t>
  </si>
  <si>
    <t>Sales forecast</t>
  </si>
  <si>
    <t>Source</t>
  </si>
  <si>
    <t>Market Growth CAGR</t>
  </si>
  <si>
    <t>Period</t>
  </si>
  <si>
    <t>The Brainy Insights</t>
  </si>
  <si>
    <t>2023 - 2032</t>
  </si>
  <si>
    <t>Mordor Intelligence</t>
  </si>
  <si>
    <t>2019 - 2029</t>
  </si>
  <si>
    <t>Zion</t>
  </si>
  <si>
    <t>2020 - 2026</t>
  </si>
  <si>
    <t>AVERAGE</t>
  </si>
  <si>
    <t>Company's Strategy / Extra Notes</t>
  </si>
  <si>
    <t>&gt;The company has a differentiated approach to research and development, partnering with suppliers and technology companies in early stages of technology development, and scaling direct investments closer to the time of commercialization
&gt;Conservative approach to financial management and a long-term business perspective
&gt;Customer loyalty: strong emphasis on building high-quality and reliable trucks. Its brands, including Peterbilt, Kenworth, and DAF, are known for their durability, performance, and long-term value, attracting loyal customers worldwide.</t>
  </si>
  <si>
    <t>The Company evaluates the performance of its Truck and Parts segments based on operating profits, which excludes investment income, other income and expense, and income taxes</t>
  </si>
  <si>
    <t>Peer Logo</t>
  </si>
  <si>
    <t>Peer Name</t>
  </si>
  <si>
    <t>Currency</t>
  </si>
  <si>
    <t>End of Fiscal Year</t>
  </si>
  <si>
    <t>Next Earnings Date</t>
  </si>
  <si>
    <t>Deviation from Average</t>
  </si>
  <si>
    <t>Company Info</t>
  </si>
  <si>
    <t>TRAFFIC</t>
  </si>
  <si>
    <t>Market Cap</t>
  </si>
  <si>
    <t>Best Value</t>
  </si>
  <si>
    <t>Net Sales (current)</t>
  </si>
  <si>
    <t>Profitability</t>
  </si>
  <si>
    <t>Important Value</t>
  </si>
  <si>
    <t>Sales Growth (ttm)</t>
  </si>
  <si>
    <t>Sales Growth (36m)</t>
  </si>
  <si>
    <t>Worst Value</t>
  </si>
  <si>
    <t>Net Income Margin</t>
  </si>
  <si>
    <t>Return on Equity (RoE)</t>
  </si>
  <si>
    <t>Return on Invested Capital (ROIC)</t>
  </si>
  <si>
    <t>Solvency</t>
  </si>
  <si>
    <t>Net Debt/EBITDA</t>
  </si>
  <si>
    <t>Debt/Assets (Leases Free Debt)</t>
  </si>
  <si>
    <t>Net Debt/EBIT (Leases Free Debt)</t>
  </si>
  <si>
    <t>Leasing Debt/Total Debt</t>
  </si>
  <si>
    <t>Interest Coverage Ratio</t>
  </si>
  <si>
    <t>Liquidity</t>
  </si>
  <si>
    <t>Current Ratio</t>
  </si>
  <si>
    <t>Quick Ratio</t>
  </si>
  <si>
    <t>Activity</t>
  </si>
  <si>
    <t>Inventory Turnover</t>
  </si>
  <si>
    <t>Acc. Receivable Turnover</t>
  </si>
  <si>
    <t>Price/Sales</t>
  </si>
  <si>
    <t>Payables Turnover</t>
  </si>
  <si>
    <t>Fixed Asset Turnover</t>
  </si>
  <si>
    <t>Total Asset Turnover</t>
  </si>
  <si>
    <t>Price/Earnings</t>
  </si>
  <si>
    <t>Price/Book</t>
  </si>
  <si>
    <t>EV/Sales</t>
  </si>
  <si>
    <t>EV/EBITDA</t>
  </si>
  <si>
    <t>Stock Info</t>
  </si>
  <si>
    <r>
      <t xml:space="preserve">b </t>
    </r>
    <r>
      <rPr>
        <b/>
        <sz val="10"/>
        <rFont val="Arial"/>
        <family val="2"/>
      </rPr>
      <t>(Yahoo)</t>
    </r>
  </si>
  <si>
    <t>Dividend Yield (yahoo finance)</t>
  </si>
  <si>
    <t>Stock Performance</t>
  </si>
  <si>
    <t>1y</t>
  </si>
  <si>
    <t>3y</t>
  </si>
  <si>
    <t>Current Price</t>
  </si>
  <si>
    <t>--</t>
  </si>
  <si>
    <t>Average Target Price</t>
  </si>
  <si>
    <t>Upside/Downside</t>
  </si>
  <si>
    <t>Extra</t>
  </si>
  <si>
    <t>3y Operating Cash Flow</t>
  </si>
  <si>
    <t>R&amp;D/Net Sales</t>
  </si>
  <si>
    <t>Financial Data</t>
  </si>
  <si>
    <t>IS</t>
  </si>
  <si>
    <t>COGS</t>
  </si>
  <si>
    <t>Operating Income</t>
  </si>
  <si>
    <t>Net Financial Cost</t>
  </si>
  <si>
    <t>Taxes</t>
  </si>
  <si>
    <t>R&amp;D</t>
  </si>
  <si>
    <t>BS</t>
  </si>
  <si>
    <t>Cash &amp; Eq.</t>
  </si>
  <si>
    <t>Acc. Receivables</t>
  </si>
  <si>
    <t>Inventory</t>
  </si>
  <si>
    <t>Current Assets</t>
  </si>
  <si>
    <t>Fixed Assets</t>
  </si>
  <si>
    <t>Acc. Payable</t>
  </si>
  <si>
    <t>Current Liabilities</t>
  </si>
  <si>
    <t>Leasing Debt</t>
  </si>
  <si>
    <t>Total Debt</t>
  </si>
  <si>
    <t>Total Equity</t>
  </si>
  <si>
    <t xml:space="preserve"> </t>
  </si>
  <si>
    <t>in AUD</t>
  </si>
  <si>
    <t>Variables</t>
  </si>
  <si>
    <t>Rankings</t>
  </si>
  <si>
    <t>Difference</t>
  </si>
  <si>
    <t>Results</t>
  </si>
  <si>
    <t>Additional Information</t>
  </si>
  <si>
    <t>Selected Peers</t>
  </si>
  <si>
    <t>Price Multiples (TTM)</t>
  </si>
  <si>
    <t>Enterprise Value Multiples (TTM)</t>
  </si>
  <si>
    <t>Ticker</t>
  </si>
  <si>
    <t>Company Name</t>
  </si>
  <si>
    <t>TRBC Industry</t>
  </si>
  <si>
    <t>Country</t>
  </si>
  <si>
    <t>ROE</t>
  </si>
  <si>
    <t>DEBT/EBIT</t>
  </si>
  <si>
    <t>EPS Growth (2022-2023) (Refinitiv Smart Estimate)</t>
  </si>
  <si>
    <t>EBIT Margin</t>
  </si>
  <si>
    <t>EPS Growth</t>
  </si>
  <si>
    <t>SARD Result</t>
  </si>
  <si>
    <t>SARD Peers</t>
  </si>
  <si>
    <t>SARD Peers adjusted Rank</t>
  </si>
  <si>
    <t>Suitability</t>
  </si>
  <si>
    <t>Relevant Information Missing</t>
  </si>
  <si>
    <t>Author's Override</t>
  </si>
  <si>
    <t>Observations</t>
  </si>
  <si>
    <t>P / E</t>
  </si>
  <si>
    <t>P / B</t>
  </si>
  <si>
    <t>Price / Sales</t>
  </si>
  <si>
    <t>EV / Sales</t>
  </si>
  <si>
    <t>EV / EBITDA</t>
  </si>
  <si>
    <t>Net Income After Taxes</t>
  </si>
  <si>
    <t>Revenue</t>
  </si>
  <si>
    <t>Company Market Cap</t>
  </si>
  <si>
    <t>Earnings per Share (FY1)</t>
  </si>
  <si>
    <t>Earnings per Share (FY0)</t>
  </si>
  <si>
    <t>Benchmark</t>
  </si>
  <si>
    <t>PCAR.OQ</t>
  </si>
  <si>
    <t>Paccar Inc</t>
  </si>
  <si>
    <t>United States of America</t>
  </si>
  <si>
    <t>Comparison</t>
  </si>
  <si>
    <t>BAWJ.J</t>
  </si>
  <si>
    <t>Barloworld Ltd</t>
  </si>
  <si>
    <t>South Africa</t>
  </si>
  <si>
    <t>FSS.N</t>
  </si>
  <si>
    <t>Federal Signal Corp</t>
  </si>
  <si>
    <t>VOLVb.ST</t>
  </si>
  <si>
    <t>Volvo AB</t>
  </si>
  <si>
    <t>Sweden</t>
  </si>
  <si>
    <t>FTT.TO</t>
  </si>
  <si>
    <t>Finning International Inc</t>
  </si>
  <si>
    <t>Canada</t>
  </si>
  <si>
    <t>DEZG.DE</t>
  </si>
  <si>
    <t>DEUTZ AG</t>
  </si>
  <si>
    <t>Germany</t>
  </si>
  <si>
    <t>FSTR.OQ</t>
  </si>
  <si>
    <t>L B Foster Co</t>
  </si>
  <si>
    <t>Median</t>
  </si>
  <si>
    <t>MANP.PA</t>
  </si>
  <si>
    <t>Manitou BF SA</t>
  </si>
  <si>
    <t>France</t>
  </si>
  <si>
    <t>Benchmark Data</t>
  </si>
  <si>
    <t>Price / Share</t>
  </si>
  <si>
    <t>ASTE.OQ</t>
  </si>
  <si>
    <t>Astec Industries Inc</t>
  </si>
  <si>
    <t>Multiplier</t>
  </si>
  <si>
    <t># Shares</t>
  </si>
  <si>
    <t>-Debt + Cash</t>
  </si>
  <si>
    <t>LNN.N</t>
  </si>
  <si>
    <t>Lindsay Corp</t>
  </si>
  <si>
    <t>KEPL3.SA</t>
  </si>
  <si>
    <t>Kepler Weber SA</t>
  </si>
  <si>
    <t>Brazil</t>
  </si>
  <si>
    <t>By Consolidated Average</t>
  </si>
  <si>
    <t>MTW.N</t>
  </si>
  <si>
    <t>Manitowoc Company Inc</t>
  </si>
  <si>
    <t>CAT.N</t>
  </si>
  <si>
    <t>Caterpillar Inc</t>
  </si>
  <si>
    <t>6305.T</t>
  </si>
  <si>
    <t>Hitachi Construction Machinery Co Ltd</t>
  </si>
  <si>
    <t>Japan</t>
  </si>
  <si>
    <t>6301.T</t>
  </si>
  <si>
    <t>Komatsu Ltd</t>
  </si>
  <si>
    <t>DE.N</t>
  </si>
  <si>
    <t>Deere &amp; Co</t>
  </si>
  <si>
    <t>OSK.N</t>
  </si>
  <si>
    <t>Oshkosh Corp</t>
  </si>
  <si>
    <t>6294.T</t>
  </si>
  <si>
    <t>Okada Aiyon Corp</t>
  </si>
  <si>
    <t>TEX.N</t>
  </si>
  <si>
    <t>Terex Corp</t>
  </si>
  <si>
    <t>TTC.N</t>
  </si>
  <si>
    <t>Toro Co</t>
  </si>
  <si>
    <t>TIH.TO</t>
  </si>
  <si>
    <t>Toromont Industries Ltd</t>
  </si>
  <si>
    <t>TRN.N</t>
  </si>
  <si>
    <t>Trinity Industries Inc</t>
  </si>
  <si>
    <t>000425.SZ</t>
  </si>
  <si>
    <t>XCMG Construction Machinery Co Ltd</t>
  </si>
  <si>
    <t>China</t>
  </si>
  <si>
    <t>WNC.N</t>
  </si>
  <si>
    <t>Wabash National Corp</t>
  </si>
  <si>
    <t>WJX.TO</t>
  </si>
  <si>
    <t>Wajax Corp</t>
  </si>
  <si>
    <t>CAF.MC</t>
  </si>
  <si>
    <t>Construcciones y Auxiliar de Ferrocarriles SA</t>
  </si>
  <si>
    <t>Spain</t>
  </si>
  <si>
    <t>POMO4.SA</t>
  </si>
  <si>
    <t>Marcopolo SA</t>
  </si>
  <si>
    <t>CMCO.OQ</t>
  </si>
  <si>
    <t>Columbus McKinnon Corp</t>
  </si>
  <si>
    <t>JUNG_p.DE</t>
  </si>
  <si>
    <t>Jungheinrich AG</t>
  </si>
  <si>
    <t>EM.MI</t>
  </si>
  <si>
    <t>Emak SpA</t>
  </si>
  <si>
    <t>Italy</t>
  </si>
  <si>
    <t>6201.T</t>
  </si>
  <si>
    <t>Toyota Industries Corp</t>
  </si>
  <si>
    <t>6395.T</t>
  </si>
  <si>
    <t>Tadano Ltd</t>
  </si>
  <si>
    <t>6289.T</t>
  </si>
  <si>
    <t>Giken Ltd</t>
  </si>
  <si>
    <t>AGCO.N</t>
  </si>
  <si>
    <t>AGCO Corp</t>
  </si>
  <si>
    <t>WAB.N</t>
  </si>
  <si>
    <t>Westinghouse Air Brake Technologies Corp</t>
  </si>
  <si>
    <t>6326.T</t>
  </si>
  <si>
    <t>Kubota Corp</t>
  </si>
  <si>
    <t>ALG.N</t>
  </si>
  <si>
    <t>Alamo Group Inc</t>
  </si>
  <si>
    <t>VST.NS</t>
  </si>
  <si>
    <t>VST Tillers Tractors Ltd</t>
  </si>
  <si>
    <t>India</t>
  </si>
  <si>
    <t>RAPT4.SA</t>
  </si>
  <si>
    <t>Randon SA Implementos e Participacoes</t>
  </si>
  <si>
    <t>000490.KS</t>
  </si>
  <si>
    <t>Daedong Corp</t>
  </si>
  <si>
    <t>Korea; Republic (S. Korea)</t>
  </si>
  <si>
    <t>Not Suitable</t>
  </si>
  <si>
    <t>OTKAR.IS</t>
  </si>
  <si>
    <t>Otokar Otomotiv ve Savunma Sanayi AS</t>
  </si>
  <si>
    <t>Turkey</t>
  </si>
  <si>
    <t>002900.KS</t>
  </si>
  <si>
    <t>TYM Corp</t>
  </si>
  <si>
    <t>PON1V.HE</t>
  </si>
  <si>
    <t>Ponsse Oyj</t>
  </si>
  <si>
    <t>Finland</t>
  </si>
  <si>
    <t>600817.SS</t>
  </si>
  <si>
    <t>Yutong Heavy Industries Co Ltd</t>
  </si>
  <si>
    <t>ASOK.NS</t>
  </si>
  <si>
    <t>Ashok Leyland Ltd</t>
  </si>
  <si>
    <t>ESCO.NS</t>
  </si>
  <si>
    <t>Escorts Kubota Ltd</t>
  </si>
  <si>
    <t>GBX.N</t>
  </si>
  <si>
    <t>Greenbrier Companies Inc</t>
  </si>
  <si>
    <t>KCRA.HE</t>
  </si>
  <si>
    <t>Konecranes Abp</t>
  </si>
  <si>
    <t>ALSO.PA</t>
  </si>
  <si>
    <t>Alstom SA</t>
  </si>
  <si>
    <t>PALF.VI</t>
  </si>
  <si>
    <t>Palfinger AG</t>
  </si>
  <si>
    <t>Austria</t>
  </si>
  <si>
    <t>000951.SZ</t>
  </si>
  <si>
    <t>Sinotruk Jinan Truck Co Ltd</t>
  </si>
  <si>
    <t>000157.SZ</t>
  </si>
  <si>
    <t>Zoomlion Heavy Industry Science and Technology Co Ltd</t>
  </si>
  <si>
    <t>042670.KS</t>
  </si>
  <si>
    <t>HD Hyundai Infracore Co Ltd</t>
  </si>
  <si>
    <t>BUCN.S</t>
  </si>
  <si>
    <t>Bucher Industries AG</t>
  </si>
  <si>
    <t>Switzerland</t>
  </si>
  <si>
    <t>6432.T</t>
  </si>
  <si>
    <t>Takeuchi Mfg Co Ltd</t>
  </si>
  <si>
    <t>600031.SS</t>
  </si>
  <si>
    <t>Sany Heavy Industry Co Ltd</t>
  </si>
  <si>
    <t>ANG.AX</t>
  </si>
  <si>
    <t>Austin Engineering Ltd</t>
  </si>
  <si>
    <t>Australia</t>
  </si>
  <si>
    <t>TTRAK.IS</t>
  </si>
  <si>
    <t>Turk Traktor ve Ziraat Makineleri AS</t>
  </si>
  <si>
    <t>NEX.BK</t>
  </si>
  <si>
    <t>Nex Point PCL</t>
  </si>
  <si>
    <t>Thailand</t>
  </si>
  <si>
    <t>CGCBV.HE</t>
  </si>
  <si>
    <t>Cargotec Corp</t>
  </si>
  <si>
    <t>RAIL.OQ</t>
  </si>
  <si>
    <t>FreightCar America Inc</t>
  </si>
  <si>
    <t>3339.HK</t>
  </si>
  <si>
    <t>Lonking Holdings Ltd</t>
  </si>
  <si>
    <t>WACGn.DE</t>
  </si>
  <si>
    <t>Wacker Neuson SE</t>
  </si>
  <si>
    <t>METSO.HE</t>
  </si>
  <si>
    <t>Metso Oyj</t>
  </si>
  <si>
    <t>ACEL.NS</t>
  </si>
  <si>
    <t>Action Construction Equipment Ltd</t>
  </si>
  <si>
    <t>SOM.L</t>
  </si>
  <si>
    <t>Somero Enterprises Inc</t>
  </si>
  <si>
    <t>002111.SZ</t>
  </si>
  <si>
    <t>Weihai Guangtai Airport Equipment Co Ltd</t>
  </si>
  <si>
    <t>TITN.OQ</t>
  </si>
  <si>
    <t>Titan Machinery Inc</t>
  </si>
  <si>
    <t>3808.HK</t>
  </si>
  <si>
    <t>Sinotruk Hong Kong Ltd</t>
  </si>
  <si>
    <t>601766.SS</t>
  </si>
  <si>
    <t>Crrc Corp Ltd</t>
  </si>
  <si>
    <t>PLOW.N</t>
  </si>
  <si>
    <t>Douglas Dynamics Inc</t>
  </si>
  <si>
    <t>SVW.AX</t>
  </si>
  <si>
    <t>Seven Group Holdings Ltd</t>
  </si>
  <si>
    <t>082740.KS</t>
  </si>
  <si>
    <t>Hanwha Engine Co Ltd</t>
  </si>
  <si>
    <t>ALSN.N</t>
  </si>
  <si>
    <t>Allison Transmission Holdings Inc</t>
  </si>
  <si>
    <t>NFI.TO</t>
  </si>
  <si>
    <t>NFI Group Inc</t>
  </si>
  <si>
    <t>064350.KS</t>
  </si>
  <si>
    <t>Hyundai Rotem Co</t>
  </si>
  <si>
    <t>601038.SS</t>
  </si>
  <si>
    <t>First Tractor Co Ltd</t>
  </si>
  <si>
    <t>HY.N</t>
  </si>
  <si>
    <t>Hyster-Yale Materials Handling Inc</t>
  </si>
  <si>
    <t>KBX.DE</t>
  </si>
  <si>
    <t>Knorr Bremse AG</t>
  </si>
  <si>
    <t>KGX.DE</t>
  </si>
  <si>
    <t>Kion Group AG</t>
  </si>
  <si>
    <t>CNHI.N</t>
  </si>
  <si>
    <t>CNH Industrial NV</t>
  </si>
  <si>
    <t>United Kingdom</t>
  </si>
  <si>
    <t>VMC.V</t>
  </si>
  <si>
    <t>Vicinity Motor Corp</t>
  </si>
  <si>
    <t>BLBD.OQ</t>
  </si>
  <si>
    <t>Blue Bird Corp</t>
  </si>
  <si>
    <t>603338.SS</t>
  </si>
  <si>
    <t>Zhejiang Dingli Machinery Co Ltd</t>
  </si>
  <si>
    <t>TLGO.MC</t>
  </si>
  <si>
    <t>Talgo SA</t>
  </si>
  <si>
    <t>603298.SS</t>
  </si>
  <si>
    <t>Hangcha Group Co Ltd</t>
  </si>
  <si>
    <t>241560.KS</t>
  </si>
  <si>
    <t>Doosan Bobcat Inc</t>
  </si>
  <si>
    <t>REVG.N</t>
  </si>
  <si>
    <t>REV Group Inc</t>
  </si>
  <si>
    <t>267270.KS</t>
  </si>
  <si>
    <t>HD Hyundai Construction Equipment Co Ltd</t>
  </si>
  <si>
    <t>EPIRa.ST</t>
  </si>
  <si>
    <t>Epiroc AB</t>
  </si>
  <si>
    <t>VEA.HNO</t>
  </si>
  <si>
    <t>Vietnam Engine and Agricultural Machinery Corp</t>
  </si>
  <si>
    <t>Vietnam</t>
  </si>
  <si>
    <t>8TRA.DE</t>
  </si>
  <si>
    <t>Traton SE</t>
  </si>
  <si>
    <t>SRAIL.S</t>
  </si>
  <si>
    <t>Stadler Rail AG</t>
  </si>
  <si>
    <t>VAMO3.SA</t>
  </si>
  <si>
    <t>Vamos Locacao de Caminhoes, Maquinas e Equipamentos SA</t>
  </si>
  <si>
    <t>301039.SZ</t>
  </si>
  <si>
    <t>CIMC Vehicles Group Co Ltd</t>
  </si>
  <si>
    <t>HYFM.OQ</t>
  </si>
  <si>
    <t>Hydrofarm Holdings Group Inc</t>
  </si>
  <si>
    <t>HYZN.OQ</t>
  </si>
  <si>
    <t>Hyzon Motors Inc</t>
  </si>
  <si>
    <t>DTGGe.DE</t>
  </si>
  <si>
    <t>Daimler Truck Holding AG</t>
  </si>
  <si>
    <t>EBUS.AS</t>
  </si>
  <si>
    <t>Ebusco Holding NV</t>
  </si>
  <si>
    <t>Netherlands</t>
  </si>
  <si>
    <t>IVG.MI</t>
  </si>
  <si>
    <t>Iveco Group NV</t>
  </si>
  <si>
    <t>Company GICS Sector:</t>
  </si>
  <si>
    <t>Industrials</t>
  </si>
  <si>
    <t>&lt;- Select Industry</t>
  </si>
  <si>
    <t>ESG Analysis</t>
  </si>
  <si>
    <t>Relative ESG Analysis</t>
  </si>
  <si>
    <t>Parameters</t>
  </si>
  <si>
    <t>Impact</t>
  </si>
  <si>
    <t>Do they report?</t>
  </si>
  <si>
    <t>Ranking</t>
  </si>
  <si>
    <t>Mitigation Plan</t>
  </si>
  <si>
    <t>Traffic Lights</t>
  </si>
  <si>
    <t>Improvement over time?</t>
  </si>
  <si>
    <t>Targets / Goals?</t>
  </si>
  <si>
    <t>Comments</t>
  </si>
  <si>
    <t>Environmental</t>
  </si>
  <si>
    <t>Ratios</t>
  </si>
  <si>
    <t>CO2 Direct Emissions</t>
  </si>
  <si>
    <t>Medium High</t>
  </si>
  <si>
    <t>regarding scope 1&amp;2 emissions yes (from 293 in 2018 to 271 in 2022) but regarding scope 3 emissions no (from 1006 in 2018 to 1059 in 2022)</t>
  </si>
  <si>
    <t>2030 target for scope 1&amp;2 emissions is 190 and for scope 3 emissions 754</t>
  </si>
  <si>
    <t>Scope 1&amp;2 measured in tonnes CO2e and scope 3 Category 11 measured in g CO2e/vkm WTW. If scope 3 also measured in tonnes then 114542.</t>
  </si>
  <si>
    <t>CO2 Emissions/$MSales</t>
  </si>
  <si>
    <t>Total Water Consumption</t>
  </si>
  <si>
    <t>Medium</t>
  </si>
  <si>
    <t>No target</t>
  </si>
  <si>
    <t>They have a water consumption and discharge monitoring and reporting system in place and 100% of the sites are meeting the water standarts (ISO 14001). However no reporting of actual water consumption</t>
  </si>
  <si>
    <t>Water Consumption/$MSales</t>
  </si>
  <si>
    <t>Total Energy Consumption</t>
  </si>
  <si>
    <t>No, from 877708MWh in 2020 to 975978MWh in 2022</t>
  </si>
  <si>
    <t>Sites measure and monitory energy usage (electricity, natural gas, etc.) including access to renewable power options.</t>
  </si>
  <si>
    <t>Energy Consumption/$MSales</t>
  </si>
  <si>
    <t>Waste Management</t>
  </si>
  <si>
    <t>Yes, from 87% in 2020 to 93% in 2022</t>
  </si>
  <si>
    <t>Sites annually target achieving zero waste-to-landfill.</t>
  </si>
  <si>
    <t>Does not report actual amount of waste</t>
  </si>
  <si>
    <t>Waste Production/$MSales</t>
  </si>
  <si>
    <t>Land Degradation/Deforestation/Biodiversity loss/Animal sufering/…</t>
  </si>
  <si>
    <t>"Best in class"</t>
  </si>
  <si>
    <t>NA</t>
  </si>
  <si>
    <t>Does not destroy any land</t>
  </si>
  <si>
    <t>Inputs</t>
  </si>
  <si>
    <t>Social</t>
  </si>
  <si>
    <t>Million Net Sales</t>
  </si>
  <si>
    <t>Employee Turnover %</t>
  </si>
  <si>
    <t>No data, but iincreased overall employees over the oast three years</t>
  </si>
  <si>
    <t>CO2 Emissions Total (Tonnes)</t>
  </si>
  <si>
    <t>Salaries &amp; Compensation</t>
  </si>
  <si>
    <t>No data</t>
  </si>
  <si>
    <t>3.7 out of 5 on Glassdoor. 3.5 out of 5 on Indeed. "The average PACCAR salary ranges from approximately $58,149 per year for Dealer to $133,114 per year for Performance Manager" from Indeed. PACCAR provides robust benefits packages that support physical, emotional and financial well-being. Employee satisfaction and engagement are measured through periodic surveys that result in quantitative metrics leading to workplace enhancements.</t>
  </si>
  <si>
    <t>Water Consumption Total (Cubic Meters)</t>
  </si>
  <si>
    <t>Reputation</t>
  </si>
  <si>
    <t>No bad reputation.</t>
  </si>
  <si>
    <t>Energy Consumption Total (Gigajoules)</t>
  </si>
  <si>
    <t>Discrimination Events</t>
  </si>
  <si>
    <t>No discrimination events</t>
  </si>
  <si>
    <t>Waste Production Total (Tonnes)</t>
  </si>
  <si>
    <t>Work Safety</t>
  </si>
  <si>
    <t>No, from 1.4 injury/illness per 200000 hrs worked in 2020 to 1.9 in 2022</t>
  </si>
  <si>
    <t>No numerical target</t>
  </si>
  <si>
    <t>"PACCAR's consistent focus on workplace safety has resulted in a fatality rate of zero, and a recordable injury/illness rate lower than the U.S. industry average as seen in the table above."</t>
  </si>
  <si>
    <t>ESG Scores</t>
  </si>
  <si>
    <t>Damage to consumer health</t>
  </si>
  <si>
    <t>No damage to consumer health, doesnt produce consumer goods</t>
  </si>
  <si>
    <t>Refinitiv</t>
  </si>
  <si>
    <t>PXP?</t>
  </si>
  <si>
    <t>Retirement &amp; Pension
401(k) match (1:1 up to 5%)
AND a fully-funded defined
benefit pension</t>
  </si>
  <si>
    <t>Sustainalytics</t>
  </si>
  <si>
    <t>Supply chain</t>
  </si>
  <si>
    <t xml:space="preserve"> PACCAR selects suppliers after detailed reviews of their operations. PACCAR conducts periodic on-site supplier visits, announced and unannounced, for various reasons, including verification and auditing of contract compliance. PACCAR is committed to ensuring that its suppliers do not use slave labor or engage in human trafficking. PACCAR’s Supplier Code of Conduct prohibits suppliers from using forced labor of any kind.
PACCAR suppliers certify that they comply with laws regarding minimum employment age, working conditions and compensation, and do not engage in slavery or human trafficking.
Noncompliance is grounds for termination and elimination from the PACCAR supply base.</t>
  </si>
  <si>
    <t>ISS</t>
  </si>
  <si>
    <t>C</t>
  </si>
  <si>
    <t>C+</t>
  </si>
  <si>
    <t>B-</t>
  </si>
  <si>
    <t>Community involvement</t>
  </si>
  <si>
    <t>Yes, gave 10.3 million to charity in 2023 vs. 6.4 in 2021</t>
  </si>
  <si>
    <t>PACCAR makes these grants in locations in which its employees work and live worldwide.</t>
  </si>
  <si>
    <t>CDP</t>
  </si>
  <si>
    <t>A-</t>
  </si>
  <si>
    <t>A</t>
  </si>
  <si>
    <t>F</t>
  </si>
  <si>
    <t>B</t>
  </si>
  <si>
    <t>Public Sector</t>
  </si>
  <si>
    <t>Constant 0 company contributions to politcs</t>
  </si>
  <si>
    <t>Paccar is also member of certain trade associations</t>
  </si>
  <si>
    <t>Litigation</t>
  </si>
  <si>
    <t>One lawsuit in 2023 regarding price fixing, were found guilty</t>
  </si>
  <si>
    <t>Corporate Governance</t>
  </si>
  <si>
    <t>PARAMETERS</t>
  </si>
  <si>
    <t>Diversity (Gender, Age, Industry, Region)</t>
  </si>
  <si>
    <t>3 of 12 directors are women. 17% of directors are racially/ethnically diverse</t>
  </si>
  <si>
    <t>IMPACT</t>
  </si>
  <si>
    <t>RANKING</t>
  </si>
  <si>
    <t>MITIGATION PLAN</t>
  </si>
  <si>
    <t>% Independence</t>
  </si>
  <si>
    <t>75% of PACCAR’s directors are independent.</t>
  </si>
  <si>
    <t>Low</t>
  </si>
  <si>
    <t>Is there evidence of a plan/program ?</t>
  </si>
  <si>
    <t>average time as independent directors</t>
  </si>
  <si>
    <t>11.7 years average tenure</t>
  </si>
  <si>
    <t>Recent departures of directors / C-level executives?</t>
  </si>
  <si>
    <t>Senior Vice President and Controller retired in 2023</t>
  </si>
  <si>
    <t>High</t>
  </si>
  <si>
    <t>CEO/Chairman duality</t>
  </si>
  <si>
    <t>Have different chairman and CEO</t>
  </si>
  <si>
    <t>Very high</t>
  </si>
  <si>
    <t>"Villain"</t>
  </si>
  <si>
    <t>Transparency (ESG, segments, acquisitions, other)</t>
  </si>
  <si>
    <t>All information regarding the board and esg mesueares in available</t>
  </si>
  <si>
    <t>Time taken to report after the end of the quarter / year</t>
  </si>
  <si>
    <t>No information available</t>
  </si>
  <si>
    <t>Additional participation of the CEO in other boards or excessive participation of Ch.</t>
  </si>
  <si>
    <t>Cannot find any information regarding positions in other boards so it is assumed there are non</t>
  </si>
  <si>
    <t>Audit / Consulting</t>
  </si>
  <si>
    <t>Non-audit fees represented 11.3% of total auditor fees in 2022.</t>
  </si>
  <si>
    <t>ESG-compensation related</t>
  </si>
  <si>
    <t>Only performance based and not ESG based</t>
  </si>
  <si>
    <t>Management compensation schemes</t>
  </si>
  <si>
    <t>It is only saying that compensation is performance based, nothing else.</t>
  </si>
  <si>
    <t>VALUATION MODEL</t>
  </si>
  <si>
    <t>Short Term</t>
  </si>
  <si>
    <t>Long Term</t>
  </si>
  <si>
    <t>Section</t>
  </si>
  <si>
    <t>Line #</t>
  </si>
  <si>
    <t>ITEM</t>
  </si>
  <si>
    <t>INCOME STATEMENT</t>
  </si>
  <si>
    <t>Growth</t>
  </si>
  <si>
    <t>Revenues/Sales</t>
  </si>
  <si>
    <t>5a</t>
  </si>
  <si>
    <t>(Depreciation)</t>
  </si>
  <si>
    <t>5b</t>
  </si>
  <si>
    <t>Amortization</t>
  </si>
  <si>
    <t>5c</t>
  </si>
  <si>
    <t>(Stock based compensation)</t>
  </si>
  <si>
    <t>(Net financing cost)</t>
  </si>
  <si>
    <t>Other income/(cost)</t>
  </si>
  <si>
    <t>Earnings before taxes</t>
  </si>
  <si>
    <t>(Income tax)</t>
  </si>
  <si>
    <t>Net income</t>
  </si>
  <si>
    <t> </t>
  </si>
  <si>
    <t>CASH FLOW STATEMENT</t>
  </si>
  <si>
    <t>Operating cash flows before WK</t>
  </si>
  <si>
    <t>(Stock-based compensation)</t>
  </si>
  <si>
    <t>(Working Capital Flows)</t>
  </si>
  <si>
    <t>-Total Operating Cash Flow</t>
  </si>
  <si>
    <t>(CAPEX)</t>
  </si>
  <si>
    <t>Aquisitions</t>
  </si>
  <si>
    <t>(Other investing flows)</t>
  </si>
  <si>
    <t>-Total Investing Flows</t>
  </si>
  <si>
    <t>(Flows related to leases)</t>
  </si>
  <si>
    <t>Flows related to debt</t>
  </si>
  <si>
    <t>(Repurchases)/Issuance of stock</t>
  </si>
  <si>
    <t>(Dividends)</t>
  </si>
  <si>
    <t>Other financing flows</t>
  </si>
  <si>
    <t>-Total Financing flows</t>
  </si>
  <si>
    <t>SUMMARY</t>
  </si>
  <si>
    <t>Cash before shareholder returns</t>
  </si>
  <si>
    <t>Returns to shareholders</t>
  </si>
  <si>
    <t>Excess cash acumulation</t>
  </si>
  <si>
    <t>BALANCE SHEET</t>
  </si>
  <si>
    <t>Intangible assets (Just Goodwill)</t>
  </si>
  <si>
    <t>Accumulated amortization</t>
  </si>
  <si>
    <t>Property Plant and Equipment</t>
  </si>
  <si>
    <t>Accumulated depreciation</t>
  </si>
  <si>
    <t>CASH &amp; DEBT &amp; DISCOUNTING</t>
  </si>
  <si>
    <t>Ending cash balance</t>
  </si>
  <si>
    <t>Discount factor</t>
  </si>
  <si>
    <t>DF + 0.1%</t>
  </si>
  <si>
    <t>+0.1%</t>
  </si>
  <si>
    <t>DF+0.5%</t>
  </si>
  <si>
    <t>+0.5%</t>
  </si>
  <si>
    <t> Discount Rate</t>
  </si>
  <si>
    <t>Risk free rate</t>
  </si>
  <si>
    <t>Equity premium</t>
  </si>
  <si>
    <t>Firm premium</t>
  </si>
  <si>
    <t>Total</t>
  </si>
  <si>
    <t>Modelling factors</t>
  </si>
  <si>
    <t>Reference (line)</t>
  </si>
  <si>
    <t>Depreciation factor</t>
  </si>
  <si>
    <t>% PPE</t>
  </si>
  <si>
    <t>Amortization factor</t>
  </si>
  <si>
    <t>% IA</t>
  </si>
  <si>
    <t>Stock-based comp</t>
  </si>
  <si>
    <t>% Revenue</t>
  </si>
  <si>
    <t>Tax Rate</t>
  </si>
  <si>
    <t>% Earnings before tax</t>
  </si>
  <si>
    <t>Interest Rate on debt</t>
  </si>
  <si>
    <t>% Debt (l29)</t>
  </si>
  <si>
    <t>Interest Rate on cash</t>
  </si>
  <si>
    <t>% of Cash (l28)</t>
  </si>
  <si>
    <t>PPE+ROA</t>
  </si>
  <si>
    <t>Growing with capex</t>
  </si>
  <si>
    <t>Working capital flows</t>
  </si>
  <si>
    <t>% of Change Revenues (l2)</t>
  </si>
  <si>
    <t>Intangible Assets</t>
  </si>
  <si>
    <t>Growing with amortization</t>
  </si>
  <si>
    <t>Capex</t>
  </si>
  <si>
    <t>Acquisition factor</t>
  </si>
  <si>
    <t>% Net Income (11)</t>
  </si>
  <si>
    <t>Repurchases</t>
  </si>
  <si>
    <t>Leases</t>
  </si>
  <si>
    <t>% EBITDA</t>
  </si>
  <si>
    <t>$ millions</t>
  </si>
  <si>
    <t>Value of flows</t>
  </si>
  <si>
    <t>Value of perpetuity</t>
  </si>
  <si>
    <t>Total Value</t>
  </si>
  <si>
    <t>Actual share price</t>
  </si>
  <si>
    <t>Total value vs Mkt Cap</t>
  </si>
  <si>
    <t>Estimated NPV per share</t>
  </si>
  <si>
    <t>Sensibility</t>
  </si>
  <si>
    <t>Sensitivity +0.1%</t>
  </si>
  <si>
    <t>Sensitivity +0.5%</t>
  </si>
  <si>
    <t>Notes</t>
  </si>
  <si>
    <t>Price where it'd be a "BUY"</t>
  </si>
  <si>
    <t>Assumptions</t>
  </si>
  <si>
    <t>Prospects:</t>
  </si>
  <si>
    <t>Links:</t>
  </si>
  <si>
    <t>Average (3y)</t>
  </si>
  <si>
    <t>Average (5y)</t>
  </si>
  <si>
    <t>Average (10y)</t>
  </si>
  <si>
    <t>Average (w/o covid)</t>
  </si>
  <si>
    <t>Short Term Forecast</t>
  </si>
  <si>
    <t>Long Term Forecast</t>
  </si>
  <si>
    <t>Revenue growth</t>
  </si>
  <si>
    <t>Modelling Factors</t>
  </si>
  <si>
    <t>Last 10 Years</t>
  </si>
  <si>
    <t>- -</t>
  </si>
  <si>
    <t xml:space="preserve">CAPEX </t>
  </si>
  <si>
    <t>Cash Costs for EBIT</t>
  </si>
  <si>
    <t>Forecasts</t>
  </si>
  <si>
    <t>TRUCK</t>
  </si>
  <si>
    <t>Sectors</t>
  </si>
  <si>
    <t>Trucks:</t>
  </si>
  <si>
    <t>Parts:</t>
  </si>
  <si>
    <r>
      <t>Truck</t>
    </r>
    <r>
      <rPr>
        <sz val="10"/>
        <rFont val="Arial"/>
        <family val="2"/>
      </rPr>
      <t xml:space="preserve">     NAICS: 333924 </t>
    </r>
  </si>
  <si>
    <t>External Revenue</t>
  </si>
  <si>
    <t>Income Before Tax</t>
  </si>
  <si>
    <t>Pre-Tax Margin (%)</t>
  </si>
  <si>
    <t>Long Lived Assets</t>
  </si>
  <si>
    <t xml:space="preserve">-- </t>
  </si>
  <si>
    <t>Financials</t>
  </si>
  <si>
    <t>Purchase of Fixed Assets</t>
  </si>
  <si>
    <t>l</t>
  </si>
  <si>
    <t>Quarterly Revenue per Segment (Used 2024)</t>
  </si>
  <si>
    <t>Quarterly Revenue (Trucks)</t>
  </si>
  <si>
    <t>Units</t>
  </si>
  <si>
    <t>Q1</t>
  </si>
  <si>
    <t>Q2</t>
  </si>
  <si>
    <t>Q3</t>
  </si>
  <si>
    <t>Q4</t>
  </si>
  <si>
    <t>FY201X</t>
  </si>
  <si>
    <t>Quarterly Revenue (Parts)</t>
  </si>
  <si>
    <t>Quarterly Revenue (Financial)</t>
  </si>
  <si>
    <t>Quarterly Revenue (Others)</t>
  </si>
  <si>
    <t>USD</t>
  </si>
  <si>
    <t>Percentage of Year</t>
  </si>
  <si>
    <t>(%)</t>
  </si>
  <si>
    <t>Segment 1: Trucks (77% of Revenue)</t>
  </si>
  <si>
    <t>Average All</t>
  </si>
  <si>
    <t>Average 5 Yrs</t>
  </si>
  <si>
    <t>% revenue</t>
  </si>
  <si>
    <t>%growth</t>
  </si>
  <si>
    <t>Value</t>
  </si>
  <si>
    <t>Financials:</t>
  </si>
  <si>
    <t>Truck activity</t>
  </si>
  <si>
    <t>US GDP (Millions)</t>
  </si>
  <si>
    <t>Correl GDP Selected/Truck sales</t>
  </si>
  <si>
    <t>United States</t>
  </si>
  <si>
    <t>EU GDP (Millions)</t>
  </si>
  <si>
    <t>Average</t>
  </si>
  <si>
    <t>Truck Sales</t>
  </si>
  <si>
    <t>Average Pre-covid</t>
  </si>
  <si>
    <t>Weighted GDP</t>
  </si>
  <si>
    <t>%Growth</t>
  </si>
  <si>
    <t>New Truck Deliveries</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</si>
  <si>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</si>
  <si>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</si>
  <si>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</si>
  <si>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</si>
  <si>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</si>
  <si>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</si>
  <si>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</si>
  <si>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</si>
  <si>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</si>
  <si>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</si>
  <si>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</si>
  <si>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</si>
  <si>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</si>
  <si>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</si>
  <si>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</si>
  <si>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</si>
  <si>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</si>
  <si>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</si>
  <si>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</si>
  <si>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</si>
  <si>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</si>
  <si>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</si>
  <si>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</si>
  <si>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</si>
  <si>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</si>
  <si>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</si>
  <si>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</si>
  <si>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</si>
  <si>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</si>
  <si>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</si>
  <si>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</si>
  <si>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</si>
  <si>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</si>
  <si>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</si>
  <si>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</si>
  <si>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</si>
  <si>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</si>
  <si>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</si>
  <si>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</si>
  <si>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</si>
  <si>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</si>
  <si>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</si>
  <si>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</si>
  <si>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</si>
  <si>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</si>
  <si>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</si>
  <si>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</si>
  <si>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</si>
  <si>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</si>
  <si>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</si>
  <si>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</si>
  <si>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</si>
  <si>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Q1 2027</t>
  </si>
  <si>
    <t>Q2 2027</t>
  </si>
  <si>
    <t>Q3 2027</t>
  </si>
  <si>
    <t>Q4 2027</t>
  </si>
  <si>
    <t>Q1 2028</t>
  </si>
  <si>
    <t>Q2 2028</t>
  </si>
  <si>
    <t>Q3 2028</t>
  </si>
  <si>
    <t>Q4 2028</t>
  </si>
  <si>
    <t>Q1 2029</t>
  </si>
  <si>
    <t>Q2 2029</t>
  </si>
  <si>
    <t>Q3 2029</t>
  </si>
  <si>
    <t>Q4 2029</t>
  </si>
  <si>
    <t>Q1 2030</t>
  </si>
  <si>
    <t>Q2 2030</t>
  </si>
  <si>
    <t>Q3 2030</t>
  </si>
  <si>
    <t>Q4 2030</t>
  </si>
  <si>
    <t>Q1 2031</t>
  </si>
  <si>
    <t>Q2 2031</t>
  </si>
  <si>
    <t>Q3 2031</t>
  </si>
  <si>
    <t>Q4 2031</t>
  </si>
  <si>
    <t>Q1 2032</t>
  </si>
  <si>
    <t>Q2 2032</t>
  </si>
  <si>
    <t>Q3 2032</t>
  </si>
  <si>
    <t>Q4 2032</t>
  </si>
  <si>
    <t>Q1 2033</t>
  </si>
  <si>
    <t>Q2 2033</t>
  </si>
  <si>
    <t>Q3 2033</t>
  </si>
  <si>
    <t>Q4 2033</t>
  </si>
  <si>
    <t>Q1 2034</t>
  </si>
  <si>
    <t>Q2 2034</t>
  </si>
  <si>
    <t>Q3 2034</t>
  </si>
  <si>
    <t>Q4 2034</t>
  </si>
  <si>
    <t>Q1 2035</t>
  </si>
  <si>
    <t>Q2 2035</t>
  </si>
  <si>
    <t>Q3 2035</t>
  </si>
  <si>
    <t>Q4 2035</t>
  </si>
  <si>
    <t>Q1 2036</t>
  </si>
  <si>
    <t>Q2 2036</t>
  </si>
  <si>
    <t>Q3 2036</t>
  </si>
  <si>
    <t>Q4 2036</t>
  </si>
  <si>
    <t>Q1 2037</t>
  </si>
  <si>
    <t>Q2 2037</t>
  </si>
  <si>
    <t>Q3 2037</t>
  </si>
  <si>
    <t>Q4 2037</t>
  </si>
  <si>
    <t>Q1 2038</t>
  </si>
  <si>
    <t>Q2 2038</t>
  </si>
  <si>
    <t>Q3 2038</t>
  </si>
  <si>
    <t>Q4 2038</t>
  </si>
  <si>
    <t>Q1 2039</t>
  </si>
  <si>
    <t>Q2 2039</t>
  </si>
  <si>
    <t>Q3 2039</t>
  </si>
  <si>
    <t>Q4 2039</t>
  </si>
  <si>
    <t>Q1 2040</t>
  </si>
  <si>
    <t>Q2 2040</t>
  </si>
  <si>
    <t>Q3 2040</t>
  </si>
  <si>
    <t>Q4 2040</t>
  </si>
  <si>
    <t>Q1 2041</t>
  </si>
  <si>
    <t>Q2 2041</t>
  </si>
  <si>
    <t>Q3 2041</t>
  </si>
  <si>
    <t>Q4 2041</t>
  </si>
  <si>
    <t>Q1 2042</t>
  </si>
  <si>
    <t>Q2 2042</t>
  </si>
  <si>
    <t>Q3 2042</t>
  </si>
  <si>
    <t>Q4 2042</t>
  </si>
  <si>
    <t>Q1 2043</t>
  </si>
  <si>
    <t>Q2 2043</t>
  </si>
  <si>
    <t>Q3 2043</t>
  </si>
  <si>
    <t>Q4 2043</t>
  </si>
  <si>
    <t>Q1 2044</t>
  </si>
  <si>
    <t>Q2 2044</t>
  </si>
  <si>
    <t>Q3 2044</t>
  </si>
  <si>
    <t>Q4 2044</t>
  </si>
  <si>
    <t>Q1 2045</t>
  </si>
  <si>
    <t>Q2 2045</t>
  </si>
  <si>
    <t>Q3 2045</t>
  </si>
  <si>
    <t>Q4 2045</t>
  </si>
  <si>
    <t>Q1 2046</t>
  </si>
  <si>
    <t>Q2 2046</t>
  </si>
  <si>
    <t>Q3 2046</t>
  </si>
  <si>
    <t>Q4 2046</t>
  </si>
  <si>
    <t>Q1 2047</t>
  </si>
  <si>
    <t>Q2 2047</t>
  </si>
  <si>
    <t>Q3 2047</t>
  </si>
  <si>
    <t>Q4 2047</t>
  </si>
  <si>
    <t>Q1 2048</t>
  </si>
  <si>
    <t>Q2 2048</t>
  </si>
  <si>
    <t>Q3 2048</t>
  </si>
  <si>
    <t>Q4 2048</t>
  </si>
  <si>
    <t>Q1 2049</t>
  </si>
  <si>
    <t>Q2 2049</t>
  </si>
  <si>
    <t>Q3 2049</t>
  </si>
  <si>
    <t>Q4 2049</t>
  </si>
  <si>
    <t>units</t>
  </si>
  <si>
    <t>TOTAL TRUCK DELIVERIES</t>
  </si>
  <si>
    <t>Trucks Revenue (Millions)</t>
  </si>
  <si>
    <t>Average Price Per Truck</t>
  </si>
  <si>
    <t>Truck Deliveries (QoQ Growth)</t>
  </si>
  <si>
    <t>Average Price per Truck</t>
  </si>
  <si>
    <t>Truck Revenue (Real and Forecast)</t>
  </si>
  <si>
    <t>2014-2023 CAGR:</t>
  </si>
  <si>
    <t>2016-2023 CAGR:</t>
  </si>
  <si>
    <t>Quarterly Truck Deliveries</t>
  </si>
  <si>
    <t>"Truck sales were $26.85 billion in 2023 compared to $21.49 billion in 2022, primarily due to higher truck deliveries and price realization in all markets"</t>
  </si>
  <si>
    <t>Compared to Last Quarter</t>
  </si>
  <si>
    <t>Guidance</t>
  </si>
  <si>
    <t>2023 (Real)</t>
  </si>
  <si>
    <t xml:space="preserve">Heavy-duty truck industry retail sales in the U.S. and Canada </t>
  </si>
  <si>
    <t>250k-290k trucks</t>
  </si>
  <si>
    <t>297k</t>
  </si>
  <si>
    <t>The industry registrations for over 16-tonne vehicles, Europe</t>
  </si>
  <si>
    <t>260k-300k trucks</t>
  </si>
  <si>
    <t>343,3k</t>
  </si>
  <si>
    <t>In South America, heavy-duty truck industry registrations</t>
  </si>
  <si>
    <t xml:space="preserve">105k-115k trucks </t>
  </si>
  <si>
    <t>105k</t>
  </si>
  <si>
    <t>Slope</t>
  </si>
  <si>
    <t>Intercept</t>
  </si>
  <si>
    <t>Q2 2024 - Q42049</t>
  </si>
  <si>
    <t>Q2 2024 - Q1 2027</t>
  </si>
  <si>
    <t>Q2 2027 - Q1 2030</t>
  </si>
  <si>
    <t>Q2 2030 - Q1 2033</t>
  </si>
  <si>
    <t>Q2 2033 - Q1 2036</t>
  </si>
  <si>
    <t>Q2 2036 - Q1 2039</t>
  </si>
  <si>
    <t>Q2 2039 - Q1 2042</t>
  </si>
  <si>
    <t>Q2 2042 - Q1 2045</t>
  </si>
  <si>
    <t>Q2 2045 - Q1 2048</t>
  </si>
  <si>
    <t>Q2 2048 - Q4 2049</t>
  </si>
  <si>
    <t>Revenue Forecast per Segment</t>
  </si>
  <si>
    <t>Using Q1 Data</t>
  </si>
  <si>
    <t>Revenue per Segments</t>
  </si>
  <si>
    <t>Trucks</t>
  </si>
  <si>
    <t>Others</t>
  </si>
  <si>
    <t>Quarterly Revenue</t>
  </si>
  <si>
    <t>Quarterly EBT and Net Income</t>
  </si>
  <si>
    <t>Pretax Profit</t>
  </si>
  <si>
    <t>Net Profit/Loss</t>
  </si>
  <si>
    <t>Average pre COVID</t>
  </si>
  <si>
    <t>Trucks Operating Margin</t>
  </si>
  <si>
    <t>Diference</t>
  </si>
  <si>
    <t>Modeling Factors</t>
  </si>
  <si>
    <t>Interest Rate on Debt</t>
  </si>
  <si>
    <t>Credit rating A+ S&amp;P</t>
  </si>
  <si>
    <t xml:space="preserve">Credit Ranking's </t>
  </si>
  <si>
    <t>5Y US Bond</t>
  </si>
  <si>
    <t>5Y German Bond</t>
  </si>
  <si>
    <t>5Y US/EU Bond</t>
  </si>
  <si>
    <t>30Y US Bond</t>
  </si>
  <si>
    <t>30Y German Bond</t>
  </si>
  <si>
    <t>30Y US/EU Bond</t>
  </si>
  <si>
    <t>Working Capital Flows</t>
  </si>
  <si>
    <t>COGS/Revenue %</t>
  </si>
  <si>
    <t>Truck COGS/Truck Sales %</t>
  </si>
  <si>
    <t>Net Working Capital</t>
  </si>
  <si>
    <t>Average pre covid</t>
  </si>
  <si>
    <t>%COGS</t>
  </si>
  <si>
    <t>Accounts Receivable</t>
  </si>
  <si>
    <t>Accounts Payable</t>
  </si>
  <si>
    <t>DOH</t>
  </si>
  <si>
    <t>ST multiple</t>
  </si>
  <si>
    <t>LT multiple</t>
  </si>
  <si>
    <t>DSO</t>
  </si>
  <si>
    <t>DPO</t>
  </si>
  <si>
    <t>CCC</t>
  </si>
  <si>
    <t>Non-cash Net Working Capital</t>
  </si>
  <si>
    <t>Working Capital Flows Forecast</t>
  </si>
  <si>
    <t>CAPEX</t>
  </si>
  <si>
    <t>Average w/o covid</t>
  </si>
  <si>
    <t>PPE</t>
  </si>
  <si>
    <t>PPE/Revenue</t>
  </si>
  <si>
    <t>PPE Growth</t>
  </si>
  <si>
    <t>ST</t>
  </si>
  <si>
    <t>LT</t>
  </si>
  <si>
    <t>Slope:</t>
  </si>
  <si>
    <t>b:</t>
  </si>
  <si>
    <t>Growth vs. Previous year</t>
  </si>
  <si>
    <t>Gross Profit</t>
  </si>
  <si>
    <t>% over sales</t>
  </si>
  <si>
    <t>Operating expenses</t>
  </si>
  <si>
    <t xml:space="preserve">     Growth vs. Previous year</t>
  </si>
  <si>
    <t>Other Expenses (Revenues)</t>
  </si>
  <si>
    <t>Changes Net Working Capital</t>
  </si>
  <si>
    <t>EBITDA Margin</t>
  </si>
  <si>
    <t>% Tax</t>
  </si>
  <si>
    <t>Cash Generated</t>
  </si>
  <si>
    <t>Share buyback</t>
  </si>
  <si>
    <t>FNP''</t>
  </si>
  <si>
    <t>FNP'</t>
  </si>
  <si>
    <t>Payout Ratio</t>
  </si>
  <si>
    <t>Assets</t>
  </si>
  <si>
    <t>Property, Plant and Equipment</t>
  </si>
  <si>
    <t>Other Assets</t>
  </si>
  <si>
    <t>Liabilities</t>
  </si>
  <si>
    <t xml:space="preserve">   Short-Term Debt</t>
  </si>
  <si>
    <t xml:space="preserve">   Short-Term Leases</t>
  </si>
  <si>
    <t>Other current liabilities</t>
  </si>
  <si>
    <t>Non-current Liabilities</t>
  </si>
  <si>
    <t xml:space="preserve">   Long-Term Debt</t>
  </si>
  <si>
    <t xml:space="preserve">   Long-Term Leases</t>
  </si>
  <si>
    <t>Other non-current liabilities</t>
  </si>
  <si>
    <t>Net Debt</t>
  </si>
  <si>
    <t>Minority Interest</t>
  </si>
  <si>
    <t xml:space="preserve">Shareholder's Equity </t>
  </si>
  <si>
    <t>=</t>
  </si>
  <si>
    <t>Changes in cash</t>
  </si>
  <si>
    <t>Other Data</t>
  </si>
  <si>
    <t>Number of employees</t>
  </si>
  <si>
    <t xml:space="preserve">Shares Outstanding </t>
  </si>
  <si>
    <t>Fitch/ S&amp;P Rating</t>
  </si>
  <si>
    <t>Dividend Yield</t>
  </si>
  <si>
    <t>Daily Volume in Millions of USD</t>
  </si>
  <si>
    <t xml:space="preserve">Short % of Float </t>
  </si>
  <si>
    <t>Corporate Bonds 3, 5 Y 10</t>
  </si>
  <si>
    <t>Average Price</t>
  </si>
  <si>
    <t>Moody's</t>
  </si>
  <si>
    <t>YTM</t>
  </si>
  <si>
    <t>DIVISA</t>
  </si>
  <si>
    <t>Share Buyback / Net Income</t>
  </si>
  <si>
    <t>Sector</t>
  </si>
  <si>
    <t>Sub-Industry</t>
  </si>
  <si>
    <t>Environment</t>
  </si>
  <si>
    <t>Communication Services</t>
  </si>
  <si>
    <t>Interactive Home Entertainment</t>
  </si>
  <si>
    <t>CO2</t>
  </si>
  <si>
    <t>Water</t>
  </si>
  <si>
    <t>Energy</t>
  </si>
  <si>
    <t>Waste</t>
  </si>
  <si>
    <t>Degradation</t>
  </si>
  <si>
    <t>Turnover</t>
  </si>
  <si>
    <t>Compensation</t>
  </si>
  <si>
    <t>Discrimination</t>
  </si>
  <si>
    <t>Security</t>
  </si>
  <si>
    <t>Damage</t>
  </si>
  <si>
    <t>Pension</t>
  </si>
  <si>
    <t>Supply</t>
  </si>
  <si>
    <t>Community</t>
  </si>
  <si>
    <t>Public</t>
  </si>
  <si>
    <t>Interactive Media &amp; Services</t>
  </si>
  <si>
    <t>Integrated Telecommunication Services</t>
  </si>
  <si>
    <t>Very High</t>
  </si>
  <si>
    <t>Consumer Discretionary</t>
  </si>
  <si>
    <t>Direct CO2 emissions</t>
  </si>
  <si>
    <t>Cable &amp; Satellite</t>
  </si>
  <si>
    <t>Consumer Staples</t>
  </si>
  <si>
    <t>Total Water Use</t>
  </si>
  <si>
    <t>Broadcasting</t>
  </si>
  <si>
    <t>Renewable Energy</t>
  </si>
  <si>
    <t>Movies &amp; Entertainment</t>
  </si>
  <si>
    <t>Forestry</t>
  </si>
  <si>
    <t>Advertising</t>
  </si>
  <si>
    <t>Health Care</t>
  </si>
  <si>
    <t>Land Degradation/Deforestation/Biodiversity loss/Animal sufering/...</t>
  </si>
  <si>
    <t>Alternative Carriers</t>
  </si>
  <si>
    <t>Publishing</t>
  </si>
  <si>
    <t>Information Technology</t>
  </si>
  <si>
    <t>Employee turnover</t>
  </si>
  <si>
    <t>Wireless Telecommunication Services</t>
  </si>
  <si>
    <t>Materials</t>
  </si>
  <si>
    <t>Salaries and compensation</t>
  </si>
  <si>
    <t>Automotive Retail</t>
  </si>
  <si>
    <t>Real Estate</t>
  </si>
  <si>
    <t>Reputational issues</t>
  </si>
  <si>
    <t>Internet &amp; Direct Marketing Retail</t>
  </si>
  <si>
    <t>Utilities</t>
  </si>
  <si>
    <t>Discrimination issues</t>
  </si>
  <si>
    <t>Auto Parts &amp; Equipment</t>
  </si>
  <si>
    <t>Job security</t>
  </si>
  <si>
    <t>Specialty Stores</t>
  </si>
  <si>
    <t>Health injuries</t>
  </si>
  <si>
    <t>Computer &amp; Electronics Retail</t>
  </si>
  <si>
    <t>Hotels, Resorts &amp; Cruise Lines</t>
  </si>
  <si>
    <t>Tobacco</t>
  </si>
  <si>
    <t>Oil &amp; Gas Exploration &amp; Production</t>
  </si>
  <si>
    <t>Life &amp; Health Insurance</t>
  </si>
  <si>
    <t>Health Care Equipment</t>
  </si>
  <si>
    <t>Industrial Conglomerates</t>
  </si>
  <si>
    <t>IT Consulting &amp; Other Services</t>
  </si>
  <si>
    <t>Industrial Gases</t>
  </si>
  <si>
    <t>Office REITs</t>
  </si>
  <si>
    <t>Independent Power Producers &amp; Energy Traders</t>
  </si>
  <si>
    <t>Restaurants</t>
  </si>
  <si>
    <t>Agricultural Products</t>
  </si>
  <si>
    <t>Oil &amp; Gas Equipment &amp; Services</t>
  </si>
  <si>
    <t>Property &amp; Casualty Insurance</t>
  </si>
  <si>
    <t>Pharmaceuticals</t>
  </si>
  <si>
    <t>Airlines</t>
  </si>
  <si>
    <t>Application Software</t>
  </si>
  <si>
    <t>Specialty Chemicals</t>
  </si>
  <si>
    <t>Specialized REITs</t>
  </si>
  <si>
    <t>Electric Utilities</t>
  </si>
  <si>
    <t>Homebuilding</t>
  </si>
  <si>
    <t>Distillers &amp; Vintners</t>
  </si>
  <si>
    <t>Integrated Oil &amp; Gas</t>
  </si>
  <si>
    <t>Consumer Finance</t>
  </si>
  <si>
    <t>Health Care Supplies</t>
  </si>
  <si>
    <t>Building Products</t>
  </si>
  <si>
    <t>Semiconductors</t>
  </si>
  <si>
    <t>Paper Packaging</t>
  </si>
  <si>
    <t>Residential REITs</t>
  </si>
  <si>
    <t>Multi-Utilities</t>
  </si>
  <si>
    <t>General Merchandise Stores</t>
  </si>
  <si>
    <t>Packaged Foods &amp; Meats</t>
  </si>
  <si>
    <t>Oil &amp; Gas Refining &amp; Marketing</t>
  </si>
  <si>
    <t>Asset Management &amp; Custody Banks</t>
  </si>
  <si>
    <t>Health Care Distributors</t>
  </si>
  <si>
    <t>Electrical Components &amp; Equipment</t>
  </si>
  <si>
    <t>Internet Services &amp; Infrastructure</t>
  </si>
  <si>
    <t>Metal &amp; Glass Containers</t>
  </si>
  <si>
    <t>Real Estate Services</t>
  </si>
  <si>
    <t>Water Utilities</t>
  </si>
  <si>
    <t>Automobile Manufacturers</t>
  </si>
  <si>
    <t>Household Products</t>
  </si>
  <si>
    <t>Oil &amp; Gas Storage &amp; Transportation</t>
  </si>
  <si>
    <t>Insurance Brokers</t>
  </si>
  <si>
    <t>Biotechnology</t>
  </si>
  <si>
    <t>Aerospace &amp; Defense</t>
  </si>
  <si>
    <t>Electronic Components</t>
  </si>
  <si>
    <t>Fertilizers &amp; Agricultural Chemicals</t>
  </si>
  <si>
    <t>Industrial REITs</t>
  </si>
  <si>
    <t>Gas Utilities</t>
  </si>
  <si>
    <t>Apparel Retail</t>
  </si>
  <si>
    <t>Soft Drinks</t>
  </si>
  <si>
    <t>Multi-line Insurance</t>
  </si>
  <si>
    <t>Managed Health Care</t>
  </si>
  <si>
    <t>Air Freight &amp; Logistics</t>
  </si>
  <si>
    <t>Technology Hardware, Storage &amp; Peripherals</t>
  </si>
  <si>
    <t>Commodity Chemicals</t>
  </si>
  <si>
    <t>Retail REITs</t>
  </si>
  <si>
    <t>Consumer Electronics</t>
  </si>
  <si>
    <t>Hypermarkets &amp; Super Centers</t>
  </si>
  <si>
    <t>Diversified Banks</t>
  </si>
  <si>
    <t>Life Sciences Tools &amp; Services</t>
  </si>
  <si>
    <t>Construction Machinery &amp; Heavy Trucks</t>
  </si>
  <si>
    <t>Semiconductor Equipment</t>
  </si>
  <si>
    <t>Diversified Chemicals</t>
  </si>
  <si>
    <t>Health Care REITs</t>
  </si>
  <si>
    <t>Apparel, Accessories &amp; Luxury Goods</t>
  </si>
  <si>
    <t>Personal Products</t>
  </si>
  <si>
    <t>Multi-Sector Holdings</t>
  </si>
  <si>
    <t>Health Care Technology</t>
  </si>
  <si>
    <t>Diversified Support Services</t>
  </si>
  <si>
    <t>Communications Equipment</t>
  </si>
  <si>
    <t>Copper</t>
  </si>
  <si>
    <t>Hotel &amp; Resort REITs</t>
  </si>
  <si>
    <t>Leisure Products</t>
  </si>
  <si>
    <t>Food Retail</t>
  </si>
  <si>
    <t>Financial Exchanges &amp; Data</t>
  </si>
  <si>
    <t>Health Care Services</t>
  </si>
  <si>
    <t>Railroads</t>
  </si>
  <si>
    <t>Data Processing &amp; Outsourced Services</t>
  </si>
  <si>
    <t>Construction Materials</t>
  </si>
  <si>
    <t>Home Improvement Retail</t>
  </si>
  <si>
    <t>Brewers</t>
  </si>
  <si>
    <t>Investment Banking &amp; Brokerage</t>
  </si>
  <si>
    <t>Health Care Facilities</t>
  </si>
  <si>
    <t>Industrial Machinery</t>
  </si>
  <si>
    <t>Technology Distributors</t>
  </si>
  <si>
    <t>Gold</t>
  </si>
  <si>
    <t>Casinos &amp; Gaming</t>
  </si>
  <si>
    <t>Food Distributors</t>
  </si>
  <si>
    <t>Regional Banks</t>
  </si>
  <si>
    <t>Agricultural &amp; Farm Machinery</t>
  </si>
  <si>
    <t>Electronic Equipment &amp; Instruments</t>
  </si>
  <si>
    <t>Steel</t>
  </si>
  <si>
    <t>Home Furnishings</t>
  </si>
  <si>
    <t>Drug Retail</t>
  </si>
  <si>
    <t>Reinsurance</t>
  </si>
  <si>
    <t>Research &amp; Consulting Services</t>
  </si>
  <si>
    <t>Systems Software</t>
  </si>
  <si>
    <t>Distributors</t>
  </si>
  <si>
    <t>Thrifts &amp; Mortgage Finance</t>
  </si>
  <si>
    <t>Construction &amp; Engineering</t>
  </si>
  <si>
    <t>Electronic Manufacturing Services</t>
  </si>
  <si>
    <t>Housewares &amp; Specialties</t>
  </si>
  <si>
    <t>Trucking</t>
  </si>
  <si>
    <t>Household Appliances</t>
  </si>
  <si>
    <t>Environmental &amp; Facilities Services</t>
  </si>
  <si>
    <t>Human Resource &amp; Employment Services</t>
  </si>
  <si>
    <t>Trading Companies &amp; Distributors</t>
  </si>
  <si>
    <t>Company</t>
  </si>
  <si>
    <t>Report in millions</t>
  </si>
  <si>
    <t>RESULTS</t>
  </si>
  <si>
    <t>Hoja</t>
  </si>
  <si>
    <t>Nombre campo Bloomberg</t>
  </si>
  <si>
    <t>Cambio de signo</t>
  </si>
  <si>
    <t>Income Statement</t>
  </si>
  <si>
    <t>Sales</t>
  </si>
  <si>
    <t>Ingreso</t>
  </si>
  <si>
    <t xml:space="preserve">    + Coste de bienes y servicios</t>
  </si>
  <si>
    <t xml:space="preserve">    + Ventas, generales y admin</t>
  </si>
  <si>
    <t>investment income+other income expense+income loss+minority interest+non controlling interest+share onf net profit+gain8losses) on equity investments+share of result from associates nd joint ventures+non operating profit+</t>
  </si>
  <si>
    <t xml:space="preserve">    + Investigación y desarrollo</t>
  </si>
  <si>
    <t xml:space="preserve">    + Coste de financiación de beneficio</t>
  </si>
  <si>
    <t xml:space="preserve">    + Otro gasto operativo</t>
  </si>
  <si>
    <t xml:space="preserve">  - Beneficio (pérdida) de filiales</t>
  </si>
  <si>
    <t xml:space="preserve">  - Minoritarios</t>
  </si>
  <si>
    <t>interest expense+financial income and expenses+other financial expense-income+interest and other net+</t>
  </si>
  <si>
    <t xml:space="preserve">  - Ingreso (pérdida) no operacional</t>
  </si>
  <si>
    <t xml:space="preserve">  - Gasto de impuesto a la renta (Beneficio)</t>
  </si>
  <si>
    <t>Flujo de caja</t>
  </si>
  <si>
    <t xml:space="preserve">  + Ingreso neto</t>
  </si>
  <si>
    <t>FINANCIAL POSITION</t>
  </si>
  <si>
    <t>Weighted Average Shares (Basic NI)</t>
  </si>
  <si>
    <t>Weighted Average Shares (Diluted NI)</t>
  </si>
  <si>
    <t>Net gains (losses) from ForEx</t>
  </si>
  <si>
    <t>Total Comprehensive Income</t>
  </si>
  <si>
    <t>ver annual report</t>
  </si>
  <si>
    <t>cash flows</t>
  </si>
  <si>
    <t>NWC</t>
  </si>
  <si>
    <t>ASSETS</t>
  </si>
  <si>
    <t>Current</t>
  </si>
  <si>
    <t>Balance Sheet</t>
  </si>
  <si>
    <t>Other Current Assets</t>
  </si>
  <si>
    <t>Non-current</t>
  </si>
  <si>
    <t xml:space="preserve">     </t>
  </si>
  <si>
    <t>Operating leases</t>
  </si>
  <si>
    <t>Equity Method Investments</t>
  </si>
  <si>
    <t>Other Non-Current Assets</t>
  </si>
  <si>
    <t>Balance</t>
  </si>
  <si>
    <t xml:space="preserve">  + Propiedad, planta y equipo; neto</t>
  </si>
  <si>
    <t>Activos totales</t>
  </si>
  <si>
    <t>LIABILITIES</t>
  </si>
  <si>
    <t>Payables</t>
  </si>
  <si>
    <t>Short term Debt</t>
  </si>
  <si>
    <t>Pasivos totales corrientes</t>
  </si>
  <si>
    <t xml:space="preserve">    + Préstamos CP</t>
  </si>
  <si>
    <t>Total non current liabilities</t>
  </si>
  <si>
    <t>Long term debt</t>
  </si>
  <si>
    <t>Pasivos totales no corrientes</t>
  </si>
  <si>
    <t>Other non current Liabilities</t>
  </si>
  <si>
    <t xml:space="preserve">    + Préstamos a largo plazo</t>
  </si>
  <si>
    <t xml:space="preserve">  + Participación minoritaria/no dominante</t>
  </si>
  <si>
    <t>CASH FLOW</t>
  </si>
  <si>
    <t>Changes in assets and liabilities</t>
  </si>
  <si>
    <t>Other Adjustments</t>
  </si>
  <si>
    <t>Other Investing Cash Flow Items, Total</t>
  </si>
  <si>
    <t>Other Inflows (Outflows)</t>
  </si>
  <si>
    <t>Other Investing Cash Flow</t>
  </si>
  <si>
    <t>Investments &amp; Aquisitions</t>
  </si>
  <si>
    <t>Debt Borrowing</t>
  </si>
  <si>
    <t>Debt Repayment</t>
  </si>
  <si>
    <t>Lease Increases</t>
  </si>
  <si>
    <t>Lease Payments</t>
  </si>
  <si>
    <t>cash flows FINANCING</t>
  </si>
  <si>
    <t>Dividends paid</t>
  </si>
  <si>
    <t>(Vitalis will later fill this info)</t>
  </si>
  <si>
    <t xml:space="preserve">Other Data </t>
  </si>
  <si>
    <t xml:space="preserve">Average Price </t>
  </si>
  <si>
    <t xml:space="preserve">Number of employees </t>
  </si>
  <si>
    <t>10-K</t>
  </si>
  <si>
    <t>bloomberg</t>
  </si>
  <si>
    <t>Shares Outstanding (Thousands)</t>
  </si>
  <si>
    <t>Yahoo finance</t>
  </si>
  <si>
    <t>Credit Rating</t>
  </si>
  <si>
    <t>A+/A1</t>
  </si>
  <si>
    <t>Dividend Yield (Trailing Annual)</t>
  </si>
  <si>
    <t>Yahoo Finance</t>
  </si>
  <si>
    <t>Intangible Assets (Just Goodwill)</t>
  </si>
  <si>
    <t>Accumulated Depreciation, Total</t>
  </si>
  <si>
    <t>Property/Plant/Equipment, Total - Gross</t>
  </si>
  <si>
    <t>Interest Expense - Non-Operating</t>
  </si>
  <si>
    <t>Interest Income - Non-Operating</t>
  </si>
  <si>
    <t>COGS/REVENUE</t>
  </si>
  <si>
    <t>Stock-based Compensation, Supl.</t>
  </si>
  <si>
    <t>Investment Income - Non-Operating</t>
  </si>
  <si>
    <t>Arreondation Errors</t>
  </si>
  <si>
    <t>Buildings - Gross</t>
  </si>
  <si>
    <t>Land/Improvements - Gross</t>
  </si>
  <si>
    <t>Machinery/Equipment - Gross</t>
  </si>
  <si>
    <t>Construction in Progress - Gross</t>
  </si>
  <si>
    <t>Other Property/Plant/Equipment - Gross</t>
  </si>
  <si>
    <t>Less Allowance for Depreciation (PPE)</t>
  </si>
  <si>
    <t>Payable/Accrued</t>
  </si>
  <si>
    <t>Accrued Expenses</t>
  </si>
  <si>
    <t>Notes Payable/Short Term Debt</t>
  </si>
  <si>
    <t>Current Port. of LT Debt/Capital Leases</t>
  </si>
  <si>
    <t>Other Current liabilities, Total</t>
  </si>
  <si>
    <t>Sale/Maturity of Investment</t>
  </si>
  <si>
    <t>Purchase of Investments</t>
  </si>
  <si>
    <t>Short Term Debt, Net</t>
  </si>
  <si>
    <t>Long Term Debt Issued</t>
  </si>
  <si>
    <t>Long Term Debt Reduction</t>
  </si>
  <si>
    <t>Depreciation (In Income Statement)</t>
  </si>
  <si>
    <t>Payments for Property, Plant and Equipment</t>
  </si>
  <si>
    <t>Acquisitions of equipment for operating leases</t>
  </si>
  <si>
    <t>Machinery/Equipment - Gross (OLD VERSION)</t>
  </si>
  <si>
    <t>Accumulated Depreciation, Total (OLD VERSION)</t>
  </si>
  <si>
    <t>Difference in Machinery/Equipement</t>
  </si>
  <si>
    <t>Difference in Depreciation (PPE)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</si>
</sst>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9">
    <numFmt numFmtId="176" formatCode="_-* #,##0.00\ &quot;€&quot;_-;\-* #,##0.00\ &quot;€&quot;_-;_-* &quot;-&quot;??\ &quot;€&quot;_-;_-@_-"/>
    <numFmt numFmtId="177" formatCode="_-* #,##0.00_-;\-* #,##0.00_-;_-* &quot;-&quot;??_-;_-@_-"/>
    <numFmt numFmtId="178" formatCode="_-&quot;$&quot;* #,##0.00_-;\-&quot;$&quot;* #,##0.00_-;_-&quot;$&quot;* &quot;-&quot;??_-;_-@_-"/>
    <numFmt numFmtId="179" formatCode="&quot;$&quot;#,##0.00"/>
    <numFmt numFmtId="180" formatCode="&quot;$&quot;#,##0"/>
    <numFmt numFmtId="181" formatCode="0.0%"/>
    <numFmt numFmtId="182" formatCode="0.0"/>
    <numFmt numFmtId="183" formatCode="#,##0.0"/>
    <numFmt numFmtId="184" formatCode="[$$-409]#,##0.00_ ;\-[$$-409]#,##0.00\ "/>
    <numFmt numFmtId="185" formatCode="[$$-409]#,##0"/>
    <numFmt numFmtId="186" formatCode="0.000000"/>
    <numFmt numFmtId="187" formatCode="_([$$-409]* #,##0.00_);_([$$-409]* \(#,##0.00\);_([$$-409]* &quot;-&quot;??_);_(@_)"/>
    <numFmt numFmtId="188" formatCode="0.000%"/>
    <numFmt numFmtId="189" formatCode="_-* #,##0\ [$€-816]_-;\-* #,##0\ [$€-816]_-;_-* &quot;-&quot;??\ [$€-816]_-;_-@_-"/>
    <numFmt numFmtId="190" formatCode="_-* #,##0.00\ [$€-816]_-;\-* #,##0.00\ [$€-816]_-;_-* &quot;-&quot;??\ [$€-816]_-;_-@_-"/>
    <numFmt numFmtId="191" formatCode="0.000"/>
    <numFmt numFmtId="192" formatCode="[$€-2]\ #,##0"/>
    <numFmt numFmtId="193" formatCode="[$€-2]\ #,##0.00"/>
    <numFmt numFmtId="194" formatCode="0.0000%"/>
    <numFmt numFmtId="195" formatCode="#,##0_ ;\-#,##0\ "/>
    <numFmt numFmtId="196" formatCode="[$$-C09]#,##0.00"/>
    <numFmt numFmtId="197" formatCode="_-[$$-C09]* #,##0.00_-;\-[$$-C09]* #,##0.00_-;_-[$$-C09]* &quot;-&quot;??_-;_-@_-"/>
    <numFmt numFmtId="198" formatCode="[$$-C09]#,##0"/>
    <numFmt numFmtId="199" formatCode="[$$-C09]#,##0.0"/>
    <numFmt numFmtId="200" formatCode="[$$-409]#,##0.00"/>
    <numFmt numFmtId="201" formatCode="0%;[Red]\(0%\)"/>
    <numFmt numFmtId="202" formatCode="0.00%;[Red]\(0.00%\)"/>
    <numFmt numFmtId="203" formatCode="_-* #,##0_-;\-* #,##0_-;_-* &quot;-&quot;??_-;_-@_-"/>
    <numFmt numFmtId="204" formatCode="_-[$$-409]* #,##0.00_ ;_-[$$-409]* \-#,##0.00\ ;_-[$$-409]* &quot;-&quot;??_ ;_-@_ "/>
  </numFmts>
  <fonts count="142">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2"/>
      <name val="Arial"/>
      <family val="2"/>
    </font>
    <font>
      <u/>
      <sz val="10"/>
      <color indexed="12"/>
      <name val="Arial"/>
      <family val="2"/>
    </font>
    <font>
      <sz val="10"/>
      <color indexed="8"/>
      <name val="Arial"/>
      <family val="2"/>
    </font>
    <font>
      <sz val="10"/>
      <name val="Arial"/>
      <family val="2"/>
    </font>
    <font>
      <b/>
      <sz val="10"/>
      <name val="Arial"/>
      <family val="2"/>
    </font>
    <font>
      <b/>
      <sz val="10"/>
      <name val="Symbol"/>
      <family val="1"/>
      <charset val="2"/>
    </font>
    <font>
      <sz val="10"/>
      <name val="Symbol"/>
      <family val="1"/>
      <charset val="2"/>
    </font>
    <font>
      <b/>
      <sz val="16"/>
      <color indexed="9"/>
      <name val="Arial"/>
      <family val="2"/>
    </font>
    <font>
      <b/>
      <sz val="10"/>
      <color indexed="9"/>
      <name val="Arial"/>
      <family val="2"/>
    </font>
    <font>
      <b/>
      <sz val="10"/>
      <color indexed="8"/>
      <name val="Arial"/>
      <family val="2"/>
    </font>
    <font>
      <sz val="10"/>
      <color indexed="63"/>
      <name val="Arial"/>
      <family val="2"/>
    </font>
    <font>
      <i/>
      <sz val="10"/>
      <color indexed="8"/>
      <name val="Arial"/>
      <family val="2"/>
    </font>
    <font>
      <b/>
      <sz val="9.3000000000000007"/>
      <name val="Arial"/>
      <family val="2"/>
    </font>
    <font>
      <sz val="10"/>
      <name val="Arial"/>
      <family val="2"/>
    </font>
    <font>
      <b/>
      <sz val="11"/>
      <name val="Arial"/>
      <family val="2"/>
    </font>
    <font>
      <sz val="11"/>
      <color theme="1"/>
      <name val="Calibri"/>
      <family val="2"/>
      <scheme val="minor"/>
    </font>
    <font>
      <sz val="10"/>
      <color rgb="FFFF0000"/>
      <name val="Arial"/>
      <family val="2"/>
    </font>
    <font>
      <sz val="10"/>
      <color theme="0"/>
      <name val="Arial"/>
      <family val="2"/>
    </font>
    <font>
      <b/>
      <sz val="10"/>
      <color theme="0"/>
      <name val="Arial"/>
      <family val="2"/>
    </font>
    <font>
      <b/>
      <sz val="11"/>
      <color theme="3"/>
      <name val="Arial"/>
      <family val="2"/>
    </font>
    <font>
      <sz val="10"/>
      <color rgb="FF333333"/>
      <name val="Arial"/>
      <family val="2"/>
    </font>
    <font>
      <b/>
      <sz val="14"/>
      <color rgb="FFFF0000"/>
      <name val="Arial"/>
      <family val="2"/>
    </font>
    <font>
      <b/>
      <sz val="16"/>
      <color theme="0"/>
      <name val="Arial"/>
      <family val="2"/>
    </font>
    <font>
      <sz val="10"/>
      <color rgb="FF92D050"/>
      <name val="Arial"/>
      <family val="2"/>
    </font>
    <font>
      <sz val="10"/>
      <color theme="1"/>
      <name val="Arial"/>
      <family val="2"/>
    </font>
    <font>
      <sz val="10"/>
      <color rgb="FF000000"/>
      <name val="Arial"/>
      <family val="2"/>
    </font>
    <font>
      <sz val="11"/>
      <name val="Arial"/>
      <family val="2"/>
    </font>
    <font>
      <sz val="11"/>
      <color theme="1"/>
      <name val="Arial"/>
      <family val="2"/>
    </font>
    <font>
      <sz val="12"/>
      <color rgb="FFFFFFFF"/>
      <name val="Calibri"/>
      <family val="2"/>
    </font>
    <font>
      <sz val="7.5"/>
      <name val="Arial"/>
      <family val="2"/>
    </font>
    <font>
      <sz val="9"/>
      <name val="Arial"/>
      <family val="2"/>
    </font>
    <font>
      <b/>
      <sz val="9"/>
      <name val="Arial"/>
      <family val="2"/>
    </font>
    <font>
      <sz val="7.5"/>
      <color theme="0"/>
      <name val="Arial"/>
      <family val="2"/>
    </font>
    <font>
      <b/>
      <sz val="7.5"/>
      <name val="Arial"/>
      <family val="2"/>
    </font>
    <font>
      <b/>
      <sz val="16"/>
      <name val="Arial"/>
      <family val="2"/>
    </font>
    <font>
      <b/>
      <sz val="14"/>
      <name val="Arial"/>
      <family val="2"/>
    </font>
    <font>
      <b/>
      <sz val="14"/>
      <color theme="0"/>
      <name val="Arial"/>
      <family val="2"/>
    </font>
    <font>
      <b/>
      <sz val="12"/>
      <color theme="0"/>
      <name val="Arial"/>
      <family val="2"/>
    </font>
    <font>
      <b/>
      <sz val="9"/>
      <color theme="0"/>
      <name val="Arial"/>
      <family val="2"/>
    </font>
    <font>
      <b/>
      <sz val="8"/>
      <color theme="0"/>
      <name val="Arial"/>
      <family val="2"/>
    </font>
    <font>
      <b/>
      <sz val="11"/>
      <color theme="0"/>
      <name val="Arial"/>
      <family val="2"/>
    </font>
    <font>
      <b/>
      <sz val="12"/>
      <color indexed="9"/>
      <name val="Arial"/>
      <family val="2"/>
    </font>
    <font>
      <b/>
      <sz val="10"/>
      <color rgb="FFFF0000"/>
      <name val="Arial"/>
      <family val="2"/>
    </font>
    <font>
      <sz val="16"/>
      <color theme="0"/>
      <name val="Arial"/>
      <family val="2"/>
    </font>
    <font>
      <sz val="11"/>
      <color rgb="FF000000"/>
      <name val="Calibri"/>
      <family val="2"/>
    </font>
    <font>
      <b/>
      <sz val="16"/>
      <color rgb="FFFFFFFF"/>
      <name val="Arial"/>
      <family val="2"/>
    </font>
    <font>
      <b/>
      <sz val="11"/>
      <color rgb="FF000000"/>
      <name val="Calibri"/>
      <family val="2"/>
    </font>
    <font>
      <b/>
      <sz val="11"/>
      <name val="Calibri"/>
      <family val="2"/>
    </font>
    <font>
      <sz val="10"/>
      <color rgb="FFFFFFFF"/>
      <name val="Arial"/>
      <family val="2"/>
    </font>
    <font>
      <sz val="11"/>
      <name val="Calibri"/>
      <family val="2"/>
    </font>
    <font>
      <sz val="11"/>
      <color rgb="FFC00000"/>
      <name val="Calibri"/>
      <family val="2"/>
    </font>
    <font>
      <b/>
      <sz val="14"/>
      <color rgb="FF000000"/>
      <name val="Calibri"/>
      <family val="2"/>
    </font>
    <font>
      <sz val="11"/>
      <color theme="1"/>
      <name val="Calibri"/>
      <family val="2"/>
    </font>
    <font>
      <b/>
      <sz val="11"/>
      <color theme="1"/>
      <name val="Calibri"/>
      <family val="2"/>
      <scheme val="minor"/>
    </font>
    <font>
      <sz val="11"/>
      <color theme="0"/>
      <name val="Calibri"/>
      <family val="2"/>
    </font>
    <font>
      <sz val="12"/>
      <name val="Arial"/>
      <family val="2"/>
    </font>
    <font>
      <sz val="11"/>
      <color rgb="FFFF0000"/>
      <name val="Calibri"/>
      <family val="2"/>
    </font>
    <font>
      <sz val="10"/>
      <name val="Calibri"/>
      <family val="2"/>
      <charset val="1"/>
    </font>
    <font>
      <sz val="14"/>
      <name val="Arial"/>
      <family val="2"/>
    </font>
    <font>
      <sz val="8"/>
      <color theme="0"/>
      <name val="Arial"/>
      <family val="2"/>
    </font>
    <font>
      <b/>
      <sz val="12"/>
      <color rgb="FF000000"/>
      <name val="Arial"/>
      <family val="2"/>
    </font>
    <font>
      <b/>
      <sz val="8"/>
      <color rgb="FFFFFFFF"/>
      <name val="Arial"/>
      <family val="2"/>
    </font>
    <font>
      <b/>
      <sz val="11"/>
      <color rgb="FFFFFFFF"/>
      <name val="Arial"/>
      <family val="2"/>
    </font>
    <font>
      <i/>
      <sz val="10"/>
      <name val="Arial"/>
      <family val="2"/>
    </font>
    <font>
      <i/>
      <sz val="10"/>
      <color theme="1"/>
      <name val="Arial"/>
      <family val="2"/>
    </font>
    <font>
      <b/>
      <sz val="11"/>
      <color rgb="FF000000"/>
      <name val="Calibri"/>
      <family val="2"/>
      <scheme val="minor"/>
    </font>
    <font>
      <b/>
      <sz val="11"/>
      <color indexed="9"/>
      <name val="Arial"/>
      <family val="2"/>
    </font>
    <font>
      <b/>
      <sz val="11"/>
      <color theme="0"/>
      <name val="Calibri"/>
      <family val="2"/>
      <scheme val="minor"/>
    </font>
    <font>
      <b/>
      <sz val="14"/>
      <color theme="0"/>
      <name val="Calibri"/>
      <family val="2"/>
      <scheme val="minor"/>
    </font>
    <font>
      <sz val="11"/>
      <color rgb="FF444444"/>
      <name val="Calibri"/>
      <family val="2"/>
      <charset val="1"/>
    </font>
    <font>
      <b/>
      <sz val="10"/>
      <color rgb="FF232A31"/>
      <name val="Arial"/>
      <family val="2"/>
    </font>
    <font>
      <sz val="11"/>
      <color rgb="FF374151"/>
      <name val="Arial"/>
      <family val="2"/>
    </font>
    <font>
      <sz val="9"/>
      <color rgb="FF262626"/>
      <name val="Arial"/>
      <family val="2"/>
    </font>
    <font>
      <sz val="9"/>
      <color rgb="FF262626"/>
      <name val="Arial"/>
      <family val="2"/>
      <charset val="1"/>
    </font>
    <font>
      <sz val="11"/>
      <color rgb="FFFF0000"/>
      <name val="Arial"/>
      <family val="2"/>
    </font>
    <font>
      <b/>
      <sz val="9"/>
      <color rgb="FF000000"/>
      <name val="Tahoma"/>
      <family val="2"/>
    </font>
    <font>
      <sz val="9"/>
      <color rgb="FF000000"/>
      <name val="Tahoma"/>
      <family val="2"/>
    </font>
    <font>
      <sz val="8"/>
      <name val="Arial"/>
      <family val="2"/>
    </font>
    <font>
      <sz val="11"/>
      <color rgb="FF666666"/>
      <name val="Helvetica Neue"/>
      <family val="2"/>
    </font>
    <font>
      <sz val="10"/>
      <color rgb="FF00000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1"/>
      <name val="Tahoma"/>
      <family val="2"/>
    </font>
    <font>
      <b/>
      <sz val="9"/>
      <color indexed="81"/>
      <name val="Tahoma"/>
      <family val="2"/>
    </font>
    <font>
      <sz val="10"/>
      <color theme="1"/>
      <name val="Calibri"/>
      <family val="2"/>
      <scheme val="minor"/>
    </font>
    <font>
      <sz val="10"/>
      <color rgb="FF2962FF"/>
      <name val="Roboto"/>
    </font>
    <font>
      <sz val="9"/>
      <color rgb="FF000000"/>
      <name val="Calibri"/>
      <family val="2"/>
    </font>
    <font>
      <b/>
      <sz val="11"/>
      <color theme="0"/>
      <name val="Calibri"/>
      <family val="2"/>
    </font>
    <font>
      <sz val="10"/>
      <name val="Arial"/>
      <family val="2"/>
    </font>
    <font>
      <b/>
      <i/>
      <sz val="10"/>
      <name val="Arial"/>
      <family val="2"/>
    </font>
    <font>
      <sz val="9.5"/>
      <name val="Arial"/>
      <family val="2"/>
    </font>
    <font>
      <sz val="10"/>
      <color rgb="FFFF0000"/>
      <name val="Calibri"/>
      <family val="2"/>
    </font>
    <font>
      <sz val="11"/>
      <color theme="1"/>
      <name val="Calibri"/>
      <family val="2"/>
      <charset val="204"/>
      <scheme val="minor"/>
    </font>
    <font>
      <sz val="10"/>
      <name val="Arial"/>
      <family val="2"/>
    </font>
    <font>
      <sz val="10"/>
      <color rgb="FF000000"/>
      <name val="Helvetica Neue"/>
      <family val="2"/>
    </font>
    <font>
      <b/>
      <sz val="10"/>
      <color rgb="FF000000"/>
      <name val="Helvetica Neue"/>
      <family val="2"/>
    </font>
    <font>
      <u/>
      <sz val="10"/>
      <color theme="10"/>
      <name val="Arial"/>
      <family val="2"/>
    </font>
    <font>
      <sz val="11"/>
      <color rgb="FF333333"/>
      <name val="Arial"/>
      <family val="2"/>
    </font>
    <font>
      <b/>
      <sz val="11"/>
      <color rgb="FF333333"/>
      <name val="Montserrat"/>
      <family val="2"/>
      <charset val="1"/>
    </font>
    <font>
      <sz val="11"/>
      <color rgb="FF242424"/>
      <name val="Calibri"/>
      <family val="2"/>
      <charset val="1"/>
    </font>
    <font>
      <b/>
      <sz val="10"/>
      <color rgb="FF000000"/>
      <name val="Arial"/>
      <family val="2"/>
    </font>
    <font>
      <sz val="11"/>
      <color rgb="FF000000"/>
      <name val="Calibri"/>
      <family val="2"/>
      <charset val="204"/>
    </font>
    <font>
      <sz val="11"/>
      <color rgb="FF000000"/>
      <name val="Aptos Narrow"/>
      <family val="2"/>
    </font>
    <font>
      <sz val="12"/>
      <color rgb="FF444444"/>
      <name val="Roboto"/>
      <family val="2"/>
      <charset val="1"/>
    </font>
    <font>
      <sz val="11"/>
      <color indexed="8"/>
      <name val="Calibri"/>
      <family val="2"/>
      <scheme val="minor"/>
    </font>
    <font>
      <u/>
      <sz val="10"/>
      <color theme="10"/>
      <name val="Arial"/>
      <family val="2"/>
    </font>
    <font>
      <sz val="14"/>
      <color rgb="FF3D3F40"/>
      <name val="Helvetica Neue"/>
      <family val="2"/>
      <charset val="1"/>
    </font>
    <font>
      <sz val="12"/>
      <color rgb="FFECECEC"/>
      <name val="Söhne"/>
      <charset val="1"/>
    </font>
    <font>
      <sz val="14"/>
      <color rgb="FF3D3F40"/>
      <name val="Arial"/>
      <family val="2"/>
    </font>
    <font>
      <sz val="14"/>
      <color theme="0"/>
      <name val="Arial"/>
      <family val="2"/>
    </font>
    <font>
      <sz val="11"/>
      <color rgb="FF000000"/>
      <name val="Arial"/>
      <family val="2"/>
    </font>
    <font>
      <b/>
      <sz val="9.3000000000000007"/>
      <color rgb="FF1C65C5"/>
      <name val="Arial"/>
      <family val="2"/>
    </font>
    <font>
      <b/>
      <sz val="11"/>
      <color rgb="FF000000"/>
      <name val="Aptos Narrow"/>
      <family val="2"/>
    </font>
    <font>
      <b/>
      <sz val="10"/>
      <color theme="1"/>
      <name val="Calibri"/>
      <family val="2"/>
      <scheme val="minor"/>
    </font>
    <font>
      <b/>
      <sz val="10"/>
      <color theme="1"/>
      <name val="Arial"/>
      <family val="2"/>
    </font>
    <font>
      <b/>
      <sz val="11"/>
      <color rgb="FF000000"/>
      <name val="Arial"/>
      <family val="2"/>
    </font>
    <font>
      <b/>
      <sz val="10"/>
      <color rgb="FF000000"/>
      <name val="Helvetica Neue"/>
    </font>
    <font>
      <sz val="10"/>
      <color rgb="FF000000"/>
      <name val="Helvetica Neue"/>
    </font>
    <font>
      <sz val="10"/>
      <color theme="0"/>
      <name val="Helvetica Neue"/>
      <family val="2"/>
    </font>
    <font>
      <sz val="12"/>
      <color theme="0"/>
      <name val="Roboto"/>
      <family val="2"/>
      <charset val="1"/>
    </font>
  </fonts>
  <fills count="91">
    <fill>
      <patternFill patternType="none"/>
    </fill>
    <fill>
      <patternFill patternType="gray125"/>
    </fill>
    <fill>
      <patternFill patternType="solid">
        <fgColor rgb="FF4F81BD"/>
        <bgColor indexed="64"/>
      </patternFill>
    </fill>
    <fill>
      <patternFill patternType="solid">
        <fgColor rgb="FFFFFFFF"/>
        <bgColor indexed="64"/>
      </patternFill>
    </fill>
    <fill>
      <patternFill patternType="solid">
        <fgColor rgb="FFF2F2F2"/>
        <bgColor indexed="64"/>
      </patternFill>
    </fill>
    <fill>
      <patternFill patternType="solid">
        <fgColor theme="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7030A0"/>
        <bgColor indexed="64"/>
      </patternFill>
    </fill>
    <fill>
      <patternFill patternType="solid">
        <fgColor rgb="FFFFFF00"/>
        <bgColor indexed="64"/>
      </patternFill>
    </fill>
    <fill>
      <patternFill patternType="solid">
        <fgColor theme="5"/>
        <bgColor indexed="64"/>
      </patternFill>
    </fill>
    <fill>
      <patternFill patternType="solid">
        <fgColor theme="3" tint="0.79998168889431442"/>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indexed="57"/>
        <bgColor indexed="64"/>
      </patternFill>
    </fill>
    <fill>
      <patternFill patternType="solid">
        <fgColor theme="9" tint="0.39997558519241921"/>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BBF0FB"/>
        <bgColor indexed="64"/>
      </patternFill>
    </fill>
    <fill>
      <patternFill patternType="solid">
        <fgColor rgb="FF9AFCBB"/>
        <bgColor indexed="64"/>
      </patternFill>
    </fill>
    <fill>
      <patternFill patternType="solid">
        <fgColor rgb="FF91E8F9"/>
        <bgColor indexed="64"/>
      </patternFill>
    </fill>
    <fill>
      <patternFill patternType="solid">
        <fgColor rgb="FF92D050"/>
        <bgColor indexed="64"/>
      </patternFill>
    </fill>
    <fill>
      <patternFill patternType="solid">
        <fgColor rgb="FF002060"/>
        <bgColor indexed="64"/>
      </patternFill>
    </fill>
    <fill>
      <patternFill patternType="solid">
        <fgColor rgb="FF339966"/>
        <bgColor indexed="64"/>
      </patternFill>
    </fill>
    <fill>
      <patternFill patternType="solid">
        <fgColor rgb="FF1F497D"/>
        <bgColor indexed="64"/>
      </patternFill>
    </fill>
    <fill>
      <patternFill patternType="solid">
        <fgColor rgb="FF1B7087"/>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C5D9F1"/>
        <bgColor indexed="64"/>
      </patternFill>
    </fill>
    <fill>
      <patternFill patternType="solid">
        <fgColor rgb="FF1F497D"/>
        <bgColor rgb="FF000000"/>
      </patternFill>
    </fill>
    <fill>
      <patternFill patternType="solid">
        <fgColor rgb="FFDAEEF3"/>
        <bgColor rgb="FF000000"/>
      </patternFill>
    </fill>
    <fill>
      <patternFill patternType="solid">
        <fgColor rgb="FFDDD9C4"/>
        <bgColor rgb="FF000000"/>
      </patternFill>
    </fill>
    <fill>
      <patternFill patternType="solid">
        <fgColor rgb="FFFFFF00"/>
        <bgColor rgb="FF000000"/>
      </patternFill>
    </fill>
    <fill>
      <patternFill patternType="solid">
        <fgColor rgb="FFD9D9D9"/>
        <bgColor rgb="FF000000"/>
      </patternFill>
    </fill>
    <fill>
      <patternFill patternType="solid">
        <fgColor rgb="FFFDE9D9"/>
        <bgColor rgb="FF000000"/>
      </patternFill>
    </fill>
    <fill>
      <patternFill patternType="solid">
        <fgColor theme="0"/>
        <bgColor rgb="FF000000"/>
      </patternFill>
    </fill>
    <fill>
      <patternFill patternType="solid">
        <fgColor theme="2" tint="-9.9978637043366805E-2"/>
        <bgColor indexed="64"/>
      </patternFill>
    </fill>
    <fill>
      <patternFill patternType="solid">
        <fgColor rgb="FFFF0000"/>
        <bgColor rgb="FF000000"/>
      </patternFill>
    </fill>
    <fill>
      <patternFill patternType="solid">
        <fgColor rgb="FF00B050"/>
        <bgColor rgb="FF000000"/>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5F6FA"/>
        <bgColor indexed="64"/>
      </patternFill>
    </fill>
    <fill>
      <patternFill patternType="solid">
        <fgColor rgb="FFE9EFF6"/>
        <bgColor indexed="64"/>
      </patternFill>
    </fill>
    <fill>
      <patternFill patternType="solid">
        <fgColor rgb="FFFFFFFF"/>
        <bgColor rgb="FF000000"/>
      </patternFill>
    </fill>
    <fill>
      <patternFill patternType="solid">
        <fgColor rgb="FF00B050"/>
        <bgColor indexed="64"/>
      </patternFill>
    </fill>
    <fill>
      <patternFill patternType="solid">
        <fgColor rgb="FFF5F6FA"/>
        <bgColor rgb="FF000000"/>
      </patternFill>
    </fill>
    <fill>
      <patternFill patternType="solid">
        <fgColor rgb="FFE9EFF6"/>
        <bgColor rgb="FF000000"/>
      </patternFill>
    </fill>
    <fill>
      <patternFill patternType="solid">
        <fgColor theme="3" tint="0.39997558519241921"/>
        <bgColor indexed="64"/>
      </patternFill>
    </fill>
    <fill>
      <patternFill patternType="solid">
        <fgColor rgb="FFF2F4F9"/>
        <bgColor rgb="FF000000"/>
      </patternFill>
    </fill>
    <fill>
      <patternFill patternType="solid">
        <fgColor rgb="FF808080"/>
        <bgColor indexed="64"/>
      </patternFill>
    </fill>
    <fill>
      <patternFill patternType="solid">
        <fgColor theme="9" tint="0.59999389629810485"/>
        <bgColor indexed="64"/>
      </patternFill>
    </fill>
    <fill>
      <patternFill patternType="solid">
        <fgColor rgb="FFDCE6F1"/>
        <bgColor indexed="64"/>
      </patternFill>
    </fill>
    <fill>
      <patternFill patternType="solid">
        <fgColor rgb="FF1C65C5"/>
        <bgColor indexed="64"/>
      </patternFill>
    </fill>
    <fill>
      <patternFill patternType="solid">
        <fgColor rgb="FFF2F4F9"/>
        <bgColor indexed="64"/>
      </patternFill>
    </fill>
    <fill>
      <patternFill patternType="solid">
        <fgColor rgb="FFABC4EA"/>
        <bgColor indexed="64"/>
      </patternFill>
    </fill>
  </fills>
  <borders count="301">
    <border>
      <left/>
      <right/>
      <top/>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medium">
        <color theme="3"/>
      </left>
      <right/>
      <top style="thin">
        <color theme="0" tint="-0.499984740745262"/>
      </top>
      <bottom style="thin">
        <color theme="0" tint="-0.499984740745262"/>
      </bottom>
      <diagonal/>
    </border>
    <border>
      <left style="medium">
        <color theme="3"/>
      </left>
      <right/>
      <top style="thin">
        <color theme="0" tint="-0.499984740745262"/>
      </top>
      <bottom/>
      <diagonal/>
    </border>
    <border>
      <left style="medium">
        <color theme="3"/>
      </left>
      <right/>
      <top/>
      <bottom/>
      <diagonal/>
    </border>
    <border>
      <left/>
      <right style="medium">
        <color theme="3"/>
      </right>
      <top style="thin">
        <color theme="0" tint="-0.499984740745262"/>
      </top>
      <bottom style="thin">
        <color theme="0" tint="-0.499984740745262"/>
      </bottom>
      <diagonal/>
    </border>
    <border>
      <left/>
      <right style="medium">
        <color theme="3"/>
      </right>
      <top/>
      <bottom/>
      <diagonal/>
    </border>
    <border>
      <left style="medium">
        <color theme="3"/>
      </left>
      <right/>
      <top/>
      <bottom style="thin">
        <color theme="0" tint="-0.499984740745262"/>
      </bottom>
      <diagonal/>
    </border>
    <border>
      <left style="medium">
        <color theme="3"/>
      </left>
      <right/>
      <top/>
      <bottom style="medium">
        <color theme="3"/>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theme="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right/>
      <top style="medium">
        <color theme="3"/>
      </top>
      <bottom style="thin">
        <color theme="0" tint="-0.499984740745262"/>
      </bottom>
      <diagonal/>
    </border>
    <border>
      <left/>
      <right style="medium">
        <color theme="3"/>
      </right>
      <top style="medium">
        <color theme="3"/>
      </top>
      <bottom style="thin">
        <color theme="0" tint="-0.499984740745262"/>
      </bottom>
      <diagonal/>
    </border>
    <border>
      <left/>
      <right/>
      <top/>
      <bottom style="thin">
        <color indexed="64"/>
      </bottom>
      <diagonal/>
    </border>
    <border>
      <left style="thin">
        <color theme="0" tint="-0.249977111117893"/>
      </left>
      <right/>
      <top/>
      <bottom style="thin">
        <color theme="0" tint="-0.249977111117893"/>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theme="3"/>
      </top>
      <bottom style="medium">
        <color theme="3"/>
      </bottom>
      <diagonal/>
    </border>
    <border>
      <left/>
      <right style="medium">
        <color indexed="64"/>
      </right>
      <top style="medium">
        <color indexed="64"/>
      </top>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rgb="FF1F497D"/>
      </top>
      <bottom style="thin">
        <color theme="0" tint="-0.249977111117893"/>
      </bottom>
      <diagonal/>
    </border>
    <border>
      <left/>
      <right/>
      <top style="thin">
        <color rgb="FF1F497D"/>
      </top>
      <bottom style="thin">
        <color theme="0" tint="-0.249977111117893"/>
      </bottom>
      <diagonal/>
    </border>
    <border>
      <left/>
      <right style="thin">
        <color theme="0" tint="-0.249977111117893"/>
      </right>
      <top style="thin">
        <color rgb="FF1F497D"/>
      </top>
      <bottom style="thin">
        <color theme="0" tint="-0.249977111117893"/>
      </bottom>
      <diagonal/>
    </border>
    <border>
      <left style="medium">
        <color rgb="FF1F497D"/>
      </left>
      <right/>
      <top/>
      <bottom/>
      <diagonal/>
    </border>
    <border>
      <left/>
      <right style="medium">
        <color rgb="FF1F497D"/>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indexed="64"/>
      </left>
      <right style="medium">
        <color rgb="FF1F497D"/>
      </right>
      <top style="thin">
        <color indexed="64"/>
      </top>
      <bottom style="thin">
        <color indexed="64"/>
      </bottom>
      <diagonal/>
    </border>
    <border>
      <left style="thin">
        <color indexed="64"/>
      </left>
      <right style="medium">
        <color rgb="FF1F497D"/>
      </right>
      <top/>
      <bottom style="thin">
        <color indexed="64"/>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rgb="FF1F497D"/>
      </left>
      <right style="thin">
        <color rgb="FF1F497D"/>
      </right>
      <top style="thin">
        <color rgb="FF1F497D"/>
      </top>
      <bottom style="thin">
        <color rgb="FF1F497D"/>
      </bottom>
      <diagonal/>
    </border>
    <border>
      <left style="medium">
        <color rgb="FF1F497D"/>
      </left>
      <right style="medium">
        <color rgb="FF1F497D"/>
      </right>
      <top style="medium">
        <color rgb="FF1F497D"/>
      </top>
      <bottom style="medium">
        <color rgb="FF1F497D"/>
      </bottom>
      <diagonal/>
    </border>
    <border>
      <left style="medium">
        <color rgb="FF1F497D"/>
      </left>
      <right style="medium">
        <color theme="3"/>
      </right>
      <top/>
      <bottom style="medium">
        <color rgb="FF1F497D"/>
      </bottom>
      <diagonal/>
    </border>
    <border>
      <left style="medium">
        <color rgb="FF1F497D"/>
      </left>
      <right/>
      <top style="medium">
        <color rgb="FF1F497D"/>
      </top>
      <bottom/>
      <diagonal/>
    </border>
    <border>
      <left/>
      <right/>
      <top style="medium">
        <color rgb="FF1F497D"/>
      </top>
      <bottom/>
      <diagonal/>
    </border>
    <border>
      <left/>
      <right style="medium">
        <color rgb="FF1F497D"/>
      </right>
      <top style="medium">
        <color rgb="FF1F497D"/>
      </top>
      <bottom/>
      <diagonal/>
    </border>
    <border>
      <left style="medium">
        <color rgb="FF1F497D"/>
      </left>
      <right/>
      <top/>
      <bottom style="medium">
        <color rgb="FF1F497D"/>
      </bottom>
      <diagonal/>
    </border>
    <border>
      <left style="medium">
        <color rgb="FF1F497D"/>
      </left>
      <right/>
      <top style="medium">
        <color rgb="FF1F497D"/>
      </top>
      <bottom style="medium">
        <color rgb="FF1F497D"/>
      </bottom>
      <diagonal/>
    </border>
    <border>
      <left/>
      <right/>
      <top style="medium">
        <color rgb="FF1F497D"/>
      </top>
      <bottom style="medium">
        <color rgb="FF1F497D"/>
      </bottom>
      <diagonal/>
    </border>
    <border>
      <left/>
      <right style="medium">
        <color rgb="FF1F497D"/>
      </right>
      <top style="medium">
        <color rgb="FF1F497D"/>
      </top>
      <bottom style="medium">
        <color rgb="FF1F497D"/>
      </bottom>
      <diagonal/>
    </border>
    <border>
      <left/>
      <right/>
      <top/>
      <bottom style="medium">
        <color rgb="FF1F497D"/>
      </bottom>
      <diagonal/>
    </border>
    <border>
      <left/>
      <right style="medium">
        <color rgb="FF1F497D"/>
      </right>
      <top/>
      <bottom style="medium">
        <color rgb="FF1F497D"/>
      </bottom>
      <diagonal/>
    </border>
    <border>
      <left style="medium">
        <color rgb="FF1F497D"/>
      </left>
      <right/>
      <top style="medium">
        <color rgb="FF1F497D"/>
      </top>
      <bottom style="thin">
        <color theme="0" tint="-0.24994659260841701"/>
      </bottom>
      <diagonal/>
    </border>
    <border>
      <left/>
      <right style="medium">
        <color rgb="FF1F497D"/>
      </right>
      <top style="medium">
        <color rgb="FF1F497D"/>
      </top>
      <bottom style="thin">
        <color theme="0" tint="-0.24994659260841701"/>
      </bottom>
      <diagonal/>
    </border>
    <border>
      <left style="medium">
        <color rgb="FF1F497D"/>
      </left>
      <right style="medium">
        <color theme="3"/>
      </right>
      <top style="medium">
        <color rgb="FF1F497D"/>
      </top>
      <bottom style="thin">
        <color theme="0" tint="-0.24994659260841701"/>
      </bottom>
      <diagonal/>
    </border>
    <border>
      <left style="medium">
        <color theme="3"/>
      </left>
      <right style="medium">
        <color theme="3"/>
      </right>
      <top style="medium">
        <color rgb="FF1F497D"/>
      </top>
      <bottom style="thin">
        <color theme="0" tint="-0.24994659260841701"/>
      </bottom>
      <diagonal/>
    </border>
    <border>
      <left style="medium">
        <color theme="3"/>
      </left>
      <right style="medium">
        <color rgb="FF1F497D"/>
      </right>
      <top style="medium">
        <color rgb="FF1F497D"/>
      </top>
      <bottom style="thin">
        <color theme="0" tint="-0.24994659260841701"/>
      </bottom>
      <diagonal/>
    </border>
    <border>
      <left style="medium">
        <color rgb="FF1F497D"/>
      </left>
      <right/>
      <top style="thin">
        <color theme="0" tint="-0.24994659260841701"/>
      </top>
      <bottom style="thin">
        <color theme="0" tint="-0.24994659260841701"/>
      </bottom>
      <diagonal/>
    </border>
    <border>
      <left/>
      <right style="medium">
        <color rgb="FF1F497D"/>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medium">
        <color rgb="FF1F497D"/>
      </left>
      <right/>
      <top style="thin">
        <color theme="0" tint="-0.24994659260841701"/>
      </top>
      <bottom style="medium">
        <color rgb="FF1F497D"/>
      </bottom>
      <diagonal/>
    </border>
    <border>
      <left/>
      <right style="medium">
        <color rgb="FF1F497D"/>
      </right>
      <top style="thin">
        <color theme="0" tint="-0.24994659260841701"/>
      </top>
      <bottom style="medium">
        <color rgb="FF1F497D"/>
      </bottom>
      <diagonal/>
    </border>
    <border>
      <left/>
      <right/>
      <top style="thin">
        <color theme="0" tint="-0.24994659260841701"/>
      </top>
      <bottom style="medium">
        <color rgb="FF1F497D"/>
      </bottom>
      <diagonal/>
    </border>
    <border>
      <left style="medium">
        <color rgb="FF1F497D"/>
      </left>
      <right style="medium">
        <color rgb="FF1F497D"/>
      </right>
      <top style="medium">
        <color rgb="FF1F497D"/>
      </top>
      <bottom style="thin">
        <color theme="0" tint="-0.24994659260841701"/>
      </bottom>
      <diagonal/>
    </border>
    <border>
      <left style="medium">
        <color rgb="FF1F497D"/>
      </left>
      <right style="medium">
        <color rgb="FF1F497D"/>
      </right>
      <top style="medium">
        <color rgb="FF1F497D"/>
      </top>
      <bottom/>
      <diagonal/>
    </border>
    <border>
      <left style="medium">
        <color rgb="FF1F497D"/>
      </left>
      <right style="medium">
        <color rgb="FF1F497D"/>
      </right>
      <top/>
      <bottom/>
      <diagonal/>
    </border>
    <border>
      <left style="medium">
        <color rgb="FF1F497D"/>
      </left>
      <right style="medium">
        <color rgb="FF1F497D"/>
      </right>
      <top/>
      <bottom style="medium">
        <color rgb="FF1F497D"/>
      </bottom>
      <diagonal/>
    </border>
    <border>
      <left style="medium">
        <color rgb="FF1F497D"/>
      </left>
      <right style="medium">
        <color rgb="FF1F497D"/>
      </right>
      <top/>
      <bottom style="thin">
        <color theme="0" tint="-0.24994659260841701"/>
      </bottom>
      <diagonal/>
    </border>
    <border>
      <left/>
      <right style="medium">
        <color rgb="FF1F497D"/>
      </right>
      <top/>
      <bottom style="thin">
        <color theme="0" tint="-0.24994659260841701"/>
      </bottom>
      <diagonal/>
    </border>
    <border>
      <left style="medium">
        <color rgb="FF1F497D"/>
      </left>
      <right style="medium">
        <color rgb="FF1F497D"/>
      </right>
      <top style="thin">
        <color theme="0" tint="-0.24994659260841701"/>
      </top>
      <bottom/>
      <diagonal/>
    </border>
    <border>
      <left style="medium">
        <color rgb="FF1F497D"/>
      </left>
      <right/>
      <top style="medium">
        <color theme="3"/>
      </top>
      <bottom style="medium">
        <color theme="3"/>
      </bottom>
      <diagonal/>
    </border>
    <border>
      <left/>
      <right/>
      <top/>
      <bottom style="medium">
        <color theme="0" tint="-0.24994659260841701"/>
      </bottom>
      <diagonal/>
    </border>
    <border>
      <left/>
      <right/>
      <top style="medium">
        <color theme="0" tint="-0.24994659260841701"/>
      </top>
      <bottom/>
      <diagonal/>
    </border>
    <border>
      <left/>
      <right/>
      <top style="medium">
        <color theme="0" tint="-0.24994659260841701"/>
      </top>
      <bottom style="medium">
        <color theme="0" tint="-0.24994659260841701"/>
      </bottom>
      <diagonal/>
    </border>
    <border>
      <left style="medium">
        <color rgb="FF1F497D"/>
      </left>
      <right/>
      <top/>
      <bottom style="medium">
        <color theme="0" tint="-0.24994659260841701"/>
      </bottom>
      <diagonal/>
    </border>
    <border>
      <left style="medium">
        <color rgb="FF1F497D"/>
      </left>
      <right/>
      <top style="medium">
        <color theme="0" tint="-0.24994659260841701"/>
      </top>
      <bottom/>
      <diagonal/>
    </border>
    <border>
      <left style="medium">
        <color rgb="FF1F497D"/>
      </left>
      <right/>
      <top style="medium">
        <color theme="0" tint="-0.24994659260841701"/>
      </top>
      <bottom style="medium">
        <color theme="0" tint="-0.24994659260841701"/>
      </bottom>
      <diagonal/>
    </border>
    <border>
      <left/>
      <right style="medium">
        <color rgb="FF1F497D"/>
      </right>
      <top style="medium">
        <color theme="0" tint="-0.24994659260841701"/>
      </top>
      <bottom style="medium">
        <color theme="0" tint="-0.24994659260841701"/>
      </bottom>
      <diagonal/>
    </border>
    <border>
      <left style="medium">
        <color rgb="FF1F497D"/>
      </left>
      <right/>
      <top style="medium">
        <color theme="0" tint="-0.24994659260841701"/>
      </top>
      <bottom style="medium">
        <color rgb="FF1F497D"/>
      </bottom>
      <diagonal/>
    </border>
    <border>
      <left/>
      <right/>
      <top style="medium">
        <color theme="0" tint="-0.24994659260841701"/>
      </top>
      <bottom style="medium">
        <color rgb="FF1F497D"/>
      </bottom>
      <diagonal/>
    </border>
    <border>
      <left/>
      <right style="medium">
        <color rgb="FF1F497D"/>
      </right>
      <top style="medium">
        <color theme="0" tint="-0.24994659260841701"/>
      </top>
      <bottom style="medium">
        <color rgb="FF1F497D"/>
      </bottom>
      <diagonal/>
    </border>
    <border>
      <left style="medium">
        <color rgb="FF1F497D"/>
      </left>
      <right/>
      <top style="medium">
        <color rgb="FF1F497D"/>
      </top>
      <bottom style="medium">
        <color theme="0" tint="-0.24994659260841701"/>
      </bottom>
      <diagonal/>
    </border>
    <border>
      <left/>
      <right/>
      <top style="medium">
        <color rgb="FF1F497D"/>
      </top>
      <bottom style="medium">
        <color theme="0" tint="-0.24994659260841701"/>
      </bottom>
      <diagonal/>
    </border>
    <border>
      <left style="thin">
        <color rgb="FF1F497D"/>
      </left>
      <right/>
      <top style="thin">
        <color rgb="FF1F497D"/>
      </top>
      <bottom style="thin">
        <color rgb="FF1F497D"/>
      </bottom>
      <diagonal/>
    </border>
    <border>
      <left/>
      <right/>
      <top style="thin">
        <color rgb="FF1F497D"/>
      </top>
      <bottom style="thin">
        <color rgb="FF1F497D"/>
      </bottom>
      <diagonal/>
    </border>
    <border>
      <left style="medium">
        <color theme="1" tint="0.24994659260841701"/>
      </left>
      <right style="medium">
        <color theme="1" tint="0.24994659260841701"/>
      </right>
      <top style="medium">
        <color theme="1" tint="0.24994659260841701"/>
      </top>
      <bottom style="medium">
        <color theme="1" tint="0.24994659260841701"/>
      </bottom>
      <diagonal/>
    </border>
    <border>
      <left style="medium">
        <color theme="1" tint="0.24994659260841701"/>
      </left>
      <right/>
      <top style="medium">
        <color theme="1" tint="0.24994659260841701"/>
      </top>
      <bottom style="medium">
        <color theme="1" tint="0.24994659260841701"/>
      </bottom>
      <diagonal/>
    </border>
    <border>
      <left/>
      <right/>
      <top style="medium">
        <color theme="1" tint="0.24994659260841701"/>
      </top>
      <bottom style="medium">
        <color theme="1" tint="0.24994659260841701"/>
      </bottom>
      <diagonal/>
    </border>
    <border>
      <left/>
      <right style="medium">
        <color theme="1" tint="0.24994659260841701"/>
      </right>
      <top style="medium">
        <color theme="1" tint="0.24994659260841701"/>
      </top>
      <bottom style="medium">
        <color theme="1" tint="0.24994659260841701"/>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indexed="64"/>
      </top>
      <bottom/>
      <diagonal/>
    </border>
    <border>
      <left/>
      <right/>
      <top style="medium">
        <color rgb="FF000000"/>
      </top>
      <bottom style="medium">
        <color rgb="FF000000"/>
      </bottom>
      <diagonal/>
    </border>
    <border>
      <left/>
      <right style="medium">
        <color rgb="FF000000"/>
      </right>
      <top/>
      <bottom/>
      <diagonal/>
    </border>
    <border>
      <left style="medium">
        <color rgb="FF000000"/>
      </left>
      <right style="medium">
        <color rgb="FF000000"/>
      </right>
      <top/>
      <bottom/>
      <diagonal/>
    </border>
    <border>
      <left style="medium">
        <color rgb="FF000000"/>
      </left>
      <right/>
      <top/>
      <bottom style="medium">
        <color rgb="FF000000"/>
      </bottom>
      <diagonal/>
    </border>
    <border>
      <left style="medium">
        <color rgb="FF000000"/>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thin">
        <color rgb="FF000000"/>
      </bottom>
      <diagonal/>
    </border>
    <border>
      <left style="thin">
        <color rgb="FF000000"/>
      </left>
      <right style="medium">
        <color rgb="FF000000"/>
      </right>
      <top/>
      <bottom style="thin">
        <color rgb="FF000000"/>
      </bottom>
      <diagonal/>
    </border>
    <border>
      <left style="medium">
        <color theme="1" tint="0.24994659260841701"/>
      </left>
      <right/>
      <top style="medium">
        <color theme="3"/>
      </top>
      <bottom style="thin">
        <color theme="0" tint="-0.499984740745262"/>
      </bottom>
      <diagonal/>
    </border>
    <border>
      <left style="thin">
        <color theme="0" tint="-0.499984740745262"/>
      </left>
      <right style="medium">
        <color theme="3"/>
      </right>
      <top style="thin">
        <color theme="0" tint="-0.499984740745262"/>
      </top>
      <bottom/>
      <diagonal/>
    </border>
    <border>
      <left style="thin">
        <color theme="0" tint="-0.499984740745262"/>
      </left>
      <right style="medium">
        <color theme="3"/>
      </right>
      <top/>
      <bottom/>
      <diagonal/>
    </border>
    <border>
      <left style="thin">
        <color theme="0" tint="-0.499984740745262"/>
      </left>
      <right style="medium">
        <color theme="3"/>
      </right>
      <top/>
      <bottom style="medium">
        <color theme="3"/>
      </bottom>
      <diagonal/>
    </border>
    <border>
      <left style="medium">
        <color rgb="FF000000"/>
      </left>
      <right/>
      <top style="medium">
        <color rgb="FF000000"/>
      </top>
      <bottom style="medium">
        <color rgb="FF000000"/>
      </bottom>
      <diagonal/>
    </border>
    <border>
      <left/>
      <right/>
      <top/>
      <bottom style="medium">
        <color rgb="FF000000"/>
      </bottom>
      <diagonal/>
    </border>
    <border>
      <left style="medium">
        <color indexed="64"/>
      </left>
      <right style="thin">
        <color indexed="64"/>
      </right>
      <top style="medium">
        <color indexed="64"/>
      </top>
      <bottom style="medium">
        <color rgb="FF000000"/>
      </bottom>
      <diagonal/>
    </border>
    <border>
      <left/>
      <right style="thin">
        <color indexed="64"/>
      </right>
      <top style="medium">
        <color indexed="64"/>
      </top>
      <bottom style="medium">
        <color rgb="FF000000"/>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style="medium">
        <color rgb="FF000000"/>
      </right>
      <top style="medium">
        <color rgb="FF000000"/>
      </top>
      <bottom/>
      <diagonal/>
    </border>
    <border>
      <left/>
      <right style="medium">
        <color rgb="FF000000"/>
      </right>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thin">
        <color indexed="64"/>
      </right>
      <top style="medium">
        <color indexed="64"/>
      </top>
      <bottom/>
      <diagonal/>
    </border>
    <border>
      <left/>
      <right style="thin">
        <color indexed="64"/>
      </right>
      <top style="medium">
        <color rgb="FF000000"/>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right style="thin">
        <color theme="0" tint="-0.24994659260841701"/>
      </right>
      <top/>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style="thin">
        <color theme="0" tint="-0.24994659260841701"/>
      </left>
      <right/>
      <top/>
      <bottom/>
      <diagonal/>
    </border>
    <border>
      <left style="thin">
        <color theme="0" tint="-0.24994659260841701"/>
      </left>
      <right/>
      <top/>
      <bottom style="thin">
        <color theme="0" tint="-0.24994659260841701"/>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theme="0" tint="-0.24994659260841701"/>
      </left>
      <right style="thin">
        <color theme="0" tint="-0.249977111117893"/>
      </right>
      <top style="thin">
        <color theme="0" tint="-0.249977111117893"/>
      </top>
      <bottom style="thin">
        <color theme="0" tint="-0.249977111117893"/>
      </bottom>
      <diagonal/>
    </border>
    <border>
      <left style="thin">
        <color rgb="FF000000"/>
      </left>
      <right/>
      <top/>
      <bottom/>
      <diagonal/>
    </border>
    <border>
      <left style="thin">
        <color indexed="64"/>
      </left>
      <right style="medium">
        <color indexed="64"/>
      </right>
      <top/>
      <bottom style="thin">
        <color indexed="64"/>
      </bottom>
      <diagonal/>
    </border>
    <border>
      <left style="thin">
        <color rgb="FF000000"/>
      </left>
      <right style="medium">
        <color indexed="64"/>
      </right>
      <top/>
      <bottom style="thin">
        <color rgb="FF000000"/>
      </bottom>
      <diagonal/>
    </border>
    <border>
      <left style="medium">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rgb="FF000000"/>
      </left>
      <right/>
      <top style="thin">
        <color rgb="FF000000"/>
      </top>
      <bottom/>
      <diagonal/>
    </border>
    <border>
      <left style="thin">
        <color rgb="FF000000"/>
      </left>
      <right/>
      <top style="thin">
        <color indexed="64"/>
      </top>
      <bottom/>
      <diagonal/>
    </border>
    <border>
      <left style="thin">
        <color rgb="FF000000"/>
      </left>
      <right/>
      <top style="thin">
        <color rgb="FF000000"/>
      </top>
      <bottom style="thin">
        <color rgb="FF000000"/>
      </bottom>
      <diagonal/>
    </border>
    <border>
      <left style="thin">
        <color indexed="64"/>
      </left>
      <right style="medium">
        <color indexed="64"/>
      </right>
      <top style="thin">
        <color indexed="64"/>
      </top>
      <bottom/>
      <diagonal/>
    </border>
    <border>
      <left/>
      <right style="thin">
        <color rgb="FF000000"/>
      </right>
      <top/>
      <bottom style="thin">
        <color rgb="FF000000"/>
      </bottom>
      <diagonal/>
    </border>
    <border>
      <left/>
      <right/>
      <top style="medium">
        <color rgb="FF000000"/>
      </top>
      <bottom/>
      <diagonal/>
    </border>
    <border>
      <left style="medium">
        <color rgb="FF000000"/>
      </left>
      <right style="thin">
        <color theme="0" tint="-0.24994659260841701"/>
      </right>
      <top/>
      <bottom style="medium">
        <color rgb="FF000000"/>
      </bottom>
      <diagonal/>
    </border>
    <border>
      <left style="thin">
        <color theme="0" tint="-0.24994659260841701"/>
      </left>
      <right style="thin">
        <color theme="0" tint="-0.24994659260841701"/>
      </right>
      <top/>
      <bottom style="medium">
        <color rgb="FF000000"/>
      </bottom>
      <diagonal/>
    </border>
    <border>
      <left style="thin">
        <color theme="0" tint="-0.24994659260841701"/>
      </left>
      <right style="medium">
        <color rgb="FF000000"/>
      </right>
      <top/>
      <bottom style="medium">
        <color rgb="FF000000"/>
      </bottom>
      <diagonal/>
    </border>
    <border>
      <left/>
      <right style="medium">
        <color rgb="FF000000"/>
      </right>
      <top style="medium">
        <color rgb="FF000000"/>
      </top>
      <bottom style="medium">
        <color rgb="FF000000"/>
      </bottom>
      <diagonal/>
    </border>
    <border>
      <left/>
      <right style="medium">
        <color rgb="FF1F497D"/>
      </right>
      <top/>
      <bottom style="medium">
        <color theme="0" tint="-0.24994659260841701"/>
      </bottom>
      <diagonal/>
    </border>
    <border>
      <left/>
      <right style="medium">
        <color rgb="FF1F497D"/>
      </right>
      <top style="medium">
        <color theme="0" tint="-0.24994659260841701"/>
      </top>
      <bottom/>
      <diagonal/>
    </border>
    <border>
      <left style="medium">
        <color rgb="FF1F497D"/>
      </left>
      <right/>
      <top/>
      <bottom style="thin">
        <color theme="0" tint="-0.24994659260841701"/>
      </bottom>
      <diagonal/>
    </border>
    <border>
      <left style="medium">
        <color indexed="64"/>
      </left>
      <right/>
      <top style="thin">
        <color indexed="64"/>
      </top>
      <bottom/>
      <diagonal/>
    </border>
    <border>
      <left/>
      <right style="medium">
        <color indexed="64"/>
      </right>
      <top style="thin">
        <color indexed="64"/>
      </top>
      <bottom style="thin">
        <color indexed="64"/>
      </bottom>
      <diagonal/>
    </border>
    <border>
      <left style="medium">
        <color indexed="64"/>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theme="4" tint="-0.24994659260841701"/>
      </left>
      <right style="medium">
        <color theme="4" tint="-0.24994659260841701"/>
      </right>
      <top style="medium">
        <color theme="4" tint="-0.24994659260841701"/>
      </top>
      <bottom style="thin">
        <color theme="0" tint="-0.499984740745262"/>
      </bottom>
      <diagonal/>
    </border>
    <border>
      <left style="medium">
        <color theme="4" tint="-0.24994659260841701"/>
      </left>
      <right style="medium">
        <color theme="4" tint="-0.24994659260841701"/>
      </right>
      <top/>
      <bottom/>
      <diagonal/>
    </border>
    <border>
      <left style="medium">
        <color theme="4" tint="-0.24994659260841701"/>
      </left>
      <right style="medium">
        <color theme="4" tint="-0.24994659260841701"/>
      </right>
      <top/>
      <bottom style="medium">
        <color theme="4" tint="-0.24994659260841701"/>
      </bottom>
      <diagonal/>
    </border>
    <border>
      <left style="medium">
        <color rgb="FF1F497D"/>
      </left>
      <right style="thin">
        <color rgb="FF1F497D"/>
      </right>
      <top style="medium">
        <color rgb="FF1F497D"/>
      </top>
      <bottom style="thin">
        <color rgb="FF1F497D"/>
      </bottom>
      <diagonal/>
    </border>
    <border>
      <left style="thin">
        <color rgb="FF1F497D"/>
      </left>
      <right style="thin">
        <color rgb="FF1F497D"/>
      </right>
      <top style="medium">
        <color rgb="FF1F497D"/>
      </top>
      <bottom style="thin">
        <color rgb="FF1F497D"/>
      </bottom>
      <diagonal/>
    </border>
    <border>
      <left style="thin">
        <color rgb="FF1F497D"/>
      </left>
      <right style="medium">
        <color rgb="FF1F497D"/>
      </right>
      <top style="medium">
        <color rgb="FF1F497D"/>
      </top>
      <bottom style="thin">
        <color rgb="FF1F497D"/>
      </bottom>
      <diagonal/>
    </border>
    <border>
      <left/>
      <right/>
      <top/>
      <bottom style="thin">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style="medium">
        <color rgb="FF000000"/>
      </right>
      <top/>
      <bottom style="thin">
        <color theme="0" tint="-0.249977111117893"/>
      </bottom>
      <diagonal/>
    </border>
    <border>
      <left style="medium">
        <color rgb="FF000000"/>
      </left>
      <right style="medium">
        <color rgb="FF000000"/>
      </right>
      <top/>
      <bottom style="thin">
        <color indexed="64"/>
      </bottom>
      <diagonal/>
    </border>
    <border>
      <left style="thin">
        <color indexed="64"/>
      </left>
      <right style="medium">
        <color indexed="64"/>
      </right>
      <top/>
      <bottom/>
      <diagonal/>
    </border>
    <border>
      <left style="medium">
        <color rgb="FF1F497D"/>
      </left>
      <right/>
      <top style="thin">
        <color theme="0" tint="-0.24994659260841701"/>
      </top>
      <bottom/>
      <diagonal/>
    </border>
    <border>
      <left style="thin">
        <color theme="0" tint="-0.249977111117893"/>
      </left>
      <right/>
      <top style="thin">
        <color theme="0" tint="-0.249977111117893"/>
      </top>
      <bottom/>
      <diagonal/>
    </border>
    <border>
      <left/>
      <right/>
      <top style="thin">
        <color theme="0" tint="-0.249977111117893"/>
      </top>
      <bottom/>
      <diagonal/>
    </border>
    <border>
      <left style="medium">
        <color rgb="FF1F497D"/>
      </left>
      <right style="thin">
        <color theme="0" tint="-0.249977111117893"/>
      </right>
      <top style="medium">
        <color rgb="FF1F497D"/>
      </top>
      <bottom style="thin">
        <color theme="0" tint="-0.249977111117893"/>
      </bottom>
      <diagonal/>
    </border>
    <border>
      <left style="thin">
        <color theme="0" tint="-0.249977111117893"/>
      </left>
      <right style="thin">
        <color theme="0" tint="-0.249977111117893"/>
      </right>
      <top style="medium">
        <color rgb="FF1F497D"/>
      </top>
      <bottom style="thin">
        <color theme="0" tint="-0.249977111117893"/>
      </bottom>
      <diagonal/>
    </border>
    <border>
      <left style="thin">
        <color theme="0" tint="-0.14999847407452621"/>
      </left>
      <right style="thin">
        <color theme="0" tint="-0.14999847407452621"/>
      </right>
      <top style="medium">
        <color rgb="FF1F497D"/>
      </top>
      <bottom/>
      <diagonal/>
    </border>
    <border>
      <left style="thin">
        <color theme="0" tint="-0.249977111117893"/>
      </left>
      <right/>
      <top style="medium">
        <color rgb="FF1F497D"/>
      </top>
      <bottom/>
      <diagonal/>
    </border>
    <border>
      <left/>
      <right style="thin">
        <color theme="0" tint="-0.249977111117893"/>
      </right>
      <top style="medium">
        <color rgb="FF1F497D"/>
      </top>
      <bottom/>
      <diagonal/>
    </border>
    <border>
      <left style="thin">
        <color theme="0" tint="-0.249977111117893"/>
      </left>
      <right style="thin">
        <color theme="0" tint="-0.249977111117893"/>
      </right>
      <top style="medium">
        <color rgb="FF1F497D"/>
      </top>
      <bottom/>
      <diagonal/>
    </border>
    <border>
      <left style="thin">
        <color theme="0" tint="-0.249977111117893"/>
      </left>
      <right style="medium">
        <color rgb="FF1F497D"/>
      </right>
      <top style="medium">
        <color rgb="FF1F497D"/>
      </top>
      <bottom/>
      <diagonal/>
    </border>
    <border>
      <left style="medium">
        <color rgb="FF1F497D"/>
      </left>
      <right style="thin">
        <color theme="0" tint="-0.249977111117893"/>
      </right>
      <top style="thin">
        <color theme="0" tint="-0.249977111117893"/>
      </top>
      <bottom style="thin">
        <color theme="0" tint="-0.249977111117893"/>
      </bottom>
      <diagonal/>
    </border>
    <border>
      <left style="thin">
        <color theme="0" tint="-0.249977111117893"/>
      </left>
      <right style="medium">
        <color rgb="FF1F497D"/>
      </right>
      <top/>
      <bottom style="thin">
        <color theme="0" tint="-0.249977111117893"/>
      </bottom>
      <diagonal/>
    </border>
    <border>
      <left/>
      <right style="medium">
        <color rgb="FF1F497D"/>
      </right>
      <top style="thin">
        <color theme="0" tint="-0.249977111117893"/>
      </top>
      <bottom/>
      <diagonal/>
    </border>
    <border>
      <left/>
      <right style="medium">
        <color rgb="FF1F497D"/>
      </right>
      <top/>
      <bottom style="thin">
        <color theme="0" tint="-0.249977111117893"/>
      </bottom>
      <diagonal/>
    </border>
    <border>
      <left style="thin">
        <color theme="0" tint="-0.249977111117893"/>
      </left>
      <right style="medium">
        <color rgb="FF1F497D"/>
      </right>
      <top style="thin">
        <color theme="0" tint="-0.249977111117893"/>
      </top>
      <bottom style="thin">
        <color theme="0" tint="-0.249977111117893"/>
      </bottom>
      <diagonal/>
    </border>
    <border>
      <left style="medium">
        <color rgb="FF1F497D"/>
      </left>
      <right/>
      <top style="medium">
        <color rgb="FF000000"/>
      </top>
      <bottom style="medium">
        <color rgb="FF000000"/>
      </bottom>
      <diagonal/>
    </border>
    <border>
      <left/>
      <right style="medium">
        <color rgb="FF1F497D"/>
      </right>
      <top style="medium">
        <color rgb="FF000000"/>
      </top>
      <bottom/>
      <diagonal/>
    </border>
    <border>
      <left style="medium">
        <color rgb="FF1F497D"/>
      </left>
      <right/>
      <top style="medium">
        <color rgb="FF000000"/>
      </top>
      <bottom/>
      <diagonal/>
    </border>
    <border>
      <left/>
      <right style="medium">
        <color rgb="FF1F497D"/>
      </right>
      <top/>
      <bottom style="medium">
        <color rgb="FF000000"/>
      </bottom>
      <diagonal/>
    </border>
    <border>
      <left style="medium">
        <color rgb="FF000000"/>
      </left>
      <right style="medium">
        <color rgb="FF1F497D"/>
      </right>
      <top style="medium">
        <color rgb="FF000000"/>
      </top>
      <bottom/>
      <diagonal/>
    </border>
    <border>
      <left style="medium">
        <color rgb="FF000000"/>
      </left>
      <right style="medium">
        <color rgb="FF1F497D"/>
      </right>
      <top/>
      <bottom style="medium">
        <color rgb="FF000000"/>
      </bottom>
      <diagonal/>
    </border>
    <border>
      <left style="medium">
        <color rgb="FF000000"/>
      </left>
      <right style="medium">
        <color rgb="FF1F497D"/>
      </right>
      <top/>
      <bottom/>
      <diagonal/>
    </border>
    <border>
      <left style="medium">
        <color rgb="FF1F497D"/>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1F497D"/>
      </right>
      <top style="thin">
        <color theme="0" tint="-0.24994659260841701"/>
      </top>
      <bottom style="thin">
        <color theme="0" tint="-0.24994659260841701"/>
      </bottom>
      <diagonal/>
    </border>
    <border>
      <left/>
      <right style="medium">
        <color rgb="FF1F497D"/>
      </right>
      <top style="thin">
        <color theme="0" tint="-0.24994659260841701"/>
      </top>
      <bottom/>
      <diagonal/>
    </border>
    <border>
      <left style="medium">
        <color rgb="FF1F497D"/>
      </left>
      <right style="thin">
        <color indexed="64"/>
      </right>
      <top style="thin">
        <color indexed="64"/>
      </top>
      <bottom style="thin">
        <color indexed="64"/>
      </bottom>
      <diagonal/>
    </border>
    <border>
      <left style="medium">
        <color rgb="FF1F497D"/>
      </left>
      <right style="thin">
        <color indexed="64"/>
      </right>
      <top style="thin">
        <color indexed="64"/>
      </top>
      <bottom style="medium">
        <color rgb="FF1F497D"/>
      </bottom>
      <diagonal/>
    </border>
    <border>
      <left style="thin">
        <color indexed="64"/>
      </left>
      <right style="thin">
        <color indexed="64"/>
      </right>
      <top style="thin">
        <color indexed="64"/>
      </top>
      <bottom style="medium">
        <color rgb="FF1F497D"/>
      </bottom>
      <diagonal/>
    </border>
    <border>
      <left style="thin">
        <color theme="0" tint="-0.249977111117893"/>
      </left>
      <right/>
      <top style="thin">
        <color rgb="FFBCBCBC"/>
      </top>
      <bottom style="thin">
        <color rgb="FFBCBCBC"/>
      </bottom>
      <diagonal/>
    </border>
    <border>
      <left/>
      <right/>
      <top style="thin">
        <color rgb="FFBCBCBC"/>
      </top>
      <bottom style="thin">
        <color rgb="FFBCBCBC"/>
      </bottom>
      <diagonal/>
    </border>
    <border>
      <left/>
      <right style="medium">
        <color rgb="FF1F497D"/>
      </right>
      <top style="thin">
        <color rgb="FFBCBCBC"/>
      </top>
      <bottom style="thin">
        <color rgb="FFBCBCBC"/>
      </bottom>
      <diagonal/>
    </border>
    <border>
      <left/>
      <right/>
      <top style="medium">
        <color rgb="FFE5EBF4"/>
      </top>
      <bottom/>
      <diagonal/>
    </border>
    <border>
      <left/>
      <right style="thin">
        <color indexed="64"/>
      </right>
      <top style="thin">
        <color rgb="FF1F497D"/>
      </top>
      <bottom style="thin">
        <color rgb="FF1F497D"/>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0" tint="-0.24994659260841701"/>
      </right>
      <top style="medium">
        <color rgb="FF000000"/>
      </top>
      <bottom style="medium">
        <color theme="1"/>
      </bottom>
      <diagonal/>
    </border>
    <border>
      <left style="thin">
        <color theme="0" tint="-0.24994659260841701"/>
      </left>
      <right style="thin">
        <color theme="0" tint="-0.24994659260841701"/>
      </right>
      <top style="medium">
        <color rgb="FF000000"/>
      </top>
      <bottom style="medium">
        <color theme="1"/>
      </bottom>
      <diagonal/>
    </border>
    <border>
      <left style="thin">
        <color theme="0" tint="-0.24994659260841701"/>
      </left>
      <right style="medium">
        <color rgb="FF000000"/>
      </right>
      <top style="medium">
        <color rgb="FF000000"/>
      </top>
      <bottom style="medium">
        <color theme="1"/>
      </bottom>
      <diagonal/>
    </border>
    <border>
      <left style="thin">
        <color theme="0" tint="-0.24994659260841701"/>
      </left>
      <right style="thin">
        <color theme="0" tint="-0.24994659260841701"/>
      </right>
      <top style="medium">
        <color theme="1"/>
      </top>
      <bottom style="medium">
        <color theme="1"/>
      </bottom>
      <diagonal/>
    </border>
    <border>
      <left style="thin">
        <color theme="0" tint="-0.24994659260841701"/>
      </left>
      <right style="medium">
        <color rgb="FF000000"/>
      </right>
      <top style="medium">
        <color theme="1"/>
      </top>
      <bottom style="medium">
        <color theme="1"/>
      </bottom>
      <diagonal/>
    </border>
    <border>
      <left/>
      <right style="thin">
        <color theme="0" tint="-0.24994659260841701"/>
      </right>
      <top style="medium">
        <color theme="1"/>
      </top>
      <bottom style="medium">
        <color theme="1"/>
      </bottom>
      <diagonal/>
    </border>
    <border>
      <left style="medium">
        <color rgb="FF1F497D"/>
      </left>
      <right style="medium">
        <color theme="1"/>
      </right>
      <top style="medium">
        <color rgb="FF000000"/>
      </top>
      <bottom/>
      <diagonal/>
    </border>
    <border>
      <left/>
      <right style="medium">
        <color theme="1"/>
      </right>
      <top style="medium">
        <color theme="1"/>
      </top>
      <bottom style="medium">
        <color theme="1"/>
      </bottom>
      <diagonal/>
    </border>
    <border>
      <left style="thin">
        <color rgb="FF000000"/>
      </left>
      <right style="thin">
        <color rgb="FF000000"/>
      </right>
      <top style="thin">
        <color indexed="64"/>
      </top>
      <bottom style="thin">
        <color rgb="FF000000"/>
      </bottom>
      <diagonal/>
    </border>
    <border>
      <left style="medium">
        <color rgb="FF1F497D"/>
      </left>
      <right style="thin">
        <color rgb="FF1F497D"/>
      </right>
      <top style="thin">
        <color rgb="FF1F497D"/>
      </top>
      <bottom/>
      <diagonal/>
    </border>
    <border>
      <left style="medium">
        <color rgb="FF1F497D"/>
      </left>
      <right style="thin">
        <color rgb="FF1F497D"/>
      </right>
      <top/>
      <bottom style="thin">
        <color rgb="FF1F497D"/>
      </bottom>
      <diagonal/>
    </border>
    <border>
      <left/>
      <right/>
      <top style="thin">
        <color rgb="FF000000"/>
      </top>
      <bottom style="thin">
        <color theme="4" tint="-0.499984740745262"/>
      </bottom>
      <diagonal/>
    </border>
    <border>
      <left style="medium">
        <color indexed="64"/>
      </left>
      <right/>
      <top style="thin">
        <color indexed="64"/>
      </top>
      <bottom style="thin">
        <color indexed="64"/>
      </bottom>
      <diagonal/>
    </border>
    <border>
      <left/>
      <right style="medium">
        <color rgb="FFCCCCCC"/>
      </right>
      <top style="medium">
        <color rgb="FFE5EBF4"/>
      </top>
      <bottom/>
      <diagonal/>
    </border>
    <border>
      <left style="medium">
        <color rgb="FF1F497D"/>
      </left>
      <right style="thin">
        <color rgb="FF1F497D"/>
      </right>
      <top/>
      <bottom style="medium">
        <color rgb="FF1F497D"/>
      </bottom>
      <diagonal/>
    </border>
    <border>
      <left style="thin">
        <color rgb="FF1F497D"/>
      </left>
      <right/>
      <top style="thin">
        <color rgb="FF1F497D"/>
      </top>
      <bottom/>
      <diagonal/>
    </border>
    <border>
      <left/>
      <right style="medium">
        <color rgb="FF1F497D"/>
      </right>
      <top style="thin">
        <color rgb="FF1F497D"/>
      </top>
      <bottom/>
      <diagonal/>
    </border>
    <border>
      <left style="thin">
        <color rgb="FF1F497D"/>
      </left>
      <right/>
      <top/>
      <bottom style="thin">
        <color rgb="FF1F497D"/>
      </bottom>
      <diagonal/>
    </border>
    <border>
      <left/>
      <right style="medium">
        <color rgb="FF1F497D"/>
      </right>
      <top/>
      <bottom style="thin">
        <color rgb="FF1F497D"/>
      </bottom>
      <diagonal/>
    </border>
    <border>
      <left style="thin">
        <color rgb="FF1F497D"/>
      </left>
      <right/>
      <top/>
      <bottom style="medium">
        <color rgb="FF1F497D"/>
      </bottom>
      <diagonal/>
    </border>
    <border>
      <left style="thin">
        <color indexed="64"/>
      </left>
      <right style="thin">
        <color rgb="FF000000"/>
      </right>
      <top/>
      <bottom/>
      <diagonal/>
    </border>
    <border>
      <left style="medium">
        <color rgb="FF000000"/>
      </left>
      <right style="medium">
        <color rgb="FF000000"/>
      </right>
      <top/>
      <bottom style="medium">
        <color rgb="FF000000"/>
      </bottom>
      <diagonal/>
    </border>
    <border>
      <left style="medium">
        <color theme="1" tint="0.24994659260841701"/>
      </left>
      <right style="medium">
        <color theme="1" tint="0.24994659260841701"/>
      </right>
      <top/>
      <bottom style="medium">
        <color theme="1" tint="0.24994659260841701"/>
      </bottom>
      <diagonal/>
    </border>
    <border>
      <left/>
      <right/>
      <top style="medium">
        <color theme="1" tint="0.24994659260841701"/>
      </top>
      <bottom/>
      <diagonal/>
    </border>
    <border>
      <left/>
      <right/>
      <top/>
      <bottom style="medium">
        <color theme="1" tint="0.24994659260841701"/>
      </bottom>
      <diagonal/>
    </border>
    <border>
      <left style="thin">
        <color indexed="64"/>
      </left>
      <right style="thin">
        <color indexed="64"/>
      </right>
      <top style="thin">
        <color rgb="FF1F497D"/>
      </top>
      <bottom style="thin">
        <color rgb="FF1F497D"/>
      </bottom>
      <diagonal/>
    </border>
    <border>
      <left style="medium">
        <color rgb="FF1F497D"/>
      </left>
      <right/>
      <top style="thin">
        <color theme="0" tint="-0.249977111117893"/>
      </top>
      <bottom style="thin">
        <color theme="0" tint="-0.249977111117893"/>
      </bottom>
      <diagonal/>
    </border>
    <border>
      <left style="medium">
        <color rgb="FF1F497D"/>
      </left>
      <right/>
      <top style="thin">
        <color theme="0" tint="-0.249977111117893"/>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medium">
        <color rgb="FF1F497D"/>
      </left>
      <right/>
      <top/>
      <bottom style="thin">
        <color theme="0" tint="-0.249977111117893"/>
      </bottom>
      <diagonal/>
    </border>
    <border>
      <left style="thin">
        <color rgb="FF1F497D"/>
      </left>
      <right style="thin">
        <color rgb="FF1F497D"/>
      </right>
      <top/>
      <bottom/>
      <diagonal/>
    </border>
    <border>
      <left style="thin">
        <color indexed="64"/>
      </left>
      <right/>
      <top style="thin">
        <color indexed="64"/>
      </top>
      <bottom style="medium">
        <color rgb="FF1F497D"/>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theme="3"/>
      </left>
      <right style="medium">
        <color theme="3"/>
      </right>
      <top/>
      <bottom style="medium">
        <color theme="3"/>
      </bottom>
      <diagonal/>
    </border>
    <border>
      <left style="medium">
        <color rgb="FF1F497D"/>
      </left>
      <right style="medium">
        <color theme="3"/>
      </right>
      <top style="medium">
        <color rgb="FF1F497D"/>
      </top>
      <bottom style="medium">
        <color rgb="FF1F497D"/>
      </bottom>
      <diagonal/>
    </border>
    <border>
      <left/>
      <right style="medium">
        <color theme="3"/>
      </right>
      <top style="medium">
        <color theme="3"/>
      </top>
      <bottom style="medium">
        <color theme="3"/>
      </bottom>
      <diagonal/>
    </border>
    <border>
      <left style="medium">
        <color rgb="FF1F497D"/>
      </left>
      <right style="medium">
        <color theme="3"/>
      </right>
      <top style="thin">
        <color theme="0" tint="-0.499984740745262"/>
      </top>
      <bottom style="medium">
        <color rgb="FF1F497D"/>
      </bottom>
      <diagonal/>
    </border>
    <border>
      <left style="medium">
        <color theme="3"/>
      </left>
      <right style="medium">
        <color theme="3"/>
      </right>
      <top style="thin">
        <color theme="0" tint="-0.499984740745262"/>
      </top>
      <bottom style="medium">
        <color rgb="FF1F497D"/>
      </bottom>
      <diagonal/>
    </border>
    <border>
      <left/>
      <right style="medium">
        <color rgb="FF1F497D"/>
      </right>
      <top style="thin">
        <color theme="0" tint="-0.499984740745262"/>
      </top>
      <bottom style="medium">
        <color theme="3"/>
      </bottom>
      <diagonal/>
    </border>
    <border>
      <left style="medium">
        <color indexed="64"/>
      </left>
      <right style="medium">
        <color indexed="64"/>
      </right>
      <top style="medium">
        <color indexed="64"/>
      </top>
      <bottom style="medium">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right/>
      <top style="medium">
        <color indexed="64"/>
      </top>
      <bottom style="thin">
        <color indexed="64"/>
      </bottom>
      <diagonal/>
    </border>
    <border>
      <left style="medium">
        <color indexed="64"/>
      </left>
      <right style="thin">
        <color indexed="64"/>
      </right>
      <top/>
      <bottom/>
      <diagonal/>
    </border>
    <border>
      <left style="thin">
        <color theme="0" tint="-0.24994659260841701"/>
      </left>
      <right style="medium">
        <color rgb="FF1F497D"/>
      </right>
      <top style="thin">
        <color theme="0" tint="-0.24994659260841701"/>
      </top>
      <bottom/>
      <diagonal/>
    </border>
    <border>
      <left style="medium">
        <color rgb="FF1F497D"/>
      </left>
      <right style="thin">
        <color theme="0" tint="-0.24994659260841701"/>
      </right>
      <top style="medium">
        <color rgb="FF1F497D"/>
      </top>
      <bottom style="thin">
        <color theme="0" tint="-0.24994659260841701"/>
      </bottom>
      <diagonal/>
    </border>
    <border>
      <left style="thin">
        <color theme="0" tint="-0.24994659260841701"/>
      </left>
      <right style="thin">
        <color theme="0" tint="-0.24994659260841701"/>
      </right>
      <top style="medium">
        <color rgb="FF1F497D"/>
      </top>
      <bottom style="thin">
        <color theme="0" tint="-0.24994659260841701"/>
      </bottom>
      <diagonal/>
    </border>
    <border>
      <left style="thin">
        <color theme="0" tint="-0.24994659260841701"/>
      </left>
      <right style="medium">
        <color rgb="FF1F497D"/>
      </right>
      <top style="medium">
        <color rgb="FF1F497D"/>
      </top>
      <bottom style="thin">
        <color theme="0" tint="-0.24994659260841701"/>
      </bottom>
      <diagonal/>
    </border>
    <border>
      <left style="thin">
        <color indexed="64"/>
      </left>
      <right style="thin">
        <color rgb="FF000000"/>
      </right>
      <top style="medium">
        <color indexed="64"/>
      </top>
      <bottom style="thin">
        <color rgb="FF000000"/>
      </bottom>
      <diagonal/>
    </border>
    <border>
      <left style="thin">
        <color indexed="64"/>
      </left>
      <right style="thin">
        <color indexed="64"/>
      </right>
      <top/>
      <bottom style="medium">
        <color indexed="64"/>
      </bottom>
      <diagonal/>
    </border>
    <border>
      <left/>
      <right style="medium">
        <color rgb="FFCCCCCC"/>
      </right>
      <top style="medium">
        <color rgb="FFE5EBF4"/>
      </top>
      <bottom style="medium">
        <color rgb="FFE5EBF4"/>
      </bottom>
      <diagonal/>
    </border>
    <border>
      <left style="medium">
        <color rgb="FFFFFFFF"/>
      </left>
      <right style="medium">
        <color rgb="FFFFFFFF"/>
      </right>
      <top style="medium">
        <color rgb="FFFFFFFF"/>
      </top>
      <bottom/>
      <diagonal/>
    </border>
    <border>
      <left style="thin">
        <color auto="1"/>
      </left>
      <right/>
      <top style="thin">
        <color auto="1"/>
      </top>
      <bottom style="medium">
        <color rgb="FFE5EBF4"/>
      </bottom>
      <diagonal/>
    </border>
    <border>
      <left/>
      <right style="medium">
        <color rgb="FFCCCCCC"/>
      </right>
      <top style="thin">
        <color auto="1"/>
      </top>
      <bottom style="medium">
        <color rgb="FFE5EBF4"/>
      </bottom>
      <diagonal/>
    </border>
    <border>
      <left style="thin">
        <color auto="1"/>
      </left>
      <right/>
      <top style="medium">
        <color rgb="FFE5EBF4"/>
      </top>
      <bottom style="medium">
        <color rgb="FFE5EBF4"/>
      </bottom>
      <diagonal/>
    </border>
    <border>
      <left/>
      <right style="thin">
        <color auto="1"/>
      </right>
      <top style="medium">
        <color rgb="FFE5EBF4"/>
      </top>
      <bottom/>
      <diagonal/>
    </border>
    <border>
      <left style="thin">
        <color auto="1"/>
      </left>
      <right/>
      <top style="medium">
        <color rgb="FFE5EBF4"/>
      </top>
      <bottom style="thin">
        <color auto="1"/>
      </bottom>
      <diagonal/>
    </border>
    <border>
      <left/>
      <right style="medium">
        <color rgb="FFCCCCCC"/>
      </right>
      <top style="medium">
        <color rgb="FFE5EBF4"/>
      </top>
      <bottom style="thin">
        <color auto="1"/>
      </bottom>
      <diagonal/>
    </border>
    <border>
      <left/>
      <right/>
      <top style="medium">
        <color rgb="FFE5EBF4"/>
      </top>
      <bottom style="thin">
        <color auto="1"/>
      </bottom>
      <diagonal/>
    </border>
    <border>
      <left/>
      <right style="thin">
        <color auto="1"/>
      </right>
      <top style="medium">
        <color rgb="FFE5EBF4"/>
      </top>
      <bottom style="thin">
        <color auto="1"/>
      </bottom>
      <diagonal/>
    </border>
    <border>
      <left style="thin">
        <color indexed="64"/>
      </left>
      <right style="thin">
        <color indexed="64"/>
      </right>
      <top style="thin">
        <color indexed="64"/>
      </top>
      <bottom style="thin">
        <color theme="0"/>
      </bottom>
      <diagonal/>
    </border>
    <border>
      <left/>
      <right style="thin">
        <color indexed="64"/>
      </right>
      <top style="thin">
        <color indexed="64"/>
      </top>
      <bottom style="thin">
        <color theme="0"/>
      </bottom>
      <diagonal/>
    </border>
    <border>
      <left style="thin">
        <color indexed="64"/>
      </left>
      <right style="medium">
        <color indexed="64"/>
      </right>
      <top style="thin">
        <color indexed="64"/>
      </top>
      <bottom style="thin">
        <color theme="0"/>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s>
  <cellStyleXfs count="79">
    <xf numFmtId="0" fontId="0" fillId="0" borderId="0"/>
    <xf numFmtId="0" fontId="17" fillId="2" borderId="1" applyNumberFormat="0" applyProtection="0">
      <alignment horizontal="left" vertical="center" readingOrder="1"/>
    </xf>
    <xf numFmtId="0" fontId="18" fillId="2" borderId="2">
      <alignment horizontal="left"/>
    </xf>
    <xf numFmtId="0" fontId="18" fillId="2" borderId="3">
      <alignment horizontal="right"/>
    </xf>
    <xf numFmtId="0" fontId="18" fillId="2" borderId="3">
      <alignment horizontal="left"/>
    </xf>
    <xf numFmtId="3" fontId="19" fillId="3" borderId="4">
      <alignment horizontal="right"/>
    </xf>
    <xf numFmtId="183" fontId="12" fillId="3" borderId="4">
      <alignment horizontal="right"/>
    </xf>
    <xf numFmtId="4" fontId="12" fillId="3" borderId="4">
      <alignment horizontal="right"/>
    </xf>
    <xf numFmtId="0" fontId="21" fillId="4" borderId="5" applyNumberFormat="0" applyAlignment="0" applyProtection="0"/>
    <xf numFmtId="0" fontId="19" fillId="3" borderId="6"/>
    <xf numFmtId="0" fontId="20" fillId="3" borderId="6"/>
    <xf numFmtId="178" fontId="23" fillId="0" borderId="0" applyFont="0" applyFill="0" applyBorder="0" applyAlignment="0" applyProtection="0"/>
    <xf numFmtId="178" fontId="13" fillId="0" borderId="0" applyFont="0" applyFill="0" applyBorder="0" applyAlignment="0" applyProtection="0"/>
    <xf numFmtId="0" fontId="25" fillId="0" borderId="0"/>
    <xf numFmtId="0" fontId="13" fillId="0" borderId="0"/>
    <xf numFmtId="9" fontId="9"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25" fillId="0" borderId="0" applyFont="0" applyFill="0" applyBorder="0" applyAlignment="0" applyProtection="0"/>
    <xf numFmtId="0" fontId="8" fillId="0" borderId="0"/>
    <xf numFmtId="0" fontId="8" fillId="0" borderId="0"/>
    <xf numFmtId="9" fontId="9" fillId="0" borderId="0" applyFont="0" applyFill="0" applyBorder="0" applyAlignment="0" applyProtection="0"/>
    <xf numFmtId="9" fontId="9" fillId="0" borderId="0" applyFont="0" applyFill="0" applyBorder="0" applyAlignment="0" applyProtection="0"/>
    <xf numFmtId="0" fontId="9" fillId="0" borderId="0"/>
    <xf numFmtId="9" fontId="9" fillId="0" borderId="0" applyFont="0" applyFill="0" applyBorder="0" applyAlignment="0" applyProtection="0"/>
    <xf numFmtId="0" fontId="9" fillId="0" borderId="0"/>
    <xf numFmtId="0" fontId="7" fillId="0" borderId="0"/>
    <xf numFmtId="9" fontId="7" fillId="0" borderId="0" applyFont="0" applyFill="0" applyBorder="0" applyAlignment="0" applyProtection="0"/>
    <xf numFmtId="0" fontId="6" fillId="0" borderId="0"/>
    <xf numFmtId="0" fontId="5" fillId="0" borderId="0"/>
    <xf numFmtId="9" fontId="5" fillId="0" borderId="0" applyFont="0" applyFill="0" applyBorder="0" applyAlignment="0" applyProtection="0"/>
    <xf numFmtId="9" fontId="4" fillId="0" borderId="0" applyFont="0" applyFill="0" applyBorder="0" applyAlignment="0" applyProtection="0"/>
    <xf numFmtId="0" fontId="3" fillId="0" borderId="0"/>
    <xf numFmtId="0" fontId="90" fillId="0" borderId="0" applyNumberFormat="0" applyFill="0" applyBorder="0" applyAlignment="0" applyProtection="0"/>
    <xf numFmtId="0" fontId="91" fillId="0" borderId="225" applyNumberFormat="0" applyFill="0" applyAlignment="0" applyProtection="0"/>
    <xf numFmtId="0" fontId="92" fillId="0" borderId="226" applyNumberFormat="0" applyFill="0" applyAlignment="0" applyProtection="0"/>
    <xf numFmtId="0" fontId="93" fillId="0" borderId="227" applyNumberFormat="0" applyFill="0" applyAlignment="0" applyProtection="0"/>
    <xf numFmtId="0" fontId="93" fillId="0" borderId="0" applyNumberFormat="0" applyFill="0" applyBorder="0" applyAlignment="0" applyProtection="0"/>
    <xf numFmtId="0" fontId="94" fillId="46" borderId="0" applyNumberFormat="0" applyBorder="0" applyAlignment="0" applyProtection="0"/>
    <xf numFmtId="0" fontId="95" fillId="47" borderId="0" applyNumberFormat="0" applyBorder="0" applyAlignment="0" applyProtection="0"/>
    <xf numFmtId="0" fontId="96" fillId="48" borderId="0" applyNumberFormat="0" applyBorder="0" applyAlignment="0" applyProtection="0"/>
    <xf numFmtId="0" fontId="97" fillId="49" borderId="228" applyNumberFormat="0" applyAlignment="0" applyProtection="0"/>
    <xf numFmtId="0" fontId="98" fillId="50" borderId="229" applyNumberFormat="0" applyAlignment="0" applyProtection="0"/>
    <xf numFmtId="0" fontId="99" fillId="50" borderId="228" applyNumberFormat="0" applyAlignment="0" applyProtection="0"/>
    <xf numFmtId="0" fontId="100" fillId="0" borderId="230" applyNumberFormat="0" applyFill="0" applyAlignment="0" applyProtection="0"/>
    <xf numFmtId="0" fontId="77" fillId="51" borderId="231" applyNumberFormat="0" applyAlignment="0" applyProtection="0"/>
    <xf numFmtId="0" fontId="101" fillId="0" borderId="0" applyNumberFormat="0" applyFill="0" applyBorder="0" applyAlignment="0" applyProtection="0"/>
    <xf numFmtId="0" fontId="102" fillId="0" borderId="0" applyNumberFormat="0" applyFill="0" applyBorder="0" applyAlignment="0" applyProtection="0"/>
    <xf numFmtId="0" fontId="63" fillId="0" borderId="233" applyNumberFormat="0" applyFill="0" applyAlignment="0" applyProtection="0"/>
    <xf numFmtId="0" fontId="103" fillId="53" borderId="0" applyNumberFormat="0" applyBorder="0" applyAlignment="0" applyProtection="0"/>
    <xf numFmtId="0" fontId="2" fillId="54" borderId="0" applyNumberFormat="0" applyBorder="0" applyAlignment="0" applyProtection="0"/>
    <xf numFmtId="0" fontId="2" fillId="55" borderId="0" applyNumberFormat="0" applyBorder="0" applyAlignment="0" applyProtection="0"/>
    <xf numFmtId="0" fontId="2" fillId="56" borderId="0" applyNumberFormat="0" applyBorder="0" applyAlignment="0" applyProtection="0"/>
    <xf numFmtId="0" fontId="103" fillId="57" borderId="0" applyNumberFormat="0" applyBorder="0" applyAlignment="0" applyProtection="0"/>
    <xf numFmtId="0" fontId="2" fillId="58" borderId="0" applyNumberFormat="0" applyBorder="0" applyAlignment="0" applyProtection="0"/>
    <xf numFmtId="0" fontId="2" fillId="59" borderId="0" applyNumberFormat="0" applyBorder="0" applyAlignment="0" applyProtection="0"/>
    <xf numFmtId="0" fontId="2" fillId="60" borderId="0" applyNumberFormat="0" applyBorder="0" applyAlignment="0" applyProtection="0"/>
    <xf numFmtId="0" fontId="103" fillId="61" borderId="0" applyNumberFormat="0" applyBorder="0" applyAlignment="0" applyProtection="0"/>
    <xf numFmtId="0" fontId="2" fillId="62" borderId="0" applyNumberFormat="0" applyBorder="0" applyAlignment="0" applyProtection="0"/>
    <xf numFmtId="0" fontId="2" fillId="63" borderId="0" applyNumberFormat="0" applyBorder="0" applyAlignment="0" applyProtection="0"/>
    <xf numFmtId="0" fontId="2" fillId="64" borderId="0" applyNumberFormat="0" applyBorder="0" applyAlignment="0" applyProtection="0"/>
    <xf numFmtId="0" fontId="103" fillId="65" borderId="0" applyNumberFormat="0" applyBorder="0" applyAlignment="0" applyProtection="0"/>
    <xf numFmtId="0" fontId="2" fillId="66" borderId="0" applyNumberFormat="0" applyBorder="0" applyAlignment="0" applyProtection="0"/>
    <xf numFmtId="0" fontId="2" fillId="67" borderId="0" applyNumberFormat="0" applyBorder="0" applyAlignment="0" applyProtection="0"/>
    <xf numFmtId="0" fontId="2" fillId="68" borderId="0" applyNumberFormat="0" applyBorder="0" applyAlignment="0" applyProtection="0"/>
    <xf numFmtId="0" fontId="103" fillId="69" borderId="0" applyNumberFormat="0" applyBorder="0" applyAlignment="0" applyProtection="0"/>
    <xf numFmtId="0" fontId="2" fillId="70" borderId="0" applyNumberFormat="0" applyBorder="0" applyAlignment="0" applyProtection="0"/>
    <xf numFmtId="0" fontId="2" fillId="71" borderId="0" applyNumberFormat="0" applyBorder="0" applyAlignment="0" applyProtection="0"/>
    <xf numFmtId="0" fontId="2" fillId="72" borderId="0" applyNumberFormat="0" applyBorder="0" applyAlignment="0" applyProtection="0"/>
    <xf numFmtId="0" fontId="103" fillId="73" borderId="0" applyNumberFormat="0" applyBorder="0" applyAlignment="0" applyProtection="0"/>
    <xf numFmtId="0" fontId="2" fillId="74" borderId="0" applyNumberFormat="0" applyBorder="0" applyAlignment="0" applyProtection="0"/>
    <xf numFmtId="0" fontId="2" fillId="75" borderId="0" applyNumberFormat="0" applyBorder="0" applyAlignment="0" applyProtection="0"/>
    <xf numFmtId="0" fontId="2" fillId="76" borderId="0" applyNumberFormat="0" applyBorder="0" applyAlignment="0" applyProtection="0"/>
    <xf numFmtId="0" fontId="2" fillId="0" borderId="0"/>
    <xf numFmtId="0" fontId="2" fillId="52" borderId="232" applyNumberFormat="0" applyFont="0" applyAlignment="0" applyProtection="0"/>
    <xf numFmtId="177" fontId="110" fillId="0" borderId="0" applyFont="0" applyFill="0" applyBorder="0" applyAlignment="0" applyProtection="0"/>
    <xf numFmtId="176" fontId="115" fillId="0" borderId="0" applyFont="0" applyFill="0" applyBorder="0" applyAlignment="0" applyProtection="0"/>
    <xf numFmtId="0" fontId="126" fillId="0" borderId="0"/>
    <xf numFmtId="0" fontId="127" fillId="0" borderId="0" applyNumberFormat="0" applyFill="0" applyBorder="0" applyAlignment="0" applyProtection="0"/>
  </cellStyleXfs>
  <cellXfs count="1518">
    <xf numFmtId="0" fontId="0" fillId="0" borderId="0" xfId="0"/>
    <xf numFmtId="9" fontId="0" fillId="0" borderId="0" xfId="15" applyFont="1" applyAlignment="1">
      <alignment horizontal="center"/>
    </xf>
    <xf numFmtId="0" fontId="0" fillId="0" borderId="0" xfId="0" applyAlignment="1">
      <alignment horizontal="center"/>
    </xf>
    <xf numFmtId="180" fontId="0" fillId="0" borderId="0" xfId="0" applyNumberFormat="1"/>
    <xf numFmtId="10" fontId="0" fillId="0" borderId="0" xfId="0" applyNumberFormat="1" applyAlignment="1">
      <alignment horizontal="center"/>
    </xf>
    <xf numFmtId="181" fontId="0" fillId="0" borderId="0" xfId="0" applyNumberFormat="1" applyAlignment="1">
      <alignment horizontal="center"/>
    </xf>
    <xf numFmtId="0" fontId="14" fillId="0" borderId="0" xfId="0" applyFont="1" applyAlignment="1">
      <alignment horizontal="center"/>
    </xf>
    <xf numFmtId="0" fontId="27" fillId="0" borderId="0" xfId="0" applyFont="1"/>
    <xf numFmtId="0" fontId="16" fillId="0" borderId="17" xfId="0" applyFont="1" applyBorder="1"/>
    <xf numFmtId="0" fontId="24" fillId="0" borderId="0" xfId="0" applyFont="1"/>
    <xf numFmtId="0" fontId="9" fillId="0" borderId="0" xfId="0" applyFont="1"/>
    <xf numFmtId="0" fontId="9" fillId="0" borderId="17" xfId="0" applyFont="1" applyBorder="1"/>
    <xf numFmtId="0" fontId="9" fillId="0" borderId="17" xfId="0" applyFont="1" applyBorder="1" applyAlignment="1">
      <alignment horizontal="left"/>
    </xf>
    <xf numFmtId="0" fontId="14" fillId="0" borderId="0" xfId="0" applyFont="1"/>
    <xf numFmtId="180" fontId="14" fillId="0" borderId="0" xfId="0" applyNumberFormat="1" applyFont="1" applyAlignment="1">
      <alignment horizontal="center"/>
    </xf>
    <xf numFmtId="9" fontId="9" fillId="8" borderId="17" xfId="15" applyFont="1" applyFill="1" applyBorder="1" applyAlignment="1">
      <alignment horizontal="center"/>
    </xf>
    <xf numFmtId="0" fontId="9" fillId="8" borderId="20" xfId="0" applyFont="1" applyFill="1" applyBorder="1" applyAlignment="1">
      <alignment horizontal="center" vertical="center"/>
    </xf>
    <xf numFmtId="0" fontId="27" fillId="8" borderId="0" xfId="0" applyFont="1" applyFill="1"/>
    <xf numFmtId="0" fontId="27" fillId="8" borderId="0" xfId="0" applyFont="1" applyFill="1" applyAlignment="1">
      <alignment horizontal="center"/>
    </xf>
    <xf numFmtId="0" fontId="36" fillId="0" borderId="0" xfId="0" applyFont="1"/>
    <xf numFmtId="0" fontId="36" fillId="12" borderId="0" xfId="0" applyFont="1" applyFill="1"/>
    <xf numFmtId="3" fontId="36" fillId="0" borderId="0" xfId="0" applyNumberFormat="1" applyFont="1" applyAlignment="1">
      <alignment horizontal="center"/>
    </xf>
    <xf numFmtId="0" fontId="36" fillId="0" borderId="0" xfId="0" applyFont="1" applyAlignment="1">
      <alignment horizontal="left"/>
    </xf>
    <xf numFmtId="0" fontId="36" fillId="19" borderId="0" xfId="0" applyFont="1" applyFill="1"/>
    <xf numFmtId="3" fontId="36" fillId="19" borderId="0" xfId="0" applyNumberFormat="1" applyFont="1" applyFill="1" applyAlignment="1">
      <alignment horizontal="center"/>
    </xf>
    <xf numFmtId="0" fontId="0" fillId="12" borderId="0" xfId="0" applyFill="1"/>
    <xf numFmtId="3" fontId="36" fillId="0" borderId="0" xfId="0" applyNumberFormat="1" applyFont="1"/>
    <xf numFmtId="3" fontId="37" fillId="19" borderId="0" xfId="0" applyNumberFormat="1" applyFont="1" applyFill="1" applyAlignment="1">
      <alignment horizontal="center"/>
    </xf>
    <xf numFmtId="3" fontId="36" fillId="12" borderId="0" xfId="0" applyNumberFormat="1" applyFont="1" applyFill="1" applyAlignment="1">
      <alignment horizontal="center"/>
    </xf>
    <xf numFmtId="3" fontId="37" fillId="12" borderId="0" xfId="0" applyNumberFormat="1" applyFont="1" applyFill="1" applyAlignment="1">
      <alignment horizontal="center"/>
    </xf>
    <xf numFmtId="0" fontId="20" fillId="3" borderId="6" xfId="10"/>
    <xf numFmtId="0" fontId="0" fillId="20" borderId="0" xfId="0" applyFill="1"/>
    <xf numFmtId="3" fontId="24" fillId="0" borderId="0" xfId="0" applyNumberFormat="1" applyFont="1" applyAlignment="1">
      <alignment horizontal="center"/>
    </xf>
    <xf numFmtId="3" fontId="24" fillId="0" borderId="0" xfId="0" applyNumberFormat="1" applyFont="1"/>
    <xf numFmtId="0" fontId="0" fillId="21" borderId="0" xfId="0" applyFill="1"/>
    <xf numFmtId="3" fontId="24" fillId="19" borderId="0" xfId="0" applyNumberFormat="1" applyFont="1" applyFill="1" applyAlignment="1">
      <alignment horizontal="center"/>
    </xf>
    <xf numFmtId="0" fontId="24" fillId="19" borderId="0" xfId="0" applyFont="1" applyFill="1"/>
    <xf numFmtId="0" fontId="0" fillId="22" borderId="0" xfId="0" applyFill="1"/>
    <xf numFmtId="183" fontId="36" fillId="0" borderId="0" xfId="0" applyNumberFormat="1" applyFont="1" applyAlignment="1">
      <alignment horizontal="center"/>
    </xf>
    <xf numFmtId="9" fontId="0" fillId="8" borderId="17" xfId="15" applyFont="1" applyFill="1" applyBorder="1" applyAlignment="1">
      <alignment horizontal="center"/>
    </xf>
    <xf numFmtId="0" fontId="39" fillId="0" borderId="0" xfId="0" applyFont="1"/>
    <xf numFmtId="0" fontId="40" fillId="0" borderId="0" xfId="0" applyFont="1"/>
    <xf numFmtId="0" fontId="41" fillId="0" borderId="0" xfId="0" applyFont="1" applyAlignment="1">
      <alignment horizontal="center"/>
    </xf>
    <xf numFmtId="182" fontId="40" fillId="0" borderId="0" xfId="0" applyNumberFormat="1" applyFont="1" applyAlignment="1">
      <alignment horizontal="center"/>
    </xf>
    <xf numFmtId="0" fontId="42" fillId="0" borderId="0" xfId="0" applyFont="1"/>
    <xf numFmtId="0" fontId="43" fillId="0" borderId="0" xfId="0" applyFont="1"/>
    <xf numFmtId="0" fontId="24" fillId="0" borderId="0" xfId="0" applyFont="1" applyAlignment="1">
      <alignment horizontal="center"/>
    </xf>
    <xf numFmtId="0" fontId="40" fillId="0" borderId="0" xfId="0" applyFont="1" applyAlignment="1">
      <alignment horizontal="center"/>
    </xf>
    <xf numFmtId="180" fontId="9" fillId="23" borderId="17" xfId="0" applyNumberFormat="1" applyFont="1" applyFill="1" applyBorder="1" applyAlignment="1">
      <alignment horizontal="center"/>
    </xf>
    <xf numFmtId="3" fontId="39" fillId="0" borderId="0" xfId="0" applyNumberFormat="1" applyFont="1"/>
    <xf numFmtId="0" fontId="41" fillId="17" borderId="0" xfId="0" applyFont="1" applyFill="1" applyAlignment="1">
      <alignment horizontal="center"/>
    </xf>
    <xf numFmtId="3" fontId="0" fillId="24" borderId="1" xfId="0" applyNumberFormat="1" applyFill="1" applyBorder="1" applyAlignment="1">
      <alignment horizontal="center"/>
    </xf>
    <xf numFmtId="3" fontId="0" fillId="24" borderId="37" xfId="0" applyNumberFormat="1" applyFill="1" applyBorder="1" applyAlignment="1">
      <alignment horizontal="center"/>
    </xf>
    <xf numFmtId="181" fontId="14" fillId="25" borderId="1" xfId="15" applyNumberFormat="1" applyFont="1" applyFill="1" applyBorder="1" applyAlignment="1">
      <alignment horizontal="center"/>
    </xf>
    <xf numFmtId="181" fontId="14" fillId="25" borderId="37" xfId="15" applyNumberFormat="1" applyFont="1" applyFill="1" applyBorder="1" applyAlignment="1">
      <alignment horizontal="center"/>
    </xf>
    <xf numFmtId="3" fontId="0" fillId="24" borderId="1" xfId="15" applyNumberFormat="1" applyFont="1" applyFill="1" applyBorder="1" applyAlignment="1">
      <alignment horizontal="center"/>
    </xf>
    <xf numFmtId="3" fontId="0" fillId="24" borderId="37" xfId="15" applyNumberFormat="1" applyFont="1" applyFill="1" applyBorder="1" applyAlignment="1">
      <alignment horizontal="center"/>
    </xf>
    <xf numFmtId="3" fontId="14" fillId="26" borderId="1" xfId="15" applyNumberFormat="1" applyFont="1" applyFill="1" applyBorder="1" applyAlignment="1">
      <alignment horizontal="center"/>
    </xf>
    <xf numFmtId="3" fontId="0" fillId="0" borderId="0" xfId="0" applyNumberFormat="1" applyAlignment="1">
      <alignment horizontal="center"/>
    </xf>
    <xf numFmtId="182" fontId="0" fillId="0" borderId="0" xfId="0" applyNumberFormat="1" applyAlignment="1">
      <alignment horizontal="center"/>
    </xf>
    <xf numFmtId="0" fontId="36" fillId="19" borderId="0" xfId="0" applyFont="1" applyFill="1" applyAlignment="1">
      <alignment horizontal="center"/>
    </xf>
    <xf numFmtId="9" fontId="36" fillId="0" borderId="0" xfId="21" applyFont="1" applyFill="1" applyAlignment="1">
      <alignment horizontal="center"/>
    </xf>
    <xf numFmtId="181" fontId="34" fillId="23" borderId="17" xfId="15" applyNumberFormat="1" applyFont="1" applyFill="1" applyBorder="1" applyAlignment="1">
      <alignment horizontal="center"/>
    </xf>
    <xf numFmtId="0" fontId="14" fillId="0" borderId="31" xfId="0" applyFont="1" applyBorder="1"/>
    <xf numFmtId="0" fontId="18" fillId="5" borderId="8" xfId="4" applyFill="1" applyBorder="1" applyAlignment="1"/>
    <xf numFmtId="0" fontId="9" fillId="0" borderId="0" xfId="25"/>
    <xf numFmtId="0" fontId="28" fillId="5" borderId="7" xfId="25" applyFont="1" applyFill="1" applyBorder="1" applyAlignment="1">
      <alignment horizontal="center"/>
    </xf>
    <xf numFmtId="0" fontId="28" fillId="5" borderId="11" xfId="25" applyFont="1" applyFill="1" applyBorder="1" applyAlignment="1">
      <alignment horizontal="center"/>
    </xf>
    <xf numFmtId="0" fontId="30" fillId="3" borderId="10" xfId="10" applyFont="1" applyBorder="1"/>
    <xf numFmtId="0" fontId="9" fillId="0" borderId="0" xfId="25" applyAlignment="1">
      <alignment vertical="center"/>
    </xf>
    <xf numFmtId="0" fontId="30" fillId="3" borderId="13" xfId="10" applyFont="1" applyBorder="1"/>
    <xf numFmtId="0" fontId="30" fillId="0" borderId="10" xfId="10" applyFont="1" applyFill="1" applyBorder="1"/>
    <xf numFmtId="0" fontId="21" fillId="0" borderId="0" xfId="8" applyFill="1" applyBorder="1"/>
    <xf numFmtId="9" fontId="9" fillId="0" borderId="0" xfId="27" applyFont="1"/>
    <xf numFmtId="0" fontId="31" fillId="0" borderId="0" xfId="78" applyFont="1" applyAlignment="1" applyProtection="1"/>
    <xf numFmtId="0" fontId="28" fillId="28" borderId="0" xfId="25" applyFont="1" applyFill="1" applyAlignment="1">
      <alignment horizontal="center" vertical="center"/>
    </xf>
    <xf numFmtId="0" fontId="29" fillId="0" borderId="9" xfId="9" applyFont="1" applyFill="1" applyBorder="1"/>
    <xf numFmtId="0" fontId="20" fillId="3" borderId="13" xfId="10" applyBorder="1"/>
    <xf numFmtId="0" fontId="20" fillId="3" borderId="10" xfId="10" applyBorder="1"/>
    <xf numFmtId="0" fontId="14" fillId="0" borderId="26" xfId="0" applyFont="1" applyBorder="1"/>
    <xf numFmtId="0" fontId="14" fillId="0" borderId="32" xfId="0" applyFont="1" applyBorder="1"/>
    <xf numFmtId="0" fontId="0" fillId="0" borderId="4" xfId="0" applyBorder="1"/>
    <xf numFmtId="0" fontId="0" fillId="0" borderId="6" xfId="0" applyBorder="1"/>
    <xf numFmtId="0" fontId="0" fillId="0" borderId="30" xfId="0" applyBorder="1"/>
    <xf numFmtId="0" fontId="0" fillId="0" borderId="2" xfId="0" applyBorder="1"/>
    <xf numFmtId="0" fontId="0" fillId="0" borderId="31" xfId="0" applyBorder="1"/>
    <xf numFmtId="0" fontId="0" fillId="0" borderId="26" xfId="0" applyBorder="1"/>
    <xf numFmtId="0" fontId="0" fillId="0" borderId="32" xfId="0" applyBorder="1"/>
    <xf numFmtId="0" fontId="14" fillId="0" borderId="36" xfId="0" applyFont="1" applyBorder="1"/>
    <xf numFmtId="0" fontId="14" fillId="0" borderId="1" xfId="0" applyFont="1" applyBorder="1"/>
    <xf numFmtId="0" fontId="14" fillId="0" borderId="37" xfId="0" applyFont="1" applyBorder="1"/>
    <xf numFmtId="0" fontId="0" fillId="8" borderId="0" xfId="0" applyFill="1"/>
    <xf numFmtId="0" fontId="36" fillId="19" borderId="0" xfId="0" applyFont="1" applyFill="1" applyAlignment="1">
      <alignment horizontal="left" indent="1"/>
    </xf>
    <xf numFmtId="183" fontId="36" fillId="19" borderId="0" xfId="0" applyNumberFormat="1" applyFont="1" applyFill="1" applyAlignment="1">
      <alignment horizontal="left" indent="1"/>
    </xf>
    <xf numFmtId="0" fontId="36" fillId="29" borderId="0" xfId="0" applyFont="1" applyFill="1" applyAlignment="1">
      <alignment horizontal="left" indent="1"/>
    </xf>
    <xf numFmtId="0" fontId="24" fillId="0" borderId="0" xfId="0" applyFont="1" applyAlignment="1">
      <alignment horizontal="left"/>
    </xf>
    <xf numFmtId="0" fontId="28" fillId="31" borderId="22" xfId="0" applyFont="1" applyFill="1" applyBorder="1" applyAlignment="1">
      <alignment horizontal="center"/>
    </xf>
    <xf numFmtId="0" fontId="28" fillId="31" borderId="19" xfId="0" applyFont="1" applyFill="1" applyBorder="1" applyAlignment="1">
      <alignment horizontal="center"/>
    </xf>
    <xf numFmtId="9" fontId="34" fillId="8" borderId="44" xfId="15" applyFont="1" applyFill="1" applyBorder="1" applyAlignment="1">
      <alignment horizontal="center"/>
    </xf>
    <xf numFmtId="9" fontId="9" fillId="8" borderId="44" xfId="15" applyFont="1" applyFill="1" applyBorder="1" applyAlignment="1">
      <alignment horizontal="center"/>
    </xf>
    <xf numFmtId="0" fontId="14" fillId="0" borderId="44" xfId="0" applyFont="1" applyBorder="1" applyAlignment="1">
      <alignment horizontal="center"/>
    </xf>
    <xf numFmtId="181" fontId="34" fillId="23" borderId="44" xfId="15" applyNumberFormat="1" applyFont="1" applyFill="1" applyBorder="1" applyAlignment="1">
      <alignment horizontal="center"/>
    </xf>
    <xf numFmtId="0" fontId="28" fillId="31" borderId="17" xfId="0" applyFont="1" applyFill="1" applyBorder="1" applyAlignment="1">
      <alignment horizontal="center" vertical="center" wrapText="1"/>
    </xf>
    <xf numFmtId="0" fontId="28" fillId="31" borderId="17" xfId="0" applyFont="1" applyFill="1" applyBorder="1" applyAlignment="1">
      <alignment horizontal="center"/>
    </xf>
    <xf numFmtId="0" fontId="28" fillId="31" borderId="44" xfId="0" applyFont="1" applyFill="1" applyBorder="1" applyAlignment="1">
      <alignment horizontal="center"/>
    </xf>
    <xf numFmtId="3" fontId="9" fillId="0" borderId="0" xfId="0" applyNumberFormat="1" applyFont="1"/>
    <xf numFmtId="0" fontId="9" fillId="17" borderId="36" xfId="0" applyFont="1" applyFill="1" applyBorder="1"/>
    <xf numFmtId="0" fontId="9" fillId="0" borderId="36" xfId="0" applyFont="1" applyBorder="1" applyAlignment="1">
      <alignment horizontal="left" indent="1"/>
    </xf>
    <xf numFmtId="0" fontId="9" fillId="0" borderId="36" xfId="0" applyFont="1" applyBorder="1" applyAlignment="1">
      <alignment horizontal="left"/>
    </xf>
    <xf numFmtId="0" fontId="9" fillId="17" borderId="36" xfId="0" applyFont="1" applyFill="1" applyBorder="1" applyAlignment="1">
      <alignment horizontal="left" indent="1"/>
    </xf>
    <xf numFmtId="0" fontId="14" fillId="0" borderId="36" xfId="0" applyFont="1" applyBorder="1" applyAlignment="1">
      <alignment horizontal="left"/>
    </xf>
    <xf numFmtId="0" fontId="14" fillId="17" borderId="36" xfId="0" applyFont="1" applyFill="1" applyBorder="1"/>
    <xf numFmtId="0" fontId="9" fillId="0" borderId="36" xfId="0" applyFont="1" applyBorder="1"/>
    <xf numFmtId="9" fontId="9" fillId="23" borderId="17" xfId="15" applyFont="1" applyFill="1" applyBorder="1" applyAlignment="1">
      <alignment horizontal="center"/>
    </xf>
    <xf numFmtId="180" fontId="9" fillId="7" borderId="17" xfId="0" applyNumberFormat="1" applyFont="1" applyFill="1" applyBorder="1" applyAlignment="1">
      <alignment horizontal="center"/>
    </xf>
    <xf numFmtId="4" fontId="9" fillId="7" borderId="17" xfId="0" applyNumberFormat="1" applyFont="1" applyFill="1" applyBorder="1" applyAlignment="1">
      <alignment horizontal="center"/>
    </xf>
    <xf numFmtId="9" fontId="34" fillId="7" borderId="44" xfId="15" applyFont="1" applyFill="1" applyBorder="1" applyAlignment="1">
      <alignment horizontal="center"/>
    </xf>
    <xf numFmtId="0" fontId="9" fillId="7" borderId="17" xfId="0" applyFont="1" applyFill="1" applyBorder="1"/>
    <xf numFmtId="9" fontId="9" fillId="7" borderId="17" xfId="15" applyFont="1" applyFill="1" applyBorder="1" applyAlignment="1">
      <alignment horizontal="center"/>
    </xf>
    <xf numFmtId="181" fontId="9" fillId="7" borderId="17" xfId="15" applyNumberFormat="1" applyFont="1" applyFill="1" applyBorder="1" applyAlignment="1">
      <alignment horizontal="center"/>
    </xf>
    <xf numFmtId="9" fontId="9" fillId="7" borderId="17" xfId="15" applyFont="1" applyFill="1" applyBorder="1"/>
    <xf numFmtId="185" fontId="34" fillId="8" borderId="44" xfId="15" applyNumberFormat="1" applyFont="1" applyFill="1" applyBorder="1" applyAlignment="1">
      <alignment horizontal="center"/>
    </xf>
    <xf numFmtId="185" fontId="9" fillId="8" borderId="44" xfId="0" applyNumberFormat="1" applyFont="1" applyFill="1" applyBorder="1" applyAlignment="1">
      <alignment horizontal="center"/>
    </xf>
    <xf numFmtId="0" fontId="48" fillId="31" borderId="44" xfId="0" applyFont="1" applyFill="1" applyBorder="1" applyAlignment="1">
      <alignment horizontal="center"/>
    </xf>
    <xf numFmtId="0" fontId="49" fillId="31" borderId="44" xfId="0" applyFont="1" applyFill="1" applyBorder="1" applyAlignment="1">
      <alignment horizontal="center"/>
    </xf>
    <xf numFmtId="180" fontId="14" fillId="23" borderId="17" xfId="0" applyNumberFormat="1" applyFont="1" applyFill="1" applyBorder="1" applyAlignment="1">
      <alignment horizontal="center"/>
    </xf>
    <xf numFmtId="0" fontId="14" fillId="14" borderId="12" xfId="0" applyFont="1" applyFill="1" applyBorder="1" applyAlignment="1">
      <alignment horizontal="center"/>
    </xf>
    <xf numFmtId="0" fontId="0" fillId="0" borderId="42" xfId="0" applyBorder="1"/>
    <xf numFmtId="0" fontId="0" fillId="0" borderId="55" xfId="0" applyBorder="1"/>
    <xf numFmtId="0" fontId="14" fillId="0" borderId="72" xfId="0" applyFont="1" applyBorder="1" applyAlignment="1">
      <alignment horizontal="left"/>
    </xf>
    <xf numFmtId="0" fontId="14" fillId="0" borderId="72" xfId="0" applyFont="1" applyBorder="1" applyAlignment="1">
      <alignment horizontal="center"/>
    </xf>
    <xf numFmtId="9" fontId="0" fillId="0" borderId="51" xfId="0" applyNumberFormat="1" applyBorder="1"/>
    <xf numFmtId="0" fontId="0" fillId="32" borderId="73" xfId="0" applyFill="1" applyBorder="1"/>
    <xf numFmtId="0" fontId="0" fillId="32" borderId="74" xfId="0" applyFill="1" applyBorder="1"/>
    <xf numFmtId="10" fontId="0" fillId="32" borderId="74" xfId="0" applyNumberFormat="1" applyFill="1" applyBorder="1"/>
    <xf numFmtId="10" fontId="0" fillId="32" borderId="75" xfId="0" applyNumberFormat="1" applyFill="1" applyBorder="1"/>
    <xf numFmtId="9" fontId="0" fillId="0" borderId="76" xfId="15" applyFont="1" applyBorder="1"/>
    <xf numFmtId="0" fontId="14" fillId="0" borderId="76" xfId="0" applyFont="1" applyBorder="1"/>
    <xf numFmtId="0" fontId="14" fillId="14" borderId="50" xfId="0" applyFont="1" applyFill="1" applyBorder="1" applyAlignment="1">
      <alignment horizontal="center"/>
    </xf>
    <xf numFmtId="9" fontId="14" fillId="14" borderId="50" xfId="15" applyFont="1" applyFill="1" applyBorder="1" applyAlignment="1">
      <alignment horizontal="center"/>
    </xf>
    <xf numFmtId="0" fontId="14" fillId="0" borderId="50" xfId="0" applyFont="1" applyBorder="1" applyAlignment="1">
      <alignment horizontal="center"/>
    </xf>
    <xf numFmtId="0" fontId="0" fillId="0" borderId="52" xfId="0" applyBorder="1"/>
    <xf numFmtId="0" fontId="0" fillId="0" borderId="53" xfId="0" applyBorder="1"/>
    <xf numFmtId="0" fontId="0" fillId="0" borderId="54" xfId="0" applyBorder="1"/>
    <xf numFmtId="0" fontId="0" fillId="0" borderId="43" xfId="0" applyBorder="1"/>
    <xf numFmtId="0" fontId="0" fillId="0" borderId="59" xfId="0" applyBorder="1"/>
    <xf numFmtId="0" fontId="0" fillId="0" borderId="60" xfId="0" applyBorder="1"/>
    <xf numFmtId="9" fontId="0" fillId="0" borderId="0" xfId="0" applyNumberFormat="1"/>
    <xf numFmtId="0" fontId="14" fillId="14" borderId="75" xfId="0" applyFont="1" applyFill="1" applyBorder="1" applyAlignment="1">
      <alignment horizontal="center"/>
    </xf>
    <xf numFmtId="0" fontId="0" fillId="32" borderId="56" xfId="0" applyFill="1" applyBorder="1"/>
    <xf numFmtId="0" fontId="0" fillId="32" borderId="58" xfId="0" applyFill="1" applyBorder="1"/>
    <xf numFmtId="0" fontId="14" fillId="0" borderId="56" xfId="0" applyFont="1" applyBorder="1" applyAlignment="1">
      <alignment horizontal="center"/>
    </xf>
    <xf numFmtId="0" fontId="0" fillId="30" borderId="57" xfId="0" applyFill="1" applyBorder="1"/>
    <xf numFmtId="0" fontId="28" fillId="30" borderId="57" xfId="0" applyFont="1" applyFill="1" applyBorder="1" applyAlignment="1">
      <alignment horizontal="left"/>
    </xf>
    <xf numFmtId="184" fontId="28" fillId="30" borderId="58" xfId="0" applyNumberFormat="1" applyFont="1" applyFill="1" applyBorder="1" applyAlignment="1">
      <alignment horizontal="center" vertical="center"/>
    </xf>
    <xf numFmtId="0" fontId="14" fillId="17" borderId="85" xfId="0" applyFont="1" applyFill="1" applyBorder="1"/>
    <xf numFmtId="0" fontId="14" fillId="17" borderId="87" xfId="0" applyFont="1" applyFill="1" applyBorder="1"/>
    <xf numFmtId="0" fontId="28" fillId="31" borderId="90" xfId="0" applyFont="1" applyFill="1" applyBorder="1" applyAlignment="1">
      <alignment horizontal="center"/>
    </xf>
    <xf numFmtId="0" fontId="0" fillId="31" borderId="91" xfId="0" applyFill="1" applyBorder="1"/>
    <xf numFmtId="0" fontId="28" fillId="31" borderId="85" xfId="0" applyFont="1" applyFill="1" applyBorder="1" applyAlignment="1">
      <alignment horizontal="center"/>
    </xf>
    <xf numFmtId="0" fontId="0" fillId="31" borderId="82" xfId="0" applyFill="1" applyBorder="1"/>
    <xf numFmtId="0" fontId="14" fillId="0" borderId="83" xfId="0" applyFont="1" applyBorder="1" applyAlignment="1">
      <alignment horizontal="left" vertical="center"/>
    </xf>
    <xf numFmtId="0" fontId="47" fillId="5" borderId="56" xfId="0" applyFont="1" applyFill="1" applyBorder="1" applyAlignment="1">
      <alignment horizontal="left" vertical="center"/>
    </xf>
    <xf numFmtId="0" fontId="47" fillId="30" borderId="56" xfId="0" applyFont="1" applyFill="1" applyBorder="1" applyAlignment="1">
      <alignment horizontal="left" vertical="center"/>
    </xf>
    <xf numFmtId="0" fontId="14" fillId="8" borderId="83" xfId="0" applyFont="1" applyFill="1" applyBorder="1" applyAlignment="1">
      <alignment horizontal="left" vertical="center"/>
    </xf>
    <xf numFmtId="0" fontId="0" fillId="30" borderId="57" xfId="0" applyFill="1" applyBorder="1" applyAlignment="1">
      <alignment horizontal="center"/>
    </xf>
    <xf numFmtId="0" fontId="50" fillId="5" borderId="49" xfId="0" applyFont="1" applyFill="1" applyBorder="1" applyAlignment="1">
      <alignment horizontal="center"/>
    </xf>
    <xf numFmtId="0" fontId="50" fillId="5" borderId="49" xfId="0" applyFont="1" applyFill="1" applyBorder="1"/>
    <xf numFmtId="0" fontId="30" fillId="0" borderId="10" xfId="25" applyFont="1" applyBorder="1" applyAlignment="1">
      <alignment horizontal="center"/>
    </xf>
    <xf numFmtId="0" fontId="30" fillId="0" borderId="15" xfId="25" applyFont="1" applyBorder="1" applyAlignment="1">
      <alignment horizontal="center"/>
    </xf>
    <xf numFmtId="0" fontId="30" fillId="0" borderId="10" xfId="25" applyFont="1" applyBorder="1" applyAlignment="1">
      <alignment horizontal="center" vertical="center"/>
    </xf>
    <xf numFmtId="0" fontId="30" fillId="0" borderId="15" xfId="25" applyFont="1" applyBorder="1" applyAlignment="1">
      <alignment horizontal="center" vertical="center"/>
    </xf>
    <xf numFmtId="0" fontId="30" fillId="0" borderId="14" xfId="25" applyFont="1" applyBorder="1" applyAlignment="1">
      <alignment horizontal="center"/>
    </xf>
    <xf numFmtId="0" fontId="30" fillId="0" borderId="16" xfId="25" applyFont="1" applyBorder="1" applyAlignment="1">
      <alignment horizontal="center"/>
    </xf>
    <xf numFmtId="0" fontId="51" fillId="5" borderId="94" xfId="4" applyFont="1" applyFill="1" applyBorder="1" applyAlignment="1">
      <alignment horizontal="center" vertical="center"/>
    </xf>
    <xf numFmtId="0" fontId="51" fillId="5" borderId="94" xfId="3" applyFont="1" applyFill="1" applyBorder="1" applyAlignment="1">
      <alignment horizontal="center" vertical="center" wrapText="1"/>
    </xf>
    <xf numFmtId="0" fontId="51" fillId="5" borderId="94" xfId="3" applyFont="1" applyFill="1" applyBorder="1" applyAlignment="1">
      <alignment horizontal="center" vertical="center"/>
    </xf>
    <xf numFmtId="0" fontId="9" fillId="3" borderId="94" xfId="10" applyFont="1" applyBorder="1" applyAlignment="1">
      <alignment horizontal="center" vertical="center"/>
    </xf>
    <xf numFmtId="183" fontId="9" fillId="8" borderId="94" xfId="6" applyFont="1" applyFill="1" applyBorder="1" applyAlignment="1">
      <alignment horizontal="right" vertical="center" wrapText="1"/>
    </xf>
    <xf numFmtId="0" fontId="30" fillId="3" borderId="94" xfId="10" applyFont="1" applyBorder="1" applyAlignment="1">
      <alignment vertical="center"/>
    </xf>
    <xf numFmtId="183" fontId="9" fillId="3" borderId="94" xfId="6" applyFont="1" applyBorder="1" applyAlignment="1">
      <alignment horizontal="right" vertical="center" wrapText="1"/>
    </xf>
    <xf numFmtId="0" fontId="30" fillId="3" borderId="94" xfId="10" applyFont="1" applyBorder="1" applyAlignment="1">
      <alignment horizontal="center" vertical="center"/>
    </xf>
    <xf numFmtId="3" fontId="14" fillId="33" borderId="96" xfId="5" applyFont="1" applyFill="1" applyBorder="1" applyAlignment="1">
      <alignment horizontal="center" vertical="center"/>
    </xf>
    <xf numFmtId="0" fontId="14" fillId="0" borderId="0" xfId="25" applyFont="1" applyAlignment="1">
      <alignment vertical="center"/>
    </xf>
    <xf numFmtId="0" fontId="9" fillId="12" borderId="0" xfId="25" applyFill="1" applyAlignment="1">
      <alignment vertical="center"/>
    </xf>
    <xf numFmtId="0" fontId="29" fillId="0" borderId="94" xfId="9" applyFont="1" applyFill="1" applyBorder="1" applyAlignment="1">
      <alignment horizontal="center" vertical="center"/>
    </xf>
    <xf numFmtId="3" fontId="52" fillId="33" borderId="95" xfId="5" applyFont="1" applyFill="1" applyBorder="1" applyAlignment="1">
      <alignment horizontal="right" vertical="center"/>
    </xf>
    <xf numFmtId="3" fontId="52" fillId="33" borderId="96" xfId="5" applyFont="1" applyFill="1" applyBorder="1" applyAlignment="1">
      <alignment horizontal="right" vertical="center"/>
    </xf>
    <xf numFmtId="3" fontId="52" fillId="33" borderId="97" xfId="5" applyFont="1" applyFill="1" applyBorder="1" applyAlignment="1">
      <alignment horizontal="right" vertical="center"/>
    </xf>
    <xf numFmtId="183" fontId="9" fillId="3" borderId="94" xfId="6" applyFont="1" applyBorder="1" applyAlignment="1">
      <alignment horizontal="center" vertical="center"/>
    </xf>
    <xf numFmtId="0" fontId="0" fillId="33" borderId="96" xfId="0" applyFill="1" applyBorder="1" applyAlignment="1">
      <alignment horizontal="center" vertical="center"/>
    </xf>
    <xf numFmtId="4" fontId="9" fillId="33" borderId="96" xfId="7" applyFont="1" applyFill="1" applyBorder="1" applyAlignment="1">
      <alignment horizontal="right" vertical="center"/>
    </xf>
    <xf numFmtId="3" fontId="14" fillId="33" borderId="97" xfId="5" applyFont="1" applyFill="1" applyBorder="1" applyAlignment="1">
      <alignment horizontal="right" vertical="center" wrapText="1"/>
    </xf>
    <xf numFmtId="4" fontId="9" fillId="8" borderId="94" xfId="7" applyFont="1" applyFill="1" applyBorder="1" applyAlignment="1">
      <alignment horizontal="right" vertical="center" wrapText="1"/>
    </xf>
    <xf numFmtId="4" fontId="9" fillId="3" borderId="94" xfId="7" applyFont="1" applyBorder="1" applyAlignment="1">
      <alignment horizontal="center" vertical="center"/>
    </xf>
    <xf numFmtId="4" fontId="9" fillId="3" borderId="94" xfId="7" applyFont="1" applyBorder="1" applyAlignment="1">
      <alignment horizontal="right" vertical="center" wrapText="1"/>
    </xf>
    <xf numFmtId="0" fontId="30" fillId="0" borderId="94" xfId="10" applyFont="1" applyFill="1" applyBorder="1" applyAlignment="1">
      <alignment vertical="center"/>
    </xf>
    <xf numFmtId="0" fontId="9" fillId="0" borderId="94" xfId="10" applyFont="1" applyFill="1" applyBorder="1" applyAlignment="1">
      <alignment horizontal="center" vertical="center"/>
    </xf>
    <xf numFmtId="3" fontId="14" fillId="33" borderId="95" xfId="5" applyFont="1" applyFill="1" applyBorder="1" applyAlignment="1">
      <alignment horizontal="right" vertical="center"/>
    </xf>
    <xf numFmtId="4" fontId="9" fillId="6" borderId="94" xfId="7" applyFont="1" applyFill="1" applyBorder="1" applyAlignment="1">
      <alignment horizontal="right" vertical="center"/>
    </xf>
    <xf numFmtId="4" fontId="9" fillId="6" borderId="94" xfId="7" applyFont="1" applyFill="1" applyBorder="1" applyAlignment="1">
      <alignment horizontal="center" vertical="center"/>
    </xf>
    <xf numFmtId="4" fontId="9" fillId="0" borderId="94" xfId="7" applyFont="1" applyFill="1" applyBorder="1" applyAlignment="1">
      <alignment horizontal="right" vertical="center" wrapText="1"/>
    </xf>
    <xf numFmtId="0" fontId="30" fillId="3" borderId="94" xfId="10" applyFont="1" applyBorder="1" applyAlignment="1">
      <alignment vertical="center" wrapText="1"/>
    </xf>
    <xf numFmtId="4" fontId="9" fillId="0" borderId="94" xfId="7" applyFont="1" applyFill="1" applyBorder="1" applyAlignment="1">
      <alignment horizontal="center" vertical="center"/>
    </xf>
    <xf numFmtId="0" fontId="51" fillId="31" borderId="94" xfId="3" applyFont="1" applyFill="1" applyBorder="1" applyAlignment="1">
      <alignment horizontal="center" vertical="center" wrapText="1"/>
    </xf>
    <xf numFmtId="0" fontId="9" fillId="0" borderId="94" xfId="25" applyBorder="1"/>
    <xf numFmtId="0" fontId="9" fillId="0" borderId="94" xfId="25" applyBorder="1" applyAlignment="1">
      <alignment vertical="center"/>
    </xf>
    <xf numFmtId="0" fontId="36" fillId="12" borderId="94" xfId="25" applyFont="1" applyFill="1" applyBorder="1" applyAlignment="1">
      <alignment horizontal="center" vertical="center"/>
    </xf>
    <xf numFmtId="0" fontId="54" fillId="0" borderId="0" xfId="0" applyFont="1"/>
    <xf numFmtId="0" fontId="56" fillId="0" borderId="0" xfId="0" applyFont="1"/>
    <xf numFmtId="0" fontId="14" fillId="0" borderId="32" xfId="0" applyFont="1" applyBorder="1" applyAlignment="1">
      <alignment horizontal="center"/>
    </xf>
    <xf numFmtId="0" fontId="14" fillId="0" borderId="30" xfId="0" applyFont="1" applyBorder="1" applyAlignment="1">
      <alignment horizontal="center"/>
    </xf>
    <xf numFmtId="0" fontId="56" fillId="0" borderId="32" xfId="0" applyFont="1" applyBorder="1" applyAlignment="1">
      <alignment horizontal="center"/>
    </xf>
    <xf numFmtId="0" fontId="56" fillId="0" borderId="30" xfId="0" applyFont="1" applyBorder="1" applyAlignment="1">
      <alignment horizontal="center"/>
    </xf>
    <xf numFmtId="0" fontId="56" fillId="0" borderId="26" xfId="0" applyFont="1" applyBorder="1"/>
    <xf numFmtId="0" fontId="56" fillId="0" borderId="99" xfId="0" applyFont="1" applyBorder="1" applyAlignment="1">
      <alignment horizontal="center" vertical="center"/>
    </xf>
    <xf numFmtId="0" fontId="56" fillId="0" borderId="103" xfId="0" applyFont="1" applyBorder="1" applyAlignment="1">
      <alignment horizontal="center" vertical="center"/>
    </xf>
    <xf numFmtId="0" fontId="9" fillId="0" borderId="26" xfId="0" applyFont="1" applyBorder="1"/>
    <xf numFmtId="0" fontId="14" fillId="12" borderId="106" xfId="0" applyFont="1" applyFill="1" applyBorder="1" applyAlignment="1">
      <alignment horizontal="center"/>
    </xf>
    <xf numFmtId="0" fontId="56" fillId="12" borderId="106" xfId="0" applyFont="1" applyFill="1" applyBorder="1"/>
    <xf numFmtId="0" fontId="56" fillId="12" borderId="112" xfId="0" applyFont="1" applyFill="1" applyBorder="1"/>
    <xf numFmtId="0" fontId="54" fillId="12" borderId="112" xfId="0" applyFont="1" applyFill="1" applyBorder="1"/>
    <xf numFmtId="10" fontId="0" fillId="0" borderId="109" xfId="0" applyNumberFormat="1" applyBorder="1" applyAlignment="1">
      <alignment horizontal="center" vertical="center"/>
    </xf>
    <xf numFmtId="10" fontId="0" fillId="0" borderId="113" xfId="0" applyNumberFormat="1" applyBorder="1" applyAlignment="1">
      <alignment horizontal="center" vertical="center"/>
    </xf>
    <xf numFmtId="10" fontId="0" fillId="0" borderId="114" xfId="0" applyNumberFormat="1" applyBorder="1" applyAlignment="1">
      <alignment horizontal="center" vertical="center"/>
    </xf>
    <xf numFmtId="0" fontId="56" fillId="0" borderId="115" xfId="0" applyFont="1" applyBorder="1" applyAlignment="1">
      <alignment horizontal="center" vertical="center"/>
    </xf>
    <xf numFmtId="0" fontId="56" fillId="0" borderId="116" xfId="0" applyFont="1" applyBorder="1" applyAlignment="1">
      <alignment horizontal="center" vertical="center"/>
    </xf>
    <xf numFmtId="0" fontId="28" fillId="5" borderId="8" xfId="25" applyFont="1" applyFill="1" applyBorder="1" applyAlignment="1">
      <alignment horizontal="center"/>
    </xf>
    <xf numFmtId="0" fontId="54" fillId="8" borderId="0" xfId="0" applyFont="1" applyFill="1"/>
    <xf numFmtId="0" fontId="58" fillId="41" borderId="0" xfId="0" applyFont="1" applyFill="1"/>
    <xf numFmtId="0" fontId="9" fillId="36" borderId="26" xfId="0" applyFont="1" applyFill="1" applyBorder="1"/>
    <xf numFmtId="0" fontId="56" fillId="0" borderId="121" xfId="0" applyFont="1" applyBorder="1" applyAlignment="1">
      <alignment horizontal="center"/>
    </xf>
    <xf numFmtId="0" fontId="54" fillId="12" borderId="122" xfId="0" applyFont="1" applyFill="1" applyBorder="1" applyAlignment="1">
      <alignment horizontal="center"/>
    </xf>
    <xf numFmtId="0" fontId="9" fillId="38" borderId="122" xfId="0" applyFont="1" applyFill="1" applyBorder="1"/>
    <xf numFmtId="0" fontId="56" fillId="0" borderId="123" xfId="0" applyFont="1" applyBorder="1" applyAlignment="1">
      <alignment horizontal="center"/>
    </xf>
    <xf numFmtId="0" fontId="57" fillId="0" borderId="124" xfId="0" applyFont="1" applyBorder="1" applyAlignment="1">
      <alignment horizontal="center"/>
    </xf>
    <xf numFmtId="0" fontId="14" fillId="0" borderId="125" xfId="0" applyFont="1" applyBorder="1" applyAlignment="1">
      <alignment horizontal="center"/>
    </xf>
    <xf numFmtId="0" fontId="14" fillId="0" borderId="128" xfId="0" applyFont="1" applyBorder="1" applyAlignment="1">
      <alignment horizontal="center"/>
    </xf>
    <xf numFmtId="0" fontId="9" fillId="38" borderId="0" xfId="0" applyFont="1" applyFill="1"/>
    <xf numFmtId="0" fontId="14" fillId="40" borderId="26" xfId="0" quotePrefix="1" applyFont="1" applyFill="1" applyBorder="1"/>
    <xf numFmtId="0" fontId="14" fillId="40" borderId="0" xfId="0" quotePrefix="1" applyFont="1" applyFill="1"/>
    <xf numFmtId="0" fontId="54" fillId="38" borderId="0" xfId="0" applyFont="1" applyFill="1"/>
    <xf numFmtId="0" fontId="14" fillId="36" borderId="26" xfId="0" applyFont="1" applyFill="1" applyBorder="1"/>
    <xf numFmtId="0" fontId="9" fillId="0" borderId="138" xfId="0" applyFont="1" applyBorder="1"/>
    <xf numFmtId="0" fontId="14" fillId="0" borderId="139" xfId="0" applyFont="1" applyBorder="1" applyAlignment="1">
      <alignment horizontal="center"/>
    </xf>
    <xf numFmtId="0" fontId="14" fillId="0" borderId="34" xfId="0" applyFont="1" applyBorder="1" applyAlignment="1">
      <alignment horizontal="center"/>
    </xf>
    <xf numFmtId="0" fontId="14" fillId="0" borderId="140" xfId="0" applyFont="1" applyBorder="1" applyAlignment="1">
      <alignment horizontal="center"/>
    </xf>
    <xf numFmtId="0" fontId="14" fillId="0" borderId="131" xfId="0" applyFont="1" applyBorder="1" applyAlignment="1">
      <alignment horizontal="center"/>
    </xf>
    <xf numFmtId="0" fontId="9" fillId="38" borderId="107" xfId="0" applyFont="1" applyFill="1" applyBorder="1"/>
    <xf numFmtId="10" fontId="0" fillId="0" borderId="0" xfId="15" applyNumberFormat="1" applyFont="1"/>
    <xf numFmtId="9" fontId="34" fillId="37" borderId="133" xfId="15" applyFont="1" applyFill="1" applyBorder="1" applyAlignment="1">
      <alignment horizontal="center" vertical="center"/>
    </xf>
    <xf numFmtId="3" fontId="24" fillId="0" borderId="0" xfId="0" applyNumberFormat="1" applyFont="1" applyAlignment="1">
      <alignment horizontal="center" vertical="center"/>
    </xf>
    <xf numFmtId="3" fontId="36" fillId="19" borderId="0" xfId="0" applyNumberFormat="1" applyFont="1" applyFill="1" applyAlignment="1">
      <alignment horizontal="center" vertical="center"/>
    </xf>
    <xf numFmtId="3" fontId="59" fillId="39" borderId="38" xfId="0" applyNumberFormat="1" applyFont="1" applyFill="1" applyBorder="1" applyAlignment="1">
      <alignment horizontal="center" vertical="center"/>
    </xf>
    <xf numFmtId="3" fontId="59" fillId="39" borderId="136" xfId="0" applyNumberFormat="1" applyFont="1" applyFill="1" applyBorder="1" applyAlignment="1">
      <alignment horizontal="center" vertical="center"/>
    </xf>
    <xf numFmtId="9" fontId="39" fillId="0" borderId="0" xfId="15" applyFont="1"/>
    <xf numFmtId="9" fontId="0" fillId="0" borderId="77" xfId="0" applyNumberFormat="1" applyBorder="1" applyAlignment="1">
      <alignment horizontal="center"/>
    </xf>
    <xf numFmtId="9" fontId="14" fillId="0" borderId="57" xfId="0" applyNumberFormat="1" applyFont="1" applyBorder="1" applyAlignment="1">
      <alignment horizontal="center"/>
    </xf>
    <xf numFmtId="3" fontId="0" fillId="0" borderId="0" xfId="0" applyNumberFormat="1"/>
    <xf numFmtId="10" fontId="0" fillId="0" borderId="0" xfId="0" applyNumberFormat="1"/>
    <xf numFmtId="4" fontId="9" fillId="0" borderId="0" xfId="7" applyFont="1" applyFill="1" applyBorder="1">
      <alignment horizontal="right"/>
    </xf>
    <xf numFmtId="4" fontId="33" fillId="0" borderId="0" xfId="7" applyFont="1" applyFill="1" applyBorder="1">
      <alignment horizontal="right"/>
    </xf>
    <xf numFmtId="3" fontId="59" fillId="39" borderId="38" xfId="0" quotePrefix="1" applyNumberFormat="1" applyFont="1" applyFill="1" applyBorder="1" applyAlignment="1">
      <alignment horizontal="center" vertical="center"/>
    </xf>
    <xf numFmtId="3" fontId="59" fillId="39" borderId="136" xfId="0" quotePrefix="1" applyNumberFormat="1" applyFont="1" applyFill="1" applyBorder="1" applyAlignment="1">
      <alignment horizontal="center" vertical="center"/>
    </xf>
    <xf numFmtId="4" fontId="6" fillId="0" borderId="38" xfId="28" applyNumberFormat="1" applyBorder="1" applyAlignment="1">
      <alignment horizontal="center"/>
    </xf>
    <xf numFmtId="0" fontId="27" fillId="0" borderId="0" xfId="0" applyFont="1" applyAlignment="1">
      <alignment horizontal="center"/>
    </xf>
    <xf numFmtId="0" fontId="64" fillId="0" borderId="0" xfId="0" applyFont="1"/>
    <xf numFmtId="0" fontId="0" fillId="0" borderId="38" xfId="0" applyBorder="1"/>
    <xf numFmtId="3" fontId="54" fillId="0" borderId="32" xfId="0" applyNumberFormat="1" applyFont="1" applyBorder="1" applyAlignment="1">
      <alignment horizontal="center" vertical="center"/>
    </xf>
    <xf numFmtId="3" fontId="62" fillId="37" borderId="38" xfId="0" applyNumberFormat="1" applyFont="1" applyFill="1" applyBorder="1" applyAlignment="1">
      <alignment horizontal="center" vertical="center"/>
    </xf>
    <xf numFmtId="181" fontId="34" fillId="37" borderId="136" xfId="15" applyNumberFormat="1" applyFont="1" applyFill="1" applyBorder="1" applyAlignment="1">
      <alignment horizontal="center" vertical="center"/>
    </xf>
    <xf numFmtId="3" fontId="62" fillId="0" borderId="136" xfId="0" applyNumberFormat="1" applyFont="1" applyBorder="1" applyAlignment="1">
      <alignment horizontal="center" vertical="center"/>
    </xf>
    <xf numFmtId="3" fontId="62" fillId="37" borderId="136" xfId="0" applyNumberFormat="1" applyFont="1" applyFill="1" applyBorder="1" applyAlignment="1">
      <alignment horizontal="center" vertical="center"/>
    </xf>
    <xf numFmtId="181" fontId="34" fillId="42" borderId="152" xfId="29" applyNumberFormat="1" applyFont="1" applyFill="1" applyBorder="1" applyAlignment="1">
      <alignment horizontal="center" vertical="center"/>
    </xf>
    <xf numFmtId="181" fontId="34" fillId="37" borderId="36" xfId="15" applyNumberFormat="1" applyFont="1" applyFill="1" applyBorder="1" applyAlignment="1">
      <alignment horizontal="center" vertical="center"/>
    </xf>
    <xf numFmtId="3" fontId="62" fillId="37" borderId="36" xfId="0" applyNumberFormat="1" applyFont="1" applyFill="1" applyBorder="1" applyAlignment="1">
      <alignment horizontal="center" vertical="center"/>
    </xf>
    <xf numFmtId="1" fontId="54" fillId="39" borderId="136" xfId="0" applyNumberFormat="1" applyFont="1" applyFill="1" applyBorder="1" applyAlignment="1">
      <alignment horizontal="center" vertical="center"/>
    </xf>
    <xf numFmtId="4" fontId="6" fillId="0" borderId="136" xfId="28" applyNumberFormat="1" applyBorder="1" applyAlignment="1">
      <alignment horizontal="center"/>
    </xf>
    <xf numFmtId="4" fontId="6" fillId="0" borderId="127" xfId="28" applyNumberFormat="1" applyBorder="1" applyAlignment="1">
      <alignment horizontal="center"/>
    </xf>
    <xf numFmtId="9" fontId="0" fillId="0" borderId="0" xfId="15" applyFont="1" applyBorder="1" applyAlignment="1">
      <alignment horizontal="left"/>
    </xf>
    <xf numFmtId="3" fontId="59" fillId="0" borderId="38" xfId="0" applyNumberFormat="1" applyFont="1" applyBorder="1" applyAlignment="1">
      <alignment horizontal="center" vertical="center"/>
    </xf>
    <xf numFmtId="3" fontId="59" fillId="0" borderId="136" xfId="0" applyNumberFormat="1" applyFont="1" applyBorder="1" applyAlignment="1">
      <alignment horizontal="center" vertical="center"/>
    </xf>
    <xf numFmtId="2" fontId="9" fillId="23" borderId="17" xfId="0" applyNumberFormat="1" applyFont="1" applyFill="1" applyBorder="1" applyAlignment="1">
      <alignment horizontal="center"/>
    </xf>
    <xf numFmtId="0" fontId="24" fillId="0" borderId="0" xfId="0" applyFont="1" applyAlignment="1">
      <alignment horizontal="center" vertical="center"/>
    </xf>
    <xf numFmtId="3" fontId="37" fillId="19" borderId="0" xfId="0" applyNumberFormat="1" applyFont="1" applyFill="1" applyAlignment="1">
      <alignment horizontal="center" vertical="center"/>
    </xf>
    <xf numFmtId="3" fontId="36" fillId="0" borderId="0" xfId="0" applyNumberFormat="1" applyFont="1" applyAlignment="1">
      <alignment horizontal="center" vertical="center"/>
    </xf>
    <xf numFmtId="183" fontId="24" fillId="0" borderId="0" xfId="0" applyNumberFormat="1" applyFont="1" applyAlignment="1">
      <alignment horizontal="center" vertical="center"/>
    </xf>
    <xf numFmtId="4" fontId="36" fillId="19" borderId="0" xfId="0" applyNumberFormat="1" applyFont="1" applyFill="1" applyAlignment="1">
      <alignment horizontal="center" vertical="center"/>
    </xf>
    <xf numFmtId="3" fontId="24" fillId="19" borderId="0" xfId="0" applyNumberFormat="1" applyFont="1" applyFill="1" applyAlignment="1">
      <alignment horizontal="center" vertical="center"/>
    </xf>
    <xf numFmtId="0" fontId="0" fillId="0" borderId="0" xfId="0" applyAlignment="1">
      <alignment horizontal="center" vertical="center"/>
    </xf>
    <xf numFmtId="0" fontId="27" fillId="0" borderId="0" xfId="0" applyFont="1" applyAlignment="1">
      <alignment horizontal="center" vertical="center"/>
    </xf>
    <xf numFmtId="0" fontId="47" fillId="9" borderId="56" xfId="0" applyFont="1" applyFill="1" applyBorder="1" applyAlignment="1">
      <alignment horizontal="center" vertical="center" wrapText="1"/>
    </xf>
    <xf numFmtId="0" fontId="47" fillId="10" borderId="57" xfId="0" applyFont="1" applyFill="1" applyBorder="1" applyAlignment="1">
      <alignment horizontal="center" vertical="center" wrapText="1"/>
    </xf>
    <xf numFmtId="0" fontId="47" fillId="11" borderId="57" xfId="0" applyFont="1" applyFill="1" applyBorder="1" applyAlignment="1">
      <alignment horizontal="center" vertical="center" wrapText="1"/>
    </xf>
    <xf numFmtId="0" fontId="47" fillId="15" borderId="57" xfId="0" applyFont="1" applyFill="1" applyBorder="1" applyAlignment="1">
      <alignment horizontal="center" vertical="center" wrapText="1"/>
    </xf>
    <xf numFmtId="0" fontId="47" fillId="11" borderId="49" xfId="0" applyFont="1" applyFill="1" applyBorder="1" applyAlignment="1">
      <alignment horizontal="center" vertical="center" wrapText="1"/>
    </xf>
    <xf numFmtId="0" fontId="47" fillId="15" borderId="49" xfId="0" applyFont="1" applyFill="1" applyBorder="1" applyAlignment="1">
      <alignment horizontal="center" vertical="center" wrapText="1"/>
    </xf>
    <xf numFmtId="0" fontId="56" fillId="0" borderId="0" xfId="0" applyFont="1" applyAlignment="1">
      <alignment horizontal="center" vertical="center"/>
    </xf>
    <xf numFmtId="0" fontId="0" fillId="0" borderId="0" xfId="0" applyAlignment="1">
      <alignment horizontal="left"/>
    </xf>
    <xf numFmtId="2" fontId="9" fillId="23" borderId="44" xfId="0" applyNumberFormat="1" applyFont="1" applyFill="1" applyBorder="1" applyAlignment="1">
      <alignment horizontal="center"/>
    </xf>
    <xf numFmtId="2" fontId="34" fillId="23" borderId="44" xfId="15" applyNumberFormat="1" applyFont="1" applyFill="1" applyBorder="1" applyAlignment="1">
      <alignment horizontal="center"/>
    </xf>
    <xf numFmtId="0" fontId="9" fillId="7" borderId="154" xfId="0" applyFont="1" applyFill="1" applyBorder="1"/>
    <xf numFmtId="0" fontId="9" fillId="0" borderId="0" xfId="0" applyFont="1" applyAlignment="1">
      <alignment horizontal="center"/>
    </xf>
    <xf numFmtId="181" fontId="63" fillId="0" borderId="38" xfId="15" applyNumberFormat="1" applyFont="1" applyBorder="1" applyAlignment="1">
      <alignment horizontal="center"/>
    </xf>
    <xf numFmtId="0" fontId="63" fillId="0" borderId="38" xfId="0" applyFont="1" applyBorder="1"/>
    <xf numFmtId="9" fontId="0" fillId="0" borderId="0" xfId="15" applyFont="1" applyAlignment="1">
      <alignment horizontal="left"/>
    </xf>
    <xf numFmtId="4" fontId="6" fillId="0" borderId="37" xfId="28" applyNumberFormat="1" applyBorder="1" applyAlignment="1">
      <alignment horizontal="center"/>
    </xf>
    <xf numFmtId="0" fontId="54" fillId="0" borderId="155" xfId="0" applyFont="1" applyBorder="1"/>
    <xf numFmtId="0" fontId="54" fillId="0" borderId="29" xfId="0" applyFont="1" applyBorder="1"/>
    <xf numFmtId="3" fontId="66" fillId="0" borderId="136" xfId="0" quotePrefix="1" applyNumberFormat="1" applyFont="1" applyBorder="1" applyAlignment="1">
      <alignment horizontal="center" vertical="center"/>
    </xf>
    <xf numFmtId="3" fontId="66" fillId="0" borderId="38" xfId="0" quotePrefix="1" applyNumberFormat="1" applyFont="1" applyBorder="1" applyAlignment="1">
      <alignment horizontal="center" vertical="center"/>
    </xf>
    <xf numFmtId="3" fontId="66" fillId="0" borderId="127" xfId="0" quotePrefix="1" applyNumberFormat="1" applyFont="1" applyBorder="1" applyAlignment="1">
      <alignment horizontal="center" vertical="center"/>
    </xf>
    <xf numFmtId="3" fontId="59" fillId="40" borderId="158" xfId="0" applyNumberFormat="1" applyFont="1" applyFill="1" applyBorder="1" applyAlignment="1">
      <alignment horizontal="center" vertical="center"/>
    </xf>
    <xf numFmtId="3" fontId="59" fillId="40" borderId="3" xfId="0" applyNumberFormat="1" applyFont="1" applyFill="1" applyBorder="1" applyAlignment="1">
      <alignment horizontal="center" vertical="center"/>
    </xf>
    <xf numFmtId="3" fontId="59" fillId="40" borderId="28" xfId="0" applyNumberFormat="1" applyFont="1" applyFill="1" applyBorder="1" applyAlignment="1">
      <alignment horizontal="center" vertical="center"/>
    </xf>
    <xf numFmtId="3" fontId="60" fillId="12" borderId="0" xfId="0" applyNumberFormat="1" applyFont="1" applyFill="1" applyAlignment="1">
      <alignment horizontal="center" vertical="center"/>
    </xf>
    <xf numFmtId="0" fontId="0" fillId="36" borderId="26" xfId="0" applyFill="1" applyBorder="1"/>
    <xf numFmtId="0" fontId="63" fillId="0" borderId="0" xfId="28" applyFont="1" applyAlignment="1">
      <alignment horizontal="center" vertical="center"/>
    </xf>
    <xf numFmtId="0" fontId="54" fillId="0" borderId="160" xfId="0" applyFont="1" applyBorder="1"/>
    <xf numFmtId="0" fontId="56" fillId="0" borderId="101" xfId="0" applyFont="1" applyBorder="1" applyAlignment="1">
      <alignment horizontal="center" vertical="center"/>
    </xf>
    <xf numFmtId="0" fontId="56" fillId="0" borderId="102" xfId="0" applyFont="1" applyBorder="1" applyAlignment="1">
      <alignment horizontal="center" vertical="center"/>
    </xf>
    <xf numFmtId="0" fontId="54" fillId="0" borderId="161" xfId="0" applyFont="1" applyBorder="1"/>
    <xf numFmtId="0" fontId="54" fillId="0" borderId="100" xfId="0" applyFont="1" applyBorder="1" applyAlignment="1">
      <alignment horizontal="center" vertical="center"/>
    </xf>
    <xf numFmtId="0" fontId="54" fillId="0" borderId="162" xfId="0" applyFont="1" applyBorder="1"/>
    <xf numFmtId="0" fontId="54" fillId="0" borderId="104" xfId="0" applyFont="1" applyBorder="1" applyAlignment="1">
      <alignment horizontal="center" vertical="center"/>
    </xf>
    <xf numFmtId="10" fontId="0" fillId="0" borderId="0" xfId="0" applyNumberFormat="1" applyAlignment="1">
      <alignment horizontal="center" vertical="center"/>
    </xf>
    <xf numFmtId="0" fontId="54" fillId="0" borderId="101" xfId="0" applyFont="1" applyBorder="1" applyAlignment="1">
      <alignment horizontal="center" vertical="center"/>
    </xf>
    <xf numFmtId="0" fontId="54" fillId="0" borderId="100" xfId="0" applyFont="1" applyBorder="1"/>
    <xf numFmtId="0" fontId="56" fillId="0" borderId="38" xfId="0" applyFont="1" applyBorder="1"/>
    <xf numFmtId="9" fontId="24" fillId="0" borderId="0" xfId="15" applyFont="1" applyAlignment="1">
      <alignment horizontal="center" vertical="center"/>
    </xf>
    <xf numFmtId="3" fontId="0" fillId="0" borderId="38" xfId="0" applyNumberFormat="1" applyBorder="1" applyAlignment="1">
      <alignment horizontal="center" vertical="center"/>
    </xf>
    <xf numFmtId="181" fontId="39" fillId="0" borderId="0" xfId="0" applyNumberFormat="1" applyFont="1"/>
    <xf numFmtId="3" fontId="66" fillId="0" borderId="136" xfId="0" applyNumberFormat="1" applyFont="1" applyBorder="1" applyAlignment="1">
      <alignment horizontal="center" vertical="center"/>
    </xf>
    <xf numFmtId="186" fontId="0" fillId="0" borderId="0" xfId="0" applyNumberFormat="1" applyAlignment="1">
      <alignment horizontal="center"/>
    </xf>
    <xf numFmtId="181" fontId="54" fillId="0" borderId="0" xfId="15" applyNumberFormat="1" applyFont="1"/>
    <xf numFmtId="3" fontId="66" fillId="37" borderId="136" xfId="0" quotePrefix="1" applyNumberFormat="1" applyFont="1" applyFill="1" applyBorder="1" applyAlignment="1">
      <alignment horizontal="center" vertical="center"/>
    </xf>
    <xf numFmtId="3" fontId="66" fillId="37" borderId="38" xfId="0" quotePrefix="1" applyNumberFormat="1" applyFont="1" applyFill="1" applyBorder="1" applyAlignment="1">
      <alignment horizontal="center" vertical="center"/>
    </xf>
    <xf numFmtId="3" fontId="66" fillId="37" borderId="36" xfId="0" quotePrefix="1" applyNumberFormat="1" applyFont="1" applyFill="1" applyBorder="1" applyAlignment="1">
      <alignment horizontal="center" vertical="center"/>
    </xf>
    <xf numFmtId="3" fontId="26" fillId="37" borderId="136" xfId="0" applyNumberFormat="1" applyFont="1" applyFill="1" applyBorder="1" applyAlignment="1">
      <alignment horizontal="center" vertical="center"/>
    </xf>
    <xf numFmtId="3" fontId="26" fillId="37" borderId="38" xfId="0" applyNumberFormat="1" applyFont="1" applyFill="1" applyBorder="1" applyAlignment="1">
      <alignment horizontal="center" vertical="center"/>
    </xf>
    <xf numFmtId="3" fontId="26" fillId="37" borderId="36" xfId="0" applyNumberFormat="1" applyFont="1" applyFill="1" applyBorder="1" applyAlignment="1">
      <alignment horizontal="center" vertical="center"/>
    </xf>
    <xf numFmtId="0" fontId="64" fillId="0" borderId="0" xfId="0" applyFont="1" applyAlignment="1">
      <alignment horizontal="center"/>
    </xf>
    <xf numFmtId="1" fontId="64" fillId="0" borderId="0" xfId="0" applyNumberFormat="1" applyFont="1" applyAlignment="1">
      <alignment horizontal="center"/>
    </xf>
    <xf numFmtId="1" fontId="69" fillId="0" borderId="0" xfId="0" applyNumberFormat="1" applyFont="1" applyAlignment="1">
      <alignment horizontal="left"/>
    </xf>
    <xf numFmtId="0" fontId="9" fillId="0" borderId="0" xfId="25" applyAlignment="1">
      <alignment vertical="center" wrapText="1"/>
    </xf>
    <xf numFmtId="3" fontId="52" fillId="33" borderId="96" xfId="5" applyFont="1" applyFill="1" applyBorder="1" applyAlignment="1">
      <alignment horizontal="right" vertical="center" wrapText="1"/>
    </xf>
    <xf numFmtId="4" fontId="9" fillId="33" borderId="96" xfId="7" applyFont="1" applyFill="1" applyBorder="1" applyAlignment="1">
      <alignment horizontal="right" vertical="center" wrapText="1"/>
    </xf>
    <xf numFmtId="0" fontId="9" fillId="0" borderId="94" xfId="10" applyFont="1" applyFill="1" applyBorder="1" applyAlignment="1">
      <alignment horizontal="right" vertical="center" wrapText="1"/>
    </xf>
    <xf numFmtId="0" fontId="21" fillId="0" borderId="0" xfId="8" applyFill="1" applyBorder="1" applyAlignment="1">
      <alignment wrapText="1"/>
    </xf>
    <xf numFmtId="0" fontId="9" fillId="0" borderId="0" xfId="25" applyAlignment="1">
      <alignment wrapText="1"/>
    </xf>
    <xf numFmtId="0" fontId="0" fillId="0" borderId="0" xfId="0" applyAlignment="1">
      <alignment wrapText="1"/>
    </xf>
    <xf numFmtId="0" fontId="0" fillId="0" borderId="0" xfId="25" applyFont="1"/>
    <xf numFmtId="2" fontId="9" fillId="0" borderId="0" xfId="25" applyNumberFormat="1"/>
    <xf numFmtId="2" fontId="0" fillId="0" borderId="0" xfId="25" applyNumberFormat="1" applyFont="1"/>
    <xf numFmtId="0" fontId="59" fillId="0" borderId="0" xfId="0" applyFont="1"/>
    <xf numFmtId="0" fontId="59" fillId="0" borderId="0" xfId="0" applyFont="1" applyAlignment="1">
      <alignment horizontal="center"/>
    </xf>
    <xf numFmtId="180" fontId="9" fillId="0" borderId="0" xfId="0" applyNumberFormat="1" applyFont="1"/>
    <xf numFmtId="179" fontId="9" fillId="0" borderId="0" xfId="0" applyNumberFormat="1" applyFont="1"/>
    <xf numFmtId="180" fontId="27" fillId="0" borderId="0" xfId="0" applyNumberFormat="1" applyFont="1"/>
    <xf numFmtId="181" fontId="9" fillId="23" borderId="17" xfId="15" applyNumberFormat="1" applyFont="1" applyFill="1" applyBorder="1" applyAlignment="1">
      <alignment horizontal="center"/>
    </xf>
    <xf numFmtId="0" fontId="47" fillId="9" borderId="56" xfId="0" applyFont="1" applyFill="1" applyBorder="1" applyAlignment="1">
      <alignment horizontal="center" vertical="center"/>
    </xf>
    <xf numFmtId="0" fontId="47" fillId="30" borderId="56" xfId="0" applyFont="1" applyFill="1" applyBorder="1" applyAlignment="1">
      <alignment horizontal="center" vertical="center"/>
    </xf>
    <xf numFmtId="0" fontId="47" fillId="5" borderId="121" xfId="0" applyFont="1" applyFill="1" applyBorder="1" applyAlignment="1">
      <alignment horizontal="center"/>
    </xf>
    <xf numFmtId="0" fontId="47" fillId="5" borderId="107" xfId="0" applyFont="1" applyFill="1" applyBorder="1" applyAlignment="1">
      <alignment horizontal="center"/>
    </xf>
    <xf numFmtId="0" fontId="14" fillId="17" borderId="84" xfId="0" applyFont="1" applyFill="1" applyBorder="1" applyAlignment="1">
      <alignment horizontal="left" vertical="center"/>
    </xf>
    <xf numFmtId="0" fontId="14" fillId="17" borderId="85" xfId="0" applyFont="1" applyFill="1" applyBorder="1" applyAlignment="1">
      <alignment horizontal="left" vertical="center"/>
    </xf>
    <xf numFmtId="9" fontId="0" fillId="17" borderId="82" xfId="15" applyFont="1" applyFill="1" applyBorder="1" applyAlignment="1">
      <alignment horizontal="center"/>
    </xf>
    <xf numFmtId="9" fontId="9" fillId="17" borderId="81" xfId="15" applyFont="1" applyFill="1" applyBorder="1" applyAlignment="1">
      <alignment horizontal="center"/>
    </xf>
    <xf numFmtId="9" fontId="0" fillId="17" borderId="81" xfId="15" applyFont="1" applyFill="1" applyBorder="1" applyAlignment="1">
      <alignment horizontal="center"/>
    </xf>
    <xf numFmtId="2" fontId="0" fillId="17" borderId="82" xfId="0" applyNumberFormat="1" applyFill="1" applyBorder="1" applyAlignment="1">
      <alignment horizontal="center"/>
    </xf>
    <xf numFmtId="0" fontId="14" fillId="17" borderId="83" xfId="0" applyFont="1" applyFill="1" applyBorder="1" applyAlignment="1">
      <alignment horizontal="left" vertical="center"/>
    </xf>
    <xf numFmtId="2" fontId="0" fillId="17" borderId="80" xfId="0" applyNumberFormat="1" applyFill="1" applyBorder="1" applyAlignment="1">
      <alignment horizontal="center"/>
    </xf>
    <xf numFmtId="2" fontId="9" fillId="17" borderId="82" xfId="0" applyNumberFormat="1" applyFont="1" applyFill="1" applyBorder="1" applyAlignment="1">
      <alignment horizontal="center"/>
    </xf>
    <xf numFmtId="182" fontId="0" fillId="17" borderId="82" xfId="0" applyNumberFormat="1" applyFill="1" applyBorder="1" applyAlignment="1">
      <alignment horizontal="center"/>
    </xf>
    <xf numFmtId="9" fontId="0" fillId="0" borderId="80" xfId="15" applyFont="1" applyFill="1" applyBorder="1" applyAlignment="1">
      <alignment horizontal="center"/>
    </xf>
    <xf numFmtId="0" fontId="14" fillId="0" borderId="85" xfId="0" applyFont="1" applyBorder="1" applyAlignment="1">
      <alignment horizontal="left" vertical="center"/>
    </xf>
    <xf numFmtId="9" fontId="0" fillId="0" borderId="82" xfId="15" applyFont="1" applyFill="1" applyBorder="1" applyAlignment="1">
      <alignment horizontal="center"/>
    </xf>
    <xf numFmtId="2" fontId="0" fillId="0" borderId="80" xfId="0" applyNumberFormat="1" applyBorder="1" applyAlignment="1">
      <alignment horizontal="center"/>
    </xf>
    <xf numFmtId="0" fontId="14" fillId="0" borderId="84" xfId="0" applyFont="1" applyBorder="1" applyAlignment="1">
      <alignment horizontal="left" vertical="center"/>
    </xf>
    <xf numFmtId="2" fontId="0" fillId="0" borderId="82" xfId="0" applyNumberFormat="1" applyBorder="1" applyAlignment="1">
      <alignment horizontal="center"/>
    </xf>
    <xf numFmtId="2" fontId="0" fillId="17" borderId="81" xfId="0" applyNumberFormat="1" applyFill="1" applyBorder="1" applyAlignment="1">
      <alignment horizontal="center"/>
    </xf>
    <xf numFmtId="0" fontId="14" fillId="0" borderId="87" xfId="0" applyFont="1" applyBorder="1" applyAlignment="1">
      <alignment horizontal="left" vertical="center"/>
    </xf>
    <xf numFmtId="9" fontId="0" fillId="0" borderId="88" xfId="15" applyFont="1" applyFill="1" applyBorder="1" applyAlignment="1">
      <alignment horizontal="center"/>
    </xf>
    <xf numFmtId="182" fontId="0" fillId="0" borderId="81" xfId="0" applyNumberFormat="1" applyBorder="1" applyAlignment="1">
      <alignment horizontal="center"/>
    </xf>
    <xf numFmtId="182" fontId="0" fillId="0" borderId="80" xfId="0" applyNumberFormat="1" applyBorder="1" applyAlignment="1">
      <alignment horizontal="center"/>
    </xf>
    <xf numFmtId="182" fontId="0" fillId="0" borderId="82" xfId="0" applyNumberFormat="1" applyBorder="1" applyAlignment="1">
      <alignment horizontal="center"/>
    </xf>
    <xf numFmtId="185" fontId="27" fillId="18" borderId="171" xfId="0" applyNumberFormat="1" applyFont="1" applyFill="1" applyBorder="1" applyAlignment="1">
      <alignment horizontal="center"/>
    </xf>
    <xf numFmtId="9" fontId="27" fillId="30" borderId="58" xfId="15" applyFont="1" applyFill="1" applyBorder="1" applyAlignment="1">
      <alignment horizontal="center" vertical="center"/>
    </xf>
    <xf numFmtId="9" fontId="27" fillId="18" borderId="170" xfId="15" applyFont="1" applyFill="1" applyBorder="1" applyAlignment="1">
      <alignment horizontal="center"/>
    </xf>
    <xf numFmtId="0" fontId="27" fillId="30" borderId="58" xfId="0" applyFont="1" applyFill="1" applyBorder="1" applyAlignment="1">
      <alignment horizontal="center" vertical="center"/>
    </xf>
    <xf numFmtId="2" fontId="27" fillId="18" borderId="86" xfId="0" applyNumberFormat="1" applyFont="1" applyFill="1" applyBorder="1" applyAlignment="1">
      <alignment horizontal="center"/>
    </xf>
    <xf numFmtId="2" fontId="27" fillId="30" borderId="58" xfId="15" applyNumberFormat="1" applyFont="1" applyFill="1" applyBorder="1" applyAlignment="1">
      <alignment horizontal="center" vertical="center"/>
    </xf>
    <xf numFmtId="2" fontId="27" fillId="18" borderId="170" xfId="0" applyNumberFormat="1" applyFont="1" applyFill="1" applyBorder="1" applyAlignment="1">
      <alignment horizontal="center"/>
    </xf>
    <xf numFmtId="10" fontId="27" fillId="30" borderId="58" xfId="0" applyNumberFormat="1" applyFont="1" applyFill="1" applyBorder="1" applyAlignment="1">
      <alignment horizontal="center" vertical="center"/>
    </xf>
    <xf numFmtId="184" fontId="27" fillId="30" borderId="58" xfId="18" applyNumberFormat="1" applyFont="1" applyFill="1" applyBorder="1" applyAlignment="1">
      <alignment horizontal="center" vertical="center"/>
    </xf>
    <xf numFmtId="0" fontId="27" fillId="30" borderId="58" xfId="0" applyFont="1" applyFill="1" applyBorder="1" applyAlignment="1">
      <alignment horizontal="center"/>
    </xf>
    <xf numFmtId="9" fontId="27" fillId="18" borderId="60" xfId="15" applyFont="1" applyFill="1" applyBorder="1" applyAlignment="1">
      <alignment horizontal="center"/>
    </xf>
    <xf numFmtId="0" fontId="14" fillId="0" borderId="76" xfId="0" applyFont="1" applyBorder="1" applyAlignment="1">
      <alignment horizontal="left"/>
    </xf>
    <xf numFmtId="3" fontId="54" fillId="0" borderId="125" xfId="0" applyNumberFormat="1" applyFont="1" applyBorder="1" applyAlignment="1">
      <alignment horizontal="center" vertical="center"/>
    </xf>
    <xf numFmtId="0" fontId="54" fillId="0" borderId="173" xfId="0" applyFont="1" applyBorder="1"/>
    <xf numFmtId="4" fontId="6" fillId="0" borderId="174" xfId="28" applyNumberFormat="1" applyBorder="1" applyAlignment="1">
      <alignment horizontal="center"/>
    </xf>
    <xf numFmtId="0" fontId="54" fillId="0" borderId="35" xfId="0" applyFont="1" applyBorder="1"/>
    <xf numFmtId="10" fontId="6" fillId="0" borderId="0" xfId="28" quotePrefix="1" applyNumberFormat="1" applyAlignment="1">
      <alignment horizontal="right"/>
    </xf>
    <xf numFmtId="3" fontId="59" fillId="39" borderId="127" xfId="0" applyNumberFormat="1" applyFont="1" applyFill="1" applyBorder="1" applyAlignment="1">
      <alignment horizontal="center" vertical="center"/>
    </xf>
    <xf numFmtId="3" fontId="59" fillId="39" borderId="127" xfId="0" quotePrefix="1" applyNumberFormat="1" applyFont="1" applyFill="1" applyBorder="1" applyAlignment="1">
      <alignment horizontal="center" vertical="center"/>
    </xf>
    <xf numFmtId="3" fontId="59" fillId="0" borderId="127" xfId="0" applyNumberFormat="1" applyFont="1" applyBorder="1" applyAlignment="1">
      <alignment horizontal="center" vertical="center"/>
    </xf>
    <xf numFmtId="3" fontId="59" fillId="40" borderId="163" xfId="0" applyNumberFormat="1" applyFont="1" applyFill="1" applyBorder="1" applyAlignment="1">
      <alignment horizontal="center" vertical="center"/>
    </xf>
    <xf numFmtId="4" fontId="6" fillId="0" borderId="163" xfId="28" applyNumberFormat="1" applyBorder="1" applyAlignment="1">
      <alignment horizontal="center"/>
    </xf>
    <xf numFmtId="4" fontId="6" fillId="0" borderId="158" xfId="28" applyNumberFormat="1" applyBorder="1" applyAlignment="1">
      <alignment horizontal="center"/>
    </xf>
    <xf numFmtId="4" fontId="6" fillId="0" borderId="3" xfId="28" applyNumberFormat="1" applyBorder="1" applyAlignment="1">
      <alignment horizontal="center"/>
    </xf>
    <xf numFmtId="4" fontId="6" fillId="0" borderId="29" xfId="28" applyNumberFormat="1" applyBorder="1" applyAlignment="1">
      <alignment horizontal="center"/>
    </xf>
    <xf numFmtId="0" fontId="28" fillId="0" borderId="0" xfId="25" applyFont="1" applyAlignment="1">
      <alignment horizontal="center" vertical="center"/>
    </xf>
    <xf numFmtId="4" fontId="26" fillId="0" borderId="0" xfId="7" applyFont="1" applyFill="1" applyBorder="1">
      <alignment horizontal="right"/>
    </xf>
    <xf numFmtId="0" fontId="47" fillId="30" borderId="50" xfId="0" applyFont="1" applyFill="1" applyBorder="1" applyAlignment="1">
      <alignment horizontal="left" vertical="center"/>
    </xf>
    <xf numFmtId="10" fontId="0" fillId="0" borderId="43" xfId="0" applyNumberFormat="1" applyBorder="1" applyAlignment="1">
      <alignment horizontal="center" vertical="center"/>
    </xf>
    <xf numFmtId="0" fontId="47" fillId="0" borderId="0" xfId="0" applyFont="1" applyAlignment="1">
      <alignment horizontal="left" vertical="center"/>
    </xf>
    <xf numFmtId="0" fontId="58" fillId="35" borderId="60" xfId="0" applyFont="1" applyFill="1" applyBorder="1" applyAlignment="1">
      <alignment horizontal="center" vertical="center"/>
    </xf>
    <xf numFmtId="185" fontId="0" fillId="17" borderId="171" xfId="0" applyNumberFormat="1" applyFill="1" applyBorder="1" applyAlignment="1">
      <alignment horizontal="center"/>
    </xf>
    <xf numFmtId="0" fontId="0" fillId="30" borderId="58" xfId="0" applyFill="1" applyBorder="1" applyAlignment="1">
      <alignment horizontal="center"/>
    </xf>
    <xf numFmtId="9" fontId="0" fillId="0" borderId="170" xfId="15" applyFont="1" applyFill="1" applyBorder="1" applyAlignment="1">
      <alignment horizontal="center"/>
    </xf>
    <xf numFmtId="9" fontId="0" fillId="17" borderId="86" xfId="15" applyFont="1" applyFill="1" applyBorder="1" applyAlignment="1">
      <alignment horizontal="center"/>
    </xf>
    <xf numFmtId="9" fontId="0" fillId="0" borderId="86" xfId="15" applyFont="1" applyFill="1" applyBorder="1" applyAlignment="1">
      <alignment horizontal="center"/>
    </xf>
    <xf numFmtId="9" fontId="0" fillId="17" borderId="171" xfId="15" applyFont="1" applyFill="1" applyBorder="1" applyAlignment="1">
      <alignment horizontal="center"/>
    </xf>
    <xf numFmtId="2" fontId="0" fillId="0" borderId="170" xfId="0" applyNumberFormat="1" applyBorder="1" applyAlignment="1">
      <alignment horizontal="center"/>
    </xf>
    <xf numFmtId="2" fontId="0" fillId="17" borderId="86" xfId="0" applyNumberFormat="1" applyFill="1" applyBorder="1" applyAlignment="1">
      <alignment horizontal="center"/>
    </xf>
    <xf numFmtId="2" fontId="0" fillId="0" borderId="171" xfId="0" applyNumberFormat="1" applyBorder="1" applyAlignment="1">
      <alignment horizontal="center"/>
    </xf>
    <xf numFmtId="2" fontId="0" fillId="17" borderId="170" xfId="0" applyNumberFormat="1" applyFill="1" applyBorder="1" applyAlignment="1">
      <alignment horizontal="center"/>
    </xf>
    <xf numFmtId="2" fontId="0" fillId="0" borderId="86" xfId="0" applyNumberFormat="1" applyBorder="1" applyAlignment="1">
      <alignment horizontal="center"/>
    </xf>
    <xf numFmtId="182" fontId="0" fillId="0" borderId="170" xfId="0" applyNumberFormat="1" applyBorder="1" applyAlignment="1">
      <alignment horizontal="center"/>
    </xf>
    <xf numFmtId="182" fontId="0" fillId="17" borderId="86" xfId="0" applyNumberFormat="1" applyFill="1" applyBorder="1" applyAlignment="1">
      <alignment horizontal="center"/>
    </xf>
    <xf numFmtId="182" fontId="0" fillId="0" borderId="86" xfId="0" applyNumberFormat="1" applyBorder="1" applyAlignment="1">
      <alignment horizontal="center"/>
    </xf>
    <xf numFmtId="182" fontId="0" fillId="0" borderId="171" xfId="0" applyNumberFormat="1" applyBorder="1" applyAlignment="1">
      <alignment horizontal="center"/>
    </xf>
    <xf numFmtId="2" fontId="0" fillId="17" borderId="86" xfId="15" applyNumberFormat="1" applyFont="1" applyFill="1" applyBorder="1" applyAlignment="1">
      <alignment horizontal="center"/>
    </xf>
    <xf numFmtId="9" fontId="0" fillId="0" borderId="89" xfId="15" applyFont="1" applyFill="1" applyBorder="1" applyAlignment="1">
      <alignment horizontal="center"/>
    </xf>
    <xf numFmtId="0" fontId="71" fillId="35" borderId="58" xfId="0" applyFont="1" applyFill="1" applyBorder="1" applyAlignment="1">
      <alignment horizontal="center" vertical="center" wrapText="1"/>
    </xf>
    <xf numFmtId="0" fontId="28" fillId="5" borderId="179" xfId="25" applyFont="1" applyFill="1" applyBorder="1" applyAlignment="1">
      <alignment horizontal="center" vertical="center"/>
    </xf>
    <xf numFmtId="4" fontId="26" fillId="27" borderId="180" xfId="7" applyFont="1" applyFill="1" applyBorder="1">
      <alignment horizontal="right"/>
    </xf>
    <xf numFmtId="4" fontId="9" fillId="12" borderId="180" xfId="7" applyFont="1" applyFill="1" applyBorder="1">
      <alignment horizontal="right"/>
    </xf>
    <xf numFmtId="4" fontId="33" fillId="9" borderId="181" xfId="7" applyFont="1" applyFill="1" applyBorder="1">
      <alignment horizontal="right"/>
    </xf>
    <xf numFmtId="0" fontId="58" fillId="35" borderId="0" xfId="23" applyFont="1" applyFill="1"/>
    <xf numFmtId="0" fontId="72" fillId="35" borderId="0" xfId="23" applyFont="1" applyFill="1" applyAlignment="1">
      <alignment horizontal="left" vertical="center"/>
    </xf>
    <xf numFmtId="0" fontId="72" fillId="35" borderId="0" xfId="23" applyFont="1" applyFill="1" applyAlignment="1">
      <alignment horizontal="center" vertical="center"/>
    </xf>
    <xf numFmtId="0" fontId="9" fillId="30" borderId="0" xfId="23" applyFill="1"/>
    <xf numFmtId="0" fontId="9" fillId="0" borderId="0" xfId="23"/>
    <xf numFmtId="10" fontId="0" fillId="0" borderId="0" xfId="15" applyNumberFormat="1" applyFont="1" applyAlignment="1">
      <alignment horizontal="left"/>
    </xf>
    <xf numFmtId="0" fontId="14" fillId="0" borderId="0" xfId="23" applyFont="1"/>
    <xf numFmtId="0" fontId="9" fillId="8" borderId="0" xfId="23" applyFill="1"/>
    <xf numFmtId="10" fontId="9" fillId="8" borderId="0" xfId="23" applyNumberFormat="1" applyFill="1"/>
    <xf numFmtId="0" fontId="9" fillId="0" borderId="0" xfId="23" applyAlignment="1">
      <alignment horizontal="left"/>
    </xf>
    <xf numFmtId="10" fontId="73" fillId="0" borderId="0" xfId="23" applyNumberFormat="1" applyFont="1" applyAlignment="1">
      <alignment horizontal="center"/>
    </xf>
    <xf numFmtId="10" fontId="9" fillId="0" borderId="0" xfId="23" applyNumberFormat="1"/>
    <xf numFmtId="181" fontId="0" fillId="0" borderId="0" xfId="15" applyNumberFormat="1" applyFont="1"/>
    <xf numFmtId="0" fontId="50" fillId="30" borderId="0" xfId="23" applyFont="1" applyFill="1"/>
    <xf numFmtId="0" fontId="57" fillId="0" borderId="0" xfId="23" applyFont="1" applyAlignment="1">
      <alignment horizontal="center"/>
    </xf>
    <xf numFmtId="0" fontId="9" fillId="23" borderId="0" xfId="0" applyFont="1" applyFill="1" applyAlignment="1">
      <alignment horizontal="center" vertical="center"/>
    </xf>
    <xf numFmtId="188" fontId="74" fillId="45" borderId="0" xfId="15" applyNumberFormat="1" applyFont="1" applyFill="1" applyBorder="1" applyAlignment="1">
      <alignment horizontal="center"/>
    </xf>
    <xf numFmtId="0" fontId="58" fillId="0" borderId="0" xfId="23" applyFont="1"/>
    <xf numFmtId="0" fontId="72" fillId="0" borderId="0" xfId="23" applyFont="1" applyAlignment="1">
      <alignment horizontal="center" vertical="center"/>
    </xf>
    <xf numFmtId="0" fontId="14" fillId="8" borderId="0" xfId="23" applyFont="1" applyFill="1" applyAlignment="1">
      <alignment horizontal="center" vertical="center"/>
    </xf>
    <xf numFmtId="0" fontId="0" fillId="0" borderId="101" xfId="0" applyBorder="1" applyAlignment="1">
      <alignment horizontal="center"/>
    </xf>
    <xf numFmtId="0" fontId="63" fillId="34" borderId="100" xfId="0" applyFont="1" applyFill="1" applyBorder="1" applyAlignment="1">
      <alignment horizontal="center" vertical="center"/>
    </xf>
    <xf numFmtId="9" fontId="63" fillId="34" borderId="103" xfId="15" applyFont="1" applyFill="1" applyBorder="1" applyAlignment="1">
      <alignment horizontal="center" vertical="center" wrapText="1"/>
    </xf>
    <xf numFmtId="0" fontId="63" fillId="34" borderId="103" xfId="15" applyNumberFormat="1" applyFont="1" applyFill="1" applyBorder="1" applyAlignment="1">
      <alignment horizontal="center" vertical="center" wrapText="1"/>
    </xf>
    <xf numFmtId="189" fontId="63" fillId="34" borderId="103" xfId="15" applyNumberFormat="1" applyFont="1" applyFill="1" applyBorder="1" applyAlignment="1">
      <alignment horizontal="center" vertical="center" wrapText="1"/>
    </xf>
    <xf numFmtId="9" fontId="63" fillId="34" borderId="100" xfId="15" applyFont="1" applyFill="1" applyBorder="1" applyAlignment="1">
      <alignment horizontal="center" vertical="center" wrapText="1"/>
    </xf>
    <xf numFmtId="0" fontId="63" fillId="34" borderId="100" xfId="0" applyFont="1" applyFill="1" applyBorder="1" applyAlignment="1">
      <alignment horizontal="center" vertical="center" wrapText="1"/>
    </xf>
    <xf numFmtId="0" fontId="0" fillId="8" borderId="0" xfId="0" applyFill="1" applyAlignment="1">
      <alignment horizontal="center" vertical="center"/>
    </xf>
    <xf numFmtId="190" fontId="0" fillId="0" borderId="0" xfId="0" applyNumberFormat="1" applyAlignment="1">
      <alignment vertical="center"/>
    </xf>
    <xf numFmtId="0" fontId="0" fillId="0" borderId="0" xfId="0" applyAlignment="1">
      <alignment vertical="center"/>
    </xf>
    <xf numFmtId="0" fontId="0" fillId="0" borderId="38" xfId="0" applyBorder="1" applyAlignment="1">
      <alignment horizontal="center" vertical="center"/>
    </xf>
    <xf numFmtId="2" fontId="0" fillId="0" borderId="38" xfId="0" applyNumberFormat="1" applyBorder="1" applyAlignment="1">
      <alignment horizontal="center" vertical="center"/>
    </xf>
    <xf numFmtId="2" fontId="63" fillId="0" borderId="38" xfId="0" applyNumberFormat="1" applyFont="1" applyBorder="1" applyAlignment="1">
      <alignment horizontal="center" vertical="center"/>
    </xf>
    <xf numFmtId="0" fontId="0" fillId="0" borderId="104" xfId="0" applyBorder="1" applyAlignment="1">
      <alignment horizontal="center"/>
    </xf>
    <xf numFmtId="9" fontId="75" fillId="34" borderId="38" xfId="15" applyFont="1" applyFill="1" applyBorder="1" applyAlignment="1">
      <alignment horizontal="center" vertical="center" wrapText="1"/>
    </xf>
    <xf numFmtId="9" fontId="75" fillId="34" borderId="38" xfId="15" applyFont="1" applyFill="1" applyBorder="1" applyAlignment="1">
      <alignment horizontal="center" vertical="center"/>
    </xf>
    <xf numFmtId="0" fontId="14" fillId="0" borderId="0" xfId="0" applyFont="1" applyAlignment="1">
      <alignment horizontal="left" vertical="center"/>
    </xf>
    <xf numFmtId="0" fontId="27" fillId="8" borderId="0" xfId="0" applyFont="1" applyFill="1" applyAlignment="1">
      <alignment horizontal="center" vertical="center"/>
    </xf>
    <xf numFmtId="0" fontId="77" fillId="31" borderId="100" xfId="0" applyFont="1" applyFill="1" applyBorder="1" applyAlignment="1">
      <alignment horizontal="left" vertical="center"/>
    </xf>
    <xf numFmtId="0" fontId="0" fillId="0" borderId="101" xfId="0" applyBorder="1" applyAlignment="1">
      <alignment horizontal="center" vertical="center"/>
    </xf>
    <xf numFmtId="0" fontId="0" fillId="0" borderId="100" xfId="0" applyBorder="1" applyAlignment="1">
      <alignment horizontal="center" vertical="center"/>
    </xf>
    <xf numFmtId="0" fontId="28" fillId="31" borderId="0" xfId="0" applyFont="1" applyFill="1" applyAlignment="1">
      <alignment vertical="center"/>
    </xf>
    <xf numFmtId="0" fontId="0" fillId="0" borderId="160" xfId="0" applyBorder="1" applyAlignment="1">
      <alignment horizontal="center" vertical="center"/>
    </xf>
    <xf numFmtId="0" fontId="0" fillId="0" borderId="186" xfId="0" applyBorder="1" applyAlignment="1">
      <alignment horizontal="center" vertical="center"/>
    </xf>
    <xf numFmtId="0" fontId="0" fillId="0" borderId="104" xfId="0" applyBorder="1" applyAlignment="1">
      <alignment horizontal="center" vertical="center"/>
    </xf>
    <xf numFmtId="0" fontId="77" fillId="31" borderId="0" xfId="0" applyFont="1" applyFill="1" applyAlignment="1">
      <alignment horizontal="left" vertical="center"/>
    </xf>
    <xf numFmtId="0" fontId="0" fillId="0" borderId="188" xfId="0" applyBorder="1" applyAlignment="1">
      <alignment horizontal="center" vertical="center"/>
    </xf>
    <xf numFmtId="0" fontId="0" fillId="8" borderId="0" xfId="0" applyFill="1" applyAlignment="1">
      <alignment vertical="center"/>
    </xf>
    <xf numFmtId="0" fontId="14" fillId="0" borderId="0" xfId="0" applyFont="1" applyAlignment="1">
      <alignment vertical="center"/>
    </xf>
    <xf numFmtId="0" fontId="0" fillId="0" borderId="164" xfId="0" applyBorder="1" applyAlignment="1">
      <alignment horizontal="center" vertical="center"/>
    </xf>
    <xf numFmtId="191" fontId="0" fillId="0" borderId="38" xfId="0" applyNumberFormat="1" applyBorder="1" applyAlignment="1">
      <alignment horizontal="center" vertical="center"/>
    </xf>
    <xf numFmtId="9" fontId="63" fillId="12" borderId="100" xfId="15" applyFont="1" applyFill="1" applyBorder="1" applyAlignment="1">
      <alignment horizontal="center" vertical="center" wrapText="1"/>
    </xf>
    <xf numFmtId="0" fontId="63" fillId="12" borderId="100" xfId="15" applyNumberFormat="1" applyFont="1" applyFill="1" applyBorder="1" applyAlignment="1">
      <alignment horizontal="center" vertical="center" wrapText="1"/>
    </xf>
    <xf numFmtId="9" fontId="75" fillId="12" borderId="38" xfId="15" applyFont="1" applyFill="1" applyBorder="1" applyAlignment="1">
      <alignment horizontal="center" vertical="center" wrapText="1"/>
    </xf>
    <xf numFmtId="3" fontId="62" fillId="37" borderId="153" xfId="0" applyNumberFormat="1" applyFont="1" applyFill="1" applyBorder="1" applyAlignment="1">
      <alignment horizontal="center" vertical="center"/>
    </xf>
    <xf numFmtId="188" fontId="74" fillId="45" borderId="0" xfId="15" applyNumberFormat="1" applyFont="1" applyFill="1" applyAlignment="1">
      <alignment horizontal="center"/>
    </xf>
    <xf numFmtId="4" fontId="6" fillId="0" borderId="156" xfId="28" applyNumberFormat="1" applyBorder="1" applyAlignment="1">
      <alignment horizontal="center"/>
    </xf>
    <xf numFmtId="3" fontId="5" fillId="42" borderId="136" xfId="29" applyNumberFormat="1" applyFill="1" applyBorder="1" applyAlignment="1">
      <alignment horizontal="center" vertical="center"/>
    </xf>
    <xf numFmtId="0" fontId="73" fillId="0" borderId="0" xfId="23" applyFont="1" applyAlignment="1">
      <alignment horizontal="center"/>
    </xf>
    <xf numFmtId="14" fontId="83" fillId="0" borderId="0" xfId="0" applyNumberFormat="1" applyFont="1"/>
    <xf numFmtId="0" fontId="34" fillId="8" borderId="0" xfId="0" applyFont="1" applyFill="1"/>
    <xf numFmtId="3" fontId="84" fillId="0" borderId="0" xfId="0" applyNumberFormat="1" applyFont="1" applyAlignment="1">
      <alignment horizontal="center" vertical="center"/>
    </xf>
    <xf numFmtId="0" fontId="9" fillId="8" borderId="0" xfId="0" applyFont="1" applyFill="1" applyAlignment="1">
      <alignment wrapText="1"/>
    </xf>
    <xf numFmtId="0" fontId="9" fillId="8" borderId="20" xfId="0" applyFont="1" applyFill="1" applyBorder="1" applyAlignment="1">
      <alignment horizontal="center" vertical="center" wrapText="1"/>
    </xf>
    <xf numFmtId="14" fontId="14" fillId="0" borderId="195" xfId="0" applyNumberFormat="1" applyFont="1" applyBorder="1" applyAlignment="1">
      <alignment horizontal="center" vertical="center"/>
    </xf>
    <xf numFmtId="14" fontId="14" fillId="0" borderId="196" xfId="0" applyNumberFormat="1" applyFont="1" applyBorder="1" applyAlignment="1">
      <alignment horizontal="center" vertical="center"/>
    </xf>
    <xf numFmtId="14" fontId="14" fillId="0" borderId="197" xfId="0" applyNumberFormat="1" applyFont="1" applyBorder="1" applyAlignment="1">
      <alignment horizontal="center" vertical="center"/>
    </xf>
    <xf numFmtId="0" fontId="9" fillId="0" borderId="200" xfId="0" applyFont="1" applyBorder="1" applyAlignment="1">
      <alignment horizontal="center" vertical="center"/>
    </xf>
    <xf numFmtId="0" fontId="0" fillId="0" borderId="201" xfId="0" applyBorder="1" applyAlignment="1">
      <alignment horizontal="center" vertical="center"/>
    </xf>
    <xf numFmtId="0" fontId="0" fillId="0" borderId="202" xfId="0" applyBorder="1"/>
    <xf numFmtId="0" fontId="0" fillId="0" borderId="202" xfId="0" quotePrefix="1" applyBorder="1"/>
    <xf numFmtId="2" fontId="0" fillId="23" borderId="206" xfId="15" applyNumberFormat="1" applyFont="1" applyFill="1" applyBorder="1" applyAlignment="1">
      <alignment horizontal="center"/>
    </xf>
    <xf numFmtId="181" fontId="0" fillId="23" borderId="206" xfId="15" applyNumberFormat="1" applyFont="1" applyFill="1" applyBorder="1" applyAlignment="1">
      <alignment horizontal="center"/>
    </xf>
    <xf numFmtId="182" fontId="0" fillId="23" borderId="206" xfId="15" applyNumberFormat="1" applyFont="1" applyFill="1" applyBorder="1" applyAlignment="1">
      <alignment horizontal="center"/>
    </xf>
    <xf numFmtId="182" fontId="0" fillId="23" borderId="206" xfId="0" applyNumberFormat="1" applyFill="1" applyBorder="1" applyAlignment="1">
      <alignment horizontal="center"/>
    </xf>
    <xf numFmtId="0" fontId="14" fillId="0" borderId="202" xfId="0" applyFont="1" applyBorder="1" applyAlignment="1">
      <alignment horizontal="center"/>
    </xf>
    <xf numFmtId="0" fontId="0" fillId="7" borderId="0" xfId="0" applyFill="1"/>
    <xf numFmtId="0" fontId="28" fillId="31" borderId="42" xfId="0" applyFont="1" applyFill="1" applyBorder="1" applyAlignment="1">
      <alignment horizontal="center"/>
    </xf>
    <xf numFmtId="0" fontId="28" fillId="31" borderId="209" xfId="0" applyFont="1" applyFill="1" applyBorder="1" applyAlignment="1">
      <alignment horizontal="center"/>
    </xf>
    <xf numFmtId="0" fontId="28" fillId="31" borderId="214" xfId="0" applyFont="1" applyFill="1" applyBorder="1" applyAlignment="1">
      <alignment horizontal="center"/>
    </xf>
    <xf numFmtId="0" fontId="28" fillId="31" borderId="215" xfId="0" applyFont="1" applyFill="1" applyBorder="1" applyAlignment="1">
      <alignment horizontal="center"/>
    </xf>
    <xf numFmtId="0" fontId="14" fillId="0" borderId="214" xfId="0" applyFont="1" applyBorder="1" applyAlignment="1">
      <alignment horizontal="center"/>
    </xf>
    <xf numFmtId="0" fontId="14" fillId="0" borderId="215" xfId="0" applyFont="1" applyBorder="1" applyAlignment="1">
      <alignment horizontal="center"/>
    </xf>
    <xf numFmtId="180" fontId="0" fillId="23" borderId="206" xfId="0" applyNumberFormat="1" applyFill="1" applyBorder="1" applyAlignment="1">
      <alignment horizontal="center"/>
    </xf>
    <xf numFmtId="0" fontId="0" fillId="0" borderId="214" xfId="0" applyBorder="1" applyAlignment="1">
      <alignment horizontal="center"/>
    </xf>
    <xf numFmtId="180" fontId="14" fillId="23" borderId="206" xfId="0" applyNumberFormat="1" applyFont="1" applyFill="1" applyBorder="1" applyAlignment="1">
      <alignment horizontal="center"/>
    </xf>
    <xf numFmtId="2" fontId="0" fillId="23" borderId="215" xfId="0" applyNumberFormat="1" applyFill="1" applyBorder="1" applyAlignment="1">
      <alignment horizontal="center"/>
    </xf>
    <xf numFmtId="2" fontId="34" fillId="23" borderId="215" xfId="15" applyNumberFormat="1" applyFont="1" applyFill="1" applyBorder="1" applyAlignment="1">
      <alignment horizontal="center"/>
    </xf>
    <xf numFmtId="0" fontId="36" fillId="12" borderId="94" xfId="25" applyFont="1" applyFill="1" applyBorder="1" applyAlignment="1">
      <alignment horizontal="center" vertical="center" wrapText="1"/>
    </xf>
    <xf numFmtId="0" fontId="87" fillId="12" borderId="94" xfId="25" applyFont="1" applyFill="1" applyBorder="1" applyAlignment="1">
      <alignment horizontal="center" vertical="center" wrapText="1"/>
    </xf>
    <xf numFmtId="192" fontId="0" fillId="31" borderId="82" xfId="0" applyNumberFormat="1" applyFill="1" applyBorder="1"/>
    <xf numFmtId="10" fontId="54" fillId="0" borderId="0" xfId="0" applyNumberFormat="1" applyFont="1"/>
    <xf numFmtId="10" fontId="9" fillId="0" borderId="0" xfId="25" applyNumberFormat="1"/>
    <xf numFmtId="9" fontId="9" fillId="0" borderId="0" xfId="25" applyNumberFormat="1"/>
    <xf numFmtId="193" fontId="0" fillId="31" borderId="82" xfId="0" applyNumberFormat="1" applyFill="1" applyBorder="1"/>
    <xf numFmtId="0" fontId="88" fillId="0" borderId="0" xfId="0" applyFont="1" applyAlignment="1">
      <alignment horizontal="right"/>
    </xf>
    <xf numFmtId="0" fontId="0" fillId="30" borderId="53" xfId="0" applyFill="1" applyBorder="1" applyAlignment="1">
      <alignment horizontal="center"/>
    </xf>
    <xf numFmtId="0" fontId="14" fillId="8" borderId="85" xfId="0" applyFont="1" applyFill="1" applyBorder="1" applyAlignment="1">
      <alignment horizontal="left" vertical="center"/>
    </xf>
    <xf numFmtId="10" fontId="0" fillId="8" borderId="86" xfId="15" applyNumberFormat="1" applyFont="1" applyFill="1" applyBorder="1" applyAlignment="1">
      <alignment horizontal="center" vertical="center"/>
    </xf>
    <xf numFmtId="9" fontId="9" fillId="0" borderId="0" xfId="23" applyNumberFormat="1"/>
    <xf numFmtId="181" fontId="9" fillId="0" borderId="0" xfId="23" applyNumberFormat="1"/>
    <xf numFmtId="10" fontId="9" fillId="0" borderId="0" xfId="15" applyNumberFormat="1"/>
    <xf numFmtId="0" fontId="9" fillId="0" borderId="0" xfId="23" quotePrefix="1"/>
    <xf numFmtId="38" fontId="106" fillId="77" borderId="223" xfId="73" applyNumberFormat="1" applyFont="1" applyFill="1" applyBorder="1" applyAlignment="1">
      <alignment horizontal="right" wrapText="1"/>
    </xf>
    <xf numFmtId="38" fontId="106" fillId="78" borderId="223" xfId="73" applyNumberFormat="1" applyFont="1" applyFill="1" applyBorder="1" applyAlignment="1">
      <alignment horizontal="right" wrapText="1"/>
    </xf>
    <xf numFmtId="10" fontId="9" fillId="0" borderId="0" xfId="25" applyNumberFormat="1" applyAlignment="1">
      <alignment wrapText="1"/>
    </xf>
    <xf numFmtId="10" fontId="0" fillId="0" borderId="0" xfId="0" applyNumberFormat="1" applyAlignment="1">
      <alignment wrapText="1"/>
    </xf>
    <xf numFmtId="0" fontId="0" fillId="0" borderId="49" xfId="0" applyBorder="1" applyAlignment="1">
      <alignment horizontal="center" vertical="center"/>
    </xf>
    <xf numFmtId="10" fontId="0" fillId="8" borderId="91" xfId="15" applyNumberFormat="1" applyFont="1" applyFill="1" applyBorder="1" applyAlignment="1">
      <alignment horizontal="center" vertical="center"/>
    </xf>
    <xf numFmtId="4" fontId="34" fillId="0" borderId="94" xfId="7" applyFont="1" applyFill="1" applyBorder="1" applyAlignment="1">
      <alignment horizontal="right" vertical="center" wrapText="1"/>
    </xf>
    <xf numFmtId="179" fontId="0" fillId="0" borderId="77" xfId="0" applyNumberFormat="1" applyBorder="1" applyAlignment="1">
      <alignment horizontal="center"/>
    </xf>
    <xf numFmtId="183" fontId="0" fillId="8" borderId="94" xfId="6" applyFont="1" applyFill="1" applyBorder="1" applyAlignment="1">
      <alignment horizontal="right" vertical="center" wrapText="1"/>
    </xf>
    <xf numFmtId="16" fontId="9" fillId="0" borderId="0" xfId="25" applyNumberFormat="1"/>
    <xf numFmtId="9" fontId="0" fillId="0" borderId="74" xfId="15" applyFont="1" applyBorder="1"/>
    <xf numFmtId="0" fontId="14" fillId="0" borderId="78" xfId="0" applyFont="1" applyBorder="1" applyAlignment="1">
      <alignment horizontal="left"/>
    </xf>
    <xf numFmtId="9" fontId="0" fillId="0" borderId="0" xfId="15" applyFont="1" applyBorder="1"/>
    <xf numFmtId="10" fontId="0" fillId="32" borderId="0" xfId="0" applyNumberFormat="1" applyFill="1"/>
    <xf numFmtId="9" fontId="9" fillId="0" borderId="0" xfId="0" applyNumberFormat="1" applyFont="1" applyAlignment="1">
      <alignment horizontal="center"/>
    </xf>
    <xf numFmtId="0" fontId="107" fillId="8" borderId="0" xfId="0" applyFont="1" applyFill="1" applyAlignment="1">
      <alignment wrapText="1"/>
    </xf>
    <xf numFmtId="0" fontId="9" fillId="0" borderId="0" xfId="25" applyAlignment="1">
      <alignment horizontal="center" vertical="center"/>
    </xf>
    <xf numFmtId="185" fontId="0" fillId="8" borderId="170" xfId="0" applyNumberFormat="1" applyFill="1" applyBorder="1" applyAlignment="1">
      <alignment horizontal="center"/>
    </xf>
    <xf numFmtId="0" fontId="9" fillId="8" borderId="0" xfId="0" applyFont="1" applyFill="1"/>
    <xf numFmtId="9" fontId="0" fillId="8" borderId="80" xfId="15" applyFont="1" applyFill="1" applyBorder="1" applyAlignment="1">
      <alignment horizontal="center"/>
    </xf>
    <xf numFmtId="0" fontId="0" fillId="0" borderId="0" xfId="25" applyFont="1" applyAlignment="1">
      <alignment horizontal="center" vertical="center"/>
    </xf>
    <xf numFmtId="181" fontId="0" fillId="8" borderId="170" xfId="15" applyNumberFormat="1" applyFont="1" applyFill="1" applyBorder="1" applyAlignment="1">
      <alignment horizontal="center"/>
    </xf>
    <xf numFmtId="185" fontId="27" fillId="18" borderId="170" xfId="0" applyNumberFormat="1" applyFont="1" applyFill="1" applyBorder="1" applyAlignment="1">
      <alignment horizontal="center"/>
    </xf>
    <xf numFmtId="0" fontId="79" fillId="0" borderId="37" xfId="0" applyFont="1" applyBorder="1"/>
    <xf numFmtId="0" fontId="0" fillId="79" borderId="2" xfId="0" applyFill="1" applyBorder="1"/>
    <xf numFmtId="3" fontId="66" fillId="37" borderId="136" xfId="0" applyNumberFormat="1" applyFont="1" applyFill="1" applyBorder="1" applyAlignment="1">
      <alignment horizontal="center" vertical="center"/>
    </xf>
    <xf numFmtId="10" fontId="40" fillId="0" borderId="0" xfId="0" applyNumberFormat="1" applyFont="1" applyAlignment="1">
      <alignment horizontal="center"/>
    </xf>
    <xf numFmtId="10" fontId="39" fillId="0" borderId="0" xfId="0" applyNumberFormat="1" applyFont="1"/>
    <xf numFmtId="0" fontId="76" fillId="5" borderId="95" xfId="4" applyFont="1" applyFill="1" applyBorder="1" applyAlignment="1">
      <alignment horizontal="center" vertical="center"/>
    </xf>
    <xf numFmtId="3" fontId="68" fillId="0" borderId="94" xfId="25" applyNumberFormat="1" applyFont="1" applyBorder="1" applyAlignment="1">
      <alignment horizontal="center" vertical="center"/>
    </xf>
    <xf numFmtId="194" fontId="68" fillId="34" borderId="94" xfId="25" applyNumberFormat="1" applyFont="1" applyFill="1" applyBorder="1"/>
    <xf numFmtId="194" fontId="68" fillId="34" borderId="94" xfId="25" applyNumberFormat="1" applyFont="1" applyFill="1" applyBorder="1" applyAlignment="1">
      <alignment horizontal="center" vertical="center"/>
    </xf>
    <xf numFmtId="4" fontId="9" fillId="0" borderId="94" xfId="25" applyNumberFormat="1" applyBorder="1" applyAlignment="1">
      <alignment vertical="center"/>
    </xf>
    <xf numFmtId="4" fontId="9" fillId="0" borderId="0" xfId="25" applyNumberFormat="1" applyAlignment="1">
      <alignment horizontal="center" vertical="center"/>
    </xf>
    <xf numFmtId="0" fontId="9" fillId="0" borderId="94" xfId="25" applyBorder="1" applyAlignment="1">
      <alignment horizontal="center" vertical="center" wrapText="1"/>
    </xf>
    <xf numFmtId="9" fontId="0" fillId="8" borderId="82" xfId="15" applyFont="1" applyFill="1" applyBorder="1" applyAlignment="1">
      <alignment horizontal="center"/>
    </xf>
    <xf numFmtId="182" fontId="59" fillId="39" borderId="137" xfId="0" applyNumberFormat="1" applyFont="1" applyFill="1" applyBorder="1" applyAlignment="1">
      <alignment horizontal="center" vertical="center"/>
    </xf>
    <xf numFmtId="0" fontId="26" fillId="12" borderId="17" xfId="0" applyFont="1" applyFill="1" applyBorder="1" applyAlignment="1">
      <alignment horizontal="center"/>
    </xf>
    <xf numFmtId="0" fontId="9" fillId="27" borderId="17" xfId="0" applyFont="1" applyFill="1" applyBorder="1" applyAlignment="1">
      <alignment horizontal="center"/>
    </xf>
    <xf numFmtId="0" fontId="109" fillId="0" borderId="0" xfId="0" applyFont="1"/>
    <xf numFmtId="3" fontId="54" fillId="0" borderId="127" xfId="0" applyNumberFormat="1" applyFont="1" applyBorder="1" applyAlignment="1">
      <alignment horizontal="center" vertical="center"/>
    </xf>
    <xf numFmtId="3" fontId="54" fillId="0" borderId="156" xfId="0" applyNumberFormat="1" applyFont="1" applyBorder="1" applyAlignment="1">
      <alignment horizontal="center" vertical="center"/>
    </xf>
    <xf numFmtId="3" fontId="54" fillId="0" borderId="136" xfId="0" applyNumberFormat="1" applyFont="1" applyBorder="1" applyAlignment="1">
      <alignment horizontal="center" vertical="center"/>
    </xf>
    <xf numFmtId="3" fontId="54" fillId="0" borderId="38" xfId="0" applyNumberFormat="1" applyFont="1" applyBorder="1" applyAlignment="1">
      <alignment horizontal="center" vertical="center"/>
    </xf>
    <xf numFmtId="3" fontId="26" fillId="0" borderId="136" xfId="0" applyNumberFormat="1" applyFont="1" applyBorder="1" applyAlignment="1">
      <alignment horizontal="center" vertical="center"/>
    </xf>
    <xf numFmtId="3" fontId="26" fillId="0" borderId="38" xfId="0" applyNumberFormat="1" applyFont="1" applyBorder="1" applyAlignment="1">
      <alignment horizontal="center" vertical="center"/>
    </xf>
    <xf numFmtId="3" fontId="26" fillId="0" borderId="127" xfId="0" applyNumberFormat="1" applyFont="1" applyBorder="1" applyAlignment="1">
      <alignment horizontal="center" vertical="center"/>
    </xf>
    <xf numFmtId="3" fontId="66" fillId="0" borderId="38" xfId="0" applyNumberFormat="1" applyFont="1" applyBorder="1" applyAlignment="1">
      <alignment horizontal="center" vertical="center"/>
    </xf>
    <xf numFmtId="3" fontId="66" fillId="0" borderId="127" xfId="0" applyNumberFormat="1" applyFont="1" applyBorder="1" applyAlignment="1">
      <alignment horizontal="center" vertical="center"/>
    </xf>
    <xf numFmtId="3" fontId="62" fillId="0" borderId="38" xfId="0" applyNumberFormat="1" applyFont="1" applyBorder="1" applyAlignment="1">
      <alignment horizontal="center" vertical="center"/>
    </xf>
    <xf numFmtId="3" fontId="62" fillId="0" borderId="127" xfId="0" applyNumberFormat="1" applyFont="1" applyBorder="1" applyAlignment="1">
      <alignment horizontal="center" vertical="center"/>
    </xf>
    <xf numFmtId="3" fontId="62" fillId="37" borderId="137" xfId="0" applyNumberFormat="1" applyFont="1" applyFill="1" applyBorder="1" applyAlignment="1">
      <alignment horizontal="center" vertical="center"/>
    </xf>
    <xf numFmtId="3" fontId="62" fillId="37" borderId="150" xfId="0" applyNumberFormat="1" applyFont="1" applyFill="1" applyBorder="1" applyAlignment="1">
      <alignment horizontal="center" vertical="center"/>
    </xf>
    <xf numFmtId="3" fontId="62" fillId="37" borderId="151" xfId="0" applyNumberFormat="1" applyFont="1" applyFill="1" applyBorder="1" applyAlignment="1">
      <alignment horizontal="center" vertical="center"/>
    </xf>
    <xf numFmtId="3" fontId="59" fillId="40" borderId="125" xfId="0" applyNumberFormat="1" applyFont="1" applyFill="1" applyBorder="1" applyAlignment="1">
      <alignment horizontal="center" vertical="center"/>
    </xf>
    <xf numFmtId="3" fontId="59" fillId="40" borderId="2" xfId="0" applyNumberFormat="1" applyFont="1" applyFill="1" applyBorder="1" applyAlignment="1">
      <alignment horizontal="center" vertical="center"/>
    </xf>
    <xf numFmtId="3" fontId="59" fillId="40" borderId="31" xfId="0" applyNumberFormat="1" applyFont="1" applyFill="1" applyBorder="1" applyAlignment="1">
      <alignment horizontal="center" vertical="center"/>
    </xf>
    <xf numFmtId="3" fontId="59" fillId="40" borderId="156" xfId="0" applyNumberFormat="1" applyFont="1" applyFill="1" applyBorder="1" applyAlignment="1">
      <alignment horizontal="center" vertical="center"/>
    </xf>
    <xf numFmtId="3" fontId="59" fillId="0" borderId="36" xfId="0" applyNumberFormat="1" applyFont="1" applyBorder="1" applyAlignment="1">
      <alignment horizontal="center" vertical="center"/>
    </xf>
    <xf numFmtId="3" fontId="59" fillId="40" borderId="136" xfId="0" applyNumberFormat="1" applyFont="1" applyFill="1" applyBorder="1" applyAlignment="1">
      <alignment horizontal="center" vertical="center"/>
    </xf>
    <xf numFmtId="3" fontId="59" fillId="40" borderId="38" xfId="0" applyNumberFormat="1" applyFont="1" applyFill="1" applyBorder="1" applyAlignment="1">
      <alignment horizontal="center" vertical="center"/>
    </xf>
    <xf numFmtId="3" fontId="59" fillId="40" borderId="36" xfId="0" applyNumberFormat="1" applyFont="1" applyFill="1" applyBorder="1" applyAlignment="1">
      <alignment horizontal="center" vertical="center"/>
    </xf>
    <xf numFmtId="3" fontId="59" fillId="40" borderId="127" xfId="0" applyNumberFormat="1" applyFont="1" applyFill="1" applyBorder="1" applyAlignment="1">
      <alignment horizontal="center" vertical="center"/>
    </xf>
    <xf numFmtId="3" fontId="59" fillId="0" borderId="125" xfId="0" applyNumberFormat="1" applyFont="1" applyBorder="1" applyAlignment="1">
      <alignment horizontal="center" vertical="center"/>
    </xf>
    <xf numFmtId="3" fontId="59" fillId="0" borderId="2" xfId="0" applyNumberFormat="1" applyFont="1" applyBorder="1" applyAlignment="1">
      <alignment horizontal="center" vertical="center"/>
    </xf>
    <xf numFmtId="3" fontId="59" fillId="0" borderId="156" xfId="0" applyNumberFormat="1" applyFont="1" applyBorder="1" applyAlignment="1">
      <alignment horizontal="center" vertical="center"/>
    </xf>
    <xf numFmtId="3" fontId="54" fillId="39" borderId="175" xfId="0" applyNumberFormat="1" applyFont="1" applyFill="1" applyBorder="1" applyAlignment="1">
      <alignment horizontal="center" vertical="center"/>
    </xf>
    <xf numFmtId="3" fontId="54" fillId="39" borderId="103" xfId="0" applyNumberFormat="1" applyFont="1" applyFill="1" applyBorder="1" applyAlignment="1">
      <alignment horizontal="center" vertical="center"/>
    </xf>
    <xf numFmtId="3" fontId="54" fillId="39" borderId="157" xfId="0" applyNumberFormat="1" applyFont="1" applyFill="1" applyBorder="1" applyAlignment="1">
      <alignment horizontal="center" vertical="center"/>
    </xf>
    <xf numFmtId="3" fontId="54" fillId="39" borderId="125" xfId="0" applyNumberFormat="1" applyFont="1" applyFill="1" applyBorder="1" applyAlignment="1">
      <alignment horizontal="center" vertical="center"/>
    </xf>
    <xf numFmtId="3" fontId="54" fillId="39" borderId="32" xfId="0" applyNumberFormat="1" applyFont="1" applyFill="1" applyBorder="1" applyAlignment="1">
      <alignment horizontal="center" vertical="center"/>
    </xf>
    <xf numFmtId="3" fontId="54" fillId="39" borderId="126" xfId="0" applyNumberFormat="1" applyFont="1" applyFill="1" applyBorder="1" applyAlignment="1">
      <alignment horizontal="center" vertical="center"/>
    </xf>
    <xf numFmtId="3" fontId="54" fillId="39" borderId="128" xfId="0" applyNumberFormat="1" applyFont="1" applyFill="1" applyBorder="1" applyAlignment="1">
      <alignment horizontal="center" vertical="center"/>
    </xf>
    <xf numFmtId="3" fontId="54" fillId="39" borderId="129" xfId="0" applyNumberFormat="1" applyFont="1" applyFill="1" applyBorder="1" applyAlignment="1">
      <alignment horizontal="center" vertical="center"/>
    </xf>
    <xf numFmtId="3" fontId="54" fillId="39" borderId="130" xfId="0" applyNumberFormat="1" applyFont="1" applyFill="1" applyBorder="1" applyAlignment="1">
      <alignment horizontal="center" vertical="center"/>
    </xf>
    <xf numFmtId="3" fontId="64" fillId="0" borderId="0" xfId="0" applyNumberFormat="1" applyFont="1" applyAlignment="1">
      <alignment horizontal="center"/>
    </xf>
    <xf numFmtId="3" fontId="54" fillId="0" borderId="2" xfId="0" applyNumberFormat="1" applyFont="1" applyBorder="1" applyAlignment="1">
      <alignment horizontal="center" vertical="center"/>
    </xf>
    <xf numFmtId="3" fontId="54" fillId="0" borderId="191" xfId="0" applyNumberFormat="1" applyFont="1" applyBorder="1" applyAlignment="1">
      <alignment horizontal="center" vertical="center"/>
    </xf>
    <xf numFmtId="3" fontId="54" fillId="0" borderId="126" xfId="0" applyNumberFormat="1" applyFont="1" applyBorder="1" applyAlignment="1">
      <alignment horizontal="center" vertical="center"/>
    </xf>
    <xf numFmtId="10" fontId="36" fillId="0" borderId="0" xfId="0" applyNumberFormat="1" applyFont="1"/>
    <xf numFmtId="3" fontId="66" fillId="37" borderId="38" xfId="0" applyNumberFormat="1" applyFont="1" applyFill="1" applyBorder="1" applyAlignment="1">
      <alignment horizontal="center" vertical="center"/>
    </xf>
    <xf numFmtId="3" fontId="66" fillId="37" borderId="36" xfId="0" applyNumberFormat="1" applyFont="1" applyFill="1" applyBorder="1" applyAlignment="1">
      <alignment horizontal="center" vertical="center"/>
    </xf>
    <xf numFmtId="3" fontId="62" fillId="0" borderId="36" xfId="0" applyNumberFormat="1" applyFont="1" applyBorder="1" applyAlignment="1">
      <alignment horizontal="center" vertical="center"/>
    </xf>
    <xf numFmtId="3" fontId="54" fillId="39" borderId="133" xfId="0" applyNumberFormat="1" applyFont="1" applyFill="1" applyBorder="1" applyAlignment="1">
      <alignment horizontal="center" vertical="center"/>
    </xf>
    <xf numFmtId="3" fontId="54" fillId="39" borderId="136" xfId="0" applyNumberFormat="1" applyFont="1" applyFill="1" applyBorder="1" applyAlignment="1">
      <alignment horizontal="center" vertical="center"/>
    </xf>
    <xf numFmtId="3" fontId="54" fillId="39" borderId="38" xfId="0" applyNumberFormat="1" applyFont="1" applyFill="1" applyBorder="1" applyAlignment="1">
      <alignment horizontal="center" vertical="center"/>
    </xf>
    <xf numFmtId="3" fontId="54" fillId="39" borderId="36" xfId="0" applyNumberFormat="1" applyFont="1" applyFill="1" applyBorder="1" applyAlignment="1">
      <alignment horizontal="center" vertical="center"/>
    </xf>
    <xf numFmtId="3" fontId="54" fillId="39" borderId="158" xfId="0" applyNumberFormat="1" applyFont="1" applyFill="1" applyBorder="1" applyAlignment="1">
      <alignment horizontal="center" vertical="center"/>
    </xf>
    <xf numFmtId="3" fontId="54" fillId="39" borderId="28" xfId="0" applyNumberFormat="1" applyFont="1" applyFill="1" applyBorder="1" applyAlignment="1">
      <alignment horizontal="center" vertical="center"/>
    </xf>
    <xf numFmtId="0" fontId="54" fillId="0" borderId="242" xfId="0" applyFont="1" applyBorder="1"/>
    <xf numFmtId="9" fontId="54" fillId="0" borderId="0" xfId="15" applyFont="1"/>
    <xf numFmtId="9" fontId="54" fillId="0" borderId="0" xfId="0" applyNumberFormat="1" applyFont="1"/>
    <xf numFmtId="9" fontId="36" fillId="0" borderId="0" xfId="15" applyFont="1"/>
    <xf numFmtId="9" fontId="36" fillId="0" borderId="0" xfId="0" applyNumberFormat="1" applyFont="1"/>
    <xf numFmtId="10" fontId="0" fillId="0" borderId="0" xfId="15" applyNumberFormat="1" applyFont="1" applyAlignment="1">
      <alignment horizontal="center"/>
    </xf>
    <xf numFmtId="0" fontId="47" fillId="30" borderId="52" xfId="0" applyFont="1" applyFill="1" applyBorder="1" applyAlignment="1">
      <alignment horizontal="left" vertical="center"/>
    </xf>
    <xf numFmtId="195" fontId="9" fillId="23" borderId="17" xfId="75" applyNumberFormat="1" applyFont="1" applyFill="1" applyBorder="1" applyAlignment="1">
      <alignment horizontal="center" vertical="center"/>
    </xf>
    <xf numFmtId="0" fontId="14" fillId="8" borderId="207" xfId="0" applyFont="1" applyFill="1" applyBorder="1" applyAlignment="1">
      <alignment horizontal="center" vertical="center" wrapText="1"/>
    </xf>
    <xf numFmtId="0" fontId="14" fillId="8" borderId="240" xfId="0" applyFont="1" applyFill="1" applyBorder="1" applyAlignment="1">
      <alignment horizontal="center" vertical="center" wrapText="1"/>
    </xf>
    <xf numFmtId="0" fontId="14" fillId="0" borderId="241" xfId="0" applyFont="1" applyBorder="1" applyAlignment="1">
      <alignment horizontal="center" vertical="center" wrapText="1"/>
    </xf>
    <xf numFmtId="9" fontId="27" fillId="18" borderId="170" xfId="15" quotePrefix="1" applyFont="1" applyFill="1" applyBorder="1" applyAlignment="1">
      <alignment horizontal="center"/>
    </xf>
    <xf numFmtId="187" fontId="0" fillId="8" borderId="86" xfId="0" applyNumberFormat="1" applyFill="1" applyBorder="1" applyAlignment="1">
      <alignment horizontal="center" vertical="center"/>
    </xf>
    <xf numFmtId="0" fontId="14" fillId="0" borderId="52" xfId="0" applyFont="1" applyBorder="1"/>
    <xf numFmtId="0" fontId="0" fillId="8" borderId="0" xfId="0" applyFill="1" applyAlignment="1">
      <alignment wrapText="1"/>
    </xf>
    <xf numFmtId="0" fontId="47" fillId="13" borderId="58" xfId="0" applyFont="1" applyFill="1" applyBorder="1" applyAlignment="1">
      <alignment horizontal="center" vertical="center"/>
    </xf>
    <xf numFmtId="0" fontId="111" fillId="0" borderId="0" xfId="0" applyFont="1" applyAlignment="1">
      <alignment horizontal="center"/>
    </xf>
    <xf numFmtId="0" fontId="14" fillId="0" borderId="0" xfId="23" applyFont="1" applyAlignment="1">
      <alignment horizontal="center" vertical="center"/>
    </xf>
    <xf numFmtId="0" fontId="30" fillId="33" borderId="96" xfId="0" applyFont="1" applyFill="1" applyBorder="1" applyAlignment="1">
      <alignment horizontal="center" vertical="center"/>
    </xf>
    <xf numFmtId="183" fontId="36" fillId="19" borderId="0" xfId="0" applyNumberFormat="1" applyFont="1" applyFill="1" applyAlignment="1">
      <alignment horizontal="center" vertical="center"/>
    </xf>
    <xf numFmtId="183" fontId="59" fillId="0" borderId="133" xfId="0" applyNumberFormat="1" applyFont="1" applyBorder="1" applyAlignment="1">
      <alignment horizontal="center" vertical="center"/>
    </xf>
    <xf numFmtId="183" fontId="59" fillId="0" borderId="134" xfId="0" applyNumberFormat="1" applyFont="1" applyBorder="1" applyAlignment="1">
      <alignment horizontal="center" vertical="center"/>
    </xf>
    <xf numFmtId="183" fontId="59" fillId="0" borderId="136" xfId="0" applyNumberFormat="1" applyFont="1" applyBorder="1" applyAlignment="1">
      <alignment horizontal="center" vertical="center"/>
    </xf>
    <xf numFmtId="183" fontId="59" fillId="0" borderId="38" xfId="0" applyNumberFormat="1" applyFont="1" applyBorder="1" applyAlignment="1">
      <alignment horizontal="center" vertical="center"/>
    </xf>
    <xf numFmtId="183" fontId="59" fillId="0" borderId="127" xfId="0" applyNumberFormat="1" applyFont="1" applyBorder="1" applyAlignment="1">
      <alignment horizontal="center" vertical="center"/>
    </xf>
    <xf numFmtId="0" fontId="54" fillId="0" borderId="187" xfId="0" applyFont="1" applyBorder="1" applyAlignment="1">
      <alignment horizontal="center" vertical="center"/>
    </xf>
    <xf numFmtId="0" fontId="14" fillId="0" borderId="0" xfId="25" applyFont="1"/>
    <xf numFmtId="9" fontId="0" fillId="8" borderId="245" xfId="15" applyFont="1" applyFill="1" applyBorder="1" applyAlignment="1">
      <alignment horizontal="center" vertical="center"/>
    </xf>
    <xf numFmtId="2" fontId="0" fillId="0" borderId="0" xfId="25" applyNumberFormat="1" applyFont="1" applyAlignment="1">
      <alignment horizontal="center"/>
    </xf>
    <xf numFmtId="0" fontId="0" fillId="0" borderId="0" xfId="25" applyFont="1" applyAlignment="1">
      <alignment horizontal="center"/>
    </xf>
    <xf numFmtId="3" fontId="59" fillId="0" borderId="246" xfId="0" applyNumberFormat="1" applyFont="1" applyBorder="1" applyAlignment="1">
      <alignment horizontal="center" vertical="center"/>
    </xf>
    <xf numFmtId="0" fontId="89" fillId="81" borderId="223" xfId="0" applyFont="1" applyFill="1" applyBorder="1" applyAlignment="1">
      <alignment horizontal="right" wrapText="1"/>
    </xf>
    <xf numFmtId="0" fontId="89" fillId="82" borderId="223" xfId="0" applyFont="1" applyFill="1" applyBorder="1" applyAlignment="1">
      <alignment horizontal="right" wrapText="1"/>
    </xf>
    <xf numFmtId="0" fontId="89" fillId="0" borderId="223" xfId="0" applyFont="1" applyBorder="1" applyAlignment="1">
      <alignment horizontal="right" wrapText="1"/>
    </xf>
    <xf numFmtId="0" fontId="89" fillId="0" borderId="223" xfId="0" applyFont="1" applyBorder="1" applyAlignment="1">
      <alignment wrapText="1"/>
    </xf>
    <xf numFmtId="0" fontId="113" fillId="0" borderId="223" xfId="0" applyFont="1" applyBorder="1" applyAlignment="1">
      <alignment wrapText="1"/>
    </xf>
    <xf numFmtId="0" fontId="89" fillId="82" borderId="223" xfId="0" applyFont="1" applyFill="1" applyBorder="1" applyAlignment="1">
      <alignment wrapText="1"/>
    </xf>
    <xf numFmtId="0" fontId="89" fillId="82" borderId="223" xfId="0" quotePrefix="1" applyFont="1" applyFill="1" applyBorder="1" applyAlignment="1">
      <alignment wrapText="1"/>
    </xf>
    <xf numFmtId="0" fontId="89" fillId="81" borderId="223" xfId="0" applyFont="1" applyFill="1" applyBorder="1" applyAlignment="1">
      <alignment wrapText="1"/>
    </xf>
    <xf numFmtId="0" fontId="89" fillId="81" borderId="223" xfId="0" quotePrefix="1" applyFont="1" applyFill="1" applyBorder="1" applyAlignment="1">
      <alignment wrapText="1"/>
    </xf>
    <xf numFmtId="0" fontId="0" fillId="83" borderId="0" xfId="0" applyFill="1"/>
    <xf numFmtId="0" fontId="113" fillId="82" borderId="223" xfId="0" applyFont="1" applyFill="1" applyBorder="1" applyAlignment="1">
      <alignment wrapText="1"/>
    </xf>
    <xf numFmtId="0" fontId="89" fillId="0" borderId="223" xfId="0" quotePrefix="1" applyFont="1" applyBorder="1" applyAlignment="1">
      <alignment wrapText="1"/>
    </xf>
    <xf numFmtId="0" fontId="89" fillId="82" borderId="247" xfId="0" applyFont="1" applyFill="1" applyBorder="1"/>
    <xf numFmtId="0" fontId="89" fillId="84" borderId="247" xfId="0" applyFont="1" applyFill="1" applyBorder="1"/>
    <xf numFmtId="0" fontId="113" fillId="81" borderId="223" xfId="0" applyFont="1" applyFill="1" applyBorder="1" applyAlignment="1">
      <alignment wrapText="1"/>
    </xf>
    <xf numFmtId="0" fontId="114" fillId="0" borderId="0" xfId="0" applyFont="1"/>
    <xf numFmtId="0" fontId="28" fillId="0" borderId="0" xfId="0" applyFont="1" applyAlignment="1">
      <alignment vertical="center"/>
    </xf>
    <xf numFmtId="0" fontId="34" fillId="0" borderId="0" xfId="0" applyFont="1"/>
    <xf numFmtId="183" fontId="36" fillId="0" borderId="0" xfId="0" applyNumberFormat="1" applyFont="1" applyAlignment="1">
      <alignment horizontal="center" vertical="center"/>
    </xf>
    <xf numFmtId="183" fontId="36" fillId="0" borderId="0" xfId="0" applyNumberFormat="1" applyFont="1"/>
    <xf numFmtId="183" fontId="24" fillId="19" borderId="0" xfId="0" applyNumberFormat="1" applyFont="1" applyFill="1" applyAlignment="1">
      <alignment horizontal="center" vertical="center"/>
    </xf>
    <xf numFmtId="183" fontId="24" fillId="0" borderId="0" xfId="0" applyNumberFormat="1" applyFont="1" applyAlignment="1">
      <alignment horizontal="center"/>
    </xf>
    <xf numFmtId="183" fontId="36" fillId="19" borderId="0" xfId="0" applyNumberFormat="1" applyFont="1" applyFill="1" applyAlignment="1">
      <alignment horizontal="center"/>
    </xf>
    <xf numFmtId="183" fontId="0" fillId="22" borderId="0" xfId="0" applyNumberFormat="1" applyFill="1"/>
    <xf numFmtId="1" fontId="24" fillId="0" borderId="0" xfId="75" applyNumberFormat="1" applyFont="1" applyAlignment="1">
      <alignment horizontal="center"/>
    </xf>
    <xf numFmtId="0" fontId="9" fillId="0" borderId="0" xfId="0" applyFont="1" applyAlignment="1">
      <alignment horizontal="center" vertical="center"/>
    </xf>
    <xf numFmtId="0" fontId="28" fillId="5" borderId="182" xfId="25" applyFont="1" applyFill="1" applyBorder="1" applyAlignment="1">
      <alignment horizontal="center" vertical="center"/>
    </xf>
    <xf numFmtId="0" fontId="28" fillId="5" borderId="183" xfId="25" applyFont="1" applyFill="1" applyBorder="1" applyAlignment="1">
      <alignment horizontal="center" vertical="center"/>
    </xf>
    <xf numFmtId="0" fontId="28" fillId="5" borderId="184" xfId="25" applyFont="1" applyFill="1" applyBorder="1" applyAlignment="1">
      <alignment horizontal="center" vertical="center"/>
    </xf>
    <xf numFmtId="0" fontId="47" fillId="80" borderId="49" xfId="0" applyFont="1" applyFill="1" applyBorder="1" applyAlignment="1">
      <alignment horizontal="center" vertical="center" wrapText="1"/>
    </xf>
    <xf numFmtId="176" fontId="47" fillId="10" borderId="49" xfId="76" applyFont="1" applyFill="1" applyBorder="1" applyAlignment="1">
      <alignment horizontal="center" vertical="center" wrapText="1"/>
    </xf>
    <xf numFmtId="0" fontId="47" fillId="16" borderId="49" xfId="0" applyFont="1" applyFill="1" applyBorder="1" applyAlignment="1">
      <alignment horizontal="center" vertical="center" wrapText="1"/>
    </xf>
    <xf numFmtId="2" fontId="0" fillId="4" borderId="82" xfId="0" applyNumberFormat="1" applyFill="1" applyBorder="1" applyAlignment="1">
      <alignment horizontal="center"/>
    </xf>
    <xf numFmtId="0" fontId="14" fillId="4" borderId="83" xfId="0" applyFont="1" applyFill="1" applyBorder="1" applyAlignment="1">
      <alignment horizontal="left" vertical="center"/>
    </xf>
    <xf numFmtId="0" fontId="14" fillId="4" borderId="85" xfId="0" applyFont="1" applyFill="1" applyBorder="1" applyAlignment="1">
      <alignment horizontal="left" vertical="center"/>
    </xf>
    <xf numFmtId="9" fontId="9" fillId="4" borderId="82" xfId="15" applyFont="1" applyFill="1" applyBorder="1" applyAlignment="1">
      <alignment horizontal="center" vertical="center"/>
    </xf>
    <xf numFmtId="0" fontId="11" fillId="0" borderId="0" xfId="78" applyFont="1" applyAlignment="1" applyProtection="1"/>
    <xf numFmtId="0" fontId="28" fillId="31" borderId="26" xfId="0" applyFont="1" applyFill="1" applyBorder="1" applyAlignment="1">
      <alignment vertical="center"/>
    </xf>
    <xf numFmtId="0" fontId="114" fillId="0" borderId="26" xfId="0" applyFont="1" applyBorder="1"/>
    <xf numFmtId="10" fontId="54" fillId="0" borderId="26" xfId="0" applyNumberFormat="1" applyFont="1" applyBorder="1"/>
    <xf numFmtId="9" fontId="63" fillId="34" borderId="242" xfId="15" applyFont="1" applyFill="1" applyBorder="1" applyAlignment="1">
      <alignment horizontal="center" vertical="center" wrapText="1"/>
    </xf>
    <xf numFmtId="0" fontId="9" fillId="0" borderId="104" xfId="0" applyFont="1" applyBorder="1" applyAlignment="1">
      <alignment horizontal="center" vertical="center"/>
    </xf>
    <xf numFmtId="0" fontId="9" fillId="0" borderId="254" xfId="0" applyFont="1" applyBorder="1" applyAlignment="1">
      <alignment horizontal="center" vertical="center"/>
    </xf>
    <xf numFmtId="4" fontId="36" fillId="19" borderId="0" xfId="0" applyNumberFormat="1" applyFont="1" applyFill="1" applyAlignment="1">
      <alignment horizontal="center"/>
    </xf>
    <xf numFmtId="4" fontId="0" fillId="24" borderId="1" xfId="15" applyNumberFormat="1" applyFont="1" applyFill="1" applyBorder="1" applyAlignment="1">
      <alignment horizontal="center"/>
    </xf>
    <xf numFmtId="4" fontId="0" fillId="24" borderId="37" xfId="15" applyNumberFormat="1" applyFont="1" applyFill="1" applyBorder="1" applyAlignment="1">
      <alignment horizontal="center"/>
    </xf>
    <xf numFmtId="10" fontId="36" fillId="19" borderId="0" xfId="15" applyNumberFormat="1" applyFont="1" applyFill="1" applyAlignment="1">
      <alignment horizontal="center"/>
    </xf>
    <xf numFmtId="10" fontId="36" fillId="19" borderId="0" xfId="0" applyNumberFormat="1" applyFont="1" applyFill="1" applyAlignment="1">
      <alignment horizontal="center"/>
    </xf>
    <xf numFmtId="0" fontId="116" fillId="0" borderId="0" xfId="0" applyFont="1"/>
    <xf numFmtId="0" fontId="0" fillId="8" borderId="17" xfId="0" applyFill="1" applyBorder="1" applyAlignment="1">
      <alignment horizontal="center" vertical="center" wrapText="1"/>
    </xf>
    <xf numFmtId="198" fontId="0" fillId="23" borderId="82" xfId="0" applyNumberFormat="1" applyFill="1" applyBorder="1" applyAlignment="1">
      <alignment horizontal="center"/>
    </xf>
    <xf numFmtId="198" fontId="0" fillId="0" borderId="82" xfId="0" applyNumberFormat="1" applyBorder="1" applyAlignment="1">
      <alignment horizontal="center"/>
    </xf>
    <xf numFmtId="196" fontId="0" fillId="0" borderId="82" xfId="0" applyNumberFormat="1" applyBorder="1" applyAlignment="1">
      <alignment horizontal="center"/>
    </xf>
    <xf numFmtId="199" fontId="0" fillId="23" borderId="82" xfId="0" applyNumberFormat="1" applyFill="1" applyBorder="1" applyAlignment="1">
      <alignment horizontal="center"/>
    </xf>
    <xf numFmtId="198" fontId="0" fillId="23" borderId="88" xfId="0" applyNumberFormat="1" applyFill="1" applyBorder="1" applyAlignment="1">
      <alignment horizontal="center"/>
    </xf>
    <xf numFmtId="198" fontId="0" fillId="3" borderId="88" xfId="0" applyNumberFormat="1" applyFill="1" applyBorder="1" applyAlignment="1">
      <alignment horizontal="center"/>
    </xf>
    <xf numFmtId="198" fontId="0" fillId="17" borderId="81" xfId="0" applyNumberFormat="1" applyFill="1" applyBorder="1" applyAlignment="1">
      <alignment horizontal="center"/>
    </xf>
    <xf numFmtId="198" fontId="9" fillId="23" borderId="17" xfId="0" applyNumberFormat="1" applyFont="1" applyFill="1" applyBorder="1" applyAlignment="1">
      <alignment horizontal="center"/>
    </xf>
    <xf numFmtId="196" fontId="9" fillId="23" borderId="17" xfId="0" applyNumberFormat="1" applyFont="1" applyFill="1" applyBorder="1" applyAlignment="1">
      <alignment horizontal="center"/>
    </xf>
    <xf numFmtId="196" fontId="0" fillId="0" borderId="38" xfId="0" applyNumberFormat="1" applyBorder="1" applyAlignment="1">
      <alignment horizontal="center"/>
    </xf>
    <xf numFmtId="196" fontId="63" fillId="0" borderId="38" xfId="0" applyNumberFormat="1" applyFont="1" applyBorder="1" applyAlignment="1">
      <alignment horizontal="center"/>
    </xf>
    <xf numFmtId="196" fontId="1" fillId="0" borderId="38" xfId="0" applyNumberFormat="1" applyFont="1" applyBorder="1" applyAlignment="1">
      <alignment horizontal="center"/>
    </xf>
    <xf numFmtId="0" fontId="14" fillId="8" borderId="87" xfId="0" applyFont="1" applyFill="1" applyBorder="1" applyAlignment="1">
      <alignment horizontal="left" vertical="center"/>
    </xf>
    <xf numFmtId="10" fontId="0" fillId="8" borderId="88" xfId="15" applyNumberFormat="1" applyFont="1" applyFill="1" applyBorder="1" applyAlignment="1">
      <alignment horizontal="center" vertical="center"/>
    </xf>
    <xf numFmtId="10" fontId="0" fillId="8" borderId="80" xfId="15" applyNumberFormat="1" applyFont="1" applyFill="1" applyBorder="1" applyAlignment="1">
      <alignment horizontal="center"/>
    </xf>
    <xf numFmtId="181" fontId="9" fillId="8" borderId="80" xfId="15" applyNumberFormat="1" applyFont="1" applyFill="1" applyBorder="1" applyAlignment="1">
      <alignment horizontal="center"/>
    </xf>
    <xf numFmtId="197" fontId="82" fillId="0" borderId="0" xfId="0" applyNumberFormat="1" applyFont="1"/>
    <xf numFmtId="2" fontId="0" fillId="8" borderId="86" xfId="15" applyNumberFormat="1" applyFont="1" applyFill="1" applyBorder="1" applyAlignment="1">
      <alignment horizontal="center"/>
    </xf>
    <xf numFmtId="196" fontId="0" fillId="4" borderId="80" xfId="0" applyNumberFormat="1" applyFill="1" applyBorder="1" applyAlignment="1">
      <alignment horizontal="center"/>
    </xf>
    <xf numFmtId="196" fontId="9" fillId="4" borderId="80" xfId="0" applyNumberFormat="1" applyFont="1" applyFill="1" applyBorder="1" applyAlignment="1">
      <alignment horizontal="center"/>
    </xf>
    <xf numFmtId="9" fontId="0" fillId="0" borderId="0" xfId="15" applyFont="1"/>
    <xf numFmtId="4" fontId="36" fillId="0" borderId="0" xfId="0" applyNumberFormat="1" applyFont="1"/>
    <xf numFmtId="3" fontId="1" fillId="42" borderId="36" xfId="29" applyNumberFormat="1" applyFont="1" applyFill="1" applyBorder="1" applyAlignment="1">
      <alignment horizontal="center" vertical="center"/>
    </xf>
    <xf numFmtId="0" fontId="1" fillId="0" borderId="38" xfId="0" applyFont="1" applyBorder="1"/>
    <xf numFmtId="2" fontId="0" fillId="23" borderId="17" xfId="0" applyNumberFormat="1" applyFill="1" applyBorder="1" applyAlignment="1">
      <alignment horizontal="center"/>
    </xf>
    <xf numFmtId="9" fontId="0" fillId="23" borderId="17" xfId="15" applyFont="1" applyFill="1" applyBorder="1" applyAlignment="1">
      <alignment horizontal="center"/>
    </xf>
    <xf numFmtId="0" fontId="120" fillId="0" borderId="0" xfId="0" applyFont="1"/>
    <xf numFmtId="0" fontId="121" fillId="0" borderId="0" xfId="0" applyFont="1"/>
    <xf numFmtId="10" fontId="9" fillId="8" borderId="91" xfId="15" applyNumberFormat="1" applyFont="1" applyFill="1" applyBorder="1" applyAlignment="1">
      <alignment horizontal="center" vertical="center"/>
    </xf>
    <xf numFmtId="179" fontId="0" fillId="0" borderId="0" xfId="0" applyNumberFormat="1" applyAlignment="1">
      <alignment horizontal="center"/>
    </xf>
    <xf numFmtId="179" fontId="14" fillId="0" borderId="59" xfId="0" applyNumberFormat="1" applyFont="1" applyBorder="1" applyAlignment="1">
      <alignment horizontal="center"/>
    </xf>
    <xf numFmtId="4" fontId="68" fillId="0" borderId="97" xfId="25" applyNumberFormat="1" applyFont="1" applyBorder="1" applyAlignment="1">
      <alignment horizontal="center" vertical="center"/>
    </xf>
    <xf numFmtId="3" fontId="52" fillId="33" borderId="257" xfId="5" applyFont="1" applyFill="1" applyBorder="1" applyAlignment="1">
      <alignment horizontal="right" vertical="center"/>
    </xf>
    <xf numFmtId="3" fontId="52" fillId="33" borderId="258" xfId="5" applyFont="1" applyFill="1" applyBorder="1" applyAlignment="1">
      <alignment horizontal="right" vertical="center"/>
    </xf>
    <xf numFmtId="9" fontId="0" fillId="0" borderId="0" xfId="0" applyNumberFormat="1" applyAlignment="1">
      <alignment horizontal="center"/>
    </xf>
    <xf numFmtId="0" fontId="9" fillId="0" borderId="0" xfId="23" quotePrefix="1" applyAlignment="1">
      <alignment horizontal="center"/>
    </xf>
    <xf numFmtId="0" fontId="9" fillId="0" borderId="0" xfId="23" applyAlignment="1">
      <alignment horizontal="center"/>
    </xf>
    <xf numFmtId="10" fontId="9" fillId="0" borderId="0" xfId="15" applyNumberFormat="1" applyAlignment="1">
      <alignment horizontal="center"/>
    </xf>
    <xf numFmtId="0" fontId="0" fillId="0" borderId="0" xfId="23" applyFont="1" applyAlignment="1">
      <alignment horizontal="center"/>
    </xf>
    <xf numFmtId="0" fontId="0" fillId="0" borderId="0" xfId="23" quotePrefix="1" applyFont="1" applyAlignment="1">
      <alignment horizontal="center"/>
    </xf>
    <xf numFmtId="0" fontId="81" fillId="0" borderId="259" xfId="0" applyFont="1" applyBorder="1" applyAlignment="1">
      <alignment horizontal="center" vertical="center" wrapText="1"/>
    </xf>
    <xf numFmtId="200" fontId="0" fillId="0" borderId="0" xfId="0" applyNumberFormat="1"/>
    <xf numFmtId="0" fontId="50" fillId="5" borderId="265" xfId="0" applyFont="1" applyFill="1" applyBorder="1" applyAlignment="1">
      <alignment horizontal="center"/>
    </xf>
    <xf numFmtId="0" fontId="0" fillId="0" borderId="26" xfId="0" applyBorder="1" applyAlignment="1">
      <alignment vertical="center"/>
    </xf>
    <xf numFmtId="0" fontId="0" fillId="0" borderId="30"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26" xfId="0" applyBorder="1" applyAlignment="1">
      <alignment horizontal="center" vertical="center"/>
    </xf>
    <xf numFmtId="0" fontId="0" fillId="0" borderId="32" xfId="0" applyBorder="1" applyAlignment="1">
      <alignment horizontal="center" vertical="center"/>
    </xf>
    <xf numFmtId="10" fontId="0" fillId="0" borderId="49" xfId="0" applyNumberFormat="1" applyBorder="1" applyAlignment="1">
      <alignment horizontal="center" vertical="center"/>
    </xf>
    <xf numFmtId="2" fontId="9" fillId="8" borderId="82" xfId="0" applyNumberFormat="1" applyFont="1" applyFill="1" applyBorder="1" applyAlignment="1">
      <alignment horizontal="center"/>
    </xf>
    <xf numFmtId="198" fontId="0" fillId="0" borderId="80" xfId="0" applyNumberFormat="1" applyBorder="1" applyAlignment="1">
      <alignment horizontal="center"/>
    </xf>
    <xf numFmtId="0" fontId="123" fillId="0" borderId="0" xfId="0" applyFont="1"/>
    <xf numFmtId="4" fontId="123" fillId="0" borderId="0" xfId="0" applyNumberFormat="1" applyFont="1"/>
    <xf numFmtId="3" fontId="63" fillId="0" borderId="102" xfId="0" applyNumberFormat="1" applyFont="1" applyBorder="1"/>
    <xf numFmtId="4" fontId="63" fillId="0" borderId="102" xfId="0" applyNumberFormat="1" applyFont="1" applyBorder="1"/>
    <xf numFmtId="3" fontId="63" fillId="0" borderId="26" xfId="0" applyNumberFormat="1" applyFont="1" applyBorder="1"/>
    <xf numFmtId="4" fontId="63" fillId="0" borderId="26" xfId="0" applyNumberFormat="1" applyFont="1" applyBorder="1"/>
    <xf numFmtId="3" fontId="63" fillId="0" borderId="0" xfId="0" applyNumberFormat="1" applyFont="1"/>
    <xf numFmtId="4" fontId="63" fillId="0" borderId="0" xfId="0" applyNumberFormat="1" applyFont="1"/>
    <xf numFmtId="4" fontId="114" fillId="8" borderId="38" xfId="0" applyNumberFormat="1" applyFont="1" applyFill="1" applyBorder="1"/>
    <xf numFmtId="0" fontId="0" fillId="0" borderId="155" xfId="0" applyBorder="1" applyAlignment="1">
      <alignment horizontal="center" vertical="center"/>
    </xf>
    <xf numFmtId="0" fontId="0" fillId="0" borderId="6" xfId="0" applyBorder="1" applyAlignment="1">
      <alignment horizontal="center" vertical="center"/>
    </xf>
    <xf numFmtId="0" fontId="0" fillId="0" borderId="31" xfId="0" applyBorder="1" applyAlignment="1">
      <alignment horizontal="center" vertical="center"/>
    </xf>
    <xf numFmtId="10" fontId="36" fillId="19" borderId="0" xfId="0" applyNumberFormat="1" applyFont="1" applyFill="1" applyAlignment="1">
      <alignment horizontal="center" vertical="center"/>
    </xf>
    <xf numFmtId="0" fontId="47" fillId="80" borderId="58" xfId="0" applyFont="1" applyFill="1" applyBorder="1" applyAlignment="1">
      <alignment horizontal="center" vertical="center" wrapText="1"/>
    </xf>
    <xf numFmtId="0" fontId="47" fillId="10" borderId="50" xfId="0" applyFont="1" applyFill="1" applyBorder="1" applyAlignment="1">
      <alignment horizontal="center" vertical="center" wrapText="1"/>
    </xf>
    <xf numFmtId="0" fontId="47" fillId="15" borderId="50" xfId="0" applyFont="1" applyFill="1" applyBorder="1" applyAlignment="1">
      <alignment horizontal="center" vertical="center" wrapText="1"/>
    </xf>
    <xf numFmtId="0" fontId="123" fillId="0" borderId="101" xfId="0" applyFont="1" applyBorder="1"/>
    <xf numFmtId="4" fontId="114" fillId="0" borderId="104" xfId="0" applyNumberFormat="1" applyFont="1" applyBorder="1"/>
    <xf numFmtId="4" fontId="114" fillId="0" borderId="103" xfId="0" applyNumberFormat="1" applyFont="1" applyBorder="1"/>
    <xf numFmtId="3" fontId="123" fillId="0" borderId="101" xfId="0" applyNumberFormat="1" applyFont="1" applyBorder="1"/>
    <xf numFmtId="3" fontId="114" fillId="0" borderId="104" xfId="0" applyNumberFormat="1" applyFont="1" applyBorder="1"/>
    <xf numFmtId="3" fontId="114" fillId="0" borderId="103" xfId="0" applyNumberFormat="1" applyFont="1" applyBorder="1"/>
    <xf numFmtId="14" fontId="81" fillId="0" borderId="259" xfId="0" applyNumberFormat="1" applyFont="1" applyBorder="1" applyAlignment="1">
      <alignment horizontal="center" vertical="center" wrapText="1"/>
    </xf>
    <xf numFmtId="10" fontId="0" fillId="0" borderId="80" xfId="15" applyNumberFormat="1" applyFont="1" applyFill="1" applyBorder="1" applyAlignment="1">
      <alignment horizontal="center"/>
    </xf>
    <xf numFmtId="181" fontId="0" fillId="0" borderId="80" xfId="15" applyNumberFormat="1" applyFont="1" applyFill="1" applyBorder="1" applyAlignment="1">
      <alignment horizontal="center"/>
    </xf>
    <xf numFmtId="181" fontId="9" fillId="0" borderId="80" xfId="15" applyNumberFormat="1" applyFont="1" applyFill="1" applyBorder="1" applyAlignment="1">
      <alignment horizontal="center"/>
    </xf>
    <xf numFmtId="2" fontId="0" fillId="0" borderId="82" xfId="15" applyNumberFormat="1" applyFont="1" applyFill="1" applyBorder="1" applyAlignment="1">
      <alignment horizontal="center"/>
    </xf>
    <xf numFmtId="0" fontId="14" fillId="0" borderId="0" xfId="23" applyFont="1" applyAlignment="1">
      <alignment horizontal="center"/>
    </xf>
    <xf numFmtId="14" fontId="122" fillId="0" borderId="0" xfId="0" applyNumberFormat="1" applyFont="1" applyAlignment="1">
      <alignment horizontal="center"/>
    </xf>
    <xf numFmtId="0" fontId="122" fillId="0" borderId="0" xfId="0" applyFont="1" applyAlignment="1">
      <alignment horizontal="center"/>
    </xf>
    <xf numFmtId="0" fontId="47" fillId="80" borderId="184" xfId="0" applyFont="1" applyFill="1" applyBorder="1" applyAlignment="1">
      <alignment horizontal="center" vertical="center" wrapText="1"/>
    </xf>
    <xf numFmtId="0" fontId="0" fillId="31" borderId="54" xfId="0" applyFill="1" applyBorder="1"/>
    <xf numFmtId="198" fontId="0" fillId="0" borderId="86" xfId="0" applyNumberFormat="1" applyBorder="1" applyAlignment="1">
      <alignment horizontal="center"/>
    </xf>
    <xf numFmtId="0" fontId="0" fillId="31" borderId="86" xfId="0" applyFill="1" applyBorder="1"/>
    <xf numFmtId="198" fontId="0" fillId="3" borderId="89" xfId="0" applyNumberFormat="1" applyFill="1" applyBorder="1" applyAlignment="1">
      <alignment horizontal="center"/>
    </xf>
    <xf numFmtId="3" fontId="59" fillId="0" borderId="37" xfId="0" applyNumberFormat="1" applyFont="1" applyBorder="1" applyAlignment="1">
      <alignment horizontal="center" vertical="center"/>
    </xf>
    <xf numFmtId="3" fontId="54" fillId="0" borderId="36" xfId="0" applyNumberFormat="1" applyFont="1" applyBorder="1" applyAlignment="1">
      <alignment horizontal="center" vertical="center"/>
    </xf>
    <xf numFmtId="3" fontId="66" fillId="0" borderId="36" xfId="0" quotePrefix="1" applyNumberFormat="1" applyFont="1" applyBorder="1" applyAlignment="1">
      <alignment horizontal="center" vertical="center"/>
    </xf>
    <xf numFmtId="3" fontId="66" fillId="0" borderId="36" xfId="0" applyNumberFormat="1" applyFont="1" applyBorder="1" applyAlignment="1">
      <alignment horizontal="center" vertical="center"/>
    </xf>
    <xf numFmtId="3" fontId="62" fillId="0" borderId="125" xfId="0" applyNumberFormat="1" applyFont="1" applyBorder="1" applyAlignment="1">
      <alignment horizontal="center" vertical="center"/>
    </xf>
    <xf numFmtId="3" fontId="62" fillId="0" borderId="246" xfId="0" applyNumberFormat="1" applyFont="1" applyBorder="1" applyAlignment="1">
      <alignment horizontal="center" vertical="center"/>
    </xf>
    <xf numFmtId="3" fontId="66" fillId="37" borderId="246" xfId="0" applyNumberFormat="1" applyFont="1" applyFill="1" applyBorder="1" applyAlignment="1">
      <alignment horizontal="center" vertical="center"/>
    </xf>
    <xf numFmtId="3" fontId="62" fillId="0" borderId="37" xfId="0" applyNumberFormat="1" applyFont="1" applyBorder="1" applyAlignment="1">
      <alignment horizontal="center" vertical="center"/>
    </xf>
    <xf numFmtId="3" fontId="66" fillId="37" borderId="37" xfId="0" applyNumberFormat="1" applyFont="1" applyFill="1" applyBorder="1" applyAlignment="1">
      <alignment horizontal="center" vertical="center"/>
    </xf>
    <xf numFmtId="181" fontId="34" fillId="37" borderId="3" xfId="15" applyNumberFormat="1" applyFont="1" applyFill="1" applyBorder="1" applyAlignment="1">
      <alignment horizontal="center" vertical="center"/>
    </xf>
    <xf numFmtId="3" fontId="66" fillId="37" borderId="2" xfId="0" applyNumberFormat="1" applyFont="1" applyFill="1" applyBorder="1" applyAlignment="1">
      <alignment horizontal="center" vertical="center"/>
    </xf>
    <xf numFmtId="3" fontId="59" fillId="0" borderId="3" xfId="0" applyNumberFormat="1" applyFont="1" applyBorder="1" applyAlignment="1">
      <alignment horizontal="center" vertical="center"/>
    </xf>
    <xf numFmtId="3" fontId="59" fillId="0" borderId="28" xfId="0" applyNumberFormat="1" applyFont="1" applyBorder="1" applyAlignment="1">
      <alignment horizontal="center" vertical="center"/>
    </xf>
    <xf numFmtId="3" fontId="59" fillId="0" borderId="31" xfId="0" applyNumberFormat="1" applyFont="1" applyBorder="1" applyAlignment="1">
      <alignment horizontal="center" vertical="center"/>
    </xf>
    <xf numFmtId="3" fontId="54" fillId="39" borderId="134" xfId="0" applyNumberFormat="1" applyFont="1" applyFill="1" applyBorder="1" applyAlignment="1">
      <alignment horizontal="center" vertical="center"/>
    </xf>
    <xf numFmtId="3" fontId="54" fillId="39" borderId="2" xfId="0" applyNumberFormat="1" applyFont="1" applyFill="1" applyBorder="1" applyAlignment="1">
      <alignment horizontal="center" vertical="center"/>
    </xf>
    <xf numFmtId="3" fontId="54" fillId="39" borderId="31" xfId="0" applyNumberFormat="1" applyFont="1" applyFill="1" applyBorder="1" applyAlignment="1">
      <alignment horizontal="center" vertical="center"/>
    </xf>
    <xf numFmtId="3" fontId="59" fillId="0" borderId="137" xfId="0" applyNumberFormat="1" applyFont="1" applyBorder="1" applyAlignment="1">
      <alignment horizontal="center" vertical="center"/>
    </xf>
    <xf numFmtId="3" fontId="59" fillId="0" borderId="150" xfId="0" applyNumberFormat="1" applyFont="1" applyBorder="1" applyAlignment="1">
      <alignment horizontal="center" vertical="center"/>
    </xf>
    <xf numFmtId="3" fontId="59" fillId="0" borderId="151" xfId="0" applyNumberFormat="1" applyFont="1" applyBorder="1" applyAlignment="1">
      <alignment horizontal="center" vertical="center"/>
    </xf>
    <xf numFmtId="3" fontId="54" fillId="39" borderId="152" xfId="0" applyNumberFormat="1" applyFont="1" applyFill="1" applyBorder="1" applyAlignment="1">
      <alignment horizontal="center" vertical="center"/>
    </xf>
    <xf numFmtId="3" fontId="59" fillId="0" borderId="153" xfId="0" applyNumberFormat="1" applyFont="1" applyBorder="1" applyAlignment="1">
      <alignment horizontal="center" vertical="center"/>
    </xf>
    <xf numFmtId="3" fontId="59" fillId="0" borderId="267" xfId="0" applyNumberFormat="1" applyFont="1" applyBorder="1" applyAlignment="1">
      <alignment horizontal="center" vertical="center"/>
    </xf>
    <xf numFmtId="3" fontId="60" fillId="12" borderId="34" xfId="0" applyNumberFormat="1" applyFont="1" applyFill="1" applyBorder="1" applyAlignment="1">
      <alignment horizontal="center" vertical="center"/>
    </xf>
    <xf numFmtId="3" fontId="59" fillId="0" borderId="133" xfId="0" applyNumberFormat="1" applyFont="1" applyBorder="1" applyAlignment="1">
      <alignment horizontal="center" vertical="center"/>
    </xf>
    <xf numFmtId="3" fontId="59" fillId="0" borderId="134" xfId="0" applyNumberFormat="1" applyFont="1" applyBorder="1" applyAlignment="1">
      <alignment horizontal="center" vertical="center"/>
    </xf>
    <xf numFmtId="3" fontId="59" fillId="0" borderId="152" xfId="0" applyNumberFormat="1" applyFont="1" applyBorder="1" applyAlignment="1">
      <alignment horizontal="center" vertical="center"/>
    </xf>
    <xf numFmtId="3" fontId="59" fillId="0" borderId="135" xfId="0" applyNumberFormat="1" applyFont="1" applyBorder="1" applyAlignment="1">
      <alignment horizontal="center" vertical="center"/>
    </xf>
    <xf numFmtId="3" fontId="59" fillId="0" borderId="268" xfId="0" applyNumberFormat="1" applyFont="1" applyBorder="1" applyAlignment="1">
      <alignment horizontal="center" vertical="center"/>
    </xf>
    <xf numFmtId="3" fontId="59" fillId="0" borderId="32" xfId="0" applyNumberFormat="1" applyFont="1" applyBorder="1" applyAlignment="1">
      <alignment horizontal="center" vertical="center"/>
    </xf>
    <xf numFmtId="3" fontId="1" fillId="42" borderId="31" xfId="29" applyNumberFormat="1" applyFont="1" applyFill="1" applyBorder="1" applyAlignment="1">
      <alignment horizontal="center" vertical="center"/>
    </xf>
    <xf numFmtId="3" fontId="59" fillId="0" borderId="4" xfId="0" applyNumberFormat="1" applyFont="1" applyBorder="1" applyAlignment="1">
      <alignment horizontal="center" vertical="center"/>
    </xf>
    <xf numFmtId="183" fontId="59" fillId="0" borderId="152" xfId="0" applyNumberFormat="1" applyFont="1" applyBorder="1" applyAlignment="1">
      <alignment horizontal="center" vertical="center"/>
    </xf>
    <xf numFmtId="3" fontId="59" fillId="40" borderId="191" xfId="0" applyNumberFormat="1" applyFont="1" applyFill="1" applyBorder="1" applyAlignment="1">
      <alignment horizontal="center" vertical="center"/>
    </xf>
    <xf numFmtId="3" fontId="59" fillId="39" borderId="37" xfId="0" applyNumberFormat="1" applyFont="1" applyFill="1" applyBorder="1" applyAlignment="1">
      <alignment horizontal="center" vertical="center"/>
    </xf>
    <xf numFmtId="3" fontId="59" fillId="39" borderId="158" xfId="0" quotePrefix="1" applyNumberFormat="1" applyFont="1" applyFill="1" applyBorder="1" applyAlignment="1">
      <alignment horizontal="center" vertical="center"/>
    </xf>
    <xf numFmtId="3" fontId="59" fillId="39" borderId="125" xfId="0" applyNumberFormat="1" applyFont="1" applyFill="1" applyBorder="1" applyAlignment="1">
      <alignment horizontal="center" vertical="center"/>
    </xf>
    <xf numFmtId="179" fontId="0" fillId="0" borderId="43" xfId="0" applyNumberFormat="1" applyBorder="1" applyAlignment="1">
      <alignment horizontal="center"/>
    </xf>
    <xf numFmtId="0" fontId="14" fillId="0" borderId="269" xfId="0" applyFont="1" applyBorder="1" applyAlignment="1">
      <alignment horizontal="center"/>
    </xf>
    <xf numFmtId="9" fontId="0" fillId="0" borderId="270" xfId="0" applyNumberFormat="1" applyBorder="1"/>
    <xf numFmtId="0" fontId="14" fillId="0" borderId="271" xfId="0" applyFont="1" applyBorder="1" applyAlignment="1">
      <alignment horizontal="center"/>
    </xf>
    <xf numFmtId="10" fontId="0" fillId="32" borderId="42" xfId="0" applyNumberFormat="1" applyFill="1" applyBorder="1"/>
    <xf numFmtId="9" fontId="14" fillId="0" borderId="55" xfId="0" applyNumberFormat="1" applyFont="1" applyBorder="1" applyAlignment="1">
      <alignment horizontal="center"/>
    </xf>
    <xf numFmtId="9" fontId="14" fillId="0" borderId="59" xfId="0" applyNumberFormat="1" applyFont="1" applyBorder="1" applyAlignment="1">
      <alignment horizontal="center"/>
    </xf>
    <xf numFmtId="0" fontId="14" fillId="8" borderId="272" xfId="0" applyFont="1" applyFill="1" applyBorder="1" applyAlignment="1">
      <alignment horizontal="center"/>
    </xf>
    <xf numFmtId="0" fontId="14" fillId="8" borderId="273" xfId="0" applyFont="1" applyFill="1" applyBorder="1" applyAlignment="1">
      <alignment horizontal="center"/>
    </xf>
    <xf numFmtId="0" fontId="0" fillId="32" borderId="42" xfId="0" applyFill="1" applyBorder="1"/>
    <xf numFmtId="0" fontId="14" fillId="8" borderId="274" xfId="0" applyFont="1" applyFill="1" applyBorder="1" applyAlignment="1">
      <alignment horizontal="center"/>
    </xf>
    <xf numFmtId="9" fontId="0" fillId="0" borderId="43" xfId="0" applyNumberFormat="1" applyBorder="1" applyAlignment="1">
      <alignment horizontal="center"/>
    </xf>
    <xf numFmtId="0" fontId="117" fillId="0" borderId="0" xfId="0" applyFont="1" applyAlignment="1">
      <alignment horizontal="center"/>
    </xf>
    <xf numFmtId="9" fontId="116" fillId="0" borderId="0" xfId="0" applyNumberFormat="1" applyFont="1"/>
    <xf numFmtId="10" fontId="116" fillId="0" borderId="0" xfId="0" applyNumberFormat="1" applyFont="1"/>
    <xf numFmtId="187" fontId="9" fillId="0" borderId="0" xfId="23" applyNumberFormat="1"/>
    <xf numFmtId="187" fontId="116" fillId="0" borderId="0" xfId="0" applyNumberFormat="1" applyFont="1"/>
    <xf numFmtId="0" fontId="116" fillId="0" borderId="0" xfId="0" applyFont="1" applyAlignment="1">
      <alignment horizontal="center"/>
    </xf>
    <xf numFmtId="10" fontId="116" fillId="0" borderId="0" xfId="0" applyNumberFormat="1" applyFont="1" applyAlignment="1">
      <alignment horizontal="center"/>
    </xf>
    <xf numFmtId="2" fontId="125" fillId="0" borderId="0" xfId="0" applyNumberFormat="1" applyFont="1"/>
    <xf numFmtId="10" fontId="9" fillId="0" borderId="0" xfId="23" applyNumberFormat="1" applyAlignment="1">
      <alignment horizontal="center"/>
    </xf>
    <xf numFmtId="3" fontId="9" fillId="0" borderId="0" xfId="23" applyNumberFormat="1"/>
    <xf numFmtId="10" fontId="116" fillId="0" borderId="0" xfId="0" applyNumberFormat="1" applyFont="1" applyAlignment="1">
      <alignment horizontal="right"/>
    </xf>
    <xf numFmtId="2" fontId="9" fillId="0" borderId="0" xfId="23" applyNumberFormat="1" applyAlignment="1">
      <alignment horizontal="center"/>
    </xf>
    <xf numFmtId="0" fontId="122" fillId="0" borderId="0" xfId="0" applyFont="1" applyAlignment="1">
      <alignment horizontal="right"/>
    </xf>
    <xf numFmtId="9" fontId="0" fillId="80" borderId="82" xfId="15" applyFont="1" applyFill="1" applyBorder="1" applyAlignment="1">
      <alignment horizontal="center"/>
    </xf>
    <xf numFmtId="2" fontId="0" fillId="9" borderId="80" xfId="0" applyNumberFormat="1" applyFill="1" applyBorder="1" applyAlignment="1">
      <alignment horizontal="center"/>
    </xf>
    <xf numFmtId="2" fontId="0" fillId="80" borderId="82" xfId="0" applyNumberFormat="1" applyFill="1" applyBorder="1" applyAlignment="1">
      <alignment horizontal="center"/>
    </xf>
    <xf numFmtId="198" fontId="0" fillId="9" borderId="81" xfId="0" applyNumberFormat="1" applyFill="1" applyBorder="1" applyAlignment="1">
      <alignment horizontal="center"/>
    </xf>
    <xf numFmtId="0" fontId="0" fillId="3" borderId="94" xfId="10" applyFont="1" applyBorder="1" applyAlignment="1">
      <alignment horizontal="center" vertical="center"/>
    </xf>
    <xf numFmtId="183" fontId="0" fillId="3" borderId="94" xfId="6" applyFont="1" applyBorder="1" applyAlignment="1">
      <alignment horizontal="right" vertical="center" wrapText="1"/>
    </xf>
    <xf numFmtId="4" fontId="0" fillId="3" borderId="94" xfId="7" applyFont="1" applyBorder="1" applyAlignment="1">
      <alignment horizontal="right" vertical="center" wrapText="1"/>
    </xf>
    <xf numFmtId="0" fontId="0" fillId="0" borderId="94" xfId="26" applyFont="1" applyBorder="1" applyAlignment="1">
      <alignment horizontal="right" vertical="center" wrapText="1"/>
    </xf>
    <xf numFmtId="0" fontId="0" fillId="0" borderId="0" xfId="0" applyAlignment="1">
      <alignment horizontal="right"/>
    </xf>
    <xf numFmtId="198" fontId="0" fillId="0" borderId="176" xfId="0" applyNumberFormat="1" applyBorder="1" applyAlignment="1">
      <alignment horizontal="center"/>
    </xf>
    <xf numFmtId="198" fontId="0" fillId="0" borderId="275" xfId="0" applyNumberFormat="1" applyBorder="1" applyAlignment="1">
      <alignment horizontal="center"/>
    </xf>
    <xf numFmtId="198" fontId="0" fillId="0" borderId="159" xfId="0" applyNumberFormat="1" applyBorder="1" applyAlignment="1">
      <alignment horizontal="center"/>
    </xf>
    <xf numFmtId="3" fontId="0" fillId="0" borderId="94" xfId="25" applyNumberFormat="1" applyFont="1" applyBorder="1" applyAlignment="1">
      <alignment vertical="center"/>
    </xf>
    <xf numFmtId="3" fontId="0" fillId="0" borderId="256" xfId="25" applyNumberFormat="1" applyFont="1" applyBorder="1" applyAlignment="1">
      <alignment vertical="center"/>
    </xf>
    <xf numFmtId="10" fontId="0" fillId="80" borderId="91" xfId="15" applyNumberFormat="1" applyFont="1" applyFill="1" applyBorder="1" applyAlignment="1">
      <alignment horizontal="center" vertical="center"/>
    </xf>
    <xf numFmtId="9" fontId="9" fillId="80" borderId="82" xfId="15" applyFont="1" applyFill="1" applyBorder="1" applyAlignment="1">
      <alignment horizontal="center" vertical="center"/>
    </xf>
    <xf numFmtId="0" fontId="15" fillId="8" borderId="85" xfId="0" applyFont="1" applyFill="1" applyBorder="1" applyAlignment="1">
      <alignment horizontal="left" vertical="center"/>
    </xf>
    <xf numFmtId="183" fontId="0" fillId="3" borderId="94" xfId="6" applyFont="1" applyBorder="1" applyAlignment="1">
      <alignment horizontal="center" vertical="center"/>
    </xf>
    <xf numFmtId="4" fontId="33" fillId="27" borderId="94" xfId="7" applyFont="1" applyFill="1" applyBorder="1" applyAlignment="1">
      <alignment horizontal="right" vertical="center"/>
    </xf>
    <xf numFmtId="4" fontId="33" fillId="12" borderId="94" xfId="7" applyFont="1" applyFill="1" applyBorder="1" applyAlignment="1">
      <alignment horizontal="right" vertical="center"/>
    </xf>
    <xf numFmtId="4" fontId="33" fillId="9" borderId="94" xfId="7" applyFont="1" applyFill="1" applyBorder="1" applyAlignment="1">
      <alignment horizontal="right" vertical="center"/>
    </xf>
    <xf numFmtId="4" fontId="26" fillId="27" borderId="94" xfId="7" applyFont="1" applyFill="1" applyBorder="1" applyAlignment="1">
      <alignment horizontal="right" vertical="center"/>
    </xf>
    <xf numFmtId="0" fontId="0" fillId="27" borderId="94" xfId="10" applyFont="1" applyFill="1" applyBorder="1" applyAlignment="1">
      <alignment horizontal="right" vertical="center"/>
    </xf>
    <xf numFmtId="191" fontId="68" fillId="34" borderId="94" xfId="25" applyNumberFormat="1" applyFont="1" applyFill="1" applyBorder="1" applyAlignment="1">
      <alignment horizontal="center" vertical="center"/>
    </xf>
    <xf numFmtId="0" fontId="111" fillId="20" borderId="0" xfId="0" applyFont="1" applyFill="1" applyAlignment="1">
      <alignment horizontal="center"/>
    </xf>
    <xf numFmtId="3" fontId="116" fillId="0" borderId="0" xfId="0" applyNumberFormat="1" applyFont="1" applyAlignment="1">
      <alignment horizontal="center"/>
    </xf>
    <xf numFmtId="3" fontId="52" fillId="85" borderId="96" xfId="5" applyFont="1" applyFill="1" applyBorder="1" applyAlignment="1">
      <alignment horizontal="right" vertical="center"/>
    </xf>
    <xf numFmtId="10" fontId="9" fillId="85" borderId="276" xfId="0" applyNumberFormat="1" applyFont="1" applyFill="1" applyBorder="1" applyAlignment="1">
      <alignment horizontal="center" vertical="center"/>
    </xf>
    <xf numFmtId="10" fontId="9" fillId="85" borderId="277" xfId="0" applyNumberFormat="1" applyFont="1" applyFill="1" applyBorder="1" applyAlignment="1">
      <alignment horizontal="center" vertical="center"/>
    </xf>
    <xf numFmtId="0" fontId="6" fillId="0" borderId="38" xfId="28" applyBorder="1"/>
    <xf numFmtId="3" fontId="54" fillId="0" borderId="37" xfId="0" applyNumberFormat="1" applyFont="1" applyBorder="1" applyAlignment="1">
      <alignment horizontal="center" vertical="center"/>
    </xf>
    <xf numFmtId="3" fontId="54" fillId="8" borderId="36" xfId="0" applyNumberFormat="1" applyFont="1" applyFill="1" applyBorder="1" applyAlignment="1">
      <alignment horizontal="center" vertical="center"/>
    </xf>
    <xf numFmtId="191" fontId="131" fillId="18" borderId="80" xfId="15" applyNumberFormat="1" applyFont="1" applyFill="1" applyBorder="1" applyAlignment="1">
      <alignment horizontal="center" vertical="center"/>
    </xf>
    <xf numFmtId="3" fontId="0" fillId="0" borderId="94" xfId="25" applyNumberFormat="1" applyFont="1" applyBorder="1" applyAlignment="1">
      <alignment horizontal="center" vertical="center"/>
    </xf>
    <xf numFmtId="0" fontId="0" fillId="0" borderId="94" xfId="25" applyFont="1" applyBorder="1" applyAlignment="1">
      <alignment horizontal="center" vertical="center"/>
    </xf>
    <xf numFmtId="0" fontId="34" fillId="0" borderId="0" xfId="0" applyFont="1" applyAlignment="1">
      <alignment horizontal="center"/>
    </xf>
    <xf numFmtId="0" fontId="111" fillId="86" borderId="0" xfId="0" applyFont="1" applyFill="1" applyAlignment="1">
      <alignment horizontal="center"/>
    </xf>
    <xf numFmtId="0" fontId="111" fillId="16" borderId="0" xfId="0" applyFont="1" applyFill="1" applyAlignment="1">
      <alignment horizontal="center"/>
    </xf>
    <xf numFmtId="3" fontId="66" fillId="0" borderId="37" xfId="0" applyNumberFormat="1" applyFont="1" applyBorder="1" applyAlignment="1">
      <alignment horizontal="center" vertical="center"/>
    </xf>
    <xf numFmtId="3" fontId="66" fillId="0" borderId="125" xfId="0" applyNumberFormat="1" applyFont="1" applyBorder="1" applyAlignment="1">
      <alignment horizontal="center" vertical="center"/>
    </xf>
    <xf numFmtId="3" fontId="66" fillId="0" borderId="2" xfId="0" applyNumberFormat="1" applyFont="1" applyBorder="1" applyAlignment="1">
      <alignment horizontal="center" vertical="center"/>
    </xf>
    <xf numFmtId="3" fontId="66" fillId="0" borderId="31" xfId="0" applyNumberFormat="1" applyFont="1" applyBorder="1" applyAlignment="1">
      <alignment horizontal="center" vertical="center"/>
    </xf>
    <xf numFmtId="3" fontId="9" fillId="0" borderId="38" xfId="0" applyNumberFormat="1" applyFont="1" applyBorder="1" applyAlignment="1">
      <alignment horizontal="center" vertical="center"/>
    </xf>
    <xf numFmtId="2" fontId="0" fillId="0" borderId="0" xfId="15" applyNumberFormat="1" applyFont="1"/>
    <xf numFmtId="3" fontId="62" fillId="0" borderId="158" xfId="0" applyNumberFormat="1" applyFont="1" applyBorder="1" applyAlignment="1">
      <alignment horizontal="center" vertical="center"/>
    </xf>
    <xf numFmtId="3" fontId="62" fillId="0" borderId="3" xfId="0" applyNumberFormat="1" applyFont="1" applyBorder="1" applyAlignment="1">
      <alignment horizontal="center" vertical="center"/>
    </xf>
    <xf numFmtId="3" fontId="62" fillId="0" borderId="163" xfId="0" applyNumberFormat="1" applyFont="1" applyBorder="1" applyAlignment="1">
      <alignment horizontal="center" vertical="center"/>
    </xf>
    <xf numFmtId="3" fontId="62" fillId="0" borderId="279" xfId="0" applyNumberFormat="1" applyFont="1" applyBorder="1" applyAlignment="1">
      <alignment horizontal="center" vertical="center"/>
    </xf>
    <xf numFmtId="3" fontId="62" fillId="0" borderId="4" xfId="0" applyNumberFormat="1" applyFont="1" applyBorder="1" applyAlignment="1">
      <alignment horizontal="center" vertical="center"/>
    </xf>
    <xf numFmtId="3" fontId="62" fillId="0" borderId="6" xfId="0" applyNumberFormat="1" applyFont="1" applyBorder="1" applyAlignment="1">
      <alignment horizontal="center" vertical="center"/>
    </xf>
    <xf numFmtId="3" fontId="0" fillId="0" borderId="37" xfId="0" applyNumberFormat="1" applyBorder="1" applyAlignment="1">
      <alignment horizontal="center" vertical="center"/>
    </xf>
    <xf numFmtId="3" fontId="9" fillId="0" borderId="36" xfId="0" applyNumberFormat="1" applyFont="1" applyBorder="1" applyAlignment="1">
      <alignment horizontal="center" vertical="center"/>
    </xf>
    <xf numFmtId="3" fontId="0" fillId="0" borderId="127" xfId="0" applyNumberFormat="1" applyBorder="1" applyAlignment="1">
      <alignment horizontal="center" vertical="center"/>
    </xf>
    <xf numFmtId="9" fontId="96" fillId="48" borderId="82" xfId="40" applyNumberFormat="1" applyBorder="1" applyAlignment="1">
      <alignment horizontal="center"/>
    </xf>
    <xf numFmtId="9" fontId="96" fillId="48" borderId="81" xfId="40" applyNumberFormat="1" applyBorder="1" applyAlignment="1">
      <alignment horizontal="center"/>
    </xf>
    <xf numFmtId="9" fontId="96" fillId="48" borderId="80" xfId="40" applyNumberFormat="1" applyBorder="1" applyAlignment="1">
      <alignment horizontal="center"/>
    </xf>
    <xf numFmtId="198" fontId="96" fillId="48" borderId="80" xfId="40" applyNumberFormat="1" applyBorder="1" applyAlignment="1">
      <alignment horizontal="center"/>
    </xf>
    <xf numFmtId="182" fontId="96" fillId="48" borderId="80" xfId="40" applyNumberFormat="1" applyBorder="1" applyAlignment="1">
      <alignment horizontal="center"/>
    </xf>
    <xf numFmtId="182" fontId="96" fillId="48" borderId="82" xfId="40" applyNumberFormat="1" applyBorder="1" applyAlignment="1">
      <alignment horizontal="center"/>
    </xf>
    <xf numFmtId="182" fontId="96" fillId="48" borderId="81" xfId="40" applyNumberFormat="1" applyBorder="1" applyAlignment="1">
      <alignment horizontal="center"/>
    </xf>
    <xf numFmtId="9" fontId="94" fillId="80" borderId="81" xfId="38" applyNumberFormat="1" applyFill="1" applyBorder="1" applyAlignment="1">
      <alignment horizontal="center"/>
    </xf>
    <xf numFmtId="2" fontId="36" fillId="0" borderId="0" xfId="0" applyNumberFormat="1" applyFont="1"/>
    <xf numFmtId="9" fontId="9" fillId="0" borderId="0" xfId="15"/>
    <xf numFmtId="10" fontId="54" fillId="0" borderId="280" xfId="0" applyNumberFormat="1" applyFont="1" applyBorder="1" applyAlignment="1">
      <alignment vertical="center"/>
    </xf>
    <xf numFmtId="10" fontId="132" fillId="0" borderId="215" xfId="0" applyNumberFormat="1" applyFont="1" applyBorder="1" applyAlignment="1">
      <alignment horizontal="center" vertical="center"/>
    </xf>
    <xf numFmtId="10" fontId="132" fillId="0" borderId="215" xfId="0" applyNumberFormat="1" applyFont="1" applyBorder="1" applyAlignment="1">
      <alignment horizontal="center" vertical="center" wrapText="1"/>
    </xf>
    <xf numFmtId="10" fontId="54" fillId="0" borderId="215" xfId="0" applyNumberFormat="1" applyFont="1" applyBorder="1" applyAlignment="1">
      <alignment vertical="center"/>
    </xf>
    <xf numFmtId="10" fontId="56" fillId="0" borderId="283" xfId="0" applyNumberFormat="1" applyFont="1" applyBorder="1" applyAlignment="1">
      <alignment horizontal="center" vertical="center"/>
    </xf>
    <xf numFmtId="183" fontId="36" fillId="19" borderId="0" xfId="0" quotePrefix="1" applyNumberFormat="1" applyFont="1" applyFill="1" applyAlignment="1">
      <alignment horizontal="center" vertical="center"/>
    </xf>
    <xf numFmtId="3" fontId="36" fillId="19" borderId="0" xfId="20" applyNumberFormat="1" applyFont="1" applyFill="1" applyAlignment="1">
      <alignment horizontal="center" vertical="center"/>
    </xf>
    <xf numFmtId="10" fontId="0" fillId="23" borderId="17" xfId="15" applyNumberFormat="1" applyFont="1" applyFill="1" applyBorder="1" applyAlignment="1">
      <alignment horizontal="center"/>
    </xf>
    <xf numFmtId="0" fontId="9" fillId="8" borderId="17" xfId="0" applyFont="1" applyFill="1" applyBorder="1" applyAlignment="1">
      <alignment horizontal="center" vertical="center" wrapText="1"/>
    </xf>
    <xf numFmtId="181" fontId="0" fillId="87" borderId="206" xfId="15" applyNumberFormat="1" applyFont="1" applyFill="1" applyBorder="1" applyAlignment="1">
      <alignment horizontal="center"/>
    </xf>
    <xf numFmtId="181" fontId="0" fillId="87" borderId="206" xfId="15" quotePrefix="1" applyNumberFormat="1" applyFont="1" applyFill="1" applyBorder="1" applyAlignment="1">
      <alignment horizontal="center"/>
    </xf>
    <xf numFmtId="181" fontId="9" fillId="8" borderId="17" xfId="15" applyNumberFormat="1" applyFont="1" applyFill="1" applyBorder="1" applyAlignment="1">
      <alignment horizontal="center"/>
    </xf>
    <xf numFmtId="10" fontId="124" fillId="0" borderId="0" xfId="0" applyNumberFormat="1" applyFont="1"/>
    <xf numFmtId="0" fontId="14" fillId="86" borderId="125" xfId="0" applyFont="1" applyFill="1" applyBorder="1" applyAlignment="1">
      <alignment horizontal="center"/>
    </xf>
    <xf numFmtId="10" fontId="0" fillId="0" borderId="100" xfId="0" applyNumberFormat="1" applyBorder="1" applyAlignment="1">
      <alignment horizontal="center"/>
    </xf>
    <xf numFmtId="3" fontId="54" fillId="39" borderId="284" xfId="0" applyNumberFormat="1" applyFont="1" applyFill="1" applyBorder="1" applyAlignment="1">
      <alignment horizontal="center" vertical="center"/>
    </xf>
    <xf numFmtId="3" fontId="54" fillId="39" borderId="285" xfId="0" applyNumberFormat="1" applyFont="1" applyFill="1" applyBorder="1" applyAlignment="1">
      <alignment horizontal="center" vertical="center"/>
    </xf>
    <xf numFmtId="0" fontId="35" fillId="0" borderId="6" xfId="0" applyFont="1" applyBorder="1" applyAlignment="1">
      <alignment horizontal="center"/>
    </xf>
    <xf numFmtId="10" fontId="9" fillId="0" borderId="30" xfId="23" applyNumberFormat="1" applyBorder="1"/>
    <xf numFmtId="0" fontId="9" fillId="85" borderId="30" xfId="23" applyFill="1" applyBorder="1"/>
    <xf numFmtId="0" fontId="35" fillId="0" borderId="31" xfId="0" applyFont="1" applyBorder="1" applyAlignment="1">
      <alignment horizontal="center"/>
    </xf>
    <xf numFmtId="187" fontId="116" fillId="0" borderId="26" xfId="0" applyNumberFormat="1" applyFont="1" applyBorder="1"/>
    <xf numFmtId="187" fontId="9" fillId="0" borderId="26" xfId="23" applyNumberFormat="1" applyBorder="1"/>
    <xf numFmtId="0" fontId="122" fillId="0" borderId="36" xfId="0" applyFont="1" applyBorder="1" applyAlignment="1">
      <alignment horizontal="center"/>
    </xf>
    <xf numFmtId="0" fontId="117" fillId="0" borderId="1" xfId="0" applyFont="1" applyBorder="1" applyAlignment="1">
      <alignment horizontal="center"/>
    </xf>
    <xf numFmtId="0" fontId="117" fillId="0" borderId="37" xfId="0" applyFont="1" applyBorder="1" applyAlignment="1">
      <alignment horizontal="center"/>
    </xf>
    <xf numFmtId="0" fontId="9" fillId="85" borderId="1" xfId="23" applyFill="1" applyBorder="1"/>
    <xf numFmtId="0" fontId="116" fillId="85" borderId="1" xfId="0" applyFont="1" applyFill="1" applyBorder="1"/>
    <xf numFmtId="10" fontId="9" fillId="85" borderId="1" xfId="23" applyNumberFormat="1" applyFill="1" applyBorder="1"/>
    <xf numFmtId="0" fontId="9" fillId="85" borderId="37" xfId="23" applyFill="1" applyBorder="1"/>
    <xf numFmtId="187" fontId="116" fillId="85" borderId="1" xfId="0" applyNumberFormat="1" applyFont="1" applyFill="1" applyBorder="1"/>
    <xf numFmtId="10" fontId="116" fillId="85" borderId="0" xfId="0" applyNumberFormat="1" applyFont="1" applyFill="1"/>
    <xf numFmtId="187" fontId="9" fillId="85" borderId="0" xfId="23" applyNumberFormat="1" applyFill="1"/>
    <xf numFmtId="187" fontId="9" fillId="85" borderId="26" xfId="23" applyNumberFormat="1" applyFill="1" applyBorder="1"/>
    <xf numFmtId="0" fontId="9" fillId="85" borderId="32" xfId="23" applyFill="1" applyBorder="1"/>
    <xf numFmtId="10" fontId="116" fillId="0" borderId="5" xfId="0" applyNumberFormat="1" applyFont="1" applyBorder="1"/>
    <xf numFmtId="10" fontId="116" fillId="0" borderId="29" xfId="0" applyNumberFormat="1" applyFont="1" applyBorder="1"/>
    <xf numFmtId="10" fontId="116" fillId="0" borderId="26" xfId="0" applyNumberFormat="1" applyFont="1" applyBorder="1"/>
    <xf numFmtId="10" fontId="116" fillId="0" borderId="32" xfId="0" applyNumberFormat="1" applyFont="1" applyBorder="1"/>
    <xf numFmtId="0" fontId="122" fillId="0" borderId="3" xfId="0" applyFont="1" applyBorder="1" applyAlignment="1">
      <alignment horizontal="center"/>
    </xf>
    <xf numFmtId="0" fontId="122" fillId="0" borderId="4" xfId="0" applyFont="1" applyBorder="1" applyAlignment="1">
      <alignment horizontal="center"/>
    </xf>
    <xf numFmtId="0" fontId="122" fillId="0" borderId="2" xfId="0" applyFont="1" applyBorder="1" applyAlignment="1">
      <alignment horizontal="center"/>
    </xf>
    <xf numFmtId="2" fontId="9" fillId="0" borderId="30" xfId="23" applyNumberFormat="1" applyBorder="1"/>
    <xf numFmtId="176" fontId="116" fillId="0" borderId="0" xfId="0" applyNumberFormat="1" applyFont="1"/>
    <xf numFmtId="10" fontId="9" fillId="0" borderId="30" xfId="23" applyNumberFormat="1" applyBorder="1" applyAlignment="1">
      <alignment horizontal="center"/>
    </xf>
    <xf numFmtId="187" fontId="9" fillId="0" borderId="30" xfId="23" applyNumberFormat="1" applyBorder="1" applyAlignment="1">
      <alignment horizontal="center"/>
    </xf>
    <xf numFmtId="187" fontId="116" fillId="12" borderId="0" xfId="0" applyNumberFormat="1" applyFont="1" applyFill="1"/>
    <xf numFmtId="187" fontId="116" fillId="0" borderId="30" xfId="0" applyNumberFormat="1" applyFont="1" applyBorder="1"/>
    <xf numFmtId="0" fontId="9" fillId="0" borderId="26" xfId="23" applyBorder="1" applyAlignment="1">
      <alignment horizontal="center"/>
    </xf>
    <xf numFmtId="10" fontId="9" fillId="0" borderId="26" xfId="23" applyNumberFormat="1" applyBorder="1" applyAlignment="1">
      <alignment horizontal="center"/>
    </xf>
    <xf numFmtId="10" fontId="9" fillId="0" borderId="32" xfId="23" applyNumberFormat="1" applyBorder="1" applyAlignment="1">
      <alignment horizontal="center"/>
    </xf>
    <xf numFmtId="0" fontId="14" fillId="0" borderId="4" xfId="23" applyFont="1" applyBorder="1" applyAlignment="1">
      <alignment horizontal="center"/>
    </xf>
    <xf numFmtId="10" fontId="14" fillId="0" borderId="2" xfId="23" applyNumberFormat="1" applyFont="1" applyBorder="1" applyAlignment="1">
      <alignment horizontal="center"/>
    </xf>
    <xf numFmtId="1" fontId="134" fillId="0" borderId="36" xfId="0" applyNumberFormat="1" applyFont="1" applyBorder="1"/>
    <xf numFmtId="1" fontId="134" fillId="0" borderId="1" xfId="0" applyNumberFormat="1" applyFont="1" applyBorder="1"/>
    <xf numFmtId="1" fontId="134" fillId="0" borderId="37" xfId="0" applyNumberFormat="1" applyFont="1" applyBorder="1"/>
    <xf numFmtId="0" fontId="9" fillId="0" borderId="32" xfId="23" applyBorder="1" applyAlignment="1">
      <alignment horizontal="center"/>
    </xf>
    <xf numFmtId="187" fontId="9" fillId="0" borderId="6" xfId="23" applyNumberFormat="1" applyBorder="1"/>
    <xf numFmtId="187" fontId="9" fillId="0" borderId="30" xfId="23" applyNumberFormat="1" applyBorder="1"/>
    <xf numFmtId="187" fontId="9" fillId="0" borderId="31" xfId="23" applyNumberFormat="1" applyBorder="1"/>
    <xf numFmtId="187" fontId="9" fillId="0" borderId="32" xfId="23" applyNumberFormat="1" applyBorder="1"/>
    <xf numFmtId="0" fontId="14" fillId="0" borderId="36" xfId="23" applyFont="1" applyBorder="1" applyAlignment="1">
      <alignment horizontal="center"/>
    </xf>
    <xf numFmtId="0" fontId="14" fillId="0" borderId="1" xfId="23" applyFont="1" applyBorder="1" applyAlignment="1">
      <alignment horizontal="center"/>
    </xf>
    <xf numFmtId="0" fontId="14" fillId="0" borderId="37" xfId="23" applyFont="1" applyBorder="1" applyAlignment="1">
      <alignment horizontal="center"/>
    </xf>
    <xf numFmtId="0" fontId="122" fillId="0" borderId="38" xfId="0" applyFont="1" applyBorder="1" applyAlignment="1">
      <alignment horizontal="center"/>
    </xf>
    <xf numFmtId="2" fontId="116" fillId="0" borderId="5" xfId="0" applyNumberFormat="1" applyFont="1" applyBorder="1" applyAlignment="1">
      <alignment horizontal="center"/>
    </xf>
    <xf numFmtId="4" fontId="116" fillId="0" borderId="5" xfId="0" applyNumberFormat="1" applyFont="1" applyBorder="1" applyAlignment="1">
      <alignment horizontal="center"/>
    </xf>
    <xf numFmtId="4" fontId="9" fillId="0" borderId="5" xfId="23" applyNumberFormat="1" applyBorder="1" applyAlignment="1">
      <alignment horizontal="center"/>
    </xf>
    <xf numFmtId="4" fontId="116" fillId="0" borderId="29" xfId="0" applyNumberFormat="1" applyFont="1" applyBorder="1" applyAlignment="1">
      <alignment horizontal="center"/>
    </xf>
    <xf numFmtId="2" fontId="116" fillId="0" borderId="0" xfId="0" applyNumberFormat="1" applyFont="1" applyAlignment="1">
      <alignment horizontal="center"/>
    </xf>
    <xf numFmtId="4" fontId="116" fillId="0" borderId="0" xfId="0" applyNumberFormat="1" applyFont="1" applyAlignment="1">
      <alignment horizontal="center"/>
    </xf>
    <xf numFmtId="4" fontId="9" fillId="0" borderId="0" xfId="23" applyNumberFormat="1" applyAlignment="1">
      <alignment horizontal="center"/>
    </xf>
    <xf numFmtId="4" fontId="116" fillId="0" borderId="30" xfId="0" applyNumberFormat="1" applyFont="1" applyBorder="1" applyAlignment="1">
      <alignment horizontal="center"/>
    </xf>
    <xf numFmtId="2" fontId="116" fillId="0" borderId="29" xfId="0" applyNumberFormat="1" applyFont="1" applyBorder="1" applyAlignment="1">
      <alignment horizontal="center"/>
    </xf>
    <xf numFmtId="2" fontId="116" fillId="0" borderId="30" xfId="0" applyNumberFormat="1" applyFont="1" applyBorder="1" applyAlignment="1">
      <alignment horizontal="center"/>
    </xf>
    <xf numFmtId="2" fontId="116" fillId="0" borderId="32" xfId="0" applyNumberFormat="1" applyFont="1" applyBorder="1" applyAlignment="1">
      <alignment horizontal="center"/>
    </xf>
    <xf numFmtId="187" fontId="116" fillId="0" borderId="32" xfId="0" applyNumberFormat="1" applyFont="1" applyBorder="1"/>
    <xf numFmtId="0" fontId="14" fillId="0" borderId="38" xfId="23" applyFont="1" applyBorder="1" applyAlignment="1">
      <alignment horizontal="center"/>
    </xf>
    <xf numFmtId="0" fontId="117" fillId="0" borderId="1" xfId="0" applyFont="1" applyBorder="1"/>
    <xf numFmtId="0" fontId="117" fillId="0" borderId="37" xfId="0" applyFont="1" applyBorder="1"/>
    <xf numFmtId="10" fontId="9" fillId="0" borderId="0" xfId="15" applyNumberFormat="1" applyBorder="1" applyAlignment="1">
      <alignment horizontal="center"/>
    </xf>
    <xf numFmtId="10" fontId="9" fillId="0" borderId="0" xfId="15" applyNumberFormat="1" applyBorder="1"/>
    <xf numFmtId="10" fontId="9" fillId="0" borderId="30" xfId="15" applyNumberFormat="1" applyBorder="1"/>
    <xf numFmtId="10" fontId="116" fillId="0" borderId="26" xfId="15" applyNumberFormat="1" applyFont="1" applyBorder="1" applyAlignment="1">
      <alignment horizontal="center"/>
    </xf>
    <xf numFmtId="10" fontId="9" fillId="0" borderId="26" xfId="15" applyNumberFormat="1" applyBorder="1"/>
    <xf numFmtId="10" fontId="9" fillId="0" borderId="32" xfId="15" applyNumberFormat="1" applyBorder="1"/>
    <xf numFmtId="0" fontId="122" fillId="0" borderId="32" xfId="0" applyFont="1" applyBorder="1" applyAlignment="1">
      <alignment horizontal="center"/>
    </xf>
    <xf numFmtId="10" fontId="116" fillId="0" borderId="0" xfId="15" applyNumberFormat="1" applyFont="1" applyBorder="1" applyAlignment="1">
      <alignment horizontal="center"/>
    </xf>
    <xf numFmtId="10" fontId="116" fillId="0" borderId="30" xfId="15" applyNumberFormat="1" applyFont="1" applyBorder="1" applyAlignment="1">
      <alignment horizontal="center"/>
    </xf>
    <xf numFmtId="10" fontId="116" fillId="0" borderId="32" xfId="15" applyNumberFormat="1" applyFont="1" applyBorder="1" applyAlignment="1">
      <alignment horizontal="center"/>
    </xf>
    <xf numFmtId="3" fontId="36" fillId="12" borderId="0" xfId="0" applyNumberFormat="1" applyFont="1" applyFill="1" applyAlignment="1">
      <alignment horizontal="center" vertical="center"/>
    </xf>
    <xf numFmtId="10" fontId="9" fillId="0" borderId="30" xfId="15" applyNumberFormat="1" applyBorder="1" applyAlignment="1">
      <alignment horizontal="center"/>
    </xf>
    <xf numFmtId="38" fontId="106" fillId="0" borderId="223" xfId="0" applyNumberFormat="1" applyFont="1" applyBorder="1" applyAlignment="1">
      <alignment horizontal="right"/>
    </xf>
    <xf numFmtId="202" fontId="106" fillId="0" borderId="223" xfId="0" applyNumberFormat="1" applyFont="1" applyBorder="1" applyAlignment="1">
      <alignment horizontal="right"/>
    </xf>
    <xf numFmtId="0" fontId="135" fillId="90" borderId="287" xfId="0" applyFont="1" applyFill="1" applyBorder="1" applyAlignment="1">
      <alignment horizontal="right"/>
    </xf>
    <xf numFmtId="201" fontId="63" fillId="89" borderId="5" xfId="0" applyNumberFormat="1" applyFont="1" applyFill="1" applyBorder="1" applyAlignment="1">
      <alignment horizontal="right"/>
    </xf>
    <xf numFmtId="201" fontId="63" fillId="89" borderId="29" xfId="0" applyNumberFormat="1" applyFont="1" applyFill="1" applyBorder="1" applyAlignment="1">
      <alignment horizontal="right"/>
    </xf>
    <xf numFmtId="38" fontId="106" fillId="0" borderId="291" xfId="0" applyNumberFormat="1" applyFont="1" applyBorder="1" applyAlignment="1">
      <alignment horizontal="right"/>
    </xf>
    <xf numFmtId="202" fontId="106" fillId="0" borderId="291" xfId="0" applyNumberFormat="1" applyFont="1" applyBorder="1" applyAlignment="1">
      <alignment horizontal="right"/>
    </xf>
    <xf numFmtId="38" fontId="106" fillId="0" borderId="294" xfId="0" applyNumberFormat="1" applyFont="1" applyBorder="1" applyAlignment="1">
      <alignment horizontal="right"/>
    </xf>
    <xf numFmtId="38" fontId="106" fillId="0" borderId="295" xfId="0" applyNumberFormat="1" applyFont="1" applyBorder="1" applyAlignment="1">
      <alignment horizontal="right"/>
    </xf>
    <xf numFmtId="203" fontId="9" fillId="0" borderId="0" xfId="75" applyNumberFormat="1" applyFont="1"/>
    <xf numFmtId="0" fontId="136" fillId="14" borderId="38" xfId="23" quotePrefix="1" applyFont="1" applyFill="1" applyBorder="1" applyAlignment="1">
      <alignment horizontal="center" vertical="center" wrapText="1"/>
    </xf>
    <xf numFmtId="0" fontId="136" fillId="14" borderId="38" xfId="23" applyFont="1" applyFill="1" applyBorder="1" applyAlignment="1">
      <alignment horizontal="center" vertical="center"/>
    </xf>
    <xf numFmtId="0" fontId="34" fillId="8" borderId="38" xfId="23" applyFont="1" applyFill="1" applyBorder="1" applyAlignment="1">
      <alignment vertical="center"/>
    </xf>
    <xf numFmtId="0" fontId="34" fillId="8" borderId="38" xfId="23" applyFont="1" applyFill="1" applyBorder="1" applyAlignment="1">
      <alignment horizontal="center" vertical="center"/>
    </xf>
    <xf numFmtId="10" fontId="34" fillId="17" borderId="296" xfId="15" applyNumberFormat="1" applyFont="1" applyFill="1" applyBorder="1" applyAlignment="1">
      <alignment horizontal="right" vertical="center"/>
    </xf>
    <xf numFmtId="10" fontId="34" fillId="17" borderId="296" xfId="15" applyNumberFormat="1" applyFont="1" applyFill="1" applyBorder="1" applyAlignment="1">
      <alignment horizontal="center" vertical="center"/>
    </xf>
    <xf numFmtId="10" fontId="34" fillId="17" borderId="38" xfId="15" applyNumberFormat="1" applyFont="1" applyFill="1" applyBorder="1" applyAlignment="1">
      <alignment horizontal="right" vertical="center"/>
    </xf>
    <xf numFmtId="10" fontId="34" fillId="17" borderId="38" xfId="15" applyNumberFormat="1" applyFont="1" applyFill="1" applyBorder="1" applyAlignment="1">
      <alignment horizontal="center" vertical="center"/>
    </xf>
    <xf numFmtId="0" fontId="136" fillId="8" borderId="38" xfId="23" applyFont="1" applyFill="1" applyBorder="1" applyAlignment="1">
      <alignment horizontal="right" vertical="center"/>
    </xf>
    <xf numFmtId="0" fontId="136" fillId="8" borderId="38" xfId="23" applyFont="1" applyFill="1" applyBorder="1" applyAlignment="1">
      <alignment horizontal="center" vertical="center"/>
    </xf>
    <xf numFmtId="10" fontId="136" fillId="8" borderId="38" xfId="23" quotePrefix="1" applyNumberFormat="1" applyFont="1" applyFill="1" applyBorder="1" applyAlignment="1">
      <alignment horizontal="center" vertical="center"/>
    </xf>
    <xf numFmtId="187" fontId="116" fillId="0" borderId="38" xfId="0" applyNumberFormat="1" applyFont="1" applyBorder="1"/>
    <xf numFmtId="181" fontId="34" fillId="0" borderId="133" xfId="29" applyNumberFormat="1" applyFont="1" applyBorder="1" applyAlignment="1">
      <alignment horizontal="center" vertical="center"/>
    </xf>
    <xf numFmtId="203" fontId="116" fillId="0" borderId="38" xfId="75" applyNumberFormat="1" applyFont="1" applyBorder="1"/>
    <xf numFmtId="204" fontId="116" fillId="0" borderId="38" xfId="75" applyNumberFormat="1" applyFont="1" applyBorder="1"/>
    <xf numFmtId="0" fontId="34" fillId="8" borderId="38" xfId="23" applyFont="1" applyFill="1" applyBorder="1" applyAlignment="1">
      <alignment horizontal="right" vertical="center"/>
    </xf>
    <xf numFmtId="204" fontId="34" fillId="8" borderId="38" xfId="23" applyNumberFormat="1" applyFont="1" applyFill="1" applyBorder="1" applyAlignment="1">
      <alignment horizontal="center" vertical="center"/>
    </xf>
    <xf numFmtId="204" fontId="116" fillId="0" borderId="38" xfId="0" applyNumberFormat="1" applyFont="1" applyBorder="1"/>
    <xf numFmtId="204" fontId="34" fillId="17" borderId="296" xfId="15" applyNumberFormat="1" applyFont="1" applyFill="1" applyBorder="1" applyAlignment="1">
      <alignment horizontal="center" vertical="center"/>
    </xf>
    <xf numFmtId="0" fontId="136" fillId="14" borderId="37" xfId="23" applyFont="1" applyFill="1" applyBorder="1" applyAlignment="1">
      <alignment horizontal="center" vertical="center"/>
    </xf>
    <xf numFmtId="204" fontId="116" fillId="0" borderId="37" xfId="0" applyNumberFormat="1" applyFont="1" applyBorder="1"/>
    <xf numFmtId="0" fontId="136" fillId="14" borderId="127" xfId="23" applyFont="1" applyFill="1" applyBorder="1" applyAlignment="1">
      <alignment horizontal="center" vertical="center"/>
    </xf>
    <xf numFmtId="204" fontId="34" fillId="17" borderId="298" xfId="15" applyNumberFormat="1" applyFont="1" applyFill="1" applyBorder="1" applyAlignment="1">
      <alignment horizontal="center" vertical="center"/>
    </xf>
    <xf numFmtId="204" fontId="116" fillId="0" borderId="127" xfId="0" applyNumberFormat="1" applyFont="1" applyBorder="1"/>
    <xf numFmtId="0" fontId="106" fillId="0" borderId="292" xfId="0" applyFont="1" applyBorder="1" applyAlignment="1">
      <alignment horizontal="left"/>
    </xf>
    <xf numFmtId="0" fontId="106" fillId="0" borderId="293" xfId="0" applyFont="1" applyBorder="1" applyAlignment="1">
      <alignment horizontal="left"/>
    </xf>
    <xf numFmtId="0" fontId="63" fillId="78" borderId="288" xfId="0" applyFont="1" applyFill="1" applyBorder="1" applyAlignment="1">
      <alignment horizontal="left"/>
    </xf>
    <xf numFmtId="0" fontId="63" fillId="78" borderId="289" xfId="0" applyFont="1" applyFill="1" applyBorder="1" applyAlignment="1">
      <alignment horizontal="left"/>
    </xf>
    <xf numFmtId="0" fontId="106" fillId="0" borderId="290" xfId="0" applyFont="1" applyBorder="1" applyAlignment="1">
      <alignment horizontal="left"/>
    </xf>
    <xf numFmtId="0" fontId="106" fillId="0" borderId="286" xfId="0" applyFont="1" applyBorder="1" applyAlignment="1">
      <alignment horizontal="left"/>
    </xf>
    <xf numFmtId="0" fontId="9" fillId="0" borderId="3" xfId="23" applyBorder="1" applyAlignment="1">
      <alignment horizontal="center"/>
    </xf>
    <xf numFmtId="0" fontId="9" fillId="0" borderId="2" xfId="23" applyBorder="1" applyAlignment="1">
      <alignment horizontal="center"/>
    </xf>
    <xf numFmtId="0" fontId="14" fillId="0" borderId="2" xfId="23" applyFont="1" applyBorder="1" applyAlignment="1">
      <alignment horizontal="center"/>
    </xf>
    <xf numFmtId="188" fontId="116" fillId="0" borderId="4" xfId="15" applyNumberFormat="1" applyFont="1" applyBorder="1" applyAlignment="1">
      <alignment horizontal="center"/>
    </xf>
    <xf numFmtId="188" fontId="116" fillId="0" borderId="2" xfId="15" applyNumberFormat="1" applyFont="1" applyBorder="1" applyAlignment="1">
      <alignment horizontal="center"/>
    </xf>
    <xf numFmtId="3" fontId="26" fillId="0" borderId="37" xfId="0" applyNumberFormat="1" applyFont="1" applyBorder="1" applyAlignment="1">
      <alignment horizontal="center" vertical="center"/>
    </xf>
    <xf numFmtId="0" fontId="136" fillId="34" borderId="38" xfId="23" quotePrefix="1" applyFont="1" applyFill="1" applyBorder="1" applyAlignment="1">
      <alignment horizontal="center" vertical="center" wrapText="1"/>
    </xf>
    <xf numFmtId="0" fontId="116" fillId="34" borderId="0" xfId="0" applyFont="1" applyFill="1" applyAlignment="1">
      <alignment horizontal="center"/>
    </xf>
    <xf numFmtId="0" fontId="9" fillId="34" borderId="0" xfId="23" applyFill="1" applyAlignment="1">
      <alignment horizontal="center"/>
    </xf>
    <xf numFmtId="0" fontId="9" fillId="34" borderId="0" xfId="23" applyFill="1"/>
    <xf numFmtId="14" fontId="137" fillId="34" borderId="0" xfId="0" applyNumberFormat="1" applyFont="1" applyFill="1" applyAlignment="1">
      <alignment horizontal="center"/>
    </xf>
    <xf numFmtId="0" fontId="9" fillId="0" borderId="0" xfId="23" applyAlignment="1">
      <alignment horizontal="right"/>
    </xf>
    <xf numFmtId="187" fontId="116" fillId="0" borderId="6" xfId="0" applyNumberFormat="1" applyFont="1" applyBorder="1"/>
    <xf numFmtId="187" fontId="116" fillId="0" borderId="31" xfId="0" applyNumberFormat="1" applyFont="1" applyBorder="1"/>
    <xf numFmtId="187" fontId="9" fillId="0" borderId="28" xfId="23" applyNumberFormat="1" applyBorder="1"/>
    <xf numFmtId="187" fontId="9" fillId="0" borderId="5" xfId="23" applyNumberFormat="1" applyBorder="1"/>
    <xf numFmtId="187" fontId="9" fillId="0" borderId="29" xfId="23" applyNumberFormat="1" applyBorder="1"/>
    <xf numFmtId="2" fontId="138" fillId="0" borderId="1" xfId="0" applyNumberFormat="1" applyFont="1" applyBorder="1" applyAlignment="1">
      <alignment horizontal="center"/>
    </xf>
    <xf numFmtId="2" fontId="138" fillId="0" borderId="37" xfId="0" applyNumberFormat="1" applyFont="1" applyBorder="1" applyAlignment="1">
      <alignment horizontal="center"/>
    </xf>
    <xf numFmtId="4" fontId="116" fillId="0" borderId="1" xfId="0" applyNumberFormat="1" applyFont="1" applyBorder="1" applyAlignment="1">
      <alignment horizontal="center"/>
    </xf>
    <xf numFmtId="4" fontId="9" fillId="0" borderId="1" xfId="23" applyNumberFormat="1" applyBorder="1" applyAlignment="1">
      <alignment horizontal="center"/>
    </xf>
    <xf numFmtId="4" fontId="116" fillId="0" borderId="37" xfId="0" applyNumberFormat="1" applyFont="1" applyBorder="1" applyAlignment="1">
      <alignment horizontal="center"/>
    </xf>
    <xf numFmtId="10" fontId="9" fillId="0" borderId="6" xfId="23" applyNumberFormat="1" applyBorder="1"/>
    <xf numFmtId="9" fontId="116" fillId="0" borderId="4" xfId="15" applyFont="1" applyBorder="1"/>
    <xf numFmtId="9" fontId="116" fillId="0" borderId="2" xfId="15" applyFont="1" applyBorder="1"/>
    <xf numFmtId="0" fontId="138" fillId="0" borderId="38" xfId="0" applyFont="1" applyBorder="1"/>
    <xf numFmtId="4" fontId="9" fillId="0" borderId="3" xfId="23" applyNumberFormat="1" applyBorder="1" applyAlignment="1">
      <alignment horizontal="center"/>
    </xf>
    <xf numFmtId="4" fontId="9" fillId="0" borderId="2" xfId="23" applyNumberFormat="1" applyBorder="1" applyAlignment="1">
      <alignment horizontal="center"/>
    </xf>
    <xf numFmtId="2" fontId="116" fillId="0" borderId="1" xfId="0" applyNumberFormat="1" applyFont="1" applyBorder="1" applyAlignment="1">
      <alignment horizontal="center"/>
    </xf>
    <xf numFmtId="2" fontId="116" fillId="0" borderId="37" xfId="0" applyNumberFormat="1" applyFont="1" applyBorder="1" applyAlignment="1">
      <alignment horizontal="center"/>
    </xf>
    <xf numFmtId="10" fontId="9" fillId="85" borderId="38" xfId="15" applyNumberFormat="1" applyFill="1" applyBorder="1" applyAlignment="1">
      <alignment horizontal="center"/>
    </xf>
    <xf numFmtId="4" fontId="9" fillId="0" borderId="3" xfId="0" applyNumberFormat="1" applyFont="1" applyBorder="1" applyAlignment="1">
      <alignment horizontal="center"/>
    </xf>
    <xf numFmtId="10" fontId="35" fillId="0" borderId="38" xfId="0" applyNumberFormat="1" applyFont="1" applyBorder="1" applyAlignment="1">
      <alignment horizontal="center"/>
    </xf>
    <xf numFmtId="0" fontId="14" fillId="0" borderId="1" xfId="23" applyFont="1" applyBorder="1"/>
    <xf numFmtId="0" fontId="14" fillId="0" borderId="37" xfId="23" applyFont="1" applyBorder="1"/>
    <xf numFmtId="204" fontId="117" fillId="0" borderId="38" xfId="75" applyNumberFormat="1" applyFont="1" applyBorder="1"/>
    <xf numFmtId="187" fontId="116" fillId="21" borderId="38" xfId="0" applyNumberFormat="1" applyFont="1" applyFill="1" applyBorder="1"/>
    <xf numFmtId="0" fontId="136" fillId="8" borderId="38" xfId="23" applyFont="1" applyFill="1" applyBorder="1" applyAlignment="1">
      <alignment horizontal="left"/>
    </xf>
    <xf numFmtId="10" fontId="136" fillId="17" borderId="296" xfId="15" applyNumberFormat="1" applyFont="1" applyFill="1" applyBorder="1" applyAlignment="1">
      <alignment horizontal="left"/>
    </xf>
    <xf numFmtId="10" fontId="136" fillId="17" borderId="38" xfId="15" applyNumberFormat="1" applyFont="1" applyFill="1" applyBorder="1" applyAlignment="1">
      <alignment horizontal="left"/>
    </xf>
    <xf numFmtId="14" fontId="137" fillId="34" borderId="0" xfId="0" applyNumberFormat="1" applyFont="1" applyFill="1" applyAlignment="1">
      <alignment horizontal="left"/>
    </xf>
    <xf numFmtId="0" fontId="136" fillId="14" borderId="299" xfId="23" applyFont="1" applyFill="1" applyBorder="1" applyAlignment="1">
      <alignment horizontal="center" vertical="center"/>
    </xf>
    <xf numFmtId="203" fontId="116" fillId="0" borderId="299" xfId="75" applyNumberFormat="1" applyFont="1" applyBorder="1"/>
    <xf numFmtId="204" fontId="116" fillId="0" borderId="299" xfId="75" applyNumberFormat="1" applyFont="1" applyBorder="1"/>
    <xf numFmtId="204" fontId="117" fillId="0" borderId="299" xfId="75" applyNumberFormat="1" applyFont="1" applyBorder="1"/>
    <xf numFmtId="203" fontId="116" fillId="85" borderId="37" xfId="75" applyNumberFormat="1" applyFont="1" applyFill="1" applyBorder="1"/>
    <xf numFmtId="203" fontId="116" fillId="85" borderId="38" xfId="75" applyNumberFormat="1" applyFont="1" applyFill="1" applyBorder="1"/>
    <xf numFmtId="181" fontId="34" fillId="0" borderId="136" xfId="15" applyNumberFormat="1" applyFont="1" applyFill="1" applyBorder="1" applyAlignment="1">
      <alignment horizontal="center" vertical="center"/>
    </xf>
    <xf numFmtId="181" fontId="34" fillId="0" borderId="36" xfId="15" applyNumberFormat="1" applyFont="1" applyFill="1" applyBorder="1" applyAlignment="1">
      <alignment horizontal="center" vertical="center"/>
    </xf>
    <xf numFmtId="181" fontId="34" fillId="0" borderId="127" xfId="15" applyNumberFormat="1" applyFont="1" applyFill="1" applyBorder="1" applyAlignment="1">
      <alignment horizontal="center" vertical="center"/>
    </xf>
    <xf numFmtId="181" fontId="34" fillId="0" borderId="1" xfId="15" applyNumberFormat="1" applyFont="1" applyFill="1" applyBorder="1" applyAlignment="1">
      <alignment horizontal="center" vertical="center"/>
    </xf>
    <xf numFmtId="203" fontId="116" fillId="85" borderId="299" xfId="75" applyNumberFormat="1" applyFont="1" applyFill="1" applyBorder="1"/>
    <xf numFmtId="203" fontId="116" fillId="21" borderId="37" xfId="75" applyNumberFormat="1" applyFont="1" applyFill="1" applyBorder="1"/>
    <xf numFmtId="203" fontId="116" fillId="21" borderId="38" xfId="75" applyNumberFormat="1" applyFont="1" applyFill="1" applyBorder="1"/>
    <xf numFmtId="203" fontId="116" fillId="21" borderId="299" xfId="75" applyNumberFormat="1" applyFont="1" applyFill="1" applyBorder="1"/>
    <xf numFmtId="204" fontId="116" fillId="21" borderId="300" xfId="75" applyNumberFormat="1" applyFont="1" applyFill="1" applyBorder="1"/>
    <xf numFmtId="204" fontId="116" fillId="21" borderId="38" xfId="75" applyNumberFormat="1" applyFont="1" applyFill="1" applyBorder="1"/>
    <xf numFmtId="204" fontId="138" fillId="21" borderId="37" xfId="75" applyNumberFormat="1" applyFont="1" applyFill="1" applyBorder="1"/>
    <xf numFmtId="204" fontId="138" fillId="21" borderId="299" xfId="75" applyNumberFormat="1" applyFont="1" applyFill="1" applyBorder="1"/>
    <xf numFmtId="204" fontId="117" fillId="21" borderId="300" xfId="75" applyNumberFormat="1" applyFont="1" applyFill="1" applyBorder="1"/>
    <xf numFmtId="204" fontId="117" fillId="21" borderId="38" xfId="75" applyNumberFormat="1" applyFont="1" applyFill="1" applyBorder="1"/>
    <xf numFmtId="10" fontId="116" fillId="21" borderId="38" xfId="0" applyNumberFormat="1" applyFont="1" applyFill="1" applyBorder="1" applyAlignment="1">
      <alignment horizontal="center" vertical="center"/>
    </xf>
    <xf numFmtId="10" fontId="116" fillId="21" borderId="299" xfId="0" applyNumberFormat="1" applyFont="1" applyFill="1" applyBorder="1" applyAlignment="1">
      <alignment horizontal="center" vertical="center"/>
    </xf>
    <xf numFmtId="10" fontId="116" fillId="21" borderId="37" xfId="0" applyNumberFormat="1" applyFont="1" applyFill="1" applyBorder="1" applyAlignment="1">
      <alignment horizontal="center" vertical="center"/>
    </xf>
    <xf numFmtId="3" fontId="116" fillId="21" borderId="38" xfId="0" applyNumberFormat="1" applyFont="1" applyFill="1" applyBorder="1" applyAlignment="1">
      <alignment horizontal="center" vertical="center"/>
    </xf>
    <xf numFmtId="3" fontId="116" fillId="21" borderId="299" xfId="0" applyNumberFormat="1" applyFont="1" applyFill="1" applyBorder="1" applyAlignment="1">
      <alignment horizontal="center" vertical="center"/>
    </xf>
    <xf numFmtId="3" fontId="116" fillId="21" borderId="37" xfId="0" applyNumberFormat="1" applyFont="1" applyFill="1" applyBorder="1" applyAlignment="1">
      <alignment horizontal="center" vertical="center"/>
    </xf>
    <xf numFmtId="0" fontId="136" fillId="14" borderId="300" xfId="23" applyFont="1" applyFill="1" applyBorder="1" applyAlignment="1">
      <alignment horizontal="center" vertical="center"/>
    </xf>
    <xf numFmtId="204" fontId="138" fillId="21" borderId="38" xfId="75" applyNumberFormat="1" applyFont="1" applyFill="1" applyBorder="1"/>
    <xf numFmtId="10" fontId="116" fillId="0" borderId="38" xfId="0" applyNumberFormat="1" applyFont="1" applyBorder="1" applyAlignment="1">
      <alignment horizontal="center" vertical="center"/>
    </xf>
    <xf numFmtId="0" fontId="34" fillId="8" borderId="0" xfId="23" applyFont="1" applyFill="1" applyAlignment="1">
      <alignment horizontal="center" vertical="center"/>
    </xf>
    <xf numFmtId="204" fontId="136" fillId="0" borderId="0" xfId="23" applyNumberFormat="1" applyFont="1" applyAlignment="1">
      <alignment horizontal="center" vertical="center"/>
    </xf>
    <xf numFmtId="0" fontId="136" fillId="0" borderId="0" xfId="23" applyFont="1" applyAlignment="1">
      <alignment horizontal="center" vertical="center"/>
    </xf>
    <xf numFmtId="0" fontId="136" fillId="8" borderId="0" xfId="23" applyFont="1" applyFill="1" applyAlignment="1">
      <alignment horizontal="center" vertical="center"/>
    </xf>
    <xf numFmtId="3" fontId="116" fillId="0" borderId="38" xfId="0" applyNumberFormat="1" applyFont="1" applyBorder="1"/>
    <xf numFmtId="3" fontId="116" fillId="0" borderId="38" xfId="0" applyNumberFormat="1" applyFont="1" applyBorder="1" applyAlignment="1">
      <alignment horizontal="center"/>
    </xf>
    <xf numFmtId="3" fontId="116" fillId="21" borderId="38" xfId="0" applyNumberFormat="1" applyFont="1" applyFill="1" applyBorder="1" applyAlignment="1">
      <alignment horizontal="center"/>
    </xf>
    <xf numFmtId="10" fontId="34" fillId="21" borderId="296" xfId="15" applyNumberFormat="1" applyFont="1" applyFill="1" applyBorder="1" applyAlignment="1">
      <alignment horizontal="center" vertical="center"/>
    </xf>
    <xf numFmtId="10" fontId="14" fillId="0" borderId="0" xfId="23" applyNumberFormat="1" applyFont="1" applyAlignment="1">
      <alignment horizontal="center"/>
    </xf>
    <xf numFmtId="204" fontId="139" fillId="21" borderId="37" xfId="75" applyNumberFormat="1" applyFont="1" applyFill="1" applyBorder="1"/>
    <xf numFmtId="204" fontId="34" fillId="85" borderId="297" xfId="15" applyNumberFormat="1" applyFont="1" applyFill="1" applyBorder="1" applyAlignment="1">
      <alignment horizontal="center" vertical="center"/>
    </xf>
    <xf numFmtId="204" fontId="34" fillId="85" borderId="296" xfId="15" applyNumberFormat="1" applyFont="1" applyFill="1" applyBorder="1" applyAlignment="1">
      <alignment horizontal="center" vertical="center"/>
    </xf>
    <xf numFmtId="204" fontId="116" fillId="85" borderId="37" xfId="0" applyNumberFormat="1" applyFont="1" applyFill="1" applyBorder="1"/>
    <xf numFmtId="204" fontId="116" fillId="85" borderId="38" xfId="0" applyNumberFormat="1" applyFont="1" applyFill="1" applyBorder="1"/>
    <xf numFmtId="204" fontId="9" fillId="0" borderId="0" xfId="23" applyNumberFormat="1"/>
    <xf numFmtId="181" fontId="34" fillId="0" borderId="152" xfId="29" applyNumberFormat="1" applyFont="1" applyBorder="1" applyAlignment="1">
      <alignment horizontal="center" vertical="center"/>
    </xf>
    <xf numFmtId="181" fontId="34" fillId="0" borderId="278" xfId="29" applyNumberFormat="1" applyFont="1" applyBorder="1" applyAlignment="1">
      <alignment horizontal="center" vertical="center"/>
    </xf>
    <xf numFmtId="3" fontId="59" fillId="0" borderId="30" xfId="0" applyNumberFormat="1" applyFont="1" applyBorder="1" applyAlignment="1">
      <alignment horizontal="center" vertical="center"/>
    </xf>
    <xf numFmtId="181" fontId="34" fillId="0" borderId="135" xfId="29" applyNumberFormat="1" applyFont="1" applyBorder="1" applyAlignment="1">
      <alignment horizontal="center" vertical="center"/>
    </xf>
    <xf numFmtId="1" fontId="34" fillId="17" borderId="296" xfId="15" applyNumberFormat="1" applyFont="1" applyFill="1" applyBorder="1" applyAlignment="1">
      <alignment horizontal="center"/>
    </xf>
    <xf numFmtId="1" fontId="34" fillId="17" borderId="38" xfId="15" applyNumberFormat="1" applyFont="1" applyFill="1" applyBorder="1" applyAlignment="1">
      <alignment horizontal="center"/>
    </xf>
    <xf numFmtId="195" fontId="34" fillId="17" borderId="296" xfId="75" applyNumberFormat="1" applyFont="1" applyFill="1" applyBorder="1" applyAlignment="1">
      <alignment horizontal="center"/>
    </xf>
    <xf numFmtId="195" fontId="34" fillId="8" borderId="38" xfId="75" applyNumberFormat="1" applyFont="1" applyFill="1" applyBorder="1" applyAlignment="1">
      <alignment horizontal="center" vertical="center"/>
    </xf>
    <xf numFmtId="195" fontId="34" fillId="17" borderId="38" xfId="75" applyNumberFormat="1" applyFont="1" applyFill="1" applyBorder="1" applyAlignment="1">
      <alignment horizontal="center"/>
    </xf>
    <xf numFmtId="10" fontId="9" fillId="0" borderId="105" xfId="0" applyNumberFormat="1" applyFont="1" applyBorder="1" applyAlignment="1">
      <alignment horizontal="center" vertical="center"/>
    </xf>
    <xf numFmtId="195" fontId="27" fillId="8" borderId="0" xfId="23" applyNumberFormat="1" applyFont="1" applyFill="1" applyAlignment="1">
      <alignment horizontal="center"/>
    </xf>
    <xf numFmtId="195" fontId="27" fillId="8" borderId="0" xfId="75" applyNumberFormat="1" applyFont="1" applyFill="1" applyAlignment="1">
      <alignment horizontal="center"/>
    </xf>
    <xf numFmtId="10" fontId="27" fillId="8" borderId="0" xfId="23" applyNumberFormat="1" applyFont="1" applyFill="1" applyAlignment="1">
      <alignment horizontal="center"/>
    </xf>
    <xf numFmtId="0" fontId="27" fillId="8" borderId="0" xfId="23" applyFont="1" applyFill="1"/>
    <xf numFmtId="0" fontId="27" fillId="8" borderId="0" xfId="23" applyFont="1" applyFill="1" applyAlignment="1">
      <alignment horizontal="center"/>
    </xf>
    <xf numFmtId="0" fontId="140" fillId="8" borderId="0" xfId="0" applyFont="1" applyFill="1" applyAlignment="1">
      <alignment horizontal="center"/>
    </xf>
    <xf numFmtId="1" fontId="141" fillId="8" borderId="0" xfId="0" applyNumberFormat="1" applyFont="1" applyFill="1"/>
    <xf numFmtId="0" fontId="9" fillId="0" borderId="47" xfId="0" applyFont="1" applyBorder="1" applyAlignment="1">
      <alignment horizontal="left" indent="1"/>
    </xf>
    <xf numFmtId="0" fontId="9" fillId="0" borderId="48" xfId="0" applyFont="1" applyBorder="1" applyAlignment="1">
      <alignment horizontal="left" indent="1"/>
    </xf>
    <xf numFmtId="0" fontId="47" fillId="5" borderId="27" xfId="0" applyFont="1" applyFill="1" applyBorder="1" applyAlignment="1">
      <alignment horizontal="center"/>
    </xf>
    <xf numFmtId="0" fontId="47" fillId="5" borderId="205" xfId="0" applyFont="1" applyFill="1" applyBorder="1" applyAlignment="1">
      <alignment horizontal="center"/>
    </xf>
    <xf numFmtId="0" fontId="47" fillId="5" borderId="202" xfId="0" applyFont="1" applyFill="1" applyBorder="1" applyAlignment="1">
      <alignment horizontal="center"/>
    </xf>
    <xf numFmtId="0" fontId="47" fillId="5" borderId="17" xfId="0" applyFont="1" applyFill="1" applyBorder="1" applyAlignment="1">
      <alignment horizontal="center"/>
    </xf>
    <xf numFmtId="0" fontId="47" fillId="5" borderId="214" xfId="0" applyFont="1" applyFill="1" applyBorder="1" applyAlignment="1">
      <alignment horizontal="center"/>
    </xf>
    <xf numFmtId="0" fontId="47" fillId="5" borderId="44" xfId="0" applyFont="1" applyFill="1" applyBorder="1" applyAlignment="1">
      <alignment horizontal="center"/>
    </xf>
    <xf numFmtId="0" fontId="46" fillId="18" borderId="42" xfId="0" applyFont="1" applyFill="1" applyBorder="1" applyAlignment="1">
      <alignment horizontal="center"/>
    </xf>
    <xf numFmtId="0" fontId="46" fillId="18" borderId="0" xfId="0" applyFont="1" applyFill="1" applyAlignment="1">
      <alignment horizontal="center"/>
    </xf>
    <xf numFmtId="0" fontId="46" fillId="18" borderId="43" xfId="0" applyFont="1" applyFill="1" applyBorder="1" applyAlignment="1">
      <alignment horizontal="center"/>
    </xf>
    <xf numFmtId="0" fontId="10" fillId="8" borderId="111" xfId="0" applyFont="1" applyFill="1" applyBorder="1" applyAlignment="1">
      <alignment horizontal="center" vertical="center" wrapText="1"/>
    </xf>
    <xf numFmtId="0" fontId="10" fillId="8" borderId="108" xfId="0" applyFont="1" applyFill="1" applyBorder="1" applyAlignment="1">
      <alignment horizontal="center" vertical="center" wrapText="1"/>
    </xf>
    <xf numFmtId="0" fontId="9" fillId="8" borderId="239" xfId="0" applyFont="1" applyFill="1" applyBorder="1" applyAlignment="1">
      <alignment horizontal="center" wrapText="1"/>
    </xf>
    <xf numFmtId="0" fontId="0" fillId="8" borderId="237" xfId="0" applyFill="1" applyBorder="1" applyAlignment="1">
      <alignment horizontal="center" wrapText="1"/>
    </xf>
    <xf numFmtId="0" fontId="0" fillId="8" borderId="238" xfId="0" applyFill="1" applyBorder="1" applyAlignment="1">
      <alignment horizontal="center" wrapText="1"/>
    </xf>
    <xf numFmtId="0" fontId="9" fillId="8" borderId="234" xfId="0" applyFont="1" applyFill="1" applyBorder="1" applyAlignment="1">
      <alignment horizontal="center" wrapText="1"/>
    </xf>
    <xf numFmtId="0" fontId="0" fillId="8" borderId="235" xfId="0" applyFill="1" applyBorder="1" applyAlignment="1">
      <alignment horizontal="center" wrapText="1"/>
    </xf>
    <xf numFmtId="0" fontId="0" fillId="8" borderId="236" xfId="0" applyFill="1" applyBorder="1" applyAlignment="1">
      <alignment horizontal="center" wrapText="1"/>
    </xf>
    <xf numFmtId="0" fontId="47" fillId="5" borderId="42" xfId="0" applyFont="1" applyFill="1" applyBorder="1" applyAlignment="1">
      <alignment horizontal="center"/>
    </xf>
    <xf numFmtId="0" fontId="47" fillId="5" borderId="0" xfId="0" applyFont="1" applyFill="1" applyAlignment="1">
      <alignment horizontal="center"/>
    </xf>
    <xf numFmtId="0" fontId="47" fillId="5" borderId="107" xfId="0" applyFont="1" applyFill="1" applyBorder="1" applyAlignment="1">
      <alignment horizontal="center"/>
    </xf>
    <xf numFmtId="0" fontId="28" fillId="31" borderId="121" xfId="0" applyFont="1" applyFill="1" applyBorder="1" applyAlignment="1">
      <alignment horizontal="center"/>
    </xf>
    <xf numFmtId="0" fontId="28" fillId="31" borderId="106" xfId="0" applyFont="1" applyFill="1" applyBorder="1" applyAlignment="1">
      <alignment horizontal="center"/>
    </xf>
    <xf numFmtId="0" fontId="28" fillId="31" borderId="169" xfId="0" applyFont="1" applyFill="1" applyBorder="1" applyAlignment="1">
      <alignment horizontal="center"/>
    </xf>
    <xf numFmtId="0" fontId="14" fillId="0" borderId="47" xfId="0" applyFont="1" applyBorder="1" applyAlignment="1">
      <alignment horizontal="left"/>
    </xf>
    <xf numFmtId="0" fontId="14" fillId="0" borderId="48" xfId="0" applyFont="1" applyBorder="1" applyAlignment="1">
      <alignment horizontal="left"/>
    </xf>
    <xf numFmtId="0" fontId="0" fillId="0" borderId="47" xfId="0" applyBorder="1" applyAlignment="1">
      <alignment horizontal="left"/>
    </xf>
    <xf numFmtId="0" fontId="0" fillId="0" borderId="48" xfId="0" applyBorder="1" applyAlignment="1">
      <alignment horizontal="left"/>
    </xf>
    <xf numFmtId="0" fontId="9" fillId="16" borderId="47" xfId="0" applyFont="1" applyFill="1" applyBorder="1" applyAlignment="1">
      <alignment horizontal="left"/>
    </xf>
    <xf numFmtId="0" fontId="9" fillId="16" borderId="48" xfId="0" applyFont="1" applyFill="1" applyBorder="1" applyAlignment="1">
      <alignment horizontal="left"/>
    </xf>
    <xf numFmtId="0" fontId="9" fillId="0" borderId="47" xfId="0" applyFont="1" applyBorder="1" applyAlignment="1">
      <alignment horizontal="left"/>
    </xf>
    <xf numFmtId="0" fontId="9" fillId="0" borderId="48" xfId="0" applyFont="1" applyBorder="1" applyAlignment="1">
      <alignment horizontal="left"/>
    </xf>
    <xf numFmtId="181" fontId="45" fillId="12" borderId="112" xfId="15" applyNumberFormat="1" applyFont="1" applyFill="1" applyBorder="1" applyAlignment="1">
      <alignment horizontal="center" vertical="center"/>
    </xf>
    <xf numFmtId="181" fontId="45" fillId="12" borderId="131" xfId="15" applyNumberFormat="1" applyFont="1" applyFill="1" applyBorder="1" applyAlignment="1">
      <alignment horizontal="center" vertical="center"/>
    </xf>
    <xf numFmtId="181" fontId="45" fillId="12" borderId="109" xfId="15" applyNumberFormat="1" applyFont="1" applyFill="1" applyBorder="1" applyAlignment="1">
      <alignment horizontal="center" vertical="center"/>
    </xf>
    <xf numFmtId="181" fontId="45" fillId="12" borderId="132" xfId="15" applyNumberFormat="1" applyFont="1" applyFill="1" applyBorder="1" applyAlignment="1">
      <alignment horizontal="center" vertical="center"/>
    </xf>
    <xf numFmtId="181" fontId="45" fillId="12" borderId="110" xfId="15" applyNumberFormat="1" applyFont="1" applyFill="1" applyBorder="1" applyAlignment="1">
      <alignment horizontal="center" vertical="center"/>
    </xf>
    <xf numFmtId="181" fontId="45" fillId="12" borderId="107" xfId="15" applyNumberFormat="1" applyFont="1" applyFill="1" applyBorder="1" applyAlignment="1">
      <alignment horizontal="center" vertical="center"/>
    </xf>
    <xf numFmtId="181" fontId="10" fillId="0" borderId="111" xfId="15" applyNumberFormat="1" applyFont="1" applyBorder="1" applyAlignment="1">
      <alignment horizontal="center" vertical="center" wrapText="1"/>
    </xf>
    <xf numFmtId="181" fontId="10" fillId="0" borderId="190" xfId="15" applyNumberFormat="1" applyFont="1" applyBorder="1" applyAlignment="1">
      <alignment horizontal="center" vertical="center" wrapText="1"/>
    </xf>
    <xf numFmtId="181" fontId="10" fillId="0" borderId="108" xfId="15" applyNumberFormat="1" applyFont="1" applyBorder="1" applyAlignment="1">
      <alignment horizontal="center" vertical="center" wrapText="1"/>
    </xf>
    <xf numFmtId="181" fontId="10" fillId="0" borderId="189" xfId="15" applyNumberFormat="1" applyFont="1" applyBorder="1" applyAlignment="1">
      <alignment horizontal="center" vertical="center" wrapText="1"/>
    </xf>
    <xf numFmtId="9" fontId="45" fillId="12" borderId="211" xfId="15" applyFont="1" applyFill="1" applyBorder="1" applyAlignment="1">
      <alignment horizontal="center" vertical="center"/>
    </xf>
    <xf numFmtId="9" fontId="45" fillId="12" borderId="212" xfId="15" applyFont="1" applyFill="1" applyBorder="1" applyAlignment="1">
      <alignment horizontal="center" vertical="center"/>
    </xf>
    <xf numFmtId="9" fontId="45" fillId="12" borderId="213" xfId="15" applyFont="1" applyFill="1" applyBorder="1" applyAlignment="1">
      <alignment horizontal="center" vertical="center"/>
    </xf>
    <xf numFmtId="0" fontId="28" fillId="31" borderId="109" xfId="0" applyFont="1" applyFill="1" applyBorder="1" applyAlignment="1">
      <alignment horizontal="center"/>
    </xf>
    <xf numFmtId="0" fontId="28" fillId="31" borderId="122" xfId="0" applyFont="1" applyFill="1" applyBorder="1" applyAlignment="1">
      <alignment horizontal="center"/>
    </xf>
    <xf numFmtId="0" fontId="28" fillId="31" borderId="132" xfId="0" applyFont="1" applyFill="1" applyBorder="1" applyAlignment="1">
      <alignment horizontal="center"/>
    </xf>
    <xf numFmtId="0" fontId="10" fillId="0" borderId="198" xfId="0" applyFont="1" applyBorder="1" applyAlignment="1">
      <alignment horizontal="center" vertical="center"/>
    </xf>
    <xf numFmtId="0" fontId="10" fillId="0" borderId="53" xfId="0" applyFont="1" applyBorder="1" applyAlignment="1">
      <alignment horizontal="center" vertical="center"/>
    </xf>
    <xf numFmtId="0" fontId="10" fillId="0" borderId="199" xfId="0" applyFont="1" applyBorder="1" applyAlignment="1">
      <alignment horizontal="center" vertical="center"/>
    </xf>
    <xf numFmtId="0" fontId="28" fillId="31" borderId="27" xfId="0" applyFont="1" applyFill="1" applyBorder="1" applyAlignment="1">
      <alignment horizontal="center"/>
    </xf>
    <xf numFmtId="0" fontId="28" fillId="31" borderId="21" xfId="0" applyFont="1" applyFill="1" applyBorder="1" applyAlignment="1">
      <alignment horizontal="center"/>
    </xf>
    <xf numFmtId="0" fontId="14" fillId="8" borderId="20" xfId="15" applyNumberFormat="1" applyFont="1" applyFill="1" applyBorder="1" applyAlignment="1">
      <alignment horizontal="left"/>
    </xf>
    <xf numFmtId="0" fontId="14" fillId="8" borderId="19" xfId="15" applyNumberFormat="1" applyFont="1" applyFill="1" applyBorder="1" applyAlignment="1">
      <alignment horizontal="left"/>
    </xf>
    <xf numFmtId="0" fontId="28" fillId="31" borderId="20" xfId="0" applyFont="1" applyFill="1" applyBorder="1" applyAlignment="1">
      <alignment horizontal="center"/>
    </xf>
    <xf numFmtId="0" fontId="28" fillId="31" borderId="18" xfId="0" applyFont="1" applyFill="1" applyBorder="1" applyAlignment="1">
      <alignment horizontal="center"/>
    </xf>
    <xf numFmtId="14" fontId="14" fillId="0" borderId="20" xfId="0" applyNumberFormat="1" applyFont="1" applyBorder="1" applyAlignment="1">
      <alignment horizontal="center"/>
    </xf>
    <xf numFmtId="14" fontId="14" fillId="0" borderId="19" xfId="0" applyNumberFormat="1" applyFont="1" applyBorder="1" applyAlignment="1">
      <alignment horizontal="center"/>
    </xf>
    <xf numFmtId="0" fontId="9" fillId="0" borderId="17" xfId="0" applyFont="1" applyBorder="1" applyAlignment="1">
      <alignment horizontal="left"/>
    </xf>
    <xf numFmtId="0" fontId="9" fillId="0" borderId="17" xfId="0" quotePrefix="1" applyFont="1" applyBorder="1" applyAlignment="1">
      <alignment horizontal="left"/>
    </xf>
    <xf numFmtId="0" fontId="65" fillId="8" borderId="17" xfId="0" applyFont="1" applyFill="1" applyBorder="1" applyAlignment="1">
      <alignment horizontal="center" vertical="center" wrapText="1"/>
    </xf>
    <xf numFmtId="0" fontId="47" fillId="30" borderId="23" xfId="0" applyFont="1" applyFill="1" applyBorder="1" applyAlignment="1">
      <alignment horizontal="center" vertical="center" wrapText="1"/>
    </xf>
    <xf numFmtId="0" fontId="47" fillId="30" borderId="203" xfId="0" applyFont="1" applyFill="1" applyBorder="1" applyAlignment="1">
      <alignment horizontal="center" vertical="center" wrapText="1"/>
    </xf>
    <xf numFmtId="0" fontId="47" fillId="5" borderId="39" xfId="0" applyFont="1" applyFill="1" applyBorder="1" applyAlignment="1">
      <alignment horizontal="center"/>
    </xf>
    <xf numFmtId="0" fontId="47" fillId="5" borderId="40" xfId="0" applyFont="1" applyFill="1" applyBorder="1" applyAlignment="1">
      <alignment horizontal="center"/>
    </xf>
    <xf numFmtId="0" fontId="47" fillId="5" borderId="41" xfId="0" applyFont="1" applyFill="1" applyBorder="1" applyAlignment="1">
      <alignment horizontal="center"/>
    </xf>
    <xf numFmtId="0" fontId="35" fillId="0" borderId="220" xfId="0" applyFont="1" applyBorder="1" applyAlignment="1">
      <alignment horizontal="center" vertical="center" wrapText="1"/>
    </xf>
    <xf numFmtId="0" fontId="112" fillId="0" borderId="221" xfId="0" applyFont="1" applyBorder="1" applyAlignment="1">
      <alignment horizontal="center" vertical="center" wrapText="1"/>
    </xf>
    <xf numFmtId="0" fontId="112" fillId="0" borderId="222" xfId="0" applyFont="1" applyBorder="1" applyAlignment="1">
      <alignment horizontal="center" vertical="center" wrapText="1"/>
    </xf>
    <xf numFmtId="0" fontId="28" fillId="31" borderId="193" xfId="0" applyFont="1" applyFill="1" applyBorder="1" applyAlignment="1">
      <alignment horizontal="center" vertical="center" wrapText="1"/>
    </xf>
    <xf numFmtId="0" fontId="28" fillId="31" borderId="194" xfId="0" applyFont="1" applyFill="1" applyBorder="1" applyAlignment="1">
      <alignment horizontal="center" vertical="center" wrapText="1"/>
    </xf>
    <xf numFmtId="0" fontId="28" fillId="31" borderId="204" xfId="0" applyFont="1" applyFill="1" applyBorder="1" applyAlignment="1">
      <alignment horizontal="center" vertical="center" wrapText="1"/>
    </xf>
    <xf numFmtId="0" fontId="47" fillId="9" borderId="50" xfId="0" applyFont="1" applyFill="1" applyBorder="1" applyAlignment="1">
      <alignment horizontal="center" vertical="center" wrapText="1"/>
    </xf>
    <xf numFmtId="0" fontId="47" fillId="5" borderId="215" xfId="0" applyFont="1" applyFill="1" applyBorder="1" applyAlignment="1">
      <alignment horizontal="center"/>
    </xf>
    <xf numFmtId="0" fontId="35" fillId="0" borderId="146" xfId="0" applyFont="1" applyBorder="1" applyAlignment="1">
      <alignment horizontal="left" vertical="center" wrapText="1"/>
    </xf>
    <xf numFmtId="0" fontId="67" fillId="0" borderId="141" xfId="0" applyFont="1" applyBorder="1" applyAlignment="1">
      <alignment horizontal="left" vertical="center"/>
    </xf>
    <xf numFmtId="0" fontId="67" fillId="0" borderId="147" xfId="0" applyFont="1" applyBorder="1" applyAlignment="1">
      <alignment horizontal="left" vertical="center"/>
    </xf>
    <xf numFmtId="0" fontId="67" fillId="0" borderId="0" xfId="0" applyFont="1" applyAlignment="1">
      <alignment horizontal="left" vertical="center"/>
    </xf>
    <xf numFmtId="0" fontId="67" fillId="0" borderId="148" xfId="0" applyFont="1" applyBorder="1" applyAlignment="1">
      <alignment horizontal="left" vertical="center"/>
    </xf>
    <xf numFmtId="0" fontId="67" fillId="0" borderId="144" xfId="0" applyFont="1" applyBorder="1" applyAlignment="1">
      <alignment horizontal="left" vertical="center"/>
    </xf>
    <xf numFmtId="0" fontId="0" fillId="0" borderId="141" xfId="0" applyBorder="1" applyAlignment="1">
      <alignment horizontal="left" vertical="center"/>
    </xf>
    <xf numFmtId="0" fontId="0" fillId="0" borderId="147" xfId="0" applyBorder="1" applyAlignment="1">
      <alignment horizontal="left" vertical="center"/>
    </xf>
    <xf numFmtId="0" fontId="0" fillId="0" borderId="0" xfId="0" applyAlignment="1">
      <alignment horizontal="left" vertical="center"/>
    </xf>
    <xf numFmtId="0" fontId="0" fillId="0" borderId="148" xfId="0" applyBorder="1" applyAlignment="1">
      <alignment horizontal="left" vertical="center"/>
    </xf>
    <xf numFmtId="0" fontId="0" fillId="0" borderId="144" xfId="0" applyBorder="1" applyAlignment="1">
      <alignment horizontal="left" vertical="center"/>
    </xf>
    <xf numFmtId="0" fontId="28" fillId="31" borderId="44" xfId="0" applyFont="1" applyFill="1" applyBorder="1" applyAlignment="1">
      <alignment horizontal="center"/>
    </xf>
    <xf numFmtId="0" fontId="28" fillId="31" borderId="47" xfId="0" applyFont="1" applyFill="1" applyBorder="1" applyAlignment="1">
      <alignment horizontal="center"/>
    </xf>
    <xf numFmtId="0" fontId="9" fillId="0" borderId="42" xfId="0" applyFont="1" applyBorder="1" applyAlignment="1">
      <alignment horizontal="left" vertical="center" wrapText="1"/>
    </xf>
    <xf numFmtId="0" fontId="0" fillId="0" borderId="2" xfId="0" applyBorder="1" applyAlignment="1">
      <alignment horizontal="left" vertical="center" wrapText="1"/>
    </xf>
    <xf numFmtId="0" fontId="0" fillId="0" borderId="46" xfId="0" applyBorder="1" applyAlignment="1">
      <alignment horizontal="left" vertical="center" wrapText="1"/>
    </xf>
    <xf numFmtId="0" fontId="0" fillId="0" borderId="217" xfId="0" applyBorder="1" applyAlignment="1">
      <alignment horizontal="left" vertical="center" wrapText="1"/>
    </xf>
    <xf numFmtId="0" fontId="0" fillId="0" borderId="38" xfId="0" applyBorder="1" applyAlignment="1">
      <alignment horizontal="left" vertical="center" wrapText="1"/>
    </xf>
    <xf numFmtId="0" fontId="0" fillId="0" borderId="45" xfId="0" applyBorder="1" applyAlignment="1">
      <alignment horizontal="left" vertical="center" wrapText="1"/>
    </xf>
    <xf numFmtId="0" fontId="0" fillId="0" borderId="218" xfId="0" applyBorder="1" applyAlignment="1">
      <alignment horizontal="left" vertical="center" wrapText="1"/>
    </xf>
    <xf numFmtId="0" fontId="0" fillId="0" borderId="219" xfId="0" applyBorder="1" applyAlignment="1">
      <alignment horizontal="left" vertical="center" wrapText="1"/>
    </xf>
    <xf numFmtId="0" fontId="0" fillId="0" borderId="266" xfId="0" applyBorder="1" applyAlignment="1">
      <alignment horizontal="left" vertical="center" wrapText="1"/>
    </xf>
    <xf numFmtId="0" fontId="47" fillId="30" borderId="214" xfId="0" applyFont="1" applyFill="1" applyBorder="1" applyAlignment="1">
      <alignment horizontal="center"/>
    </xf>
    <xf numFmtId="0" fontId="47" fillId="30" borderId="44" xfId="0" applyFont="1" applyFill="1" applyBorder="1" applyAlignment="1">
      <alignment horizontal="center"/>
    </xf>
    <xf numFmtId="0" fontId="0" fillId="0" borderId="192" xfId="0" applyBorder="1" applyAlignment="1">
      <alignment horizontal="center"/>
    </xf>
    <xf numFmtId="0" fontId="0" fillId="0" borderId="141" xfId="0" applyBorder="1" applyAlignment="1">
      <alignment horizontal="center"/>
    </xf>
    <xf numFmtId="0" fontId="0" fillId="0" borderId="216" xfId="0" applyBorder="1" applyAlignment="1">
      <alignment horizontal="center"/>
    </xf>
    <xf numFmtId="0" fontId="0" fillId="0" borderId="42" xfId="0" applyBorder="1" applyAlignment="1">
      <alignment horizontal="center"/>
    </xf>
    <xf numFmtId="0" fontId="0" fillId="0" borderId="0" xfId="0" applyAlignment="1">
      <alignment horizontal="center"/>
    </xf>
    <xf numFmtId="0" fontId="0" fillId="0" borderId="43" xfId="0" applyBorder="1" applyAlignment="1">
      <alignment horizontal="center"/>
    </xf>
    <xf numFmtId="0" fontId="108" fillId="0" borderId="66" xfId="0" applyFont="1" applyBorder="1" applyAlignment="1">
      <alignment horizontal="center" vertical="center" wrapText="1"/>
    </xf>
    <xf numFmtId="0" fontId="108" fillId="0" borderId="68" xfId="0" applyFont="1" applyBorder="1" applyAlignment="1">
      <alignment horizontal="center" vertical="center" wrapText="1"/>
    </xf>
    <xf numFmtId="0" fontId="108" fillId="0" borderId="48" xfId="0" applyFont="1" applyBorder="1" applyAlignment="1">
      <alignment horizontal="center" vertical="center" wrapText="1"/>
    </xf>
    <xf numFmtId="0" fontId="47" fillId="11" borderId="50" xfId="0" applyFont="1" applyFill="1" applyBorder="1" applyAlignment="1">
      <alignment horizontal="center" vertical="center" wrapText="1"/>
    </xf>
    <xf numFmtId="0" fontId="35" fillId="0" borderId="66" xfId="0" applyFont="1" applyBorder="1" applyAlignment="1">
      <alignment horizontal="center" vertical="center" wrapText="1"/>
    </xf>
    <xf numFmtId="0" fontId="35" fillId="0" borderId="68" xfId="0" applyFont="1" applyBorder="1" applyAlignment="1">
      <alignment horizontal="center" vertical="center" wrapText="1"/>
    </xf>
    <xf numFmtId="0" fontId="35" fillId="0" borderId="48" xfId="0" applyFont="1" applyBorder="1" applyAlignment="1">
      <alignment horizontal="center" vertical="center" wrapText="1"/>
    </xf>
    <xf numFmtId="0" fontId="35" fillId="0" borderId="66" xfId="0" applyFont="1" applyBorder="1" applyAlignment="1">
      <alignment horizontal="center" vertical="center"/>
    </xf>
    <xf numFmtId="0" fontId="35" fillId="0" borderId="68" xfId="0" applyFont="1" applyBorder="1" applyAlignment="1">
      <alignment horizontal="center" vertical="center"/>
    </xf>
    <xf numFmtId="0" fontId="35" fillId="0" borderId="48" xfId="0" applyFont="1" applyBorder="1" applyAlignment="1">
      <alignment horizontal="center" vertical="center"/>
    </xf>
    <xf numFmtId="0" fontId="108" fillId="0" borderId="192" xfId="0" applyFont="1" applyBorder="1" applyAlignment="1">
      <alignment horizontal="center" vertical="center" wrapText="1"/>
    </xf>
    <xf numFmtId="0" fontId="108" fillId="0" borderId="141" xfId="0" applyFont="1" applyBorder="1" applyAlignment="1">
      <alignment horizontal="center" vertical="center" wrapText="1"/>
    </xf>
    <xf numFmtId="0" fontId="108" fillId="0" borderId="142" xfId="0" applyFont="1" applyBorder="1" applyAlignment="1">
      <alignment horizontal="center" vertical="center" wrapText="1"/>
    </xf>
    <xf numFmtId="0" fontId="35" fillId="0" borderId="192" xfId="0" applyFont="1" applyBorder="1" applyAlignment="1">
      <alignment horizontal="left" vertical="center" wrapText="1"/>
    </xf>
    <xf numFmtId="0" fontId="9" fillId="0" borderId="141" xfId="0" applyFont="1" applyBorder="1" applyAlignment="1">
      <alignment horizontal="left" vertical="center"/>
    </xf>
    <xf numFmtId="0" fontId="9" fillId="0" borderId="142" xfId="0" applyFont="1" applyBorder="1" applyAlignment="1">
      <alignment horizontal="left" vertical="center"/>
    </xf>
    <xf numFmtId="0" fontId="9" fillId="0" borderId="42" xfId="0" applyFont="1" applyBorder="1" applyAlignment="1">
      <alignment horizontal="left" vertical="center"/>
    </xf>
    <xf numFmtId="0" fontId="9" fillId="0" borderId="0" xfId="0" applyFont="1" applyAlignment="1">
      <alignment horizontal="left" vertical="center"/>
    </xf>
    <xf numFmtId="0" fontId="9" fillId="0" borderId="143" xfId="0" applyFont="1" applyBorder="1" applyAlignment="1">
      <alignment horizontal="left" vertical="center"/>
    </xf>
    <xf numFmtId="0" fontId="9" fillId="0" borderId="172" xfId="0" applyFont="1" applyBorder="1" applyAlignment="1">
      <alignment horizontal="left" vertical="center"/>
    </xf>
    <xf numFmtId="0" fontId="9" fillId="0" borderId="144" xfId="0" applyFont="1" applyBorder="1" applyAlignment="1">
      <alignment horizontal="left" vertical="center"/>
    </xf>
    <xf numFmtId="0" fontId="9" fillId="0" borderId="145" xfId="0" applyFont="1" applyBorder="1" applyAlignment="1">
      <alignment horizontal="left" vertical="center"/>
    </xf>
    <xf numFmtId="0" fontId="80" fillId="8" borderId="281" xfId="0" applyFont="1" applyFill="1" applyBorder="1" applyAlignment="1">
      <alignment horizontal="center"/>
    </xf>
    <xf numFmtId="0" fontId="28" fillId="8" borderId="282" xfId="0" applyFont="1" applyFill="1" applyBorder="1" applyAlignment="1">
      <alignment horizontal="center"/>
    </xf>
    <xf numFmtId="0" fontId="28" fillId="31" borderId="214" xfId="0" applyFont="1" applyFill="1" applyBorder="1" applyAlignment="1">
      <alignment horizontal="center"/>
    </xf>
    <xf numFmtId="0" fontId="47" fillId="30" borderId="215" xfId="0" applyFont="1" applyFill="1" applyBorder="1" applyAlignment="1">
      <alignment horizontal="center"/>
    </xf>
    <xf numFmtId="0" fontId="10" fillId="12" borderId="111" xfId="0" applyFont="1" applyFill="1" applyBorder="1" applyAlignment="1">
      <alignment horizontal="center" vertical="center" wrapText="1"/>
    </xf>
    <xf numFmtId="0" fontId="10" fillId="12" borderId="108" xfId="0" applyFont="1" applyFill="1" applyBorder="1" applyAlignment="1">
      <alignment horizontal="center" vertical="center" wrapText="1"/>
    </xf>
    <xf numFmtId="0" fontId="10" fillId="12" borderId="255" xfId="0" applyFont="1" applyFill="1" applyBorder="1" applyAlignment="1">
      <alignment horizontal="center" vertical="center" wrapText="1"/>
    </xf>
    <xf numFmtId="0" fontId="35" fillId="8" borderId="166" xfId="0" applyFont="1" applyFill="1" applyBorder="1" applyAlignment="1">
      <alignment horizontal="center" vertical="center" wrapText="1"/>
    </xf>
    <xf numFmtId="0" fontId="0" fillId="8" borderId="167" xfId="0" applyFill="1" applyBorder="1" applyAlignment="1">
      <alignment horizontal="center" vertical="center" wrapText="1"/>
    </xf>
    <xf numFmtId="0" fontId="0" fillId="8" borderId="168" xfId="0" applyFill="1" applyBorder="1" applyAlignment="1">
      <alignment horizontal="center" vertical="center" wrapText="1"/>
    </xf>
    <xf numFmtId="0" fontId="35" fillId="8" borderId="109" xfId="0" applyFont="1" applyFill="1" applyBorder="1" applyAlignment="1">
      <alignment horizontal="center" vertical="center" wrapText="1"/>
    </xf>
    <xf numFmtId="0" fontId="35" fillId="8" borderId="122" xfId="0" applyFont="1" applyFill="1" applyBorder="1" applyAlignment="1">
      <alignment horizontal="center" vertical="center" wrapText="1"/>
    </xf>
    <xf numFmtId="0" fontId="35" fillId="8" borderId="132" xfId="0" applyFont="1" applyFill="1" applyBorder="1" applyAlignment="1">
      <alignment horizontal="center" vertical="center" wrapText="1"/>
    </xf>
    <xf numFmtId="0" fontId="9" fillId="8" borderId="112" xfId="0" applyFont="1" applyFill="1" applyBorder="1" applyAlignment="1">
      <alignment horizontal="center" vertical="center" wrapText="1"/>
    </xf>
    <xf numFmtId="0" fontId="9" fillId="8" borderId="165" xfId="0" applyFont="1" applyFill="1" applyBorder="1" applyAlignment="1">
      <alignment horizontal="center" vertical="center" wrapText="1"/>
    </xf>
    <xf numFmtId="0" fontId="9" fillId="8" borderId="131" xfId="0" applyFont="1" applyFill="1" applyBorder="1" applyAlignment="1">
      <alignment horizontal="center" vertical="center" wrapText="1"/>
    </xf>
    <xf numFmtId="197" fontId="10" fillId="12" borderId="131" xfId="0" applyNumberFormat="1" applyFont="1" applyFill="1" applyBorder="1" applyAlignment="1">
      <alignment horizontal="center" vertical="center"/>
    </xf>
    <xf numFmtId="197" fontId="10" fillId="12" borderId="107" xfId="0" applyNumberFormat="1" applyFont="1" applyFill="1" applyBorder="1" applyAlignment="1">
      <alignment horizontal="center" vertical="center"/>
    </xf>
    <xf numFmtId="197" fontId="10" fillId="12" borderId="132" xfId="0" applyNumberFormat="1" applyFont="1" applyFill="1" applyBorder="1" applyAlignment="1">
      <alignment horizontal="center" vertical="center"/>
    </xf>
    <xf numFmtId="0" fontId="47" fillId="5" borderId="207" xfId="0" applyFont="1" applyFill="1" applyBorder="1" applyAlignment="1">
      <alignment horizontal="center"/>
    </xf>
    <xf numFmtId="0" fontId="47" fillId="5" borderId="106" xfId="0" applyFont="1" applyFill="1" applyBorder="1" applyAlignment="1">
      <alignment horizontal="center"/>
    </xf>
    <xf numFmtId="0" fontId="9" fillId="8" borderId="20" xfId="0" applyFont="1" applyFill="1" applyBorder="1" applyAlignment="1">
      <alignment horizontal="left" vertical="center"/>
    </xf>
    <xf numFmtId="0" fontId="9" fillId="8" borderId="19" xfId="0" applyFont="1" applyFill="1" applyBorder="1" applyAlignment="1">
      <alignment horizontal="left" vertical="center"/>
    </xf>
    <xf numFmtId="0" fontId="28" fillId="31" borderId="215" xfId="0" applyFont="1" applyFill="1" applyBorder="1" applyAlignment="1">
      <alignment horizontal="center"/>
    </xf>
    <xf numFmtId="0" fontId="14" fillId="0" borderId="112" xfId="0" applyFont="1" applyBorder="1" applyAlignment="1">
      <alignment horizontal="center" vertical="center" wrapText="1"/>
    </xf>
    <xf numFmtId="0" fontId="14" fillId="0" borderId="165" xfId="0" applyFont="1" applyBorder="1" applyAlignment="1">
      <alignment horizontal="center" vertical="center" wrapText="1"/>
    </xf>
    <xf numFmtId="0" fontId="14" fillId="0" borderId="208" xfId="0" applyFont="1" applyBorder="1" applyAlignment="1">
      <alignment horizontal="center" vertical="center" wrapText="1"/>
    </xf>
    <xf numFmtId="0" fontId="14" fillId="0" borderId="110" xfId="0" applyFont="1" applyBorder="1" applyAlignment="1">
      <alignment horizontal="center" vertical="center" wrapText="1"/>
    </xf>
    <xf numFmtId="0" fontId="14" fillId="0" borderId="0" xfId="0" applyFont="1" applyAlignment="1">
      <alignment horizontal="center" vertical="center" wrapText="1"/>
    </xf>
    <xf numFmtId="0" fontId="14" fillId="0" borderId="43" xfId="0" applyFont="1" applyBorder="1" applyAlignment="1">
      <alignment horizontal="center" vertical="center" wrapText="1"/>
    </xf>
    <xf numFmtId="0" fontId="14" fillId="0" borderId="109" xfId="0" applyFont="1" applyBorder="1" applyAlignment="1">
      <alignment horizontal="center" vertical="center" wrapText="1"/>
    </xf>
    <xf numFmtId="0" fontId="14" fillId="0" borderId="122" xfId="0" applyFont="1" applyBorder="1" applyAlignment="1">
      <alignment horizontal="center" vertical="center" wrapText="1"/>
    </xf>
    <xf numFmtId="0" fontId="14" fillId="0" borderId="210" xfId="0" applyFont="1" applyBorder="1" applyAlignment="1">
      <alignment horizontal="center" vertical="center" wrapText="1"/>
    </xf>
    <xf numFmtId="0" fontId="47" fillId="5" borderId="122" xfId="0" applyFont="1" applyFill="1" applyBorder="1" applyAlignment="1">
      <alignment horizontal="center"/>
    </xf>
    <xf numFmtId="0" fontId="47" fillId="5" borderId="210" xfId="0" applyFont="1" applyFill="1" applyBorder="1" applyAlignment="1">
      <alignment horizontal="center"/>
    </xf>
    <xf numFmtId="0" fontId="47" fillId="5" borderId="112" xfId="0" applyFont="1" applyFill="1" applyBorder="1" applyAlignment="1">
      <alignment horizontal="center"/>
    </xf>
    <xf numFmtId="0" fontId="47" fillId="5" borderId="165" xfId="0" applyFont="1" applyFill="1" applyBorder="1" applyAlignment="1">
      <alignment horizontal="center"/>
    </xf>
    <xf numFmtId="0" fontId="47" fillId="5" borderId="208" xfId="0" applyFont="1" applyFill="1" applyBorder="1" applyAlignment="1">
      <alignment horizontal="center"/>
    </xf>
    <xf numFmtId="0" fontId="22" fillId="0" borderId="260" xfId="0" applyFont="1" applyBorder="1" applyAlignment="1">
      <alignment horizontal="center" vertical="center" wrapText="1"/>
    </xf>
    <xf numFmtId="0" fontId="22" fillId="0" borderId="19" xfId="0" applyFont="1" applyBorder="1" applyAlignment="1">
      <alignment horizontal="center" vertical="center" wrapText="1"/>
    </xf>
    <xf numFmtId="0" fontId="133" fillId="88" borderId="261" xfId="0" applyFont="1" applyFill="1" applyBorder="1" applyAlignment="1">
      <alignment horizontal="center" vertical="center" wrapText="1"/>
    </xf>
    <xf numFmtId="0" fontId="133" fillId="88" borderId="262" xfId="0" applyFont="1" applyFill="1" applyBorder="1" applyAlignment="1">
      <alignment horizontal="center" vertical="center" wrapText="1"/>
    </xf>
    <xf numFmtId="0" fontId="133" fillId="88" borderId="42" xfId="0" applyFont="1" applyFill="1" applyBorder="1" applyAlignment="1">
      <alignment horizontal="center" vertical="center" wrapText="1"/>
    </xf>
    <xf numFmtId="0" fontId="133" fillId="88" borderId="263" xfId="0" applyFont="1" applyFill="1" applyBorder="1" applyAlignment="1">
      <alignment horizontal="center" vertical="center" wrapText="1"/>
    </xf>
    <xf numFmtId="0" fontId="133" fillId="88" borderId="264" xfId="0" applyFont="1" applyFill="1" applyBorder="1" applyAlignment="1">
      <alignment horizontal="center" vertical="center" wrapText="1"/>
    </xf>
    <xf numFmtId="0" fontId="133" fillId="88" borderId="22" xfId="0" applyFont="1" applyFill="1" applyBorder="1" applyAlignment="1">
      <alignment horizontal="center" vertical="center" wrapText="1"/>
    </xf>
    <xf numFmtId="0" fontId="119" fillId="0" borderId="220" xfId="0" applyFont="1" applyBorder="1" applyAlignment="1">
      <alignment horizontal="center" vertical="center" wrapText="1"/>
    </xf>
    <xf numFmtId="0" fontId="47" fillId="5" borderId="21" xfId="0" applyFont="1" applyFill="1" applyBorder="1" applyAlignment="1">
      <alignment horizontal="center"/>
    </xf>
    <xf numFmtId="0" fontId="47" fillId="5" borderId="22" xfId="0" applyFont="1" applyFill="1" applyBorder="1" applyAlignment="1">
      <alignment horizontal="center"/>
    </xf>
    <xf numFmtId="0" fontId="14" fillId="0" borderId="18" xfId="0" applyFont="1" applyBorder="1" applyAlignment="1">
      <alignment horizontal="center"/>
    </xf>
    <xf numFmtId="0" fontId="14" fillId="0" borderId="19" xfId="0" applyFont="1" applyBorder="1" applyAlignment="1">
      <alignment horizontal="center"/>
    </xf>
    <xf numFmtId="0" fontId="14" fillId="0" borderId="66" xfId="0" applyFont="1" applyBorder="1" applyAlignment="1">
      <alignment horizontal="center" vertical="center"/>
    </xf>
    <xf numFmtId="0" fontId="14" fillId="0" borderId="68" xfId="0" applyFont="1" applyBorder="1" applyAlignment="1">
      <alignment horizontal="center" vertical="center"/>
    </xf>
    <xf numFmtId="0" fontId="14" fillId="14" borderId="52" xfId="0" applyFont="1" applyFill="1" applyBorder="1" applyAlignment="1">
      <alignment horizontal="center"/>
    </xf>
    <xf numFmtId="0" fontId="14" fillId="14" borderId="53" xfId="0" applyFont="1" applyFill="1" applyBorder="1" applyAlignment="1">
      <alignment horizontal="center"/>
    </xf>
    <xf numFmtId="0" fontId="14" fillId="14" borderId="54" xfId="0" applyFont="1" applyFill="1" applyBorder="1" applyAlignment="1">
      <alignment horizontal="center"/>
    </xf>
    <xf numFmtId="0" fontId="9" fillId="0" borderId="66" xfId="0" applyFont="1" applyBorder="1" applyAlignment="1">
      <alignment horizontal="center" vertical="center" wrapText="1"/>
    </xf>
    <xf numFmtId="0" fontId="9" fillId="0" borderId="68" xfId="0" applyFont="1" applyBorder="1" applyAlignment="1">
      <alignment horizontal="center" vertical="center" wrapText="1"/>
    </xf>
    <xf numFmtId="0" fontId="9" fillId="0" borderId="67" xfId="0" applyFont="1" applyBorder="1" applyAlignment="1">
      <alignment horizontal="center" vertical="center" wrapText="1"/>
    </xf>
    <xf numFmtId="0" fontId="32" fillId="5" borderId="42" xfId="0" applyFont="1" applyFill="1" applyBorder="1" applyAlignment="1">
      <alignment horizontal="center"/>
    </xf>
    <xf numFmtId="0" fontId="32" fillId="5" borderId="0" xfId="0" applyFont="1" applyFill="1" applyAlignment="1">
      <alignment horizontal="center"/>
    </xf>
    <xf numFmtId="0" fontId="32" fillId="5" borderId="43" xfId="0" applyFont="1" applyFill="1" applyBorder="1" applyAlignment="1">
      <alignment horizontal="center"/>
    </xf>
    <xf numFmtId="0" fontId="46" fillId="5" borderId="0" xfId="0" applyFont="1" applyFill="1" applyAlignment="1">
      <alignment horizontal="center"/>
    </xf>
    <xf numFmtId="0" fontId="32" fillId="18" borderId="42" xfId="0" applyFont="1" applyFill="1" applyBorder="1" applyAlignment="1">
      <alignment horizontal="center"/>
    </xf>
    <xf numFmtId="0" fontId="32" fillId="18" borderId="0" xfId="0" applyFont="1" applyFill="1" applyAlignment="1">
      <alignment horizontal="center"/>
    </xf>
    <xf numFmtId="0" fontId="46" fillId="5" borderId="52" xfId="0" applyFont="1" applyFill="1" applyBorder="1" applyAlignment="1">
      <alignment horizontal="center"/>
    </xf>
    <xf numFmtId="0" fontId="46" fillId="5" borderId="53" xfId="0" applyFont="1" applyFill="1" applyBorder="1" applyAlignment="1">
      <alignment horizontal="center"/>
    </xf>
    <xf numFmtId="0" fontId="32" fillId="5" borderId="56" xfId="0" applyFont="1" applyFill="1" applyBorder="1" applyAlignment="1">
      <alignment horizontal="center"/>
    </xf>
    <xf numFmtId="0" fontId="32" fillId="5" borderId="57" xfId="0" applyFont="1" applyFill="1" applyBorder="1" applyAlignment="1">
      <alignment horizontal="center"/>
    </xf>
    <xf numFmtId="0" fontId="32" fillId="5" borderId="58" xfId="0" applyFont="1" applyFill="1" applyBorder="1" applyAlignment="1">
      <alignment horizontal="center"/>
    </xf>
    <xf numFmtId="0" fontId="46" fillId="5" borderId="57" xfId="0" applyFont="1" applyFill="1" applyBorder="1" applyAlignment="1">
      <alignment horizontal="center"/>
    </xf>
    <xf numFmtId="0" fontId="46" fillId="5" borderId="58" xfId="0" applyFont="1" applyFill="1" applyBorder="1" applyAlignment="1">
      <alignment horizontal="center"/>
    </xf>
    <xf numFmtId="0" fontId="10" fillId="0" borderId="56" xfId="0" applyFont="1" applyBorder="1" applyAlignment="1">
      <alignment horizontal="center" vertical="center"/>
    </xf>
    <xf numFmtId="0" fontId="10" fillId="0" borderId="58" xfId="0" applyFont="1" applyBorder="1" applyAlignment="1">
      <alignment horizontal="center" vertical="center"/>
    </xf>
    <xf numFmtId="0" fontId="0" fillId="0" borderId="79" xfId="0" applyBorder="1" applyAlignment="1">
      <alignment horizontal="left" vertical="center" wrapText="1"/>
    </xf>
    <xf numFmtId="0" fontId="0" fillId="0" borderId="33" xfId="0" applyBorder="1" applyAlignment="1">
      <alignment horizontal="left" vertical="center" wrapText="1"/>
    </xf>
    <xf numFmtId="0" fontId="32" fillId="5" borderId="52" xfId="0" applyFont="1" applyFill="1" applyBorder="1" applyAlignment="1">
      <alignment horizontal="center"/>
    </xf>
    <xf numFmtId="0" fontId="32" fillId="5" borderId="53" xfId="0" applyFont="1" applyFill="1" applyBorder="1" applyAlignment="1">
      <alignment horizontal="center"/>
    </xf>
    <xf numFmtId="0" fontId="32" fillId="5" borderId="56" xfId="0" applyFont="1" applyFill="1" applyBorder="1" applyAlignment="1">
      <alignment horizontal="center" vertical="center"/>
    </xf>
    <xf numFmtId="0" fontId="32" fillId="5" borderId="57" xfId="0" applyFont="1" applyFill="1" applyBorder="1" applyAlignment="1">
      <alignment horizontal="center" vertical="center"/>
    </xf>
    <xf numFmtId="0" fontId="32" fillId="5" borderId="60" xfId="0" applyFont="1" applyFill="1" applyBorder="1" applyAlignment="1">
      <alignment horizontal="center" vertical="center"/>
    </xf>
    <xf numFmtId="0" fontId="14" fillId="14" borderId="56" xfId="0" applyFont="1" applyFill="1" applyBorder="1" applyAlignment="1">
      <alignment horizontal="center"/>
    </xf>
    <xf numFmtId="0" fontId="14" fillId="14" borderId="58" xfId="0" applyFont="1" applyFill="1" applyBorder="1" applyAlignment="1">
      <alignment horizontal="center"/>
    </xf>
    <xf numFmtId="0" fontId="0" fillId="0" borderId="0" xfId="0" applyAlignment="1">
      <alignment horizontal="center" vertical="top" wrapText="1"/>
    </xf>
    <xf numFmtId="0" fontId="127" fillId="0" borderId="66" xfId="78" applyBorder="1" applyAlignment="1" applyProtection="1">
      <alignment horizontal="center"/>
    </xf>
    <xf numFmtId="0" fontId="11" fillId="0" borderId="67" xfId="78" applyFont="1" applyBorder="1" applyAlignment="1" applyProtection="1">
      <alignment horizontal="center"/>
    </xf>
    <xf numFmtId="0" fontId="14" fillId="23" borderId="61" xfId="0" applyFont="1" applyFill="1" applyBorder="1" applyAlignment="1">
      <alignment horizontal="center"/>
    </xf>
    <xf numFmtId="0" fontId="14" fillId="23" borderId="62" xfId="0" applyFont="1" applyFill="1" applyBorder="1" applyAlignment="1">
      <alignment horizontal="center"/>
    </xf>
    <xf numFmtId="0" fontId="127" fillId="0" borderId="67" xfId="78" applyBorder="1" applyAlignment="1" applyProtection="1">
      <alignment horizontal="center"/>
    </xf>
    <xf numFmtId="0" fontId="14" fillId="0" borderId="66" xfId="0" applyFont="1" applyBorder="1" applyAlignment="1">
      <alignment horizontal="center"/>
    </xf>
    <xf numFmtId="0" fontId="14" fillId="0" borderId="68" xfId="0" applyFont="1" applyBorder="1" applyAlignment="1">
      <alignment horizontal="center"/>
    </xf>
    <xf numFmtId="0" fontId="14" fillId="0" borderId="67" xfId="0" applyFont="1" applyBorder="1" applyAlignment="1">
      <alignment horizontal="center"/>
    </xf>
    <xf numFmtId="0" fontId="130" fillId="0" borderId="52" xfId="78" applyFont="1" applyBorder="1" applyAlignment="1" applyProtection="1">
      <alignment horizontal="left" vertical="center" wrapText="1"/>
    </xf>
    <xf numFmtId="0" fontId="128" fillId="0" borderId="53" xfId="78" applyFont="1" applyBorder="1" applyAlignment="1" applyProtection="1">
      <alignment horizontal="left" vertical="center" wrapText="1"/>
    </xf>
    <xf numFmtId="0" fontId="128" fillId="0" borderId="54" xfId="78" applyFont="1" applyBorder="1" applyAlignment="1" applyProtection="1">
      <alignment horizontal="left" vertical="center" wrapText="1"/>
    </xf>
    <xf numFmtId="0" fontId="128" fillId="0" borderId="42" xfId="78" applyFont="1" applyBorder="1" applyAlignment="1" applyProtection="1">
      <alignment horizontal="left" vertical="center" wrapText="1"/>
    </xf>
    <xf numFmtId="0" fontId="128" fillId="0" borderId="0" xfId="78" applyFont="1" applyBorder="1" applyAlignment="1" applyProtection="1">
      <alignment horizontal="left" vertical="center" wrapText="1"/>
    </xf>
    <xf numFmtId="0" fontId="128" fillId="0" borderId="43" xfId="78" applyFont="1" applyBorder="1" applyAlignment="1" applyProtection="1">
      <alignment horizontal="left" vertical="center" wrapText="1"/>
    </xf>
    <xf numFmtId="0" fontId="128" fillId="0" borderId="55" xfId="78" applyFont="1" applyBorder="1" applyAlignment="1" applyProtection="1">
      <alignment horizontal="left" vertical="center" wrapText="1"/>
    </xf>
    <xf numFmtId="0" fontId="128" fillId="0" borderId="59" xfId="78" applyFont="1" applyBorder="1" applyAlignment="1" applyProtection="1">
      <alignment horizontal="left" vertical="center" wrapText="1"/>
    </xf>
    <xf numFmtId="0" fontId="128" fillId="0" borderId="60" xfId="78" applyFont="1" applyBorder="1" applyAlignment="1" applyProtection="1">
      <alignment horizontal="left" vertical="center" wrapText="1"/>
    </xf>
    <xf numFmtId="0" fontId="118" fillId="0" borderId="66" xfId="78" applyFont="1" applyBorder="1" applyAlignment="1">
      <alignment horizontal="center"/>
    </xf>
    <xf numFmtId="0" fontId="118" fillId="0" borderId="67" xfId="78" applyFont="1" applyBorder="1" applyAlignment="1">
      <alignment horizontal="center"/>
    </xf>
    <xf numFmtId="10" fontId="14" fillId="0" borderId="69" xfId="15" applyNumberFormat="1" applyFont="1" applyBorder="1" applyAlignment="1">
      <alignment horizontal="center"/>
    </xf>
    <xf numFmtId="10" fontId="14" fillId="0" borderId="71" xfId="15" applyNumberFormat="1" applyFont="1" applyBorder="1" applyAlignment="1">
      <alignment horizontal="center"/>
    </xf>
    <xf numFmtId="10" fontId="14" fillId="0" borderId="70" xfId="15" applyNumberFormat="1" applyFont="1" applyBorder="1" applyAlignment="1">
      <alignment horizontal="center"/>
    </xf>
    <xf numFmtId="10" fontId="14" fillId="0" borderId="66" xfId="15" applyNumberFormat="1" applyFont="1" applyBorder="1" applyAlignment="1">
      <alignment horizontal="center"/>
    </xf>
    <xf numFmtId="10" fontId="14" fillId="0" borderId="68" xfId="15" applyNumberFormat="1" applyFont="1" applyBorder="1" applyAlignment="1">
      <alignment horizontal="center"/>
    </xf>
    <xf numFmtId="10" fontId="14" fillId="0" borderId="67" xfId="15" applyNumberFormat="1" applyFont="1" applyBorder="1" applyAlignment="1">
      <alignment horizontal="center"/>
    </xf>
    <xf numFmtId="10" fontId="122" fillId="0" borderId="66" xfId="15" applyNumberFormat="1" applyFont="1" applyBorder="1" applyAlignment="1">
      <alignment horizontal="center"/>
    </xf>
    <xf numFmtId="10" fontId="122" fillId="0" borderId="68" xfId="15" applyNumberFormat="1" applyFont="1" applyBorder="1" applyAlignment="1">
      <alignment horizontal="center"/>
    </xf>
    <xf numFmtId="10" fontId="122" fillId="0" borderId="67" xfId="15" applyNumberFormat="1" applyFont="1" applyBorder="1" applyAlignment="1">
      <alignment horizontal="center"/>
    </xf>
    <xf numFmtId="0" fontId="14" fillId="23" borderId="63" xfId="0" applyFont="1" applyFill="1" applyBorder="1" applyAlignment="1">
      <alignment horizontal="center"/>
    </xf>
    <xf numFmtId="0" fontId="14" fillId="23" borderId="64" xfId="0" applyFont="1" applyFill="1" applyBorder="1" applyAlignment="1">
      <alignment horizontal="center"/>
    </xf>
    <xf numFmtId="0" fontId="14" fillId="23" borderId="65" xfId="0" applyFont="1" applyFill="1" applyBorder="1" applyAlignment="1">
      <alignment horizontal="center"/>
    </xf>
    <xf numFmtId="0" fontId="14" fillId="14" borderId="57" xfId="0" applyFont="1" applyFill="1" applyBorder="1" applyAlignment="1">
      <alignment horizontal="center"/>
    </xf>
    <xf numFmtId="0" fontId="14" fillId="14" borderId="59" xfId="0" applyFont="1" applyFill="1" applyBorder="1" applyAlignment="1">
      <alignment horizontal="center"/>
    </xf>
    <xf numFmtId="0" fontId="14" fillId="14" borderId="60" xfId="0" applyFont="1" applyFill="1" applyBorder="1" applyAlignment="1">
      <alignment horizontal="center"/>
    </xf>
    <xf numFmtId="0" fontId="9" fillId="44" borderId="243" xfId="0" applyFont="1" applyFill="1" applyBorder="1" applyAlignment="1">
      <alignment horizontal="center" vertical="center" wrapText="1"/>
    </xf>
    <xf numFmtId="0" fontId="9" fillId="44" borderId="244" xfId="0" applyFont="1" applyFill="1" applyBorder="1" applyAlignment="1">
      <alignment horizontal="center" vertical="center" wrapText="1"/>
    </xf>
    <xf numFmtId="0" fontId="9" fillId="38" borderId="243" xfId="0" applyFont="1" applyFill="1" applyBorder="1" applyAlignment="1">
      <alignment horizontal="center" vertical="center" wrapText="1"/>
    </xf>
    <xf numFmtId="0" fontId="9" fillId="38" borderId="244" xfId="0" applyFont="1" applyFill="1" applyBorder="1" applyAlignment="1">
      <alignment horizontal="center" vertical="center" wrapText="1"/>
    </xf>
    <xf numFmtId="0" fontId="9" fillId="43" borderId="243" xfId="0" applyFont="1" applyFill="1" applyBorder="1" applyAlignment="1">
      <alignment horizontal="center" vertical="center" wrapText="1"/>
    </xf>
    <xf numFmtId="0" fontId="9" fillId="43" borderId="248" xfId="0" applyFont="1" applyFill="1" applyBorder="1" applyAlignment="1">
      <alignment horizontal="center" vertical="center" wrapText="1"/>
    </xf>
    <xf numFmtId="0" fontId="70" fillId="0" borderId="249" xfId="0" applyFont="1" applyBorder="1" applyAlignment="1">
      <alignment horizontal="center" vertical="center" wrapText="1"/>
    </xf>
    <xf numFmtId="0" fontId="70" fillId="0" borderId="250" xfId="0" applyFont="1" applyBorder="1" applyAlignment="1">
      <alignment horizontal="center" vertical="center" wrapText="1"/>
    </xf>
    <xf numFmtId="0" fontId="70" fillId="0" borderId="251" xfId="0" applyFont="1" applyBorder="1" applyAlignment="1">
      <alignment horizontal="center" vertical="center" wrapText="1"/>
    </xf>
    <xf numFmtId="0" fontId="70" fillId="0" borderId="252" xfId="0" applyFont="1" applyBorder="1" applyAlignment="1">
      <alignment horizontal="center" vertical="center" wrapText="1"/>
    </xf>
    <xf numFmtId="0" fontId="70" fillId="0" borderId="253" xfId="0" applyFont="1" applyBorder="1" applyAlignment="1">
      <alignment horizontal="center" vertical="center" wrapText="1"/>
    </xf>
    <xf numFmtId="0" fontId="70" fillId="0" borderId="60" xfId="0" applyFont="1" applyBorder="1" applyAlignment="1">
      <alignment horizontal="center" vertical="center" wrapText="1"/>
    </xf>
    <xf numFmtId="0" fontId="81" fillId="0" borderId="92" xfId="0" applyFont="1" applyBorder="1" applyAlignment="1">
      <alignment horizontal="center" vertical="center" wrapText="1"/>
    </xf>
    <xf numFmtId="0" fontId="36" fillId="0" borderId="93" xfId="0" applyFont="1" applyBorder="1" applyAlignment="1">
      <alignment horizontal="center" vertical="center" wrapText="1"/>
    </xf>
    <xf numFmtId="0" fontId="36" fillId="0" borderId="224" xfId="0" applyFont="1" applyBorder="1" applyAlignment="1">
      <alignment horizontal="center" vertical="center" wrapText="1"/>
    </xf>
    <xf numFmtId="0" fontId="50" fillId="5" borderId="49" xfId="0" applyFont="1" applyFill="1" applyBorder="1" applyAlignment="1">
      <alignment horizontal="center"/>
    </xf>
    <xf numFmtId="0" fontId="78" fillId="30" borderId="28" xfId="0" applyFont="1" applyFill="1" applyBorder="1" applyAlignment="1">
      <alignment horizontal="center" vertical="center"/>
    </xf>
    <xf numFmtId="0" fontId="78" fillId="30" borderId="5" xfId="0" applyFont="1" applyFill="1" applyBorder="1" applyAlignment="1">
      <alignment horizontal="center" vertical="center"/>
    </xf>
    <xf numFmtId="0" fontId="78" fillId="30" borderId="29" xfId="0" applyFont="1" applyFill="1" applyBorder="1" applyAlignment="1">
      <alignment horizontal="center" vertical="center"/>
    </xf>
    <xf numFmtId="9" fontId="75" fillId="12" borderId="32" xfId="15" applyFont="1" applyFill="1" applyBorder="1" applyAlignment="1">
      <alignment horizontal="center" vertical="center"/>
    </xf>
    <xf numFmtId="9" fontId="75" fillId="12" borderId="2" xfId="15" applyFont="1" applyFill="1" applyBorder="1" applyAlignment="1">
      <alignment horizontal="center" vertical="center"/>
    </xf>
    <xf numFmtId="0" fontId="78" fillId="30" borderId="3" xfId="0" applyFont="1" applyFill="1" applyBorder="1" applyAlignment="1">
      <alignment horizontal="center" vertical="center"/>
    </xf>
    <xf numFmtId="0" fontId="78" fillId="30" borderId="3" xfId="0" quotePrefix="1" applyFont="1" applyFill="1" applyBorder="1" applyAlignment="1">
      <alignment horizontal="center" vertical="center"/>
    </xf>
    <xf numFmtId="2" fontId="75" fillId="12" borderId="2" xfId="0" applyNumberFormat="1" applyFont="1" applyFill="1" applyBorder="1" applyAlignment="1">
      <alignment horizontal="center" vertical="center"/>
    </xf>
    <xf numFmtId="0" fontId="78" fillId="30" borderId="38" xfId="0" applyFont="1" applyFill="1" applyBorder="1" applyAlignment="1">
      <alignment horizontal="center" vertical="center"/>
    </xf>
    <xf numFmtId="0" fontId="78" fillId="30" borderId="38" xfId="32" applyFont="1" applyFill="1" applyBorder="1" applyAlignment="1">
      <alignment horizontal="center" vertical="center"/>
    </xf>
    <xf numFmtId="9" fontId="75" fillId="34" borderId="36" xfId="15" quotePrefix="1" applyFont="1" applyFill="1" applyBorder="1" applyAlignment="1">
      <alignment horizontal="center" vertical="center" wrapText="1"/>
    </xf>
    <xf numFmtId="9" fontId="75" fillId="34" borderId="37" xfId="15" applyFont="1" applyFill="1" applyBorder="1" applyAlignment="1">
      <alignment horizontal="center" vertical="center" wrapText="1"/>
    </xf>
    <xf numFmtId="189" fontId="0" fillId="0" borderId="36" xfId="0" applyNumberFormat="1" applyBorder="1" applyAlignment="1">
      <alignment horizontal="center" vertical="center"/>
    </xf>
    <xf numFmtId="189" fontId="0" fillId="0" borderId="37" xfId="0" applyNumberFormat="1" applyBorder="1" applyAlignment="1">
      <alignment horizontal="center" vertical="center"/>
    </xf>
    <xf numFmtId="0" fontId="63" fillId="0" borderId="36" xfId="0" applyFont="1" applyBorder="1" applyAlignment="1">
      <alignment horizontal="center" vertical="center"/>
    </xf>
    <xf numFmtId="0" fontId="63" fillId="0" borderId="1" xfId="0" applyFont="1" applyBorder="1" applyAlignment="1">
      <alignment horizontal="center" vertical="center"/>
    </xf>
    <xf numFmtId="0" fontId="63" fillId="0" borderId="37" xfId="0" applyFont="1" applyBorder="1" applyAlignment="1">
      <alignment horizontal="center" vertical="center"/>
    </xf>
    <xf numFmtId="9" fontId="78" fillId="30" borderId="162" xfId="15" applyFont="1" applyFill="1" applyBorder="1" applyAlignment="1">
      <alignment horizontal="center" vertical="center"/>
    </xf>
    <xf numFmtId="9" fontId="78" fillId="30" borderId="98" xfId="15" applyFont="1" applyFill="1" applyBorder="1" applyAlignment="1">
      <alignment horizontal="center" vertical="center"/>
    </xf>
    <xf numFmtId="9" fontId="78" fillId="30" borderId="187" xfId="15" applyFont="1" applyFill="1" applyBorder="1" applyAlignment="1">
      <alignment horizontal="center" vertical="center"/>
    </xf>
    <xf numFmtId="9" fontId="78" fillId="30" borderId="99" xfId="15" applyFont="1" applyFill="1" applyBorder="1" applyAlignment="1">
      <alignment horizontal="center" vertical="center"/>
    </xf>
    <xf numFmtId="9" fontId="78" fillId="30" borderId="185" xfId="15" applyFont="1" applyFill="1" applyBorder="1" applyAlignment="1">
      <alignment horizontal="center" vertical="center"/>
    </xf>
    <xf numFmtId="9" fontId="78" fillId="30" borderId="164" xfId="15" applyFont="1" applyFill="1" applyBorder="1" applyAlignment="1">
      <alignment horizontal="center" vertical="center"/>
    </xf>
    <xf numFmtId="0" fontId="78" fillId="30" borderId="99" xfId="0" applyFont="1" applyFill="1" applyBorder="1" applyAlignment="1">
      <alignment horizontal="center" vertical="center"/>
    </xf>
    <xf numFmtId="0" fontId="78" fillId="30" borderId="185" xfId="0" applyFont="1" applyFill="1" applyBorder="1" applyAlignment="1">
      <alignment horizontal="center" vertical="center"/>
    </xf>
    <xf numFmtId="0" fontId="17" fillId="18" borderId="94" xfId="1" applyFill="1" applyBorder="1" applyAlignment="1">
      <alignment horizontal="center" vertical="center" readingOrder="1"/>
    </xf>
    <xf numFmtId="0" fontId="53" fillId="18" borderId="94" xfId="25" applyFont="1" applyFill="1" applyBorder="1" applyAlignment="1">
      <alignment horizontal="center"/>
    </xf>
    <xf numFmtId="0" fontId="28" fillId="5" borderId="117" xfId="25" applyFont="1" applyFill="1" applyBorder="1" applyAlignment="1">
      <alignment horizontal="center" vertical="center"/>
    </xf>
    <xf numFmtId="0" fontId="28" fillId="5" borderId="24" xfId="25" applyFont="1" applyFill="1" applyBorder="1" applyAlignment="1">
      <alignment horizontal="center" vertical="center"/>
    </xf>
    <xf numFmtId="0" fontId="28" fillId="5" borderId="25" xfId="25" applyFont="1" applyFill="1" applyBorder="1" applyAlignment="1">
      <alignment horizontal="center" vertical="center"/>
    </xf>
    <xf numFmtId="0" fontId="30" fillId="0" borderId="118" xfId="25" applyFont="1" applyBorder="1" applyAlignment="1">
      <alignment horizontal="center" vertical="center" wrapText="1"/>
    </xf>
    <xf numFmtId="0" fontId="30" fillId="0" borderId="119" xfId="25" applyFont="1" applyBorder="1" applyAlignment="1">
      <alignment horizontal="center" vertical="center" wrapText="1"/>
    </xf>
    <xf numFmtId="0" fontId="30" fillId="0" borderId="120" xfId="25" applyFont="1" applyBorder="1" applyAlignment="1">
      <alignment horizontal="center" vertical="center" wrapText="1"/>
    </xf>
    <xf numFmtId="0" fontId="9" fillId="38" borderId="176" xfId="0" applyFont="1" applyFill="1" applyBorder="1" applyAlignment="1">
      <alignment horizontal="center"/>
    </xf>
    <xf numFmtId="0" fontId="9" fillId="38" borderId="177" xfId="0" applyFont="1" applyFill="1" applyBorder="1" applyAlignment="1">
      <alignment horizontal="center"/>
    </xf>
    <xf numFmtId="0" fontId="9" fillId="38" borderId="159" xfId="0" applyFont="1" applyFill="1" applyBorder="1" applyAlignment="1">
      <alignment horizontal="center"/>
    </xf>
    <xf numFmtId="0" fontId="63" fillId="0" borderId="3" xfId="28" applyFont="1" applyBorder="1" applyAlignment="1">
      <alignment horizontal="center" vertical="center"/>
    </xf>
    <xf numFmtId="0" fontId="63" fillId="0" borderId="2" xfId="28" applyFont="1" applyBorder="1" applyAlignment="1">
      <alignment horizontal="center" vertical="center"/>
    </xf>
    <xf numFmtId="0" fontId="55" fillId="35" borderId="0" xfId="0" applyFont="1" applyFill="1" applyAlignment="1">
      <alignment horizontal="left" vertical="center"/>
    </xf>
    <xf numFmtId="0" fontId="56" fillId="0" borderId="3" xfId="0" applyFont="1" applyBorder="1" applyAlignment="1">
      <alignment horizontal="center" vertical="center"/>
    </xf>
    <xf numFmtId="0" fontId="56" fillId="0" borderId="4" xfId="0" applyFont="1" applyBorder="1" applyAlignment="1">
      <alignment horizontal="center" vertical="center"/>
    </xf>
    <xf numFmtId="0" fontId="56" fillId="0" borderId="2" xfId="0" applyFont="1" applyBorder="1" applyAlignment="1">
      <alignment horizontal="center" vertical="center"/>
    </xf>
    <xf numFmtId="0" fontId="56" fillId="0" borderId="111" xfId="0" applyFont="1" applyBorder="1" applyAlignment="1">
      <alignment horizontal="center" vertical="center" wrapText="1"/>
    </xf>
    <xf numFmtId="0" fontId="56" fillId="0" borderId="108" xfId="0" applyFont="1" applyBorder="1" applyAlignment="1">
      <alignment horizontal="center" vertical="center" wrapText="1"/>
    </xf>
    <xf numFmtId="0" fontId="61" fillId="27" borderId="110" xfId="0" applyFont="1" applyFill="1" applyBorder="1" applyAlignment="1">
      <alignment horizontal="center"/>
    </xf>
    <xf numFmtId="0" fontId="61" fillId="27" borderId="121" xfId="0" applyFont="1" applyFill="1" applyBorder="1" applyAlignment="1">
      <alignment horizontal="center"/>
    </xf>
    <xf numFmtId="0" fontId="54" fillId="12" borderId="176" xfId="0" applyFont="1" applyFill="1" applyBorder="1" applyAlignment="1">
      <alignment horizontal="center"/>
    </xf>
    <xf numFmtId="0" fontId="54" fillId="12" borderId="177" xfId="0" applyFont="1" applyFill="1" applyBorder="1" applyAlignment="1">
      <alignment horizontal="center"/>
    </xf>
    <xf numFmtId="0" fontId="54" fillId="12" borderId="138" xfId="0" applyFont="1" applyFill="1" applyBorder="1" applyAlignment="1">
      <alignment horizontal="center"/>
    </xf>
    <xf numFmtId="0" fontId="54" fillId="12" borderId="130" xfId="0" applyFont="1" applyFill="1" applyBorder="1" applyAlignment="1">
      <alignment horizontal="center"/>
    </xf>
    <xf numFmtId="0" fontId="54" fillId="38" borderId="176" xfId="0" applyFont="1" applyFill="1" applyBorder="1" applyAlignment="1">
      <alignment horizontal="center"/>
    </xf>
    <xf numFmtId="0" fontId="54" fillId="38" borderId="177" xfId="0" applyFont="1" applyFill="1" applyBorder="1" applyAlignment="1">
      <alignment horizontal="center"/>
    </xf>
    <xf numFmtId="0" fontId="54" fillId="38" borderId="159" xfId="0" applyFont="1" applyFill="1" applyBorder="1" applyAlignment="1">
      <alignment horizontal="center"/>
    </xf>
    <xf numFmtId="0" fontId="56" fillId="0" borderId="108" xfId="0" applyFont="1" applyBorder="1" applyAlignment="1">
      <alignment horizontal="center" vertical="center"/>
    </xf>
    <xf numFmtId="0" fontId="56" fillId="0" borderId="111" xfId="0" applyFont="1" applyBorder="1" applyAlignment="1">
      <alignment horizontal="center" vertical="center"/>
    </xf>
    <xf numFmtId="0" fontId="56" fillId="0" borderId="178" xfId="0" applyFont="1" applyBorder="1" applyAlignment="1">
      <alignment horizontal="center" vertical="center"/>
    </xf>
    <xf numFmtId="0" fontId="56" fillId="0" borderId="149" xfId="0" applyFont="1" applyBorder="1" applyAlignment="1">
      <alignment horizontal="center" vertical="center"/>
    </xf>
    <xf numFmtId="0" fontId="56" fillId="0" borderId="100" xfId="0" applyFont="1" applyBorder="1" applyAlignment="1">
      <alignment horizontal="center" vertical="center"/>
    </xf>
    <xf numFmtId="204" fontId="136" fillId="21" borderId="36" xfId="23" applyNumberFormat="1" applyFont="1" applyFill="1" applyBorder="1" applyAlignment="1">
      <alignment horizontal="center" vertical="center"/>
    </xf>
    <xf numFmtId="0" fontId="136" fillId="21" borderId="1" xfId="23" applyFont="1" applyFill="1" applyBorder="1" applyAlignment="1">
      <alignment horizontal="center" vertical="center"/>
    </xf>
    <xf numFmtId="0" fontId="136" fillId="21" borderId="37" xfId="23" applyFont="1" applyFill="1" applyBorder="1" applyAlignment="1">
      <alignment horizontal="center" vertical="center"/>
    </xf>
    <xf numFmtId="0" fontId="34" fillId="4" borderId="36" xfId="23" applyFont="1" applyFill="1" applyBorder="1" applyAlignment="1">
      <alignment horizontal="center" vertical="center"/>
    </xf>
    <xf numFmtId="0" fontId="34" fillId="4" borderId="37" xfId="23" applyFont="1" applyFill="1" applyBorder="1" applyAlignment="1">
      <alignment horizontal="center" vertical="center"/>
    </xf>
    <xf numFmtId="204" fontId="136" fillId="4" borderId="36" xfId="23" applyNumberFormat="1" applyFont="1" applyFill="1" applyBorder="1" applyAlignment="1">
      <alignment horizontal="center" vertical="center"/>
    </xf>
    <xf numFmtId="204" fontId="136" fillId="4" borderId="1" xfId="23" applyNumberFormat="1" applyFont="1" applyFill="1" applyBorder="1" applyAlignment="1">
      <alignment horizontal="center" vertical="center"/>
    </xf>
    <xf numFmtId="204" fontId="136" fillId="4" borderId="37" xfId="23" applyNumberFormat="1" applyFont="1" applyFill="1" applyBorder="1" applyAlignment="1">
      <alignment horizontal="center" vertical="center"/>
    </xf>
    <xf numFmtId="0" fontId="136" fillId="14" borderId="36" xfId="23" applyFont="1" applyFill="1" applyBorder="1" applyAlignment="1">
      <alignment horizontal="center" vertical="center"/>
    </xf>
    <xf numFmtId="0" fontId="136" fillId="14" borderId="1" xfId="23" applyFont="1" applyFill="1" applyBorder="1" applyAlignment="1">
      <alignment horizontal="center" vertical="center"/>
    </xf>
    <xf numFmtId="0" fontId="136" fillId="14" borderId="37" xfId="23" applyFont="1" applyFill="1" applyBorder="1" applyAlignment="1">
      <alignment horizontal="center" vertical="center"/>
    </xf>
    <xf numFmtId="10" fontId="34" fillId="4" borderId="36" xfId="15" applyNumberFormat="1" applyFont="1" applyFill="1" applyBorder="1" applyAlignment="1">
      <alignment horizontal="center" vertical="center"/>
    </xf>
    <xf numFmtId="10" fontId="34" fillId="4" borderId="37" xfId="15" applyNumberFormat="1" applyFont="1" applyFill="1" applyBorder="1" applyAlignment="1">
      <alignment horizontal="center" vertical="center"/>
    </xf>
    <xf numFmtId="204" fontId="136" fillId="0" borderId="36" xfId="23" applyNumberFormat="1" applyFont="1" applyBorder="1" applyAlignment="1">
      <alignment horizontal="center" vertical="center"/>
    </xf>
    <xf numFmtId="0" fontId="136" fillId="0" borderId="1" xfId="23" applyFont="1" applyBorder="1" applyAlignment="1">
      <alignment horizontal="center" vertical="center"/>
    </xf>
    <xf numFmtId="0" fontId="136" fillId="0" borderId="37" xfId="23" applyFont="1" applyBorder="1" applyAlignment="1">
      <alignment horizontal="center" vertical="center"/>
    </xf>
    <xf numFmtId="0" fontId="122" fillId="0" borderId="28" xfId="0" applyFont="1" applyBorder="1" applyAlignment="1">
      <alignment horizontal="center"/>
    </xf>
    <xf numFmtId="0" fontId="122" fillId="0" borderId="29" xfId="0" applyFont="1" applyBorder="1" applyAlignment="1">
      <alignment horizontal="center"/>
    </xf>
    <xf numFmtId="0" fontId="9" fillId="0" borderId="0" xfId="23" applyAlignment="1">
      <alignment horizontal="center"/>
    </xf>
    <xf numFmtId="0" fontId="34" fillId="8" borderId="36" xfId="23" applyFont="1" applyFill="1" applyBorder="1" applyAlignment="1">
      <alignment horizontal="center" vertical="center"/>
    </xf>
    <xf numFmtId="0" fontId="34" fillId="8" borderId="37" xfId="23" applyFont="1" applyFill="1" applyBorder="1" applyAlignment="1">
      <alignment horizontal="center" vertical="center"/>
    </xf>
    <xf numFmtId="0" fontId="116" fillId="0" borderId="0" xfId="0" applyFont="1" applyAlignment="1">
      <alignment horizontal="center"/>
    </xf>
    <xf numFmtId="0" fontId="136" fillId="8" borderId="36" xfId="23" applyFont="1" applyFill="1" applyBorder="1" applyAlignment="1">
      <alignment horizontal="center" vertical="center"/>
    </xf>
    <xf numFmtId="0" fontId="136" fillId="8" borderId="37" xfId="23" applyFont="1" applyFill="1" applyBorder="1" applyAlignment="1">
      <alignment horizontal="center" vertical="center"/>
    </xf>
    <xf numFmtId="0" fontId="136" fillId="14" borderId="36" xfId="23" quotePrefix="1" applyFont="1" applyFill="1" applyBorder="1" applyAlignment="1">
      <alignment horizontal="center" vertical="center" wrapText="1"/>
    </xf>
    <xf numFmtId="0" fontId="136" fillId="14" borderId="37" xfId="23" quotePrefix="1" applyFont="1" applyFill="1" applyBorder="1" applyAlignment="1">
      <alignment horizontal="center" vertical="center" wrapText="1"/>
    </xf>
    <xf numFmtId="0" fontId="136" fillId="8" borderId="36" xfId="23" applyFont="1" applyFill="1" applyBorder="1" applyAlignment="1">
      <alignment horizontal="center" vertical="center" wrapText="1"/>
    </xf>
    <xf numFmtId="0" fontId="75" fillId="7" borderId="0" xfId="0" applyFont="1" applyFill="1" applyAlignment="1">
      <alignment horizontal="center"/>
    </xf>
    <xf numFmtId="0" fontId="44" fillId="0" borderId="0" xfId="0" applyFont="1" applyAlignment="1">
      <alignment horizontal="center"/>
    </xf>
    <xf numFmtId="0" fontId="10" fillId="0" borderId="0" xfId="0" applyFont="1" applyAlignment="1">
      <alignment horizontal="center"/>
    </xf>
    <xf numFmtId="0" fontId="40" fillId="0" borderId="0" xfId="0" applyFont="1" applyAlignment="1">
      <alignment horizontal="center"/>
    </xf>
    <xf numFmtId="0" fontId="14" fillId="0" borderId="3" xfId="0" applyFont="1" applyBorder="1" applyAlignment="1">
      <alignment horizontal="center"/>
    </xf>
    <xf numFmtId="0" fontId="14" fillId="0" borderId="2" xfId="0" applyFont="1" applyBorder="1" applyAlignment="1">
      <alignment horizontal="center"/>
    </xf>
    <xf numFmtId="0" fontId="14" fillId="0" borderId="28" xfId="0" applyFont="1" applyBorder="1" applyAlignment="1">
      <alignment horizontal="center"/>
    </xf>
    <xf numFmtId="0" fontId="14" fillId="0" borderId="5" xfId="0" applyFont="1" applyBorder="1" applyAlignment="1">
      <alignment horizontal="center"/>
    </xf>
    <xf numFmtId="0" fontId="14" fillId="0" borderId="29" xfId="0" applyFont="1" applyBorder="1" applyAlignment="1">
      <alignment horizontal="center"/>
    </xf>
    <xf numFmtId="0" fontId="36" fillId="0" borderId="0" xfId="0" applyFont="1" applyAlignment="1">
      <alignment horizontal="center"/>
    </xf>
    <xf numFmtId="0" fontId="24" fillId="0" borderId="0" xfId="0" applyFont="1" applyAlignment="1">
      <alignment horizontal="center"/>
    </xf>
    <xf numFmtId="183" fontId="24" fillId="0" borderId="0" xfId="0" applyNumberFormat="1" applyFont="1" applyAlignment="1">
      <alignment horizontal="center"/>
    </xf>
    <xf numFmtId="183" fontId="36" fillId="19" borderId="0" xfId="0" applyNumberFormat="1" applyFont="1" applyFill="1" applyAlignment="1">
      <alignment horizontal="center"/>
    </xf>
  </cellXfs>
  <cellStyles count="79">
    <cellStyle name="20% - 着色 1" xfId="50" builtinId="30" customBuiltin="1"/>
    <cellStyle name="20% - 着色 2" xfId="54" builtinId="34" customBuiltin="1"/>
    <cellStyle name="20% - 着色 3" xfId="58" builtinId="38" customBuiltin="1"/>
    <cellStyle name="20% - 着色 4" xfId="62" builtinId="42" customBuiltin="1"/>
    <cellStyle name="20% - 着色 5" xfId="66" builtinId="46" customBuiltin="1"/>
    <cellStyle name="20% - 着色 6" xfId="70" builtinId="50" customBuiltin="1"/>
    <cellStyle name="40% - 着色 1" xfId="51" builtinId="31" customBuiltin="1"/>
    <cellStyle name="40% - 着色 2" xfId="55" builtinId="35" customBuiltin="1"/>
    <cellStyle name="40% - 着色 3" xfId="59" builtinId="39" customBuiltin="1"/>
    <cellStyle name="40% - 着色 4" xfId="63" builtinId="43" customBuiltin="1"/>
    <cellStyle name="40% - 着色 5" xfId="67" builtinId="47" customBuiltin="1"/>
    <cellStyle name="40% - 着色 6" xfId="71" builtinId="51" customBuiltin="1"/>
    <cellStyle name="60% - 着色 1" xfId="52" builtinId="32" customBuiltin="1"/>
    <cellStyle name="60% - 着色 2" xfId="56" builtinId="36" customBuiltin="1"/>
    <cellStyle name="60% - 着色 3" xfId="60" builtinId="40" customBuiltin="1"/>
    <cellStyle name="60% - 着色 4" xfId="64" builtinId="44" customBuiltin="1"/>
    <cellStyle name="60% - 着色 5" xfId="68" builtinId="48" customBuiltin="1"/>
    <cellStyle name="60% - 着色 6" xfId="72" builtinId="52" customBuiltin="1"/>
    <cellStyle name="blp_title_header_row_left" xfId="1" xr:uid="{00000000-0005-0000-0000-000000000000}"/>
    <cellStyle name="fa_column_header_bottom_left 2" xfId="2" xr:uid="{00000000-0005-0000-0000-000001000000}"/>
    <cellStyle name="fa_column_header_top 2" xfId="3" xr:uid="{00000000-0005-0000-0000-000002000000}"/>
    <cellStyle name="fa_column_header_top_left 2" xfId="4" xr:uid="{00000000-0005-0000-0000-000003000000}"/>
    <cellStyle name="fa_data_bold_0_grouped" xfId="5" xr:uid="{00000000-0005-0000-0000-000004000000}"/>
    <cellStyle name="fa_data_standard_1_grouped" xfId="6" xr:uid="{00000000-0005-0000-0000-000005000000}"/>
    <cellStyle name="fa_data_standard_2_grouped" xfId="7" xr:uid="{00000000-0005-0000-0000-000006000000}"/>
    <cellStyle name="fa_footer_italic" xfId="8" xr:uid="{00000000-0005-0000-0000-000007000000}"/>
    <cellStyle name="fa_row_header_bold 2" xfId="9" xr:uid="{00000000-0005-0000-0000-000008000000}"/>
    <cellStyle name="fa_row_header_standard 2" xfId="10" xr:uid="{00000000-0005-0000-0000-000009000000}"/>
    <cellStyle name="Moneda 2" xfId="11" xr:uid="{00000000-0005-0000-0000-00000B000000}"/>
    <cellStyle name="Moneda 2 2" xfId="12" xr:uid="{00000000-0005-0000-0000-00000C000000}"/>
    <cellStyle name="Normal 2" xfId="13" xr:uid="{00000000-0005-0000-0000-00000E000000}"/>
    <cellStyle name="Normal 2 2" xfId="14" xr:uid="{00000000-0005-0000-0000-00000F000000}"/>
    <cellStyle name="Normal 2 3" xfId="19" xr:uid="{00000000-0005-0000-0000-000010000000}"/>
    <cellStyle name="Normal 2 3 2" xfId="26" xr:uid="{6A4611F8-31D7-4EA6-B27B-70EB4E34E8FD}"/>
    <cellStyle name="Normal 2 4" xfId="20" xr:uid="{DBC68614-B0BC-4348-8A0D-C96562B201CF}"/>
    <cellStyle name="Normal 3" xfId="23" xr:uid="{371B90F0-6B8E-40BF-8358-D28B574437C9}"/>
    <cellStyle name="Normal 3 2" xfId="25" xr:uid="{41BD78A2-6B23-4ADD-839D-9D86F14E11A2}"/>
    <cellStyle name="Normal 3 3" xfId="28" xr:uid="{4CBFF9A4-05AD-4A91-8AF0-FA0B5B39E2EC}"/>
    <cellStyle name="Normal 4" xfId="73" xr:uid="{73A91F6A-58AC-44E8-A0A0-B8E0C82FA265}"/>
    <cellStyle name="Normal 5" xfId="29" xr:uid="{E3BE1569-E214-4855-8BF5-B868B88B5743}"/>
    <cellStyle name="Normal 6" xfId="77" xr:uid="{A0C11C08-49A1-46F9-9EB2-A65B2BF37FEA}"/>
    <cellStyle name="Normal 9" xfId="32" xr:uid="{CACD4D4E-2C7F-4816-9692-26D0FDD559DC}"/>
    <cellStyle name="Nota 2" xfId="74" xr:uid="{85989609-6E36-447B-9036-00DC4C6EA92B}"/>
    <cellStyle name="Porcentaje 2" xfId="16" xr:uid="{00000000-0005-0000-0000-000012000000}"/>
    <cellStyle name="Porcentaje 2 2" xfId="17" xr:uid="{00000000-0005-0000-0000-000013000000}"/>
    <cellStyle name="Porcentaje 2 2 2" xfId="24" xr:uid="{924DB8B0-6B9C-4A78-9CB6-7EC8F42C7C6B}"/>
    <cellStyle name="Porcentaje 2 3" xfId="22" xr:uid="{1FF2580F-E450-433A-8AB5-6E1CABCA8FC9}"/>
    <cellStyle name="Porcentaje 2 4" xfId="27" xr:uid="{3D812F63-E4F6-4F6D-A613-EF79E76ACE35}"/>
    <cellStyle name="Porcentaje 3" xfId="18" xr:uid="{00000000-0005-0000-0000-000014000000}"/>
    <cellStyle name="Porcentaje 3 2" xfId="21" xr:uid="{59E732CE-B697-4AF7-8CEE-0C42EB60E78B}"/>
    <cellStyle name="Porcentaje 4 2" xfId="31" xr:uid="{C6A0E8B8-33DC-4334-89A4-99FF669E5EA8}"/>
    <cellStyle name="Porcentaje 5" xfId="30" xr:uid="{F07CEC0B-CE59-4BBC-A0C7-9B77A84167BF}"/>
    <cellStyle name="百分比" xfId="15" builtinId="5"/>
    <cellStyle name="标题" xfId="33" builtinId="15" customBuiltin="1"/>
    <cellStyle name="标题 1" xfId="34" builtinId="16" customBuiltin="1"/>
    <cellStyle name="标题 2" xfId="35" builtinId="17" customBuiltin="1"/>
    <cellStyle name="标题 3" xfId="36" builtinId="18" customBuiltin="1"/>
    <cellStyle name="标题 4" xfId="37" builtinId="19" customBuiltin="1"/>
    <cellStyle name="差" xfId="39" builtinId="27" customBuiltin="1"/>
    <cellStyle name="常规" xfId="0" builtinId="0"/>
    <cellStyle name="超链接" xfId="78" builtinId="8"/>
    <cellStyle name="好" xfId="38" builtinId="26" customBuiltin="1"/>
    <cellStyle name="汇总" xfId="48" builtinId="25" customBuiltin="1"/>
    <cellStyle name="货币" xfId="76" builtinId="4"/>
    <cellStyle name="计算" xfId="43" builtinId="22" customBuiltin="1"/>
    <cellStyle name="检查单元格" xfId="45" builtinId="23" customBuiltin="1"/>
    <cellStyle name="解释性文本" xfId="47" builtinId="53" customBuiltin="1"/>
    <cellStyle name="警告文本" xfId="46" builtinId="11" customBuiltin="1"/>
    <cellStyle name="链接单元格" xfId="44" builtinId="24" customBuiltin="1"/>
    <cellStyle name="千位分隔" xfId="75" builtinId="3"/>
    <cellStyle name="适中" xfId="40" builtinId="28" customBuiltin="1"/>
    <cellStyle name="输出" xfId="42" builtinId="21" customBuiltin="1"/>
    <cellStyle name="输入" xfId="41" builtinId="20" customBuiltin="1"/>
    <cellStyle name="着色 1" xfId="49" builtinId="29" customBuiltin="1"/>
    <cellStyle name="着色 2" xfId="53" builtinId="33" customBuiltin="1"/>
    <cellStyle name="着色 3" xfId="57" builtinId="37" customBuiltin="1"/>
    <cellStyle name="着色 4" xfId="61" builtinId="41" customBuiltin="1"/>
    <cellStyle name="着色 5" xfId="65" builtinId="45" customBuiltin="1"/>
    <cellStyle name="着色 6" xfId="69" builtinId="49" customBuiltin="1"/>
  </cellStyles>
  <dxfs count="48">
    <dxf>
      <font>
        <color rgb="FF9C0006"/>
      </font>
      <fill>
        <patternFill>
          <bgColor rgb="FFFFC7CE"/>
        </patternFill>
      </fill>
    </dxf>
    <dxf>
      <fill>
        <patternFill>
          <bgColor rgb="FF00B050"/>
        </patternFill>
      </fill>
    </dxf>
    <dxf>
      <fill>
        <patternFill>
          <bgColor rgb="FFFF0000"/>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theme="0" tint="-0.499984740745262"/>
      </font>
      <fill>
        <patternFill>
          <bgColor theme="0" tint="-0.499984740745262"/>
        </patternFill>
      </fill>
    </dxf>
    <dxf>
      <font>
        <color rgb="FF9C0006"/>
      </font>
      <fill>
        <patternFill>
          <bgColor rgb="FFFFC7CE"/>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patternType="solid">
          <bgColor rgb="FFFF0000"/>
        </patternFill>
      </fill>
    </dxf>
  </dxfs>
  <tableStyles count="1" defaultTableStyle="TableStyleMedium9" defaultPivotStyle="PivotStyleLight16">
    <tableStyle name="Invisible" pivot="0" table="0" count="0" xr9:uid="{7B8256E5-5961-45BC-8E74-75040304E975}"/>
  </tableStyles>
  <colors>
    <mruColors>
      <color rgb="FF808080"/>
      <color rgb="FFF2F2F2"/>
      <color rgb="FFC5D9F1"/>
      <color rgb="FF1C65C5"/>
      <color rgb="FF1C0000"/>
      <color rgb="FFDCE6F1"/>
      <color rgb="FF1F497D"/>
      <color rgb="FF00B050"/>
      <color rgb="FFFF0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microsoft.com/office/2022/10/relationships/richValueRel" Target="richData/richValueRel.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17/06/relationships/richStyles" Target="richData/rich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eetMetadata" Target="metadata.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styles" Target="styles.xml"/><Relationship Id="rId23" Type="http://schemas.microsoft.com/office/2017/06/relationships/rdSupportingPropertyBag" Target="richData/rdsupportingpropertybag.xml"/><Relationship Id="rId28"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microsoft.com/office/2017/06/relationships/rdSupportingPropertyBagStructure" Target="richData/rdsupportingpropertybagstructure.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95-4C49-84C7-5728DDC2187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95-4C49-84C7-5728DDC2187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Segments!$C$13:$C$14</c:f>
              <c:strCache>
                <c:ptCount val="2"/>
                <c:pt idx="0">
                  <c:v>Trucks </c:v>
                </c:pt>
                <c:pt idx="1">
                  <c:v>Parts</c:v>
                </c:pt>
              </c:strCache>
            </c:strRef>
          </c:cat>
          <c:val>
            <c:numRef>
              <c:f>Segments!$D$13:$D$14</c:f>
              <c:numCache>
                <c:formatCode>"$"#,##0.00</c:formatCode>
                <c:ptCount val="2"/>
                <c:pt idx="0">
                  <c:v>26846.400000000001</c:v>
                </c:pt>
                <c:pt idx="1">
                  <c:v>6414.4</c:v>
                </c:pt>
              </c:numCache>
            </c:numRef>
          </c:val>
          <c:extLst>
            <c:ext xmlns:c16="http://schemas.microsoft.com/office/drawing/2014/chart" uri="{C3380CC4-5D6E-409C-BE32-E72D297353CC}">
              <c16:uniqueId val="{00000001-CF53-4579-B1F0-E5091D75744D}"/>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3975159355080616"/>
          <c:y val="0.73646744865654679"/>
          <c:w val="0.72049681289838774"/>
          <c:h val="0.22165110804448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A9F-49D6-9FC9-334380BCCA3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A9F-49D6-9FC9-334380BCCA3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Segments!$C$5:$C$6</c:f>
              <c:strCache>
                <c:ptCount val="2"/>
                <c:pt idx="0">
                  <c:v>United States and Canada</c:v>
                </c:pt>
                <c:pt idx="1">
                  <c:v>Europe</c:v>
                </c:pt>
              </c:strCache>
            </c:strRef>
          </c:cat>
          <c:val>
            <c:numRef>
              <c:f>Segments!$D$5:$D$6</c:f>
              <c:numCache>
                <c:formatCode>"$"#,##0.00</c:formatCode>
                <c:ptCount val="2"/>
                <c:pt idx="0">
                  <c:v>18841.599999999999</c:v>
                </c:pt>
                <c:pt idx="1">
                  <c:v>8741.4</c:v>
                </c:pt>
              </c:numCache>
            </c:numRef>
          </c:val>
          <c:extLst>
            <c:ext xmlns:c16="http://schemas.microsoft.com/office/drawing/2014/chart" uri="{C3380CC4-5D6E-409C-BE32-E72D297353CC}">
              <c16:uniqueId val="{00000001-C3B0-4A61-A0D4-9A0AF729159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Peers!$C$8</c:f>
              <c:strCache>
                <c:ptCount val="1"/>
                <c:pt idx="0">
                  <c:v>PACCAR INC (XNAS:PCAR)</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Peers!$C$21</c:f>
              <c:numCache>
                <c:formatCode>0.00</c:formatCode>
                <c:ptCount val="1"/>
                <c:pt idx="0">
                  <c:v>1.0421066623344017</c:v>
                </c:pt>
              </c:numCache>
            </c:numRef>
          </c:xVal>
          <c:yVal>
            <c:numRef>
              <c:f>Peers!$C$40</c:f>
              <c:numCache>
                <c:formatCode>0.0</c:formatCode>
                <c:ptCount val="1"/>
                <c:pt idx="0">
                  <c:v>9.782145962279758</c:v>
                </c:pt>
              </c:numCache>
            </c:numRef>
          </c:yVal>
          <c:smooth val="0"/>
          <c:extLst>
            <c:ext xmlns:c16="http://schemas.microsoft.com/office/drawing/2014/chart" uri="{C3380CC4-5D6E-409C-BE32-E72D297353CC}">
              <c16:uniqueId val="{00000001-B547-4DF9-892F-3129917FB3B3}"/>
            </c:ext>
          </c:extLst>
        </c:ser>
        <c:ser>
          <c:idx val="1"/>
          <c:order val="1"/>
          <c:tx>
            <c:strRef>
              <c:f>Peers!$D$8</c:f>
              <c:strCache>
                <c:ptCount val="1"/>
                <c:pt idx="0">
                  <c:v>Volvo Car AB (XSTO:VOLCAR B)</c:v>
                </c:pt>
              </c:strCache>
            </c:strRef>
          </c:tx>
          <c:spPr>
            <a:ln w="25400" cap="rnd">
              <a:solidFill>
                <a:srgbClr val="FFFFFF"/>
              </a:solidFill>
              <a:prstDash val="solid"/>
              <a:round/>
            </a:ln>
            <a:effectLst/>
          </c:spPr>
          <c:marker>
            <c:symbol val="circle"/>
            <c:size val="5"/>
            <c:spPr>
              <a:solidFill>
                <a:srgbClr val="00B0F0"/>
              </a:solidFill>
              <a:ln w="9525">
                <a:solidFill>
                  <a:srgbClr val="00B0F0"/>
                </a:solidFill>
                <a:prstDash val="solid"/>
              </a:ln>
              <a:effectLst/>
            </c:spPr>
          </c:marker>
          <c:xVal>
            <c:numRef>
              <c:f>Peers!$D$21</c:f>
              <c:numCache>
                <c:formatCode>0.00</c:formatCode>
                <c:ptCount val="1"/>
                <c:pt idx="0">
                  <c:v>0.69337732736271507</c:v>
                </c:pt>
              </c:numCache>
            </c:numRef>
          </c:xVal>
          <c:yVal>
            <c:numRef>
              <c:f>Peers!$D$40</c:f>
              <c:numCache>
                <c:formatCode>0.0</c:formatCode>
                <c:ptCount val="1"/>
                <c:pt idx="0">
                  <c:v>3.4786717844921045</c:v>
                </c:pt>
              </c:numCache>
            </c:numRef>
          </c:yVal>
          <c:smooth val="0"/>
          <c:extLst>
            <c:ext xmlns:c16="http://schemas.microsoft.com/office/drawing/2014/chart" uri="{C3380CC4-5D6E-409C-BE32-E72D297353CC}">
              <c16:uniqueId val="{00000002-B547-4DF9-892F-3129917FB3B3}"/>
            </c:ext>
          </c:extLst>
        </c:ser>
        <c:ser>
          <c:idx val="2"/>
          <c:order val="2"/>
          <c:tx>
            <c:strRef>
              <c:f>Peers!$E$8</c:f>
              <c:strCache>
                <c:ptCount val="1"/>
                <c:pt idx="0">
                  <c:v>TESLA, INC. (XNAS:TSLA)</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Peers!$E$21</c:f>
              <c:numCache>
                <c:formatCode>0.00</c:formatCode>
                <c:ptCount val="1"/>
                <c:pt idx="0">
                  <c:v>-0.54012391208142796</c:v>
                </c:pt>
              </c:numCache>
            </c:numRef>
          </c:xVal>
          <c:yVal>
            <c:numRef>
              <c:f>Peers!$E$40</c:f>
              <c:numCache>
                <c:formatCode>0.0</c:formatCode>
                <c:ptCount val="1"/>
                <c:pt idx="0">
                  <c:v>40.010876997344745</c:v>
                </c:pt>
              </c:numCache>
            </c:numRef>
          </c:yVal>
          <c:smooth val="0"/>
          <c:extLst>
            <c:ext xmlns:c16="http://schemas.microsoft.com/office/drawing/2014/chart" uri="{C3380CC4-5D6E-409C-BE32-E72D297353CC}">
              <c16:uniqueId val="{00000003-B547-4DF9-892F-3129917FB3B3}"/>
            </c:ext>
          </c:extLst>
        </c:ser>
        <c:ser>
          <c:idx val="3"/>
          <c:order val="3"/>
          <c:tx>
            <c:strRef>
              <c:f>Peers!$F$8</c:f>
              <c:strCache>
                <c:ptCount val="1"/>
                <c:pt idx="0">
                  <c:v>Daimler Truck Holding AG (XFRA:DTG)</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Peers!$F$21</c:f>
              <c:numCache>
                <c:formatCode>0.00</c:formatCode>
                <c:ptCount val="1"/>
                <c:pt idx="0">
                  <c:v>2.4067242281527994</c:v>
                </c:pt>
              </c:numCache>
            </c:numRef>
          </c:xVal>
          <c:yVal>
            <c:numRef>
              <c:f>Peers!$F$40</c:f>
              <c:numCache>
                <c:formatCode>0.0</c:formatCode>
                <c:ptCount val="1"/>
                <c:pt idx="0">
                  <c:v>7.9980534881318679</c:v>
                </c:pt>
              </c:numCache>
            </c:numRef>
          </c:yVal>
          <c:smooth val="0"/>
          <c:extLst>
            <c:ext xmlns:c16="http://schemas.microsoft.com/office/drawing/2014/chart" uri="{C3380CC4-5D6E-409C-BE32-E72D297353CC}">
              <c16:uniqueId val="{00000004-B547-4DF9-892F-3129917FB3B3}"/>
            </c:ext>
          </c:extLst>
        </c:ser>
        <c:ser>
          <c:idx val="4"/>
          <c:order val="4"/>
          <c:tx>
            <c:strRef>
              <c:f>Peers!$G$8</c:f>
              <c:strCache>
                <c:ptCount val="1"/>
                <c:pt idx="0">
                  <c:v>Renault SA (XPAR:RNO)</c:v>
                </c:pt>
              </c:strCache>
            </c:strRef>
          </c:tx>
          <c:spPr>
            <a:ln w="25400" cap="rnd">
              <a:noFill/>
              <a:round/>
            </a:ln>
            <a:effectLst/>
          </c:spPr>
          <c:marker>
            <c:symbol val="circle"/>
            <c:size val="5"/>
            <c:spPr>
              <a:solidFill>
                <a:schemeClr val="accent5"/>
              </a:solidFill>
              <a:ln w="9525">
                <a:solidFill>
                  <a:schemeClr val="accent5"/>
                </a:solidFill>
              </a:ln>
              <a:effectLst/>
            </c:spPr>
          </c:marker>
          <c:xVal>
            <c:numRef>
              <c:f>Peers!$G$21</c:f>
              <c:numCache>
                <c:formatCode>0.00</c:formatCode>
                <c:ptCount val="1"/>
                <c:pt idx="0">
                  <c:v>7.9151254117050929</c:v>
                </c:pt>
              </c:numCache>
            </c:numRef>
          </c:xVal>
          <c:yVal>
            <c:numRef>
              <c:f>Peers!$G$40</c:f>
              <c:numCache>
                <c:formatCode>0.0</c:formatCode>
                <c:ptCount val="1"/>
                <c:pt idx="0">
                  <c:v>9.7935195702001518</c:v>
                </c:pt>
              </c:numCache>
            </c:numRef>
          </c:yVal>
          <c:smooth val="0"/>
          <c:extLst xmlns:c15="http://schemas.microsoft.com/office/drawing/2012/chart">
            <c:ext xmlns:c16="http://schemas.microsoft.com/office/drawing/2014/chart" uri="{C3380CC4-5D6E-409C-BE32-E72D297353CC}">
              <c16:uniqueId val="{00000005-B547-4DF9-892F-3129917FB3B3}"/>
            </c:ext>
          </c:extLst>
        </c:ser>
        <c:ser>
          <c:idx val="5"/>
          <c:order val="5"/>
          <c:tx>
            <c:strRef>
              <c:f>Peers!#REF!</c:f>
              <c:strCache>
                <c:ptCount val="1"/>
                <c:pt idx="0">
                  <c:v>#REF!</c:v>
                </c:pt>
              </c:strCache>
            </c:strRef>
          </c:tx>
          <c:spPr>
            <a:ln w="25400" cap="rnd">
              <a:noFill/>
              <a:round/>
            </a:ln>
            <a:effectLst/>
          </c:spPr>
          <c:marker>
            <c:symbol val="circle"/>
            <c:size val="5"/>
            <c:spPr>
              <a:solidFill>
                <a:schemeClr val="accent6"/>
              </a:solidFill>
              <a:ln w="9525">
                <a:solidFill>
                  <a:schemeClr val="accent6"/>
                </a:solidFill>
              </a:ln>
              <a:effectLst/>
            </c:spPr>
          </c:marker>
          <c:xVal>
            <c:strRef>
              <c:f>Peers!#REF!</c:f>
              <c:strCache>
                <c:ptCount val="1"/>
                <c:pt idx="0">
                  <c:v>#REF!</c:v>
                </c:pt>
              </c:strCache>
            </c:strRef>
          </c:xVal>
          <c:yVal>
            <c:numRef>
              <c:f>Peers!#REF!</c:f>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6-B547-4DF9-892F-3129917FB3B3}"/>
            </c:ext>
          </c:extLst>
        </c:ser>
        <c:dLbls>
          <c:showLegendKey val="0"/>
          <c:showVal val="0"/>
          <c:showCatName val="0"/>
          <c:showSerName val="0"/>
          <c:showPercent val="0"/>
          <c:showBubbleSize val="0"/>
        </c:dLbls>
        <c:axId val="1571673951"/>
        <c:axId val="1289766175"/>
        <c:extLst/>
      </c:scatterChart>
      <c:valAx>
        <c:axId val="1571673951"/>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b="0" i="0" baseline="0">
                    <a:effectLst/>
                  </a:rPr>
                  <a:t> </a:t>
                </a:r>
                <a:r>
                  <a:rPr lang="en-US" sz="1200" b="0" i="0" baseline="0">
                    <a:effectLst/>
                  </a:rPr>
                  <a:t>NET DEBT /EBITDA</a:t>
                </a:r>
                <a:endParaRPr lang="en-US" sz="1200">
                  <a:effectLst/>
                </a:endParaRPr>
              </a:p>
            </c:rich>
          </c:tx>
          <c:layout>
            <c:manualLayout>
              <c:xMode val="edge"/>
              <c:yMode val="edge"/>
              <c:x val="0.27899032096554843"/>
              <c:y val="0.87705040037424031"/>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766175"/>
        <c:crosses val="autoZero"/>
        <c:crossBetween val="midCat"/>
      </c:valAx>
      <c:valAx>
        <c:axId val="12897661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baseline="0">
                    <a:effectLst/>
                  </a:rPr>
                  <a:t>EV/ EBITDA</a:t>
                </a:r>
                <a:endParaRPr lang="en-US" sz="1200">
                  <a:effectLst/>
                </a:endParaRPr>
              </a:p>
            </c:rich>
          </c:tx>
          <c:layout>
            <c:manualLayout>
              <c:xMode val="edge"/>
              <c:yMode val="edge"/>
              <c:x val="3.903843505466108E-4"/>
              <c:y val="0.32867517282330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1673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802946717757032"/>
          <c:y val="2.4865326922638195E-2"/>
          <c:w val="0.49083244745561727"/>
          <c:h val="0.82049946672598273"/>
        </c:manualLayout>
      </c:layout>
      <c:scatterChart>
        <c:scatterStyle val="lineMarker"/>
        <c:varyColors val="0"/>
        <c:ser>
          <c:idx val="0"/>
          <c:order val="0"/>
          <c:tx>
            <c:strRef>
              <c:f>Peers!$C$8</c:f>
              <c:strCache>
                <c:ptCount val="1"/>
                <c:pt idx="0">
                  <c:v>PACCAR INC (XNAS:PCAR)</c:v>
                </c:pt>
              </c:strCache>
            </c:strRef>
          </c:tx>
          <c:spPr>
            <a:ln w="25400" cap="rnd">
              <a:noFill/>
              <a:round/>
            </a:ln>
            <a:effectLst/>
          </c:spPr>
          <c:marker>
            <c:symbol val="circle"/>
            <c:size val="5"/>
            <c:spPr>
              <a:solidFill>
                <a:srgbClr val="FF0000"/>
              </a:solidFill>
              <a:ln w="9525">
                <a:solidFill>
                  <a:srgbClr val="FF0000"/>
                </a:solidFill>
                <a:prstDash val="solid"/>
              </a:ln>
              <a:effectLst/>
            </c:spPr>
          </c:marker>
          <c:xVal>
            <c:numRef>
              <c:f>Peers!$C$47</c:f>
              <c:numCache>
                <c:formatCode>0%</c:formatCode>
                <c:ptCount val="1"/>
                <c:pt idx="0">
                  <c:v>0.89949999999999997</c:v>
                </c:pt>
              </c:numCache>
            </c:numRef>
          </c:xVal>
          <c:yVal>
            <c:numRef>
              <c:f>Peers!$C$52</c:f>
              <c:numCache>
                <c:formatCode>0.00%</c:formatCode>
                <c:ptCount val="1"/>
                <c:pt idx="0">
                  <c:v>0.40265131226566697</c:v>
                </c:pt>
              </c:numCache>
            </c:numRef>
          </c:yVal>
          <c:smooth val="0"/>
          <c:extLst>
            <c:ext xmlns:c16="http://schemas.microsoft.com/office/drawing/2014/chart" uri="{C3380CC4-5D6E-409C-BE32-E72D297353CC}">
              <c16:uniqueId val="{00000000-A0AB-4E28-9E73-D8DF3D5B0514}"/>
            </c:ext>
          </c:extLst>
        </c:ser>
        <c:ser>
          <c:idx val="1"/>
          <c:order val="1"/>
          <c:tx>
            <c:strRef>
              <c:f>Peers!$D$8</c:f>
              <c:strCache>
                <c:ptCount val="1"/>
                <c:pt idx="0">
                  <c:v>Volvo Car AB (XSTO:VOLCAR B)</c:v>
                </c:pt>
              </c:strCache>
            </c:strRef>
          </c:tx>
          <c:spPr>
            <a:ln w="25400" cap="rnd">
              <a:noFill/>
              <a:round/>
            </a:ln>
            <a:effectLst/>
          </c:spPr>
          <c:marker>
            <c:symbol val="circle"/>
            <c:size val="5"/>
            <c:spPr>
              <a:solidFill>
                <a:srgbClr val="00B0F0"/>
              </a:solidFill>
              <a:ln w="9525">
                <a:solidFill>
                  <a:srgbClr val="00B0F0"/>
                </a:solidFill>
                <a:prstDash val="solid"/>
              </a:ln>
              <a:effectLst/>
            </c:spPr>
          </c:marker>
          <c:xVal>
            <c:numRef>
              <c:f>Peers!$D$47</c:f>
              <c:numCache>
                <c:formatCode>0%</c:formatCode>
                <c:ptCount val="1"/>
                <c:pt idx="0">
                  <c:v>0.3407</c:v>
                </c:pt>
              </c:numCache>
            </c:numRef>
          </c:xVal>
          <c:yVal>
            <c:numRef>
              <c:f>Peers!$D$52</c:f>
              <c:numCache>
                <c:formatCode>0.00%</c:formatCode>
                <c:ptCount val="1"/>
                <c:pt idx="0">
                  <c:v>-0.13100294021561576</c:v>
                </c:pt>
              </c:numCache>
            </c:numRef>
          </c:yVal>
          <c:smooth val="0"/>
          <c:extLst>
            <c:ext xmlns:c16="http://schemas.microsoft.com/office/drawing/2014/chart" uri="{C3380CC4-5D6E-409C-BE32-E72D297353CC}">
              <c16:uniqueId val="{00000001-A0AB-4E28-9E73-D8DF3D5B0514}"/>
            </c:ext>
          </c:extLst>
        </c:ser>
        <c:ser>
          <c:idx val="2"/>
          <c:order val="2"/>
          <c:tx>
            <c:strRef>
              <c:f>Peers!$E$8</c:f>
              <c:strCache>
                <c:ptCount val="1"/>
                <c:pt idx="0">
                  <c:v>TESLA, INC. (XNAS:TSLA)</c:v>
                </c:pt>
              </c:strCache>
            </c:strRef>
          </c:tx>
          <c:spPr>
            <a:ln w="25400" cap="rnd">
              <a:noFill/>
              <a:round/>
            </a:ln>
            <a:effectLst/>
          </c:spPr>
          <c:marker>
            <c:symbol val="circle"/>
            <c:size val="5"/>
            <c:spPr>
              <a:solidFill>
                <a:srgbClr val="7030A0"/>
              </a:solidFill>
              <a:ln w="9525">
                <a:solidFill>
                  <a:srgbClr val="7030A0"/>
                </a:solidFill>
                <a:prstDash val="solid"/>
              </a:ln>
              <a:effectLst/>
            </c:spPr>
          </c:marker>
          <c:xVal>
            <c:numRef>
              <c:f>Peers!$E$47</c:f>
              <c:numCache>
                <c:formatCode>0%</c:formatCode>
                <c:ptCount val="1"/>
                <c:pt idx="0">
                  <c:v>-0.24199999999999999</c:v>
                </c:pt>
              </c:numCache>
            </c:numRef>
          </c:xVal>
          <c:yVal>
            <c:numRef>
              <c:f>Peers!$E$52</c:f>
              <c:numCache>
                <c:formatCode>0.00%</c:formatCode>
                <c:ptCount val="1"/>
                <c:pt idx="0">
                  <c:v>4.5118503118503117</c:v>
                </c:pt>
              </c:numCache>
            </c:numRef>
          </c:yVal>
          <c:smooth val="0"/>
          <c:extLst>
            <c:ext xmlns:c16="http://schemas.microsoft.com/office/drawing/2014/chart" uri="{C3380CC4-5D6E-409C-BE32-E72D297353CC}">
              <c16:uniqueId val="{00000002-A0AB-4E28-9E73-D8DF3D5B0514}"/>
            </c:ext>
          </c:extLst>
        </c:ser>
        <c:ser>
          <c:idx val="3"/>
          <c:order val="3"/>
          <c:tx>
            <c:strRef>
              <c:f>Peers!$F$8</c:f>
              <c:strCache>
                <c:ptCount val="1"/>
                <c:pt idx="0">
                  <c:v>Daimler Truck Holding AG (XFRA:DTG)</c:v>
                </c:pt>
              </c:strCache>
            </c:strRef>
          </c:tx>
          <c:spPr>
            <a:ln w="25400" cap="rnd">
              <a:noFill/>
              <a:round/>
            </a:ln>
            <a:effectLst/>
          </c:spPr>
          <c:marker>
            <c:symbol val="circle"/>
            <c:size val="5"/>
            <c:spPr>
              <a:solidFill>
                <a:srgbClr val="31869B"/>
              </a:solidFill>
              <a:ln w="9525">
                <a:solidFill>
                  <a:srgbClr val="31869B"/>
                </a:solidFill>
                <a:prstDash val="solid"/>
              </a:ln>
              <a:effectLst/>
            </c:spPr>
          </c:marker>
          <c:xVal>
            <c:numRef>
              <c:f>Peers!$F$47</c:f>
              <c:numCache>
                <c:formatCode>0%</c:formatCode>
                <c:ptCount val="1"/>
                <c:pt idx="0">
                  <c:v>0.48399999999999999</c:v>
                </c:pt>
              </c:numCache>
            </c:numRef>
          </c:xVal>
          <c:yVal>
            <c:numRef>
              <c:f>Peers!$F$52</c:f>
              <c:numCache>
                <c:formatCode>0.00%</c:formatCode>
                <c:ptCount val="1"/>
                <c:pt idx="0">
                  <c:v>-0.69606299212598421</c:v>
                </c:pt>
              </c:numCache>
            </c:numRef>
          </c:yVal>
          <c:smooth val="0"/>
          <c:extLst>
            <c:ext xmlns:c16="http://schemas.microsoft.com/office/drawing/2014/chart" uri="{C3380CC4-5D6E-409C-BE32-E72D297353CC}">
              <c16:uniqueId val="{00000003-A0AB-4E28-9E73-D8DF3D5B0514}"/>
            </c:ext>
          </c:extLst>
        </c:ser>
        <c:ser>
          <c:idx val="5"/>
          <c:order val="4"/>
          <c:tx>
            <c:strRef>
              <c:f>Peers!$G$8</c:f>
              <c:strCache>
                <c:ptCount val="1"/>
                <c:pt idx="0">
                  <c:v>Renault SA (XPAR:RNO)</c:v>
                </c:pt>
              </c:strCache>
            </c:strRef>
          </c:tx>
          <c:spPr>
            <a:ln w="25400" cap="rnd">
              <a:noFill/>
              <a:round/>
            </a:ln>
            <a:effectLst/>
          </c:spPr>
          <c:marker>
            <c:symbol val="circle"/>
            <c:size val="2"/>
            <c:spPr>
              <a:noFill/>
              <a:ln w="25400">
                <a:noFill/>
              </a:ln>
              <a:effectLst/>
            </c:spPr>
          </c:marker>
          <c:xVal>
            <c:numRef>
              <c:f>Peers!$G$47</c:f>
              <c:numCache>
                <c:formatCode>0%</c:formatCode>
                <c:ptCount val="1"/>
                <c:pt idx="0">
                  <c:v>0.3866</c:v>
                </c:pt>
              </c:numCache>
            </c:numRef>
          </c:xVal>
          <c:yVal>
            <c:numRef>
              <c:f>Peers!$G$52</c:f>
              <c:numCache>
                <c:formatCode>0.00%</c:formatCode>
                <c:ptCount val="1"/>
                <c:pt idx="0">
                  <c:v>-0.22434782608695658</c:v>
                </c:pt>
              </c:numCache>
            </c:numRef>
          </c:yVal>
          <c:smooth val="0"/>
          <c:extLst>
            <c:ext xmlns:c16="http://schemas.microsoft.com/office/drawing/2014/chart" uri="{C3380CC4-5D6E-409C-BE32-E72D297353CC}">
              <c16:uniqueId val="{00000005-A0AB-4E28-9E73-D8DF3D5B0514}"/>
            </c:ext>
          </c:extLst>
        </c:ser>
        <c:ser>
          <c:idx val="6"/>
          <c:order val="5"/>
          <c:tx>
            <c:strRef>
              <c:f>Peers!#REF!</c:f>
              <c:strCache>
                <c:ptCount val="1"/>
                <c:pt idx="0">
                  <c:v>#REF!</c:v>
                </c:pt>
              </c:strCache>
            </c:strRef>
          </c:tx>
          <c:spPr>
            <a:ln w="25400" cap="rnd">
              <a:noFill/>
              <a:round/>
            </a:ln>
            <a:effectLst/>
          </c:spPr>
          <c:marker>
            <c:symbol val="circle"/>
            <c:size val="2"/>
            <c:spPr>
              <a:noFill/>
              <a:ln w="25400">
                <a:noFill/>
              </a:ln>
              <a:effectLst/>
            </c:spPr>
          </c:marker>
          <c:xVal>
            <c:strRef>
              <c:f>Peers!#REF!</c:f>
              <c:strCache>
                <c:ptCount val="1"/>
                <c:pt idx="0">
                  <c:v>#REF!</c:v>
                </c:pt>
              </c:strCache>
            </c:strRef>
          </c:xVal>
          <c:yVal>
            <c:numRef>
              <c:f>Peers!#REF!</c:f>
              <c:numCache>
                <c:formatCode>General</c:formatCode>
                <c:ptCount val="1"/>
                <c:pt idx="0">
                  <c:v>1</c:v>
                </c:pt>
              </c:numCache>
            </c:numRef>
          </c:yVal>
          <c:smooth val="0"/>
          <c:extLst>
            <c:ext xmlns:c16="http://schemas.microsoft.com/office/drawing/2014/chart" uri="{C3380CC4-5D6E-409C-BE32-E72D297353CC}">
              <c16:uniqueId val="{00000006-A0AB-4E28-9E73-D8DF3D5B0514}"/>
            </c:ext>
          </c:extLst>
        </c:ser>
        <c:dLbls>
          <c:showLegendKey val="0"/>
          <c:showVal val="0"/>
          <c:showCatName val="0"/>
          <c:showSerName val="0"/>
          <c:showPercent val="0"/>
          <c:showBubbleSize val="0"/>
        </c:dLbls>
        <c:axId val="581212960"/>
        <c:axId val="581217120"/>
      </c:scatterChart>
      <c:valAx>
        <c:axId val="58121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3 YEAR STOCK PERFORMANCE</a:t>
                </a:r>
                <a:endParaRPr lang="en-US" sz="1200"/>
              </a:p>
            </c:rich>
          </c:tx>
          <c:layout>
            <c:manualLayout>
              <c:xMode val="edge"/>
              <c:yMode val="edge"/>
              <c:x val="0.24749537255061102"/>
              <c:y val="0.9208239807152025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7120"/>
        <c:crosses val="autoZero"/>
        <c:crossBetween val="midCat"/>
      </c:valAx>
      <c:valAx>
        <c:axId val="5812171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0" i="0" u="none" strike="noStrike" baseline="0">
                    <a:effectLst/>
                  </a:rPr>
                  <a:t>OPERATING CASH FLOW 3Y PERFORMANCE </a:t>
                </a:r>
                <a:endParaRPr lang="en-US" sz="1200"/>
              </a:p>
            </c:rich>
          </c:tx>
          <c:layout>
            <c:manualLayout>
              <c:xMode val="edge"/>
              <c:yMode val="edge"/>
              <c:x val="3.9522524081838629E-2"/>
              <c:y val="0.185829527768909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212960"/>
        <c:crosses val="autoZero"/>
        <c:crossBetween val="midCat"/>
      </c:valAx>
      <c:spPr>
        <a:noFill/>
        <a:ln>
          <a:solidFill>
            <a:schemeClr val="bg1"/>
          </a:solidFill>
        </a:ln>
        <a:effectLst/>
      </c:spPr>
    </c:plotArea>
    <c:legend>
      <c:legendPos val="r"/>
      <c:layout>
        <c:manualLayout>
          <c:xMode val="edge"/>
          <c:yMode val="edge"/>
          <c:x val="0.66338608609289218"/>
          <c:y val="0.17241199883672528"/>
          <c:w val="0.19729146861805613"/>
          <c:h val="0.58915776036680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a:t>PP&amp;E Evolution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movingAvg"/>
            <c:period val="2"/>
            <c:dispRSqr val="0"/>
            <c:dispEq val="0"/>
          </c:trendline>
          <c:trendline>
            <c:spPr>
              <a:ln w="19050" cap="rnd">
                <a:solidFill>
                  <a:schemeClr val="accent1"/>
                </a:solidFill>
                <a:prstDash val="sysDot"/>
              </a:ln>
              <a:effectLst/>
            </c:spPr>
            <c:trendlineType val="linear"/>
            <c:dispRSqr val="1"/>
            <c:dispEq val="1"/>
            <c:trendlineLbl>
              <c:layout>
                <c:manualLayout>
                  <c:x val="5.181474190726159E-2"/>
                  <c:y val="-0.1531944444444444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Assumptions!$C$391:$L$391</c:f>
              <c:numCache>
                <c:formatCode>General</c:formatCode>
                <c:ptCount val="10"/>
                <c:pt idx="0">
                  <c:v>2023</c:v>
                </c:pt>
                <c:pt idx="1">
                  <c:v>2022</c:v>
                </c:pt>
                <c:pt idx="2">
                  <c:v>2021</c:v>
                </c:pt>
                <c:pt idx="3">
                  <c:v>2020</c:v>
                </c:pt>
                <c:pt idx="4">
                  <c:v>2019</c:v>
                </c:pt>
                <c:pt idx="5">
                  <c:v>2018</c:v>
                </c:pt>
                <c:pt idx="6">
                  <c:v>2017</c:v>
                </c:pt>
                <c:pt idx="7">
                  <c:v>2016</c:v>
                </c:pt>
                <c:pt idx="8">
                  <c:v>2015</c:v>
                </c:pt>
                <c:pt idx="9">
                  <c:v>2014</c:v>
                </c:pt>
              </c:numCache>
            </c:numRef>
          </c:xVal>
          <c:yVal>
            <c:numRef>
              <c:f>Assumptions!$C$392:$L$392</c:f>
              <c:numCache>
                <c:formatCode>_([$$-409]* #,##0.00_);_([$$-409]* \(#,##0.00\);_([$$-409]* "-"??_);_(@_)</c:formatCode>
                <c:ptCount val="10"/>
                <c:pt idx="0">
                  <c:v>8117</c:v>
                </c:pt>
                <c:pt idx="1">
                  <c:v>7436</c:v>
                </c:pt>
                <c:pt idx="2">
                  <c:v>7302</c:v>
                </c:pt>
                <c:pt idx="3">
                  <c:v>7118.4</c:v>
                </c:pt>
                <c:pt idx="4">
                  <c:v>6432.2</c:v>
                </c:pt>
                <c:pt idx="5">
                  <c:v>5787.5</c:v>
                </c:pt>
                <c:pt idx="6">
                  <c:v>5614.1</c:v>
                </c:pt>
                <c:pt idx="7">
                  <c:v>4993.2</c:v>
                </c:pt>
                <c:pt idx="8">
                  <c:v>4769.1000000000004</c:v>
                </c:pt>
                <c:pt idx="9">
                  <c:v>4814.7</c:v>
                </c:pt>
              </c:numCache>
            </c:numRef>
          </c:yVal>
          <c:smooth val="0"/>
          <c:extLst>
            <c:ext xmlns:c16="http://schemas.microsoft.com/office/drawing/2014/chart" uri="{C3380CC4-5D6E-409C-BE32-E72D297353CC}">
              <c16:uniqueId val="{00000000-7535-48D4-9A55-23DD3B1013A6}"/>
            </c:ext>
          </c:extLst>
        </c:ser>
        <c:dLbls>
          <c:showLegendKey val="0"/>
          <c:showVal val="0"/>
          <c:showCatName val="0"/>
          <c:showSerName val="0"/>
          <c:showPercent val="0"/>
          <c:showBubbleSize val="0"/>
        </c:dLbls>
        <c:axId val="1556021967"/>
        <c:axId val="1556022927"/>
      </c:scatterChart>
      <c:valAx>
        <c:axId val="1556021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022927"/>
        <c:crosses val="autoZero"/>
        <c:crossBetween val="midCat"/>
      </c:valAx>
      <c:valAx>
        <c:axId val="1556022927"/>
        <c:scaling>
          <c:orientation val="minMax"/>
        </c:scaling>
        <c:delete val="0"/>
        <c:axPos val="l"/>
        <c:majorGridlines>
          <c:spPr>
            <a:ln w="9525" cap="flat" cmpd="sng" algn="ctr">
              <a:solidFill>
                <a:schemeClr val="tx1">
                  <a:lumMod val="15000"/>
                  <a:lumOff val="85000"/>
                </a:schemeClr>
              </a:solidFill>
              <a:round/>
            </a:ln>
            <a:effectLst/>
          </c:spPr>
        </c:majorGridlines>
        <c:numFmt formatCode="_([$$-409]* #,##0.00_);_([$$-409]* \(#,##0.00\);_([$$-409]*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60219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Price Per Truck</a:t>
            </a:r>
            <a:r>
              <a:rPr lang="en-US" baseline="0"/>
              <a:t> (Real and Forecasted)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Assumptions!$B$140:$C$140</c:f>
              <c:strCache>
                <c:ptCount val="2"/>
                <c:pt idx="0">
                  <c:v>Average Price Per Truck</c:v>
                </c:pt>
                <c:pt idx="1">
                  <c:v>USD</c:v>
                </c:pt>
              </c:strCache>
            </c:strRef>
          </c:tx>
          <c:spPr>
            <a:ln w="41275" cap="rnd">
              <a:solidFill>
                <a:schemeClr val="accent1"/>
              </a:solidFill>
              <a:round/>
            </a:ln>
            <a:effectLst/>
          </c:spPr>
          <c:marker>
            <c:symbol val="none"/>
          </c:marker>
          <c:cat>
            <c:strRef>
              <c:f>Assumptions!$D$134:$EQ$134</c:f>
              <c:strCache>
                <c:ptCount val="144"/>
                <c:pt idx="0">
                  <c:v>Q1 2014</c:v>
                </c:pt>
                <c:pt idx="1">
                  <c:v>Q2 2014</c:v>
                </c:pt>
                <c:pt idx="2">
                  <c:v>Q3 2014</c:v>
                </c:pt>
                <c:pt idx="3">
                  <c:v>Q4 2014</c:v>
                </c:pt>
                <c:pt idx="4">
                  <c:v>Q1 2015</c:v>
                </c:pt>
                <c:pt idx="5">
                  <c:v>Q2 2015</c:v>
                </c:pt>
                <c:pt idx="6">
                  <c:v>Q3 2015</c:v>
                </c:pt>
                <c:pt idx="7">
                  <c:v>Q4 2015</c:v>
                </c:pt>
                <c:pt idx="8">
                  <c:v>Q1 2016</c:v>
                </c:pt>
                <c:pt idx="9">
                  <c:v>Q2 2016</c:v>
                </c:pt>
                <c:pt idx="10">
                  <c:v>Q3 2016</c:v>
                </c:pt>
                <c:pt idx="11">
                  <c:v>Q4 2016</c:v>
                </c:pt>
                <c:pt idx="12">
                  <c:v>Q1 2017</c:v>
                </c:pt>
                <c:pt idx="13">
                  <c:v>Q2 2017</c:v>
                </c:pt>
                <c:pt idx="14">
                  <c:v>Q3 2017</c:v>
                </c:pt>
                <c:pt idx="15">
                  <c:v>Q4 2017</c:v>
                </c:pt>
                <c:pt idx="16">
                  <c:v>Q1 2018</c:v>
                </c:pt>
                <c:pt idx="17">
                  <c:v>Q2 2018</c:v>
                </c:pt>
                <c:pt idx="18">
                  <c:v>Q3 2018</c:v>
                </c:pt>
                <c:pt idx="19">
                  <c:v>Q4 2018</c:v>
                </c:pt>
                <c:pt idx="20">
                  <c:v>Q1 2019</c:v>
                </c:pt>
                <c:pt idx="21">
                  <c:v>Q2 2019</c:v>
                </c:pt>
                <c:pt idx="22">
                  <c:v>Q3 2019</c:v>
                </c:pt>
                <c:pt idx="23">
                  <c:v>Q4 2019</c:v>
                </c:pt>
                <c:pt idx="24">
                  <c:v>Q1 2020</c:v>
                </c:pt>
                <c:pt idx="25">
                  <c:v>Q2 2020</c:v>
                </c:pt>
                <c:pt idx="26">
                  <c:v>Q3 2020</c:v>
                </c:pt>
                <c:pt idx="27">
                  <c:v>Q4 2020</c:v>
                </c:pt>
                <c:pt idx="28">
                  <c:v>Q1 2021</c:v>
                </c:pt>
                <c:pt idx="29">
                  <c:v>Q2 2021</c:v>
                </c:pt>
                <c:pt idx="30">
                  <c:v>Q3 2021</c:v>
                </c:pt>
                <c:pt idx="31">
                  <c:v>Q4 2021</c:v>
                </c:pt>
                <c:pt idx="32">
                  <c:v>Q1 2022</c:v>
                </c:pt>
                <c:pt idx="33">
                  <c:v>Q2 2022</c:v>
                </c:pt>
                <c:pt idx="34">
                  <c:v>Q3 2022</c:v>
                </c:pt>
                <c:pt idx="35">
                  <c:v>Q4 2022</c:v>
                </c:pt>
                <c:pt idx="36">
                  <c:v>Q1 2023</c:v>
                </c:pt>
                <c:pt idx="37">
                  <c:v>Q2 2023</c:v>
                </c:pt>
                <c:pt idx="38">
                  <c:v>Q3 2023</c:v>
                </c:pt>
                <c:pt idx="39">
                  <c:v>Q4 2023</c:v>
                </c:pt>
                <c:pt idx="40">
                  <c:v>Q1 2024</c:v>
                </c:pt>
                <c:pt idx="41">
                  <c:v>Q2 2024</c:v>
                </c:pt>
                <c:pt idx="42">
                  <c:v>Q3 2024</c:v>
                </c:pt>
                <c:pt idx="43">
                  <c:v>Q4 2024</c:v>
                </c:pt>
                <c:pt idx="44">
                  <c:v>Q1 2025</c:v>
                </c:pt>
                <c:pt idx="45">
                  <c:v>Q2 2025</c:v>
                </c:pt>
                <c:pt idx="46">
                  <c:v>Q3 2025</c:v>
                </c:pt>
                <c:pt idx="47">
                  <c:v>Q4 2025</c:v>
                </c:pt>
                <c:pt idx="48">
                  <c:v>Q1 2026</c:v>
                </c:pt>
                <c:pt idx="49">
                  <c:v>Q2 2026</c:v>
                </c:pt>
                <c:pt idx="50">
                  <c:v>Q3 2026</c:v>
                </c:pt>
                <c:pt idx="51">
                  <c:v>Q4 2026</c:v>
                </c:pt>
                <c:pt idx="52">
                  <c:v>Q1 2027</c:v>
                </c:pt>
                <c:pt idx="53">
                  <c:v>Q2 2027</c:v>
                </c:pt>
                <c:pt idx="54">
                  <c:v>Q3 2027</c:v>
                </c:pt>
                <c:pt idx="55">
                  <c:v>Q4 2027</c:v>
                </c:pt>
                <c:pt idx="56">
                  <c:v>Q1 2028</c:v>
                </c:pt>
                <c:pt idx="57">
                  <c:v>Q2 2028</c:v>
                </c:pt>
                <c:pt idx="58">
                  <c:v>Q3 2028</c:v>
                </c:pt>
                <c:pt idx="59">
                  <c:v>Q4 2028</c:v>
                </c:pt>
                <c:pt idx="60">
                  <c:v>Q1 2029</c:v>
                </c:pt>
                <c:pt idx="61">
                  <c:v>Q2 2029</c:v>
                </c:pt>
                <c:pt idx="62">
                  <c:v>Q3 2029</c:v>
                </c:pt>
                <c:pt idx="63">
                  <c:v>Q4 2029</c:v>
                </c:pt>
                <c:pt idx="64">
                  <c:v>Q1 2030</c:v>
                </c:pt>
                <c:pt idx="65">
                  <c:v>Q2 2030</c:v>
                </c:pt>
                <c:pt idx="66">
                  <c:v>Q3 2030</c:v>
                </c:pt>
                <c:pt idx="67">
                  <c:v>Q4 2030</c:v>
                </c:pt>
                <c:pt idx="68">
                  <c:v>Q1 2031</c:v>
                </c:pt>
                <c:pt idx="69">
                  <c:v>Q2 2031</c:v>
                </c:pt>
                <c:pt idx="70">
                  <c:v>Q3 2031</c:v>
                </c:pt>
                <c:pt idx="71">
                  <c:v>Q4 2031</c:v>
                </c:pt>
                <c:pt idx="72">
                  <c:v>Q1 2032</c:v>
                </c:pt>
                <c:pt idx="73">
                  <c:v>Q2 2032</c:v>
                </c:pt>
                <c:pt idx="74">
                  <c:v>Q3 2032</c:v>
                </c:pt>
                <c:pt idx="75">
                  <c:v>Q4 2032</c:v>
                </c:pt>
                <c:pt idx="76">
                  <c:v>Q1 2033</c:v>
                </c:pt>
                <c:pt idx="77">
                  <c:v>Q2 2033</c:v>
                </c:pt>
                <c:pt idx="78">
                  <c:v>Q3 2033</c:v>
                </c:pt>
                <c:pt idx="79">
                  <c:v>Q4 2033</c:v>
                </c:pt>
                <c:pt idx="80">
                  <c:v>Q1 2034</c:v>
                </c:pt>
                <c:pt idx="81">
                  <c:v>Q2 2034</c:v>
                </c:pt>
                <c:pt idx="82">
                  <c:v>Q3 2034</c:v>
                </c:pt>
                <c:pt idx="83">
                  <c:v>Q4 2034</c:v>
                </c:pt>
                <c:pt idx="84">
                  <c:v>Q1 2035</c:v>
                </c:pt>
                <c:pt idx="85">
                  <c:v>Q2 2035</c:v>
                </c:pt>
                <c:pt idx="86">
                  <c:v>Q3 2035</c:v>
                </c:pt>
                <c:pt idx="87">
                  <c:v>Q4 2035</c:v>
                </c:pt>
                <c:pt idx="88">
                  <c:v>Q1 2036</c:v>
                </c:pt>
                <c:pt idx="89">
                  <c:v>Q2 2036</c:v>
                </c:pt>
                <c:pt idx="90">
                  <c:v>Q3 2036</c:v>
                </c:pt>
                <c:pt idx="91">
                  <c:v>Q4 2036</c:v>
                </c:pt>
                <c:pt idx="92">
                  <c:v>Q1 2037</c:v>
                </c:pt>
                <c:pt idx="93">
                  <c:v>Q2 2037</c:v>
                </c:pt>
                <c:pt idx="94">
                  <c:v>Q3 2037</c:v>
                </c:pt>
                <c:pt idx="95">
                  <c:v>Q4 2037</c:v>
                </c:pt>
                <c:pt idx="96">
                  <c:v>Q1 2038</c:v>
                </c:pt>
                <c:pt idx="97">
                  <c:v>Q2 2038</c:v>
                </c:pt>
                <c:pt idx="98">
                  <c:v>Q3 2038</c:v>
                </c:pt>
                <c:pt idx="99">
                  <c:v>Q4 2038</c:v>
                </c:pt>
                <c:pt idx="100">
                  <c:v>Q1 2039</c:v>
                </c:pt>
                <c:pt idx="101">
                  <c:v>Q2 2039</c:v>
                </c:pt>
                <c:pt idx="102">
                  <c:v>Q3 2039</c:v>
                </c:pt>
                <c:pt idx="103">
                  <c:v>Q4 2039</c:v>
                </c:pt>
                <c:pt idx="104">
                  <c:v>Q1 2040</c:v>
                </c:pt>
                <c:pt idx="105">
                  <c:v>Q2 2040</c:v>
                </c:pt>
                <c:pt idx="106">
                  <c:v>Q3 2040</c:v>
                </c:pt>
                <c:pt idx="107">
                  <c:v>Q4 2040</c:v>
                </c:pt>
                <c:pt idx="108">
                  <c:v>Q1 2041</c:v>
                </c:pt>
                <c:pt idx="109">
                  <c:v>Q2 2041</c:v>
                </c:pt>
                <c:pt idx="110">
                  <c:v>Q3 2041</c:v>
                </c:pt>
                <c:pt idx="111">
                  <c:v>Q4 2041</c:v>
                </c:pt>
                <c:pt idx="112">
                  <c:v>Q1 2042</c:v>
                </c:pt>
                <c:pt idx="113">
                  <c:v>Q2 2042</c:v>
                </c:pt>
                <c:pt idx="114">
                  <c:v>Q3 2042</c:v>
                </c:pt>
                <c:pt idx="115">
                  <c:v>Q4 2042</c:v>
                </c:pt>
                <c:pt idx="116">
                  <c:v>Q1 2043</c:v>
                </c:pt>
                <c:pt idx="117">
                  <c:v>Q2 2043</c:v>
                </c:pt>
                <c:pt idx="118">
                  <c:v>Q3 2043</c:v>
                </c:pt>
                <c:pt idx="119">
                  <c:v>Q4 2043</c:v>
                </c:pt>
                <c:pt idx="120">
                  <c:v>Q1 2044</c:v>
                </c:pt>
                <c:pt idx="121">
                  <c:v>Q2 2044</c:v>
                </c:pt>
                <c:pt idx="122">
                  <c:v>Q3 2044</c:v>
                </c:pt>
                <c:pt idx="123">
                  <c:v>Q4 2044</c:v>
                </c:pt>
                <c:pt idx="124">
                  <c:v>Q1 2045</c:v>
                </c:pt>
                <c:pt idx="125">
                  <c:v>Q2 2045</c:v>
                </c:pt>
                <c:pt idx="126">
                  <c:v>Q3 2045</c:v>
                </c:pt>
                <c:pt idx="127">
                  <c:v>Q4 2045</c:v>
                </c:pt>
                <c:pt idx="128">
                  <c:v>Q1 2046</c:v>
                </c:pt>
                <c:pt idx="129">
                  <c:v>Q2 2046</c:v>
                </c:pt>
                <c:pt idx="130">
                  <c:v>Q3 2046</c:v>
                </c:pt>
                <c:pt idx="131">
                  <c:v>Q4 2046</c:v>
                </c:pt>
                <c:pt idx="132">
                  <c:v>Q1 2047</c:v>
                </c:pt>
                <c:pt idx="133">
                  <c:v>Q2 2047</c:v>
                </c:pt>
                <c:pt idx="134">
                  <c:v>Q3 2047</c:v>
                </c:pt>
                <c:pt idx="135">
                  <c:v>Q4 2047</c:v>
                </c:pt>
                <c:pt idx="136">
                  <c:v>Q1 2048</c:v>
                </c:pt>
                <c:pt idx="137">
                  <c:v>Q2 2048</c:v>
                </c:pt>
                <c:pt idx="138">
                  <c:v>Q3 2048</c:v>
                </c:pt>
                <c:pt idx="139">
                  <c:v>Q4 2048</c:v>
                </c:pt>
                <c:pt idx="140">
                  <c:v>Q1 2049</c:v>
                </c:pt>
                <c:pt idx="141">
                  <c:v>Q2 2049</c:v>
                </c:pt>
                <c:pt idx="142">
                  <c:v>Q3 2049</c:v>
                </c:pt>
                <c:pt idx="143">
                  <c:v>Q4 2049</c:v>
                </c:pt>
              </c:strCache>
            </c:strRef>
          </c:cat>
          <c:val>
            <c:numRef>
              <c:f>Assumptions!$D$140:$EQ$140</c:f>
              <c:numCache>
                <c:formatCode>_-[$$-409]* #,##0.00_ ;_-[$$-409]* \-#,##0.00\ ;_-[$$-409]* "-"??_ ;_-@_ </c:formatCode>
                <c:ptCount val="144"/>
                <c:pt idx="0">
                  <c:v>104691.82389937107</c:v>
                </c:pt>
                <c:pt idx="1">
                  <c:v>102522.25519287834</c:v>
                </c:pt>
                <c:pt idx="2">
                  <c:v>102160.85790884719</c:v>
                </c:pt>
                <c:pt idx="3">
                  <c:v>99730.673316708228</c:v>
                </c:pt>
                <c:pt idx="4">
                  <c:v>98409.921671018281</c:v>
                </c:pt>
                <c:pt idx="5">
                  <c:v>95754.807692307688</c:v>
                </c:pt>
                <c:pt idx="6">
                  <c:v>95043.147208121823</c:v>
                </c:pt>
                <c:pt idx="7">
                  <c:v>92805.08474576271</c:v>
                </c:pt>
                <c:pt idx="8">
                  <c:v>92648.725212464589</c:v>
                </c:pt>
                <c:pt idx="9">
                  <c:v>90793.478260869568</c:v>
                </c:pt>
                <c:pt idx="10">
                  <c:v>90851.002865329516</c:v>
                </c:pt>
                <c:pt idx="11">
                  <c:v>88050.147492625372</c:v>
                </c:pt>
                <c:pt idx="12">
                  <c:v>89431.428571428565</c:v>
                </c:pt>
                <c:pt idx="13">
                  <c:v>90192.89340101523</c:v>
                </c:pt>
                <c:pt idx="14">
                  <c:v>96203.980099502485</c:v>
                </c:pt>
                <c:pt idx="15">
                  <c:v>95343.115124153497</c:v>
                </c:pt>
                <c:pt idx="16">
                  <c:v>97820.224719101127</c:v>
                </c:pt>
                <c:pt idx="17">
                  <c:v>96288.793103448275</c:v>
                </c:pt>
                <c:pt idx="18">
                  <c:v>92665.271966527202</c:v>
                </c:pt>
                <c:pt idx="19">
                  <c:v>97952.380952380947</c:v>
                </c:pt>
                <c:pt idx="20">
                  <c:v>99170.87378640777</c:v>
                </c:pt>
                <c:pt idx="21">
                  <c:v>99653.919694072654</c:v>
                </c:pt>
                <c:pt idx="22">
                  <c:v>100961.46044624747</c:v>
                </c:pt>
                <c:pt idx="23">
                  <c:v>102689.27789934355</c:v>
                </c:pt>
                <c:pt idx="24">
                  <c:v>97854.166666666672</c:v>
                </c:pt>
                <c:pt idx="25">
                  <c:v>102674.03314917127</c:v>
                </c:pt>
                <c:pt idx="26">
                  <c:v>97333.333333333328</c:v>
                </c:pt>
                <c:pt idx="27">
                  <c:v>99137.254901960783</c:v>
                </c:pt>
                <c:pt idx="28">
                  <c:v>100308.05687203791</c:v>
                </c:pt>
                <c:pt idx="29">
                  <c:v>103546.13466334164</c:v>
                </c:pt>
                <c:pt idx="30">
                  <c:v>105262.19512195123</c:v>
                </c:pt>
                <c:pt idx="31">
                  <c:v>104241.59663865546</c:v>
                </c:pt>
                <c:pt idx="32">
                  <c:v>109234.88372093023</c:v>
                </c:pt>
                <c:pt idx="33">
                  <c:v>113782.51599147121</c:v>
                </c:pt>
                <c:pt idx="34">
                  <c:v>117076.57657657658</c:v>
                </c:pt>
                <c:pt idx="35">
                  <c:v>127382.89205702647</c:v>
                </c:pt>
                <c:pt idx="36">
                  <c:v>125514.6771037182</c:v>
                </c:pt>
                <c:pt idx="37">
                  <c:v>131551.05973025048</c:v>
                </c:pt>
                <c:pt idx="38">
                  <c:v>132463.07385229541</c:v>
                </c:pt>
                <c:pt idx="39">
                  <c:v>136373.77690802349</c:v>
                </c:pt>
                <c:pt idx="40">
                  <c:v>135987.52598752599</c:v>
                </c:pt>
                <c:pt idx="41">
                  <c:v>134314.22811531744</c:v>
                </c:pt>
                <c:pt idx="42">
                  <c:v>137478.56458373016</c:v>
                </c:pt>
                <c:pt idx="43">
                  <c:v>148438.02450663911</c:v>
                </c:pt>
                <c:pt idx="44">
                  <c:v>151250</c:v>
                </c:pt>
                <c:pt idx="45">
                  <c:v>151500</c:v>
                </c:pt>
                <c:pt idx="46">
                  <c:v>151750</c:v>
                </c:pt>
                <c:pt idx="47">
                  <c:v>152000</c:v>
                </c:pt>
                <c:pt idx="48">
                  <c:v>152250</c:v>
                </c:pt>
                <c:pt idx="49">
                  <c:v>152500</c:v>
                </c:pt>
                <c:pt idx="50">
                  <c:v>152750</c:v>
                </c:pt>
                <c:pt idx="51">
                  <c:v>153000</c:v>
                </c:pt>
                <c:pt idx="52">
                  <c:v>153250</c:v>
                </c:pt>
                <c:pt idx="53">
                  <c:v>153800</c:v>
                </c:pt>
                <c:pt idx="54">
                  <c:v>153500</c:v>
                </c:pt>
                <c:pt idx="55">
                  <c:v>153200</c:v>
                </c:pt>
                <c:pt idx="56">
                  <c:v>152900</c:v>
                </c:pt>
                <c:pt idx="57">
                  <c:v>152600</c:v>
                </c:pt>
                <c:pt idx="58">
                  <c:v>152300</c:v>
                </c:pt>
                <c:pt idx="59">
                  <c:v>152000</c:v>
                </c:pt>
                <c:pt idx="60">
                  <c:v>151700</c:v>
                </c:pt>
                <c:pt idx="61">
                  <c:v>151400</c:v>
                </c:pt>
                <c:pt idx="62">
                  <c:v>151100</c:v>
                </c:pt>
                <c:pt idx="63">
                  <c:v>150800</c:v>
                </c:pt>
                <c:pt idx="64">
                  <c:v>150500</c:v>
                </c:pt>
                <c:pt idx="65">
                  <c:v>147200</c:v>
                </c:pt>
                <c:pt idx="66">
                  <c:v>146400</c:v>
                </c:pt>
                <c:pt idx="67">
                  <c:v>145600</c:v>
                </c:pt>
                <c:pt idx="68">
                  <c:v>144800</c:v>
                </c:pt>
                <c:pt idx="69">
                  <c:v>144000</c:v>
                </c:pt>
                <c:pt idx="70">
                  <c:v>143200</c:v>
                </c:pt>
                <c:pt idx="71">
                  <c:v>142400</c:v>
                </c:pt>
                <c:pt idx="72">
                  <c:v>141600</c:v>
                </c:pt>
                <c:pt idx="73">
                  <c:v>140800</c:v>
                </c:pt>
                <c:pt idx="74">
                  <c:v>140000</c:v>
                </c:pt>
                <c:pt idx="75">
                  <c:v>139200</c:v>
                </c:pt>
                <c:pt idx="76">
                  <c:v>138400</c:v>
                </c:pt>
                <c:pt idx="77">
                  <c:v>140000</c:v>
                </c:pt>
                <c:pt idx="78">
                  <c:v>142500</c:v>
                </c:pt>
                <c:pt idx="79">
                  <c:v>145000</c:v>
                </c:pt>
                <c:pt idx="80">
                  <c:v>147500</c:v>
                </c:pt>
                <c:pt idx="81">
                  <c:v>150000</c:v>
                </c:pt>
                <c:pt idx="82">
                  <c:v>152500</c:v>
                </c:pt>
                <c:pt idx="83">
                  <c:v>155000</c:v>
                </c:pt>
                <c:pt idx="84">
                  <c:v>157500</c:v>
                </c:pt>
                <c:pt idx="85">
                  <c:v>160000</c:v>
                </c:pt>
                <c:pt idx="86">
                  <c:v>162500</c:v>
                </c:pt>
                <c:pt idx="87">
                  <c:v>165000</c:v>
                </c:pt>
                <c:pt idx="88">
                  <c:v>167500</c:v>
                </c:pt>
                <c:pt idx="89">
                  <c:v>170000</c:v>
                </c:pt>
                <c:pt idx="90">
                  <c:v>175000</c:v>
                </c:pt>
                <c:pt idx="91">
                  <c:v>180000</c:v>
                </c:pt>
                <c:pt idx="92">
                  <c:v>185000</c:v>
                </c:pt>
                <c:pt idx="93">
                  <c:v>190000</c:v>
                </c:pt>
                <c:pt idx="94">
                  <c:v>195000</c:v>
                </c:pt>
                <c:pt idx="95">
                  <c:v>200000</c:v>
                </c:pt>
                <c:pt idx="96">
                  <c:v>205000</c:v>
                </c:pt>
                <c:pt idx="97">
                  <c:v>210000</c:v>
                </c:pt>
                <c:pt idx="98">
                  <c:v>215000</c:v>
                </c:pt>
                <c:pt idx="99">
                  <c:v>220000</c:v>
                </c:pt>
                <c:pt idx="100">
                  <c:v>225000</c:v>
                </c:pt>
                <c:pt idx="101">
                  <c:v>224000</c:v>
                </c:pt>
                <c:pt idx="102">
                  <c:v>221000</c:v>
                </c:pt>
                <c:pt idx="103">
                  <c:v>218000</c:v>
                </c:pt>
                <c:pt idx="104">
                  <c:v>215000</c:v>
                </c:pt>
                <c:pt idx="105">
                  <c:v>212000</c:v>
                </c:pt>
                <c:pt idx="106">
                  <c:v>209000</c:v>
                </c:pt>
                <c:pt idx="107">
                  <c:v>206000</c:v>
                </c:pt>
                <c:pt idx="108">
                  <c:v>203000</c:v>
                </c:pt>
                <c:pt idx="109">
                  <c:v>200000</c:v>
                </c:pt>
                <c:pt idx="110">
                  <c:v>197000</c:v>
                </c:pt>
                <c:pt idx="111">
                  <c:v>194000</c:v>
                </c:pt>
                <c:pt idx="112">
                  <c:v>191000</c:v>
                </c:pt>
                <c:pt idx="113">
                  <c:v>188200</c:v>
                </c:pt>
                <c:pt idx="114">
                  <c:v>187000</c:v>
                </c:pt>
                <c:pt idx="115">
                  <c:v>185800</c:v>
                </c:pt>
                <c:pt idx="116">
                  <c:v>184600</c:v>
                </c:pt>
                <c:pt idx="117">
                  <c:v>183400</c:v>
                </c:pt>
                <c:pt idx="118">
                  <c:v>182200</c:v>
                </c:pt>
                <c:pt idx="119">
                  <c:v>181000</c:v>
                </c:pt>
                <c:pt idx="120">
                  <c:v>179800</c:v>
                </c:pt>
                <c:pt idx="121">
                  <c:v>178600</c:v>
                </c:pt>
                <c:pt idx="122">
                  <c:v>177400</c:v>
                </c:pt>
                <c:pt idx="123">
                  <c:v>176200</c:v>
                </c:pt>
                <c:pt idx="124">
                  <c:v>175000</c:v>
                </c:pt>
                <c:pt idx="125">
                  <c:v>181000</c:v>
                </c:pt>
                <c:pt idx="126">
                  <c:v>184500</c:v>
                </c:pt>
                <c:pt idx="127">
                  <c:v>188000</c:v>
                </c:pt>
                <c:pt idx="128">
                  <c:v>191500</c:v>
                </c:pt>
                <c:pt idx="129">
                  <c:v>195000</c:v>
                </c:pt>
                <c:pt idx="130">
                  <c:v>198500</c:v>
                </c:pt>
                <c:pt idx="131">
                  <c:v>202000</c:v>
                </c:pt>
                <c:pt idx="132">
                  <c:v>205500</c:v>
                </c:pt>
                <c:pt idx="133">
                  <c:v>209000</c:v>
                </c:pt>
                <c:pt idx="134">
                  <c:v>212500</c:v>
                </c:pt>
                <c:pt idx="135">
                  <c:v>216000</c:v>
                </c:pt>
                <c:pt idx="136">
                  <c:v>219500</c:v>
                </c:pt>
                <c:pt idx="137">
                  <c:v>219438.56</c:v>
                </c:pt>
                <c:pt idx="138">
                  <c:v>220419.18</c:v>
                </c:pt>
                <c:pt idx="139">
                  <c:v>221399.8</c:v>
                </c:pt>
                <c:pt idx="140">
                  <c:v>222380.42</c:v>
                </c:pt>
                <c:pt idx="141">
                  <c:v>223361.04</c:v>
                </c:pt>
                <c:pt idx="142">
                  <c:v>224341.66</c:v>
                </c:pt>
                <c:pt idx="143">
                  <c:v>225322.28</c:v>
                </c:pt>
              </c:numCache>
            </c:numRef>
          </c:val>
          <c:smooth val="0"/>
          <c:extLst>
            <c:ext xmlns:c16="http://schemas.microsoft.com/office/drawing/2014/chart" uri="{C3380CC4-5D6E-409C-BE32-E72D297353CC}">
              <c16:uniqueId val="{00000000-200A-4C57-8868-FB1F49DFF324}"/>
            </c:ext>
          </c:extLst>
        </c:ser>
        <c:ser>
          <c:idx val="1"/>
          <c:order val="1"/>
          <c:tx>
            <c:v>Linear Trend</c:v>
          </c:tx>
          <c:spPr>
            <a:ln w="28575" cap="rnd" cmpd="sng">
              <a:solidFill>
                <a:schemeClr val="accent2"/>
              </a:solidFill>
              <a:prstDash val="dash"/>
              <a:round/>
            </a:ln>
            <a:effectLst/>
          </c:spPr>
          <c:marker>
            <c:symbol val="none"/>
          </c:marker>
          <c:val>
            <c:numRef>
              <c:f>Assumptions!$D$131:$EQ$131</c:f>
              <c:numCache>
                <c:formatCode>#,##0_ ;\-#,##0\ </c:formatCode>
                <c:ptCount val="144"/>
                <c:pt idx="0">
                  <c:v>104691.82389937107</c:v>
                </c:pt>
                <c:pt idx="1">
                  <c:v>102522.25519287834</c:v>
                </c:pt>
                <c:pt idx="2">
                  <c:v>102160.85790884719</c:v>
                </c:pt>
                <c:pt idx="3">
                  <c:v>99730.673316708228</c:v>
                </c:pt>
                <c:pt idx="4">
                  <c:v>98409.921671018281</c:v>
                </c:pt>
                <c:pt idx="5">
                  <c:v>95754.807692307688</c:v>
                </c:pt>
                <c:pt idx="6">
                  <c:v>95043.147208121823</c:v>
                </c:pt>
                <c:pt idx="7">
                  <c:v>92805.08474576271</c:v>
                </c:pt>
                <c:pt idx="8">
                  <c:v>92648.725212464589</c:v>
                </c:pt>
                <c:pt idx="9">
                  <c:v>90793.478260869568</c:v>
                </c:pt>
                <c:pt idx="10">
                  <c:v>90851.002865329516</c:v>
                </c:pt>
                <c:pt idx="11">
                  <c:v>88050.147492625372</c:v>
                </c:pt>
                <c:pt idx="12">
                  <c:v>89431.428571428565</c:v>
                </c:pt>
                <c:pt idx="13">
                  <c:v>90192.89340101523</c:v>
                </c:pt>
                <c:pt idx="14">
                  <c:v>96203.980099502485</c:v>
                </c:pt>
                <c:pt idx="15">
                  <c:v>95343.115124153497</c:v>
                </c:pt>
                <c:pt idx="16">
                  <c:v>97820.224719101127</c:v>
                </c:pt>
                <c:pt idx="17">
                  <c:v>96288.793103448275</c:v>
                </c:pt>
                <c:pt idx="18">
                  <c:v>92665.271966527202</c:v>
                </c:pt>
                <c:pt idx="19">
                  <c:v>97952.380952380947</c:v>
                </c:pt>
                <c:pt idx="20">
                  <c:v>99170.87378640777</c:v>
                </c:pt>
                <c:pt idx="21">
                  <c:v>99653.919694072654</c:v>
                </c:pt>
                <c:pt idx="22">
                  <c:v>100961.46044624747</c:v>
                </c:pt>
                <c:pt idx="23">
                  <c:v>102689.27789934355</c:v>
                </c:pt>
                <c:pt idx="24">
                  <c:v>97854.166666666672</c:v>
                </c:pt>
                <c:pt idx="25">
                  <c:v>102674.03314917127</c:v>
                </c:pt>
                <c:pt idx="26">
                  <c:v>97333.333333333328</c:v>
                </c:pt>
                <c:pt idx="27">
                  <c:v>99137.254901960783</c:v>
                </c:pt>
                <c:pt idx="28">
                  <c:v>100308.05687203791</c:v>
                </c:pt>
                <c:pt idx="29">
                  <c:v>103546.13466334164</c:v>
                </c:pt>
                <c:pt idx="30">
                  <c:v>105262.19512195123</c:v>
                </c:pt>
                <c:pt idx="31">
                  <c:v>104241.59663865546</c:v>
                </c:pt>
                <c:pt idx="32">
                  <c:v>109234.88372093023</c:v>
                </c:pt>
                <c:pt idx="33">
                  <c:v>113782.51599147121</c:v>
                </c:pt>
                <c:pt idx="34">
                  <c:v>117076.57657657658</c:v>
                </c:pt>
                <c:pt idx="35">
                  <c:v>127382.89205702647</c:v>
                </c:pt>
                <c:pt idx="36">
                  <c:v>125514.6771037182</c:v>
                </c:pt>
                <c:pt idx="37">
                  <c:v>131551.05973025048</c:v>
                </c:pt>
                <c:pt idx="38">
                  <c:v>132463.07385229541</c:v>
                </c:pt>
                <c:pt idx="39">
                  <c:v>136373.77690802349</c:v>
                </c:pt>
                <c:pt idx="40">
                  <c:v>135987.52598752599</c:v>
                </c:pt>
                <c:pt idx="41">
                  <c:v>134314.22811531744</c:v>
                </c:pt>
                <c:pt idx="42">
                  <c:v>137478.56458373016</c:v>
                </c:pt>
                <c:pt idx="43">
                  <c:v>148438.02450663911</c:v>
                </c:pt>
                <c:pt idx="44">
                  <c:v>128240.9</c:v>
                </c:pt>
                <c:pt idx="45">
                  <c:v>129221.51999999999</c:v>
                </c:pt>
                <c:pt idx="46">
                  <c:v>130202.14</c:v>
                </c:pt>
                <c:pt idx="47">
                  <c:v>131182.76</c:v>
                </c:pt>
                <c:pt idx="48">
                  <c:v>132163.38</c:v>
                </c:pt>
                <c:pt idx="49">
                  <c:v>133144</c:v>
                </c:pt>
                <c:pt idx="50">
                  <c:v>134124.62</c:v>
                </c:pt>
                <c:pt idx="51">
                  <c:v>135105.24</c:v>
                </c:pt>
                <c:pt idx="52">
                  <c:v>136085.85999999999</c:v>
                </c:pt>
                <c:pt idx="53">
                  <c:v>137066.48000000001</c:v>
                </c:pt>
                <c:pt idx="54">
                  <c:v>138047.1</c:v>
                </c:pt>
                <c:pt idx="55">
                  <c:v>139027.72</c:v>
                </c:pt>
                <c:pt idx="56">
                  <c:v>140008.34</c:v>
                </c:pt>
                <c:pt idx="57">
                  <c:v>140988.96</c:v>
                </c:pt>
                <c:pt idx="58">
                  <c:v>141969.58000000002</c:v>
                </c:pt>
                <c:pt idx="59">
                  <c:v>142950.20000000001</c:v>
                </c:pt>
                <c:pt idx="60">
                  <c:v>143930.82</c:v>
                </c:pt>
                <c:pt idx="61">
                  <c:v>144911.44</c:v>
                </c:pt>
                <c:pt idx="62">
                  <c:v>145892.06</c:v>
                </c:pt>
                <c:pt idx="63">
                  <c:v>146872.68</c:v>
                </c:pt>
                <c:pt idx="64">
                  <c:v>147853.29999999999</c:v>
                </c:pt>
                <c:pt idx="65">
                  <c:v>148833.91999999998</c:v>
                </c:pt>
                <c:pt idx="66">
                  <c:v>149814.53999999998</c:v>
                </c:pt>
                <c:pt idx="67">
                  <c:v>150795.16</c:v>
                </c:pt>
                <c:pt idx="68">
                  <c:v>151775.78</c:v>
                </c:pt>
                <c:pt idx="69">
                  <c:v>152756.4</c:v>
                </c:pt>
                <c:pt idx="70">
                  <c:v>153737.02000000002</c:v>
                </c:pt>
                <c:pt idx="71">
                  <c:v>154717.64000000001</c:v>
                </c:pt>
                <c:pt idx="72">
                  <c:v>155698.26</c:v>
                </c:pt>
                <c:pt idx="73">
                  <c:v>156678.88</c:v>
                </c:pt>
                <c:pt idx="74">
                  <c:v>157659.5</c:v>
                </c:pt>
                <c:pt idx="75">
                  <c:v>158640.12</c:v>
                </c:pt>
                <c:pt idx="76">
                  <c:v>159620.74</c:v>
                </c:pt>
                <c:pt idx="77">
                  <c:v>160601.35999999999</c:v>
                </c:pt>
                <c:pt idx="78">
                  <c:v>161581.97999999998</c:v>
                </c:pt>
                <c:pt idx="79">
                  <c:v>162562.6</c:v>
                </c:pt>
                <c:pt idx="80">
                  <c:v>163543.22</c:v>
                </c:pt>
                <c:pt idx="81">
                  <c:v>164523.84</c:v>
                </c:pt>
                <c:pt idx="82">
                  <c:v>165504.46000000002</c:v>
                </c:pt>
                <c:pt idx="83">
                  <c:v>166485.08000000002</c:v>
                </c:pt>
                <c:pt idx="84">
                  <c:v>167465.70000000001</c:v>
                </c:pt>
                <c:pt idx="85">
                  <c:v>168446.32</c:v>
                </c:pt>
                <c:pt idx="86">
                  <c:v>169426.94</c:v>
                </c:pt>
                <c:pt idx="87">
                  <c:v>170407.56</c:v>
                </c:pt>
                <c:pt idx="88">
                  <c:v>171388.18</c:v>
                </c:pt>
                <c:pt idx="89">
                  <c:v>172368.8</c:v>
                </c:pt>
                <c:pt idx="90">
                  <c:v>173349.41999999998</c:v>
                </c:pt>
                <c:pt idx="91">
                  <c:v>174330.03999999998</c:v>
                </c:pt>
                <c:pt idx="92">
                  <c:v>175310.66</c:v>
                </c:pt>
                <c:pt idx="93">
                  <c:v>176291.28</c:v>
                </c:pt>
                <c:pt idx="94">
                  <c:v>177271.9</c:v>
                </c:pt>
                <c:pt idx="95">
                  <c:v>178252.52000000002</c:v>
                </c:pt>
                <c:pt idx="96">
                  <c:v>179233.14</c:v>
                </c:pt>
                <c:pt idx="97">
                  <c:v>180213.76000000001</c:v>
                </c:pt>
                <c:pt idx="98">
                  <c:v>181194.38</c:v>
                </c:pt>
                <c:pt idx="99">
                  <c:v>182175</c:v>
                </c:pt>
                <c:pt idx="100">
                  <c:v>183155.62</c:v>
                </c:pt>
                <c:pt idx="101">
                  <c:v>184136.24</c:v>
                </c:pt>
                <c:pt idx="102">
                  <c:v>185116.86</c:v>
                </c:pt>
                <c:pt idx="103">
                  <c:v>186097.47999999998</c:v>
                </c:pt>
                <c:pt idx="104">
                  <c:v>187078.1</c:v>
                </c:pt>
                <c:pt idx="105">
                  <c:v>188058.72</c:v>
                </c:pt>
                <c:pt idx="106">
                  <c:v>189039.34</c:v>
                </c:pt>
                <c:pt idx="107">
                  <c:v>190019.96000000002</c:v>
                </c:pt>
                <c:pt idx="108">
                  <c:v>191000.58000000002</c:v>
                </c:pt>
                <c:pt idx="109">
                  <c:v>191981.2</c:v>
                </c:pt>
                <c:pt idx="110">
                  <c:v>192961.82</c:v>
                </c:pt>
                <c:pt idx="111">
                  <c:v>193942.44</c:v>
                </c:pt>
                <c:pt idx="112">
                  <c:v>194923.06</c:v>
                </c:pt>
                <c:pt idx="113">
                  <c:v>195903.68</c:v>
                </c:pt>
                <c:pt idx="114">
                  <c:v>196884.3</c:v>
                </c:pt>
                <c:pt idx="115">
                  <c:v>197864.91999999998</c:v>
                </c:pt>
                <c:pt idx="116">
                  <c:v>198845.53999999998</c:v>
                </c:pt>
                <c:pt idx="117">
                  <c:v>199826.16</c:v>
                </c:pt>
                <c:pt idx="118">
                  <c:v>200806.78</c:v>
                </c:pt>
                <c:pt idx="119">
                  <c:v>201787.4</c:v>
                </c:pt>
                <c:pt idx="120">
                  <c:v>202768.02000000002</c:v>
                </c:pt>
                <c:pt idx="121">
                  <c:v>203748.64</c:v>
                </c:pt>
                <c:pt idx="122">
                  <c:v>204729.26</c:v>
                </c:pt>
                <c:pt idx="123">
                  <c:v>205709.88</c:v>
                </c:pt>
                <c:pt idx="124">
                  <c:v>206690.5</c:v>
                </c:pt>
                <c:pt idx="125">
                  <c:v>207671.12</c:v>
                </c:pt>
                <c:pt idx="126">
                  <c:v>208651.74</c:v>
                </c:pt>
                <c:pt idx="127">
                  <c:v>209632.36</c:v>
                </c:pt>
                <c:pt idx="128">
                  <c:v>210612.97999999998</c:v>
                </c:pt>
                <c:pt idx="129">
                  <c:v>211593.60000000001</c:v>
                </c:pt>
                <c:pt idx="130">
                  <c:v>212574.22</c:v>
                </c:pt>
                <c:pt idx="131">
                  <c:v>213554.84</c:v>
                </c:pt>
                <c:pt idx="132">
                  <c:v>214535.46000000002</c:v>
                </c:pt>
                <c:pt idx="133">
                  <c:v>215516.08</c:v>
                </c:pt>
                <c:pt idx="134">
                  <c:v>216496.7</c:v>
                </c:pt>
                <c:pt idx="135">
                  <c:v>217477.32</c:v>
                </c:pt>
                <c:pt idx="136">
                  <c:v>218457.94</c:v>
                </c:pt>
                <c:pt idx="137">
                  <c:v>219438.56</c:v>
                </c:pt>
                <c:pt idx="138">
                  <c:v>220419.18</c:v>
                </c:pt>
                <c:pt idx="139">
                  <c:v>221399.8</c:v>
                </c:pt>
                <c:pt idx="140">
                  <c:v>222380.42</c:v>
                </c:pt>
                <c:pt idx="141">
                  <c:v>223361.04</c:v>
                </c:pt>
                <c:pt idx="142">
                  <c:v>224341.66</c:v>
                </c:pt>
                <c:pt idx="143">
                  <c:v>225322.28</c:v>
                </c:pt>
              </c:numCache>
            </c:numRef>
          </c:val>
          <c:smooth val="0"/>
          <c:extLst>
            <c:ext xmlns:c16="http://schemas.microsoft.com/office/drawing/2014/chart" uri="{C3380CC4-5D6E-409C-BE32-E72D297353CC}">
              <c16:uniqueId val="{00000007-56E5-4B7D-90D9-20A0A1E5ABDD}"/>
            </c:ext>
          </c:extLst>
        </c:ser>
        <c:dLbls>
          <c:showLegendKey val="0"/>
          <c:showVal val="0"/>
          <c:showCatName val="0"/>
          <c:showSerName val="0"/>
          <c:showPercent val="0"/>
          <c:showBubbleSize val="0"/>
        </c:dLbls>
        <c:smooth val="0"/>
        <c:axId val="1909956927"/>
        <c:axId val="1909962207"/>
      </c:lineChart>
      <c:catAx>
        <c:axId val="19099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2207"/>
        <c:crosses val="autoZero"/>
        <c:auto val="1"/>
        <c:lblAlgn val="ctr"/>
        <c:lblOffset val="100"/>
        <c:noMultiLvlLbl val="0"/>
      </c:catAx>
      <c:valAx>
        <c:axId val="1909962207"/>
        <c:scaling>
          <c:orientation val="minMax"/>
          <c:min val="80000"/>
        </c:scaling>
        <c:delete val="0"/>
        <c:axPos val="l"/>
        <c:majorGridlines>
          <c:spPr>
            <a:ln w="9525" cap="flat" cmpd="sng" algn="ctr">
              <a:solidFill>
                <a:schemeClr val="tx1">
                  <a:lumMod val="15000"/>
                  <a:lumOff val="85000"/>
                </a:schemeClr>
              </a:solidFill>
              <a:round/>
            </a:ln>
            <a:effectLst/>
          </c:spPr>
        </c:majorGridlines>
        <c:numFmt formatCode="_-[$$-409]* #,##0_ ;_-[$$-409]* \-#,##0\ ;_-[$$-409]* &quot;-&quot;_ ;_-@_ "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56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pt-PT" baseline="0"/>
              <a:t>TRUCK DELIVERIES, Total</a:t>
            </a:r>
            <a:endParaRPr lang="pt-PT"/>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PT"/>
        </a:p>
      </c:txPr>
    </c:title>
    <c:autoTitleDeleted val="0"/>
    <c:plotArea>
      <c:layout/>
      <c:lineChart>
        <c:grouping val="standard"/>
        <c:varyColors val="0"/>
        <c:ser>
          <c:idx val="0"/>
          <c:order val="0"/>
          <c:tx>
            <c:strRef>
              <c:f>Assumptions!$B$138:$C$138</c:f>
              <c:strCache>
                <c:ptCount val="2"/>
                <c:pt idx="0">
                  <c:v>TOTAL TRUCK DELIVERIES</c:v>
                </c:pt>
                <c:pt idx="1">
                  <c:v>units</c:v>
                </c:pt>
              </c:strCache>
            </c:strRef>
          </c:tx>
          <c:spPr>
            <a:ln w="28575" cap="rnd">
              <a:solidFill>
                <a:schemeClr val="accent1"/>
              </a:solidFill>
              <a:round/>
            </a:ln>
            <a:effectLst/>
          </c:spPr>
          <c:marker>
            <c:symbol val="none"/>
          </c:marker>
          <c:cat>
            <c:strRef>
              <c:f>Assumptions!$D$134:$EQ$134</c:f>
              <c:strCache>
                <c:ptCount val="144"/>
                <c:pt idx="0">
                  <c:v>Q1 2014</c:v>
                </c:pt>
                <c:pt idx="1">
                  <c:v>Q2 2014</c:v>
                </c:pt>
                <c:pt idx="2">
                  <c:v>Q3 2014</c:v>
                </c:pt>
                <c:pt idx="3">
                  <c:v>Q4 2014</c:v>
                </c:pt>
                <c:pt idx="4">
                  <c:v>Q1 2015</c:v>
                </c:pt>
                <c:pt idx="5">
                  <c:v>Q2 2015</c:v>
                </c:pt>
                <c:pt idx="6">
                  <c:v>Q3 2015</c:v>
                </c:pt>
                <c:pt idx="7">
                  <c:v>Q4 2015</c:v>
                </c:pt>
                <c:pt idx="8">
                  <c:v>Q1 2016</c:v>
                </c:pt>
                <c:pt idx="9">
                  <c:v>Q2 2016</c:v>
                </c:pt>
                <c:pt idx="10">
                  <c:v>Q3 2016</c:v>
                </c:pt>
                <c:pt idx="11">
                  <c:v>Q4 2016</c:v>
                </c:pt>
                <c:pt idx="12">
                  <c:v>Q1 2017</c:v>
                </c:pt>
                <c:pt idx="13">
                  <c:v>Q2 2017</c:v>
                </c:pt>
                <c:pt idx="14">
                  <c:v>Q3 2017</c:v>
                </c:pt>
                <c:pt idx="15">
                  <c:v>Q4 2017</c:v>
                </c:pt>
                <c:pt idx="16">
                  <c:v>Q1 2018</c:v>
                </c:pt>
                <c:pt idx="17">
                  <c:v>Q2 2018</c:v>
                </c:pt>
                <c:pt idx="18">
                  <c:v>Q3 2018</c:v>
                </c:pt>
                <c:pt idx="19">
                  <c:v>Q4 2018</c:v>
                </c:pt>
                <c:pt idx="20">
                  <c:v>Q1 2019</c:v>
                </c:pt>
                <c:pt idx="21">
                  <c:v>Q2 2019</c:v>
                </c:pt>
                <c:pt idx="22">
                  <c:v>Q3 2019</c:v>
                </c:pt>
                <c:pt idx="23">
                  <c:v>Q4 2019</c:v>
                </c:pt>
                <c:pt idx="24">
                  <c:v>Q1 2020</c:v>
                </c:pt>
                <c:pt idx="25">
                  <c:v>Q2 2020</c:v>
                </c:pt>
                <c:pt idx="26">
                  <c:v>Q3 2020</c:v>
                </c:pt>
                <c:pt idx="27">
                  <c:v>Q4 2020</c:v>
                </c:pt>
                <c:pt idx="28">
                  <c:v>Q1 2021</c:v>
                </c:pt>
                <c:pt idx="29">
                  <c:v>Q2 2021</c:v>
                </c:pt>
                <c:pt idx="30">
                  <c:v>Q3 2021</c:v>
                </c:pt>
                <c:pt idx="31">
                  <c:v>Q4 2021</c:v>
                </c:pt>
                <c:pt idx="32">
                  <c:v>Q1 2022</c:v>
                </c:pt>
                <c:pt idx="33">
                  <c:v>Q2 2022</c:v>
                </c:pt>
                <c:pt idx="34">
                  <c:v>Q3 2022</c:v>
                </c:pt>
                <c:pt idx="35">
                  <c:v>Q4 2022</c:v>
                </c:pt>
                <c:pt idx="36">
                  <c:v>Q1 2023</c:v>
                </c:pt>
                <c:pt idx="37">
                  <c:v>Q2 2023</c:v>
                </c:pt>
                <c:pt idx="38">
                  <c:v>Q3 2023</c:v>
                </c:pt>
                <c:pt idx="39">
                  <c:v>Q4 2023</c:v>
                </c:pt>
                <c:pt idx="40">
                  <c:v>Q1 2024</c:v>
                </c:pt>
                <c:pt idx="41">
                  <c:v>Q2 2024</c:v>
                </c:pt>
                <c:pt idx="42">
                  <c:v>Q3 2024</c:v>
                </c:pt>
                <c:pt idx="43">
                  <c:v>Q4 2024</c:v>
                </c:pt>
                <c:pt idx="44">
                  <c:v>Q1 2025</c:v>
                </c:pt>
                <c:pt idx="45">
                  <c:v>Q2 2025</c:v>
                </c:pt>
                <c:pt idx="46">
                  <c:v>Q3 2025</c:v>
                </c:pt>
                <c:pt idx="47">
                  <c:v>Q4 2025</c:v>
                </c:pt>
                <c:pt idx="48">
                  <c:v>Q1 2026</c:v>
                </c:pt>
                <c:pt idx="49">
                  <c:v>Q2 2026</c:v>
                </c:pt>
                <c:pt idx="50">
                  <c:v>Q3 2026</c:v>
                </c:pt>
                <c:pt idx="51">
                  <c:v>Q4 2026</c:v>
                </c:pt>
                <c:pt idx="52">
                  <c:v>Q1 2027</c:v>
                </c:pt>
                <c:pt idx="53">
                  <c:v>Q2 2027</c:v>
                </c:pt>
                <c:pt idx="54">
                  <c:v>Q3 2027</c:v>
                </c:pt>
                <c:pt idx="55">
                  <c:v>Q4 2027</c:v>
                </c:pt>
                <c:pt idx="56">
                  <c:v>Q1 2028</c:v>
                </c:pt>
                <c:pt idx="57">
                  <c:v>Q2 2028</c:v>
                </c:pt>
                <c:pt idx="58">
                  <c:v>Q3 2028</c:v>
                </c:pt>
                <c:pt idx="59">
                  <c:v>Q4 2028</c:v>
                </c:pt>
                <c:pt idx="60">
                  <c:v>Q1 2029</c:v>
                </c:pt>
                <c:pt idx="61">
                  <c:v>Q2 2029</c:v>
                </c:pt>
                <c:pt idx="62">
                  <c:v>Q3 2029</c:v>
                </c:pt>
                <c:pt idx="63">
                  <c:v>Q4 2029</c:v>
                </c:pt>
                <c:pt idx="64">
                  <c:v>Q1 2030</c:v>
                </c:pt>
                <c:pt idx="65">
                  <c:v>Q2 2030</c:v>
                </c:pt>
                <c:pt idx="66">
                  <c:v>Q3 2030</c:v>
                </c:pt>
                <c:pt idx="67">
                  <c:v>Q4 2030</c:v>
                </c:pt>
                <c:pt idx="68">
                  <c:v>Q1 2031</c:v>
                </c:pt>
                <c:pt idx="69">
                  <c:v>Q2 2031</c:v>
                </c:pt>
                <c:pt idx="70">
                  <c:v>Q3 2031</c:v>
                </c:pt>
                <c:pt idx="71">
                  <c:v>Q4 2031</c:v>
                </c:pt>
                <c:pt idx="72">
                  <c:v>Q1 2032</c:v>
                </c:pt>
                <c:pt idx="73">
                  <c:v>Q2 2032</c:v>
                </c:pt>
                <c:pt idx="74">
                  <c:v>Q3 2032</c:v>
                </c:pt>
                <c:pt idx="75">
                  <c:v>Q4 2032</c:v>
                </c:pt>
                <c:pt idx="76">
                  <c:v>Q1 2033</c:v>
                </c:pt>
                <c:pt idx="77">
                  <c:v>Q2 2033</c:v>
                </c:pt>
                <c:pt idx="78">
                  <c:v>Q3 2033</c:v>
                </c:pt>
                <c:pt idx="79">
                  <c:v>Q4 2033</c:v>
                </c:pt>
                <c:pt idx="80">
                  <c:v>Q1 2034</c:v>
                </c:pt>
                <c:pt idx="81">
                  <c:v>Q2 2034</c:v>
                </c:pt>
                <c:pt idx="82">
                  <c:v>Q3 2034</c:v>
                </c:pt>
                <c:pt idx="83">
                  <c:v>Q4 2034</c:v>
                </c:pt>
                <c:pt idx="84">
                  <c:v>Q1 2035</c:v>
                </c:pt>
                <c:pt idx="85">
                  <c:v>Q2 2035</c:v>
                </c:pt>
                <c:pt idx="86">
                  <c:v>Q3 2035</c:v>
                </c:pt>
                <c:pt idx="87">
                  <c:v>Q4 2035</c:v>
                </c:pt>
                <c:pt idx="88">
                  <c:v>Q1 2036</c:v>
                </c:pt>
                <c:pt idx="89">
                  <c:v>Q2 2036</c:v>
                </c:pt>
                <c:pt idx="90">
                  <c:v>Q3 2036</c:v>
                </c:pt>
                <c:pt idx="91">
                  <c:v>Q4 2036</c:v>
                </c:pt>
                <c:pt idx="92">
                  <c:v>Q1 2037</c:v>
                </c:pt>
                <c:pt idx="93">
                  <c:v>Q2 2037</c:v>
                </c:pt>
                <c:pt idx="94">
                  <c:v>Q3 2037</c:v>
                </c:pt>
                <c:pt idx="95">
                  <c:v>Q4 2037</c:v>
                </c:pt>
                <c:pt idx="96">
                  <c:v>Q1 2038</c:v>
                </c:pt>
                <c:pt idx="97">
                  <c:v>Q2 2038</c:v>
                </c:pt>
                <c:pt idx="98">
                  <c:v>Q3 2038</c:v>
                </c:pt>
                <c:pt idx="99">
                  <c:v>Q4 2038</c:v>
                </c:pt>
                <c:pt idx="100">
                  <c:v>Q1 2039</c:v>
                </c:pt>
                <c:pt idx="101">
                  <c:v>Q2 2039</c:v>
                </c:pt>
                <c:pt idx="102">
                  <c:v>Q3 2039</c:v>
                </c:pt>
                <c:pt idx="103">
                  <c:v>Q4 2039</c:v>
                </c:pt>
                <c:pt idx="104">
                  <c:v>Q1 2040</c:v>
                </c:pt>
                <c:pt idx="105">
                  <c:v>Q2 2040</c:v>
                </c:pt>
                <c:pt idx="106">
                  <c:v>Q3 2040</c:v>
                </c:pt>
                <c:pt idx="107">
                  <c:v>Q4 2040</c:v>
                </c:pt>
                <c:pt idx="108">
                  <c:v>Q1 2041</c:v>
                </c:pt>
                <c:pt idx="109">
                  <c:v>Q2 2041</c:v>
                </c:pt>
                <c:pt idx="110">
                  <c:v>Q3 2041</c:v>
                </c:pt>
                <c:pt idx="111">
                  <c:v>Q4 2041</c:v>
                </c:pt>
                <c:pt idx="112">
                  <c:v>Q1 2042</c:v>
                </c:pt>
                <c:pt idx="113">
                  <c:v>Q2 2042</c:v>
                </c:pt>
                <c:pt idx="114">
                  <c:v>Q3 2042</c:v>
                </c:pt>
                <c:pt idx="115">
                  <c:v>Q4 2042</c:v>
                </c:pt>
                <c:pt idx="116">
                  <c:v>Q1 2043</c:v>
                </c:pt>
                <c:pt idx="117">
                  <c:v>Q2 2043</c:v>
                </c:pt>
                <c:pt idx="118">
                  <c:v>Q3 2043</c:v>
                </c:pt>
                <c:pt idx="119">
                  <c:v>Q4 2043</c:v>
                </c:pt>
                <c:pt idx="120">
                  <c:v>Q1 2044</c:v>
                </c:pt>
                <c:pt idx="121">
                  <c:v>Q2 2044</c:v>
                </c:pt>
                <c:pt idx="122">
                  <c:v>Q3 2044</c:v>
                </c:pt>
                <c:pt idx="123">
                  <c:v>Q4 2044</c:v>
                </c:pt>
                <c:pt idx="124">
                  <c:v>Q1 2045</c:v>
                </c:pt>
                <c:pt idx="125">
                  <c:v>Q2 2045</c:v>
                </c:pt>
                <c:pt idx="126">
                  <c:v>Q3 2045</c:v>
                </c:pt>
                <c:pt idx="127">
                  <c:v>Q4 2045</c:v>
                </c:pt>
                <c:pt idx="128">
                  <c:v>Q1 2046</c:v>
                </c:pt>
                <c:pt idx="129">
                  <c:v>Q2 2046</c:v>
                </c:pt>
                <c:pt idx="130">
                  <c:v>Q3 2046</c:v>
                </c:pt>
                <c:pt idx="131">
                  <c:v>Q4 2046</c:v>
                </c:pt>
                <c:pt idx="132">
                  <c:v>Q1 2047</c:v>
                </c:pt>
                <c:pt idx="133">
                  <c:v>Q2 2047</c:v>
                </c:pt>
                <c:pt idx="134">
                  <c:v>Q3 2047</c:v>
                </c:pt>
                <c:pt idx="135">
                  <c:v>Q4 2047</c:v>
                </c:pt>
                <c:pt idx="136">
                  <c:v>Q1 2048</c:v>
                </c:pt>
                <c:pt idx="137">
                  <c:v>Q2 2048</c:v>
                </c:pt>
                <c:pt idx="138">
                  <c:v>Q3 2048</c:v>
                </c:pt>
                <c:pt idx="139">
                  <c:v>Q4 2048</c:v>
                </c:pt>
                <c:pt idx="140">
                  <c:v>Q1 2049</c:v>
                </c:pt>
                <c:pt idx="141">
                  <c:v>Q2 2049</c:v>
                </c:pt>
                <c:pt idx="142">
                  <c:v>Q3 2049</c:v>
                </c:pt>
                <c:pt idx="143">
                  <c:v>Q4 2049</c:v>
                </c:pt>
              </c:strCache>
            </c:strRef>
          </c:cat>
          <c:val>
            <c:numRef>
              <c:f>Assumptions!$D$138:$EQ$138</c:f>
              <c:numCache>
                <c:formatCode>_-* #,##0_-;\-* #,##0_-;_-* "-"??_-;_-@_-</c:formatCode>
                <c:ptCount val="144"/>
                <c:pt idx="0">
                  <c:v>31800</c:v>
                </c:pt>
                <c:pt idx="1">
                  <c:v>33700</c:v>
                </c:pt>
                <c:pt idx="2">
                  <c:v>37300</c:v>
                </c:pt>
                <c:pt idx="3">
                  <c:v>40100</c:v>
                </c:pt>
                <c:pt idx="4">
                  <c:v>38300</c:v>
                </c:pt>
                <c:pt idx="5">
                  <c:v>41600</c:v>
                </c:pt>
                <c:pt idx="6">
                  <c:v>39400</c:v>
                </c:pt>
                <c:pt idx="7">
                  <c:v>35400</c:v>
                </c:pt>
                <c:pt idx="8">
                  <c:v>35300</c:v>
                </c:pt>
                <c:pt idx="9">
                  <c:v>36800</c:v>
                </c:pt>
                <c:pt idx="10">
                  <c:v>34900</c:v>
                </c:pt>
                <c:pt idx="11">
                  <c:v>33900</c:v>
                </c:pt>
                <c:pt idx="12">
                  <c:v>35000</c:v>
                </c:pt>
                <c:pt idx="13">
                  <c:v>39400</c:v>
                </c:pt>
                <c:pt idx="14">
                  <c:v>40200</c:v>
                </c:pt>
                <c:pt idx="15">
                  <c:v>44300</c:v>
                </c:pt>
                <c:pt idx="16">
                  <c:v>44500</c:v>
                </c:pt>
                <c:pt idx="17">
                  <c:v>46400</c:v>
                </c:pt>
                <c:pt idx="18">
                  <c:v>47800</c:v>
                </c:pt>
                <c:pt idx="19">
                  <c:v>50400</c:v>
                </c:pt>
                <c:pt idx="20">
                  <c:v>51500</c:v>
                </c:pt>
                <c:pt idx="21">
                  <c:v>52300</c:v>
                </c:pt>
                <c:pt idx="22">
                  <c:v>49300</c:v>
                </c:pt>
                <c:pt idx="23">
                  <c:v>45700</c:v>
                </c:pt>
                <c:pt idx="24">
                  <c:v>38400</c:v>
                </c:pt>
                <c:pt idx="25">
                  <c:v>18100</c:v>
                </c:pt>
                <c:pt idx="26">
                  <c:v>36000</c:v>
                </c:pt>
                <c:pt idx="27">
                  <c:v>40800</c:v>
                </c:pt>
                <c:pt idx="28">
                  <c:v>42200</c:v>
                </c:pt>
                <c:pt idx="29">
                  <c:v>40100</c:v>
                </c:pt>
                <c:pt idx="30">
                  <c:v>32800</c:v>
                </c:pt>
                <c:pt idx="31">
                  <c:v>47600</c:v>
                </c:pt>
                <c:pt idx="32">
                  <c:v>43000</c:v>
                </c:pt>
                <c:pt idx="33">
                  <c:v>46900</c:v>
                </c:pt>
                <c:pt idx="34">
                  <c:v>44400</c:v>
                </c:pt>
                <c:pt idx="35">
                  <c:v>49100</c:v>
                </c:pt>
                <c:pt idx="36">
                  <c:v>51100</c:v>
                </c:pt>
                <c:pt idx="37">
                  <c:v>51900</c:v>
                </c:pt>
                <c:pt idx="38">
                  <c:v>50100</c:v>
                </c:pt>
                <c:pt idx="39">
                  <c:v>51100</c:v>
                </c:pt>
                <c:pt idx="40">
                  <c:v>48100</c:v>
                </c:pt>
                <c:pt idx="41">
                  <c:v>48000</c:v>
                </c:pt>
                <c:pt idx="42">
                  <c:v>48300</c:v>
                </c:pt>
                <c:pt idx="43">
                  <c:v>48300</c:v>
                </c:pt>
                <c:pt idx="44">
                  <c:v>47194.114711541479</c:v>
                </c:pt>
                <c:pt idx="45">
                  <c:v>49443.377511214188</c:v>
                </c:pt>
                <c:pt idx="46">
                  <c:v>48871.308340036856</c:v>
                </c:pt>
                <c:pt idx="47">
                  <c:v>50431.938626133611</c:v>
                </c:pt>
                <c:pt idx="48">
                  <c:v>49277.240096214678</c:v>
                </c:pt>
                <c:pt idx="49">
                  <c:v>51625.784267376992</c:v>
                </c:pt>
                <c:pt idx="50">
                  <c:v>51028.464239825887</c:v>
                </c:pt>
                <c:pt idx="51">
                  <c:v>52657.97999151361</c:v>
                </c:pt>
                <c:pt idx="52">
                  <c:v>51452.313627278454</c:v>
                </c:pt>
                <c:pt idx="53">
                  <c:v>53904.521401622587</c:v>
                </c:pt>
                <c:pt idx="54">
                  <c:v>53280.835957117044</c:v>
                </c:pt>
                <c:pt idx="55">
                  <c:v>54982.277745511106</c:v>
                </c:pt>
                <c:pt idx="56">
                  <c:v>53723.393851417917</c:v>
                </c:pt>
                <c:pt idx="57">
                  <c:v>56283.840890222287</c:v>
                </c:pt>
                <c:pt idx="58">
                  <c:v>55632.626272016983</c:v>
                </c:pt>
                <c:pt idx="59">
                  <c:v>57409.168877570366</c:v>
                </c:pt>
                <c:pt idx="60">
                  <c:v>56835.077188794661</c:v>
                </c:pt>
                <c:pt idx="61">
                  <c:v>59108.480276346447</c:v>
                </c:pt>
                <c:pt idx="62">
                  <c:v>58517.395473582983</c:v>
                </c:pt>
                <c:pt idx="63">
                  <c:v>60272.917337790474</c:v>
                </c:pt>
                <c:pt idx="64">
                  <c:v>59670.188164412568</c:v>
                </c:pt>
                <c:pt idx="65">
                  <c:v>62056.995690989075</c:v>
                </c:pt>
                <c:pt idx="66">
                  <c:v>61436.425734079181</c:v>
                </c:pt>
                <c:pt idx="67">
                  <c:v>63279.518506101558</c:v>
                </c:pt>
                <c:pt idx="68">
                  <c:v>62646.723321040539</c:v>
                </c:pt>
                <c:pt idx="69">
                  <c:v>65152.592253882161</c:v>
                </c:pt>
                <c:pt idx="70">
                  <c:v>64501.06633134334</c:v>
                </c:pt>
                <c:pt idx="71">
                  <c:v>66436.098321283644</c:v>
                </c:pt>
                <c:pt idx="72">
                  <c:v>65771.737338070801</c:v>
                </c:pt>
                <c:pt idx="73">
                  <c:v>68402.606831593643</c:v>
                </c:pt>
                <c:pt idx="74">
                  <c:v>67718.5807632777</c:v>
                </c:pt>
                <c:pt idx="75">
                  <c:v>69750.138186176031</c:v>
                </c:pt>
                <c:pt idx="76">
                  <c:v>69052.636804314272</c:v>
                </c:pt>
                <c:pt idx="77">
                  <c:v>71814.742276486839</c:v>
                </c:pt>
                <c:pt idx="78">
                  <c:v>71096.594853721967</c:v>
                </c:pt>
                <c:pt idx="79">
                  <c:v>73229.492699333627</c:v>
                </c:pt>
                <c:pt idx="80">
                  <c:v>72863.345235836954</c:v>
                </c:pt>
                <c:pt idx="81">
                  <c:v>74684.928866732866</c:v>
                </c:pt>
                <c:pt idx="82">
                  <c:v>74311.504222399206</c:v>
                </c:pt>
                <c:pt idx="83">
                  <c:v>75797.734306847196</c:v>
                </c:pt>
                <c:pt idx="84">
                  <c:v>75418.745635312967</c:v>
                </c:pt>
                <c:pt idx="85">
                  <c:v>77304.21427619578</c:v>
                </c:pt>
                <c:pt idx="86">
                  <c:v>76917.693204814801</c:v>
                </c:pt>
                <c:pt idx="87">
                  <c:v>78456.047068911095</c:v>
                </c:pt>
                <c:pt idx="88">
                  <c:v>78063.766833566537</c:v>
                </c:pt>
                <c:pt idx="89">
                  <c:v>80015.361004405699</c:v>
                </c:pt>
                <c:pt idx="90">
                  <c:v>79615.284199383663</c:v>
                </c:pt>
                <c:pt idx="91">
                  <c:v>81207.589883371344</c:v>
                </c:pt>
                <c:pt idx="92">
                  <c:v>80801.551933954484</c:v>
                </c:pt>
                <c:pt idx="93">
                  <c:v>82821.590732303346</c:v>
                </c:pt>
                <c:pt idx="94">
                  <c:v>82407.482778641832</c:v>
                </c:pt>
                <c:pt idx="95">
                  <c:v>84055.632434214669</c:v>
                </c:pt>
                <c:pt idx="96">
                  <c:v>83635.354272043594</c:v>
                </c:pt>
                <c:pt idx="97">
                  <c:v>85726.238128844678</c:v>
                </c:pt>
                <c:pt idx="98">
                  <c:v>85297.60693820045</c:v>
                </c:pt>
                <c:pt idx="99">
                  <c:v>87003.559076964462</c:v>
                </c:pt>
                <c:pt idx="100">
                  <c:v>86568.541281579644</c:v>
                </c:pt>
                <c:pt idx="101">
                  <c:v>88732.754813619133</c:v>
                </c:pt>
                <c:pt idx="102">
                  <c:v>88289.091039551044</c:v>
                </c:pt>
                <c:pt idx="103">
                  <c:v>90054.87286034206</c:v>
                </c:pt>
                <c:pt idx="104">
                  <c:v>89604.598496040344</c:v>
                </c:pt>
                <c:pt idx="105">
                  <c:v>91844.713458441343</c:v>
                </c:pt>
                <c:pt idx="106">
                  <c:v>91385.489891149133</c:v>
                </c:pt>
                <c:pt idx="107">
                  <c:v>93213.199688972119</c:v>
                </c:pt>
                <c:pt idx="108">
                  <c:v>92747.133690527262</c:v>
                </c:pt>
                <c:pt idx="109">
                  <c:v>95065.812032790433</c:v>
                </c:pt>
                <c:pt idx="110">
                  <c:v>94590.482972626487</c:v>
                </c:pt>
                <c:pt idx="111">
                  <c:v>96482.292632079014</c:v>
                </c:pt>
                <c:pt idx="112">
                  <c:v>95999.881168918611</c:v>
                </c:pt>
                <c:pt idx="113">
                  <c:v>98399.878198141567</c:v>
                </c:pt>
                <c:pt idx="114">
                  <c:v>97907.878807150861</c:v>
                </c:pt>
                <c:pt idx="115">
                  <c:v>99866.036383293875</c:v>
                </c:pt>
                <c:pt idx="116">
                  <c:v>99366.706201377412</c:v>
                </c:pt>
                <c:pt idx="117">
                  <c:v>101850.87385641184</c:v>
                </c:pt>
                <c:pt idx="118">
                  <c:v>101341.61948712978</c:v>
                </c:pt>
                <c:pt idx="119">
                  <c:v>103368.45187687238</c:v>
                </c:pt>
                <c:pt idx="120">
                  <c:v>102851.60961748802</c:v>
                </c:pt>
                <c:pt idx="121">
                  <c:v>105422.89985792521</c:v>
                </c:pt>
                <c:pt idx="122">
                  <c:v>104895.78535863558</c:v>
                </c:pt>
                <c:pt idx="123">
                  <c:v>106993.70106580829</c:v>
                </c:pt>
                <c:pt idx="124">
                  <c:v>106458.73256047924</c:v>
                </c:pt>
                <c:pt idx="125">
                  <c:v>109120.20087449122</c:v>
                </c:pt>
                <c:pt idx="126">
                  <c:v>108574.59987011876</c:v>
                </c:pt>
                <c:pt idx="127">
                  <c:v>110746.09186752114</c:v>
                </c:pt>
                <c:pt idx="128">
                  <c:v>110192.36140818354</c:v>
                </c:pt>
                <c:pt idx="129">
                  <c:v>112947.17044338812</c:v>
                </c:pt>
                <c:pt idx="130">
                  <c:v>112382.43459117119</c:v>
                </c:pt>
                <c:pt idx="131">
                  <c:v>114630.08328299462</c:v>
                </c:pt>
                <c:pt idx="132">
                  <c:v>114056.93286657965</c:v>
                </c:pt>
                <c:pt idx="133">
                  <c:v>116908.35618824413</c:v>
                </c:pt>
                <c:pt idx="134">
                  <c:v>116323.81440730291</c:v>
                </c:pt>
                <c:pt idx="135">
                  <c:v>118650.29069544897</c:v>
                </c:pt>
                <c:pt idx="136">
                  <c:v>118057.03924197172</c:v>
                </c:pt>
                <c:pt idx="137">
                  <c:v>121008.465223021</c:v>
                </c:pt>
                <c:pt idx="138">
                  <c:v>120403.4228969059</c:v>
                </c:pt>
                <c:pt idx="139">
                  <c:v>122811.49135484402</c:v>
                </c:pt>
                <c:pt idx="140">
                  <c:v>122197.43389806981</c:v>
                </c:pt>
                <c:pt idx="141">
                  <c:v>125252.36974552154</c:v>
                </c:pt>
                <c:pt idx="142">
                  <c:v>124626.10789679394</c:v>
                </c:pt>
                <c:pt idx="143">
                  <c:v>127118.63005472982</c:v>
                </c:pt>
              </c:numCache>
            </c:numRef>
          </c:val>
          <c:smooth val="0"/>
          <c:extLst>
            <c:ext xmlns:c16="http://schemas.microsoft.com/office/drawing/2014/chart" uri="{C3380CC4-5D6E-409C-BE32-E72D297353CC}">
              <c16:uniqueId val="{00000000-B8FF-41BF-AD6A-1298CFEC3F06}"/>
            </c:ext>
          </c:extLst>
        </c:ser>
        <c:dLbls>
          <c:showLegendKey val="0"/>
          <c:showVal val="0"/>
          <c:showCatName val="0"/>
          <c:showSerName val="0"/>
          <c:showPercent val="0"/>
          <c:showBubbleSize val="0"/>
        </c:dLbls>
        <c:smooth val="0"/>
        <c:axId val="1909956927"/>
        <c:axId val="1909962207"/>
      </c:lineChart>
      <c:catAx>
        <c:axId val="1909956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62207"/>
        <c:crosses val="autoZero"/>
        <c:auto val="1"/>
        <c:lblAlgn val="ctr"/>
        <c:lblOffset val="100"/>
        <c:noMultiLvlLbl val="0"/>
      </c:catAx>
      <c:valAx>
        <c:axId val="1909962207"/>
        <c:scaling>
          <c:orientation val="minMax"/>
          <c:max val="130000"/>
          <c:min val="1500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56927"/>
        <c:crosses val="autoZero"/>
        <c:crossBetween val="between"/>
        <c:majorUnit val="5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Assumptions!$B$144</c:f>
              <c:strCache>
                <c:ptCount val="1"/>
                <c:pt idx="0">
                  <c:v>Truck Deliveries (QoQ Growth)</c:v>
                </c:pt>
              </c:strCache>
            </c:strRef>
          </c:tx>
          <c:spPr>
            <a:ln w="28575" cap="rnd">
              <a:solidFill>
                <a:schemeClr val="accent1"/>
              </a:solidFill>
              <a:round/>
            </a:ln>
            <a:effectLst/>
          </c:spPr>
          <c:marker>
            <c:symbol val="none"/>
          </c:marker>
          <c:cat>
            <c:strRef>
              <c:f>Assumptions!$D$134:$EQ$134</c:f>
              <c:strCache>
                <c:ptCount val="144"/>
                <c:pt idx="0">
                  <c:v>Q1 2014</c:v>
                </c:pt>
                <c:pt idx="1">
                  <c:v>Q2 2014</c:v>
                </c:pt>
                <c:pt idx="2">
                  <c:v>Q3 2014</c:v>
                </c:pt>
                <c:pt idx="3">
                  <c:v>Q4 2014</c:v>
                </c:pt>
                <c:pt idx="4">
                  <c:v>Q1 2015</c:v>
                </c:pt>
                <c:pt idx="5">
                  <c:v>Q2 2015</c:v>
                </c:pt>
                <c:pt idx="6">
                  <c:v>Q3 2015</c:v>
                </c:pt>
                <c:pt idx="7">
                  <c:v>Q4 2015</c:v>
                </c:pt>
                <c:pt idx="8">
                  <c:v>Q1 2016</c:v>
                </c:pt>
                <c:pt idx="9">
                  <c:v>Q2 2016</c:v>
                </c:pt>
                <c:pt idx="10">
                  <c:v>Q3 2016</c:v>
                </c:pt>
                <c:pt idx="11">
                  <c:v>Q4 2016</c:v>
                </c:pt>
                <c:pt idx="12">
                  <c:v>Q1 2017</c:v>
                </c:pt>
                <c:pt idx="13">
                  <c:v>Q2 2017</c:v>
                </c:pt>
                <c:pt idx="14">
                  <c:v>Q3 2017</c:v>
                </c:pt>
                <c:pt idx="15">
                  <c:v>Q4 2017</c:v>
                </c:pt>
                <c:pt idx="16">
                  <c:v>Q1 2018</c:v>
                </c:pt>
                <c:pt idx="17">
                  <c:v>Q2 2018</c:v>
                </c:pt>
                <c:pt idx="18">
                  <c:v>Q3 2018</c:v>
                </c:pt>
                <c:pt idx="19">
                  <c:v>Q4 2018</c:v>
                </c:pt>
                <c:pt idx="20">
                  <c:v>Q1 2019</c:v>
                </c:pt>
                <c:pt idx="21">
                  <c:v>Q2 2019</c:v>
                </c:pt>
                <c:pt idx="22">
                  <c:v>Q3 2019</c:v>
                </c:pt>
                <c:pt idx="23">
                  <c:v>Q4 2019</c:v>
                </c:pt>
                <c:pt idx="24">
                  <c:v>Q1 2020</c:v>
                </c:pt>
                <c:pt idx="25">
                  <c:v>Q2 2020</c:v>
                </c:pt>
                <c:pt idx="26">
                  <c:v>Q3 2020</c:v>
                </c:pt>
                <c:pt idx="27">
                  <c:v>Q4 2020</c:v>
                </c:pt>
                <c:pt idx="28">
                  <c:v>Q1 2021</c:v>
                </c:pt>
                <c:pt idx="29">
                  <c:v>Q2 2021</c:v>
                </c:pt>
                <c:pt idx="30">
                  <c:v>Q3 2021</c:v>
                </c:pt>
                <c:pt idx="31">
                  <c:v>Q4 2021</c:v>
                </c:pt>
                <c:pt idx="32">
                  <c:v>Q1 2022</c:v>
                </c:pt>
                <c:pt idx="33">
                  <c:v>Q2 2022</c:v>
                </c:pt>
                <c:pt idx="34">
                  <c:v>Q3 2022</c:v>
                </c:pt>
                <c:pt idx="35">
                  <c:v>Q4 2022</c:v>
                </c:pt>
                <c:pt idx="36">
                  <c:v>Q1 2023</c:v>
                </c:pt>
                <c:pt idx="37">
                  <c:v>Q2 2023</c:v>
                </c:pt>
                <c:pt idx="38">
                  <c:v>Q3 2023</c:v>
                </c:pt>
                <c:pt idx="39">
                  <c:v>Q4 2023</c:v>
                </c:pt>
                <c:pt idx="40">
                  <c:v>Q1 2024</c:v>
                </c:pt>
                <c:pt idx="41">
                  <c:v>Q2 2024</c:v>
                </c:pt>
                <c:pt idx="42">
                  <c:v>Q3 2024</c:v>
                </c:pt>
                <c:pt idx="43">
                  <c:v>Q4 2024</c:v>
                </c:pt>
                <c:pt idx="44">
                  <c:v>Q1 2025</c:v>
                </c:pt>
                <c:pt idx="45">
                  <c:v>Q2 2025</c:v>
                </c:pt>
                <c:pt idx="46">
                  <c:v>Q3 2025</c:v>
                </c:pt>
                <c:pt idx="47">
                  <c:v>Q4 2025</c:v>
                </c:pt>
                <c:pt idx="48">
                  <c:v>Q1 2026</c:v>
                </c:pt>
                <c:pt idx="49">
                  <c:v>Q2 2026</c:v>
                </c:pt>
                <c:pt idx="50">
                  <c:v>Q3 2026</c:v>
                </c:pt>
                <c:pt idx="51">
                  <c:v>Q4 2026</c:v>
                </c:pt>
                <c:pt idx="52">
                  <c:v>Q1 2027</c:v>
                </c:pt>
                <c:pt idx="53">
                  <c:v>Q2 2027</c:v>
                </c:pt>
                <c:pt idx="54">
                  <c:v>Q3 2027</c:v>
                </c:pt>
                <c:pt idx="55">
                  <c:v>Q4 2027</c:v>
                </c:pt>
                <c:pt idx="56">
                  <c:v>Q1 2028</c:v>
                </c:pt>
                <c:pt idx="57">
                  <c:v>Q2 2028</c:v>
                </c:pt>
                <c:pt idx="58">
                  <c:v>Q3 2028</c:v>
                </c:pt>
                <c:pt idx="59">
                  <c:v>Q4 2028</c:v>
                </c:pt>
                <c:pt idx="60">
                  <c:v>Q1 2029</c:v>
                </c:pt>
                <c:pt idx="61">
                  <c:v>Q2 2029</c:v>
                </c:pt>
                <c:pt idx="62">
                  <c:v>Q3 2029</c:v>
                </c:pt>
                <c:pt idx="63">
                  <c:v>Q4 2029</c:v>
                </c:pt>
                <c:pt idx="64">
                  <c:v>Q1 2030</c:v>
                </c:pt>
                <c:pt idx="65">
                  <c:v>Q2 2030</c:v>
                </c:pt>
                <c:pt idx="66">
                  <c:v>Q3 2030</c:v>
                </c:pt>
                <c:pt idx="67">
                  <c:v>Q4 2030</c:v>
                </c:pt>
                <c:pt idx="68">
                  <c:v>Q1 2031</c:v>
                </c:pt>
                <c:pt idx="69">
                  <c:v>Q2 2031</c:v>
                </c:pt>
                <c:pt idx="70">
                  <c:v>Q3 2031</c:v>
                </c:pt>
                <c:pt idx="71">
                  <c:v>Q4 2031</c:v>
                </c:pt>
                <c:pt idx="72">
                  <c:v>Q1 2032</c:v>
                </c:pt>
                <c:pt idx="73">
                  <c:v>Q2 2032</c:v>
                </c:pt>
                <c:pt idx="74">
                  <c:v>Q3 2032</c:v>
                </c:pt>
                <c:pt idx="75">
                  <c:v>Q4 2032</c:v>
                </c:pt>
                <c:pt idx="76">
                  <c:v>Q1 2033</c:v>
                </c:pt>
                <c:pt idx="77">
                  <c:v>Q2 2033</c:v>
                </c:pt>
                <c:pt idx="78">
                  <c:v>Q3 2033</c:v>
                </c:pt>
                <c:pt idx="79">
                  <c:v>Q4 2033</c:v>
                </c:pt>
                <c:pt idx="80">
                  <c:v>Q1 2034</c:v>
                </c:pt>
                <c:pt idx="81">
                  <c:v>Q2 2034</c:v>
                </c:pt>
                <c:pt idx="82">
                  <c:v>Q3 2034</c:v>
                </c:pt>
                <c:pt idx="83">
                  <c:v>Q4 2034</c:v>
                </c:pt>
                <c:pt idx="84">
                  <c:v>Q1 2035</c:v>
                </c:pt>
                <c:pt idx="85">
                  <c:v>Q2 2035</c:v>
                </c:pt>
                <c:pt idx="86">
                  <c:v>Q3 2035</c:v>
                </c:pt>
                <c:pt idx="87">
                  <c:v>Q4 2035</c:v>
                </c:pt>
                <c:pt idx="88">
                  <c:v>Q1 2036</c:v>
                </c:pt>
                <c:pt idx="89">
                  <c:v>Q2 2036</c:v>
                </c:pt>
                <c:pt idx="90">
                  <c:v>Q3 2036</c:v>
                </c:pt>
                <c:pt idx="91">
                  <c:v>Q4 2036</c:v>
                </c:pt>
                <c:pt idx="92">
                  <c:v>Q1 2037</c:v>
                </c:pt>
                <c:pt idx="93">
                  <c:v>Q2 2037</c:v>
                </c:pt>
                <c:pt idx="94">
                  <c:v>Q3 2037</c:v>
                </c:pt>
                <c:pt idx="95">
                  <c:v>Q4 2037</c:v>
                </c:pt>
                <c:pt idx="96">
                  <c:v>Q1 2038</c:v>
                </c:pt>
                <c:pt idx="97">
                  <c:v>Q2 2038</c:v>
                </c:pt>
                <c:pt idx="98">
                  <c:v>Q3 2038</c:v>
                </c:pt>
                <c:pt idx="99">
                  <c:v>Q4 2038</c:v>
                </c:pt>
                <c:pt idx="100">
                  <c:v>Q1 2039</c:v>
                </c:pt>
                <c:pt idx="101">
                  <c:v>Q2 2039</c:v>
                </c:pt>
                <c:pt idx="102">
                  <c:v>Q3 2039</c:v>
                </c:pt>
                <c:pt idx="103">
                  <c:v>Q4 2039</c:v>
                </c:pt>
                <c:pt idx="104">
                  <c:v>Q1 2040</c:v>
                </c:pt>
                <c:pt idx="105">
                  <c:v>Q2 2040</c:v>
                </c:pt>
                <c:pt idx="106">
                  <c:v>Q3 2040</c:v>
                </c:pt>
                <c:pt idx="107">
                  <c:v>Q4 2040</c:v>
                </c:pt>
                <c:pt idx="108">
                  <c:v>Q1 2041</c:v>
                </c:pt>
                <c:pt idx="109">
                  <c:v>Q2 2041</c:v>
                </c:pt>
                <c:pt idx="110">
                  <c:v>Q3 2041</c:v>
                </c:pt>
                <c:pt idx="111">
                  <c:v>Q4 2041</c:v>
                </c:pt>
                <c:pt idx="112">
                  <c:v>Q1 2042</c:v>
                </c:pt>
                <c:pt idx="113">
                  <c:v>Q2 2042</c:v>
                </c:pt>
                <c:pt idx="114">
                  <c:v>Q3 2042</c:v>
                </c:pt>
                <c:pt idx="115">
                  <c:v>Q4 2042</c:v>
                </c:pt>
                <c:pt idx="116">
                  <c:v>Q1 2043</c:v>
                </c:pt>
                <c:pt idx="117">
                  <c:v>Q2 2043</c:v>
                </c:pt>
                <c:pt idx="118">
                  <c:v>Q3 2043</c:v>
                </c:pt>
                <c:pt idx="119">
                  <c:v>Q4 2043</c:v>
                </c:pt>
                <c:pt idx="120">
                  <c:v>Q1 2044</c:v>
                </c:pt>
                <c:pt idx="121">
                  <c:v>Q2 2044</c:v>
                </c:pt>
                <c:pt idx="122">
                  <c:v>Q3 2044</c:v>
                </c:pt>
                <c:pt idx="123">
                  <c:v>Q4 2044</c:v>
                </c:pt>
                <c:pt idx="124">
                  <c:v>Q1 2045</c:v>
                </c:pt>
                <c:pt idx="125">
                  <c:v>Q2 2045</c:v>
                </c:pt>
                <c:pt idx="126">
                  <c:v>Q3 2045</c:v>
                </c:pt>
                <c:pt idx="127">
                  <c:v>Q4 2045</c:v>
                </c:pt>
                <c:pt idx="128">
                  <c:v>Q1 2046</c:v>
                </c:pt>
                <c:pt idx="129">
                  <c:v>Q2 2046</c:v>
                </c:pt>
                <c:pt idx="130">
                  <c:v>Q3 2046</c:v>
                </c:pt>
                <c:pt idx="131">
                  <c:v>Q4 2046</c:v>
                </c:pt>
                <c:pt idx="132">
                  <c:v>Q1 2047</c:v>
                </c:pt>
                <c:pt idx="133">
                  <c:v>Q2 2047</c:v>
                </c:pt>
                <c:pt idx="134">
                  <c:v>Q3 2047</c:v>
                </c:pt>
                <c:pt idx="135">
                  <c:v>Q4 2047</c:v>
                </c:pt>
                <c:pt idx="136">
                  <c:v>Q1 2048</c:v>
                </c:pt>
                <c:pt idx="137">
                  <c:v>Q2 2048</c:v>
                </c:pt>
                <c:pt idx="138">
                  <c:v>Q3 2048</c:v>
                </c:pt>
                <c:pt idx="139">
                  <c:v>Q4 2048</c:v>
                </c:pt>
                <c:pt idx="140">
                  <c:v>Q1 2049</c:v>
                </c:pt>
                <c:pt idx="141">
                  <c:v>Q2 2049</c:v>
                </c:pt>
                <c:pt idx="142">
                  <c:v>Q3 2049</c:v>
                </c:pt>
                <c:pt idx="143">
                  <c:v>Q4 2049</c:v>
                </c:pt>
              </c:strCache>
            </c:strRef>
          </c:cat>
          <c:val>
            <c:numRef>
              <c:f>Assumptions!$D$144:$EQ$144</c:f>
              <c:numCache>
                <c:formatCode>0.00%</c:formatCode>
                <c:ptCount val="144"/>
                <c:pt idx="1">
                  <c:v>5.9748427672956073E-2</c:v>
                </c:pt>
                <c:pt idx="2">
                  <c:v>0.10682492581602365</c:v>
                </c:pt>
                <c:pt idx="3">
                  <c:v>7.5067024128686377E-2</c:v>
                </c:pt>
                <c:pt idx="4">
                  <c:v>-4.4887780548628409E-2</c:v>
                </c:pt>
                <c:pt idx="5">
                  <c:v>8.6161879895561455E-2</c:v>
                </c:pt>
                <c:pt idx="6">
                  <c:v>-5.2884615384615419E-2</c:v>
                </c:pt>
                <c:pt idx="7">
                  <c:v>-0.10152284263959388</c:v>
                </c:pt>
                <c:pt idx="8">
                  <c:v>-2.8248587570621764E-3</c:v>
                </c:pt>
                <c:pt idx="9">
                  <c:v>4.2492917847025469E-2</c:v>
                </c:pt>
                <c:pt idx="10">
                  <c:v>-5.1630434782608647E-2</c:v>
                </c:pt>
                <c:pt idx="11">
                  <c:v>-2.8653295128939882E-2</c:v>
                </c:pt>
                <c:pt idx="12">
                  <c:v>3.2448377581120846E-2</c:v>
                </c:pt>
                <c:pt idx="13">
                  <c:v>0.12571428571428567</c:v>
                </c:pt>
                <c:pt idx="14">
                  <c:v>2.0304568527918843E-2</c:v>
                </c:pt>
                <c:pt idx="15">
                  <c:v>0.10199004975124382</c:v>
                </c:pt>
                <c:pt idx="16">
                  <c:v>4.5146726862301811E-3</c:v>
                </c:pt>
                <c:pt idx="17">
                  <c:v>4.2696629213483162E-2</c:v>
                </c:pt>
                <c:pt idx="18">
                  <c:v>3.0172413793103425E-2</c:v>
                </c:pt>
                <c:pt idx="19">
                  <c:v>5.439330543933063E-2</c:v>
                </c:pt>
                <c:pt idx="20">
                  <c:v>2.1825396825396748E-2</c:v>
                </c:pt>
                <c:pt idx="21">
                  <c:v>1.5533980582524309E-2</c:v>
                </c:pt>
                <c:pt idx="22">
                  <c:v>-5.7361376673040199E-2</c:v>
                </c:pt>
                <c:pt idx="23">
                  <c:v>-7.3022312373225207E-2</c:v>
                </c:pt>
                <c:pt idx="24">
                  <c:v>-0.15973741794310725</c:v>
                </c:pt>
                <c:pt idx="25">
                  <c:v>-0.52864583333333326</c:v>
                </c:pt>
                <c:pt idx="26">
                  <c:v>0.98895027624309395</c:v>
                </c:pt>
                <c:pt idx="27">
                  <c:v>0.1333333333333333</c:v>
                </c:pt>
                <c:pt idx="28">
                  <c:v>3.4313725490196179E-2</c:v>
                </c:pt>
                <c:pt idx="29">
                  <c:v>-4.9763033175355464E-2</c:v>
                </c:pt>
                <c:pt idx="30">
                  <c:v>-0.18204488778054861</c:v>
                </c:pt>
                <c:pt idx="31">
                  <c:v>0.45121951219512191</c:v>
                </c:pt>
                <c:pt idx="32">
                  <c:v>-9.6638655462184864E-2</c:v>
                </c:pt>
                <c:pt idx="33">
                  <c:v>9.0697674418604546E-2</c:v>
                </c:pt>
                <c:pt idx="34">
                  <c:v>-5.3304904051172719E-2</c:v>
                </c:pt>
                <c:pt idx="35">
                  <c:v>0.10585585585585577</c:v>
                </c:pt>
                <c:pt idx="36">
                  <c:v>4.0733197556008127E-2</c:v>
                </c:pt>
                <c:pt idx="37">
                  <c:v>1.5655577299412915E-2</c:v>
                </c:pt>
                <c:pt idx="38">
                  <c:v>-3.4682080924855474E-2</c:v>
                </c:pt>
                <c:pt idx="39">
                  <c:v>1.9960079840319445E-2</c:v>
                </c:pt>
                <c:pt idx="40">
                  <c:v>-5.8708414872798431E-2</c:v>
                </c:pt>
                <c:pt idx="41">
                  <c:v>-2.0790020790020236E-3</c:v>
                </c:pt>
                <c:pt idx="42">
                  <c:v>6.2500000000000888E-3</c:v>
                </c:pt>
                <c:pt idx="43">
                  <c:v>0</c:v>
                </c:pt>
                <c:pt idx="44">
                  <c:v>-2.2896175744482904E-2</c:v>
                </c:pt>
                <c:pt idx="45">
                  <c:v>4.7659815496499794E-2</c:v>
                </c:pt>
                <c:pt idx="46">
                  <c:v>-1.1570187959905817E-2</c:v>
                </c:pt>
                <c:pt idx="47">
                  <c:v>3.1933466467445597E-2</c:v>
                </c:pt>
                <c:pt idx="48">
                  <c:v>-2.2896175744482904E-2</c:v>
                </c:pt>
                <c:pt idx="49">
                  <c:v>4.7659815496499794E-2</c:v>
                </c:pt>
                <c:pt idx="50">
                  <c:v>-1.1570187959905817E-2</c:v>
                </c:pt>
                <c:pt idx="51">
                  <c:v>3.1933466467445597E-2</c:v>
                </c:pt>
                <c:pt idx="52">
                  <c:v>-2.2896175744482904E-2</c:v>
                </c:pt>
                <c:pt idx="53">
                  <c:v>4.7659815496499794E-2</c:v>
                </c:pt>
                <c:pt idx="54">
                  <c:v>-1.1570187959905817E-2</c:v>
                </c:pt>
                <c:pt idx="55">
                  <c:v>3.1933466467445597E-2</c:v>
                </c:pt>
                <c:pt idx="56">
                  <c:v>-2.2896175744482904E-2</c:v>
                </c:pt>
                <c:pt idx="57">
                  <c:v>4.7659815496499794E-2</c:v>
                </c:pt>
                <c:pt idx="58">
                  <c:v>-1.1570187959905817E-2</c:v>
                </c:pt>
                <c:pt idx="59">
                  <c:v>3.1933466467445597E-2</c:v>
                </c:pt>
                <c:pt idx="60">
                  <c:v>-0.01</c:v>
                </c:pt>
                <c:pt idx="61">
                  <c:v>0.04</c:v>
                </c:pt>
                <c:pt idx="62">
                  <c:v>-0.01</c:v>
                </c:pt>
                <c:pt idx="63">
                  <c:v>0.03</c:v>
                </c:pt>
                <c:pt idx="64">
                  <c:v>-0.01</c:v>
                </c:pt>
                <c:pt idx="65">
                  <c:v>0.04</c:v>
                </c:pt>
                <c:pt idx="66">
                  <c:v>-0.01</c:v>
                </c:pt>
                <c:pt idx="67">
                  <c:v>0.03</c:v>
                </c:pt>
                <c:pt idx="68">
                  <c:v>-0.01</c:v>
                </c:pt>
                <c:pt idx="69">
                  <c:v>0.04</c:v>
                </c:pt>
                <c:pt idx="70">
                  <c:v>-0.01</c:v>
                </c:pt>
                <c:pt idx="71">
                  <c:v>0.03</c:v>
                </c:pt>
                <c:pt idx="72">
                  <c:v>-0.01</c:v>
                </c:pt>
                <c:pt idx="73">
                  <c:v>0.04</c:v>
                </c:pt>
                <c:pt idx="74">
                  <c:v>-0.01</c:v>
                </c:pt>
                <c:pt idx="75">
                  <c:v>0.03</c:v>
                </c:pt>
                <c:pt idx="76">
                  <c:v>-0.01</c:v>
                </c:pt>
                <c:pt idx="77">
                  <c:v>0.04</c:v>
                </c:pt>
                <c:pt idx="78">
                  <c:v>-0.01</c:v>
                </c:pt>
                <c:pt idx="79">
                  <c:v>0.03</c:v>
                </c:pt>
                <c:pt idx="80">
                  <c:v>-5.0000000000000001E-3</c:v>
                </c:pt>
                <c:pt idx="81">
                  <c:v>2.5000000000000001E-2</c:v>
                </c:pt>
                <c:pt idx="82">
                  <c:v>-5.0000000000000001E-3</c:v>
                </c:pt>
                <c:pt idx="83">
                  <c:v>0.02</c:v>
                </c:pt>
                <c:pt idx="84">
                  <c:v>-5.0000000000000001E-3</c:v>
                </c:pt>
                <c:pt idx="85">
                  <c:v>2.5000000000000001E-2</c:v>
                </c:pt>
                <c:pt idx="86">
                  <c:v>-5.0000000000000001E-3</c:v>
                </c:pt>
                <c:pt idx="87">
                  <c:v>0.02</c:v>
                </c:pt>
                <c:pt idx="88">
                  <c:v>-5.0000000000000001E-3</c:v>
                </c:pt>
                <c:pt idx="89">
                  <c:v>2.5000000000000001E-2</c:v>
                </c:pt>
                <c:pt idx="90">
                  <c:v>-5.0000000000000001E-3</c:v>
                </c:pt>
                <c:pt idx="91">
                  <c:v>0.02</c:v>
                </c:pt>
                <c:pt idx="92">
                  <c:v>-5.0000000000000001E-3</c:v>
                </c:pt>
                <c:pt idx="93">
                  <c:v>2.5000000000000001E-2</c:v>
                </c:pt>
                <c:pt idx="94">
                  <c:v>-5.0000000000000001E-3</c:v>
                </c:pt>
                <c:pt idx="95">
                  <c:v>0.02</c:v>
                </c:pt>
                <c:pt idx="96">
                  <c:v>-5.0000000000000001E-3</c:v>
                </c:pt>
                <c:pt idx="97">
                  <c:v>2.5000000000000001E-2</c:v>
                </c:pt>
                <c:pt idx="98">
                  <c:v>-5.0000000000000001E-3</c:v>
                </c:pt>
                <c:pt idx="99">
                  <c:v>0.02</c:v>
                </c:pt>
                <c:pt idx="100">
                  <c:v>-5.0000000000000001E-3</c:v>
                </c:pt>
                <c:pt idx="101">
                  <c:v>2.5000000000000001E-2</c:v>
                </c:pt>
                <c:pt idx="102">
                  <c:v>-5.0000000000000001E-3</c:v>
                </c:pt>
                <c:pt idx="103">
                  <c:v>0.02</c:v>
                </c:pt>
                <c:pt idx="104">
                  <c:v>-5.0000000000000001E-3</c:v>
                </c:pt>
                <c:pt idx="105">
                  <c:v>2.5000000000000001E-2</c:v>
                </c:pt>
                <c:pt idx="106">
                  <c:v>-5.0000000000000001E-3</c:v>
                </c:pt>
                <c:pt idx="107">
                  <c:v>0.02</c:v>
                </c:pt>
                <c:pt idx="108">
                  <c:v>-5.0000000000000001E-3</c:v>
                </c:pt>
                <c:pt idx="109">
                  <c:v>2.5000000000000001E-2</c:v>
                </c:pt>
                <c:pt idx="110">
                  <c:v>-5.0000000000000001E-3</c:v>
                </c:pt>
                <c:pt idx="111">
                  <c:v>0.02</c:v>
                </c:pt>
                <c:pt idx="112">
                  <c:v>-5.0000000000000001E-3</c:v>
                </c:pt>
                <c:pt idx="113">
                  <c:v>2.5000000000000001E-2</c:v>
                </c:pt>
                <c:pt idx="114">
                  <c:v>-5.0000000000000001E-3</c:v>
                </c:pt>
                <c:pt idx="115">
                  <c:v>0.02</c:v>
                </c:pt>
                <c:pt idx="116">
                  <c:v>-5.0000000000000001E-3</c:v>
                </c:pt>
                <c:pt idx="117">
                  <c:v>2.5000000000000001E-2</c:v>
                </c:pt>
                <c:pt idx="118">
                  <c:v>-5.0000000000000001E-3</c:v>
                </c:pt>
                <c:pt idx="119">
                  <c:v>0.02</c:v>
                </c:pt>
                <c:pt idx="120">
                  <c:v>-5.0000000000000001E-3</c:v>
                </c:pt>
                <c:pt idx="121">
                  <c:v>2.5000000000000001E-2</c:v>
                </c:pt>
                <c:pt idx="122">
                  <c:v>-5.0000000000000001E-3</c:v>
                </c:pt>
                <c:pt idx="123">
                  <c:v>0.02</c:v>
                </c:pt>
                <c:pt idx="124">
                  <c:v>-5.0000000000000001E-3</c:v>
                </c:pt>
                <c:pt idx="125">
                  <c:v>2.5000000000000001E-2</c:v>
                </c:pt>
                <c:pt idx="126">
                  <c:v>-5.0000000000000001E-3</c:v>
                </c:pt>
                <c:pt idx="127">
                  <c:v>0.02</c:v>
                </c:pt>
                <c:pt idx="128">
                  <c:v>-5.0000000000000001E-3</c:v>
                </c:pt>
                <c:pt idx="129">
                  <c:v>2.5000000000000001E-2</c:v>
                </c:pt>
                <c:pt idx="130">
                  <c:v>-5.0000000000000001E-3</c:v>
                </c:pt>
                <c:pt idx="131">
                  <c:v>0.02</c:v>
                </c:pt>
                <c:pt idx="132">
                  <c:v>-5.0000000000000001E-3</c:v>
                </c:pt>
                <c:pt idx="133">
                  <c:v>2.5000000000000001E-2</c:v>
                </c:pt>
                <c:pt idx="134">
                  <c:v>-5.0000000000000001E-3</c:v>
                </c:pt>
                <c:pt idx="135">
                  <c:v>0.02</c:v>
                </c:pt>
                <c:pt idx="136">
                  <c:v>-5.0000000000000001E-3</c:v>
                </c:pt>
                <c:pt idx="137">
                  <c:v>2.5000000000000001E-2</c:v>
                </c:pt>
                <c:pt idx="138">
                  <c:v>-5.0000000000000001E-3</c:v>
                </c:pt>
                <c:pt idx="139">
                  <c:v>0.02</c:v>
                </c:pt>
                <c:pt idx="140">
                  <c:v>-5.0000000000000001E-3</c:v>
                </c:pt>
                <c:pt idx="141">
                  <c:v>2.5000000000000001E-2</c:v>
                </c:pt>
                <c:pt idx="142">
                  <c:v>-5.0000000000000001E-3</c:v>
                </c:pt>
                <c:pt idx="143">
                  <c:v>0.02</c:v>
                </c:pt>
              </c:numCache>
            </c:numRef>
          </c:val>
          <c:smooth val="0"/>
          <c:extLst>
            <c:ext xmlns:c16="http://schemas.microsoft.com/office/drawing/2014/chart" uri="{C3380CC4-5D6E-409C-BE32-E72D297353CC}">
              <c16:uniqueId val="{00000000-1BC6-4EEB-B8FB-E50C40BDE4EF}"/>
            </c:ext>
          </c:extLst>
        </c:ser>
        <c:dLbls>
          <c:showLegendKey val="0"/>
          <c:showVal val="0"/>
          <c:showCatName val="0"/>
          <c:showSerName val="0"/>
          <c:showPercent val="0"/>
          <c:showBubbleSize val="0"/>
        </c:dLbls>
        <c:smooth val="0"/>
        <c:axId val="216817983"/>
        <c:axId val="216815583"/>
      </c:lineChart>
      <c:catAx>
        <c:axId val="21681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15583"/>
        <c:crossesAt val="-5"/>
        <c:auto val="1"/>
        <c:lblAlgn val="ctr"/>
        <c:lblOffset val="100"/>
        <c:noMultiLvlLbl val="0"/>
      </c:catAx>
      <c:valAx>
        <c:axId val="216815583"/>
        <c:scaling>
          <c:orientation val="minMax"/>
          <c:max val="0.15000000000000002"/>
          <c:min val="-0.15000000000000002"/>
        </c:scaling>
        <c:delete val="0"/>
        <c:axPos val="l"/>
        <c:majorGridlines>
          <c:spPr>
            <a:ln w="6350" cap="flat" cmpd="sng" algn="ctr">
              <a:solidFill>
                <a:schemeClr val="tx1"/>
              </a:solidFill>
              <a:round/>
            </a:ln>
            <a:effectLst/>
          </c:spPr>
        </c:majorGridlines>
        <c:numFmt formatCode="0%"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817983"/>
        <c:crosses val="autoZero"/>
        <c:crossBetween val="between"/>
        <c:majorUnit val="3.0000000000000006E-2"/>
      </c:valAx>
      <c:spPr>
        <a:noFill/>
        <a:ln>
          <a:solidFill>
            <a:schemeClr val="tx1">
              <a:lumMod val="15000"/>
              <a:lumOff val="8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8.png"/></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15.png"/><Relationship Id="rId13" Type="http://schemas.openxmlformats.org/officeDocument/2006/relationships/image" Target="../media/image20.png"/><Relationship Id="rId18" Type="http://schemas.openxmlformats.org/officeDocument/2006/relationships/chart" Target="../charts/chart7.xml"/><Relationship Id="rId3" Type="http://schemas.openxmlformats.org/officeDocument/2006/relationships/image" Target="../media/image11.png"/><Relationship Id="rId7" Type="http://schemas.openxmlformats.org/officeDocument/2006/relationships/chart" Target="../charts/chart5.xml"/><Relationship Id="rId12" Type="http://schemas.openxmlformats.org/officeDocument/2006/relationships/image" Target="../media/image19.png"/><Relationship Id="rId17" Type="http://schemas.openxmlformats.org/officeDocument/2006/relationships/chart" Target="../charts/chart6.xml"/><Relationship Id="rId2" Type="http://schemas.openxmlformats.org/officeDocument/2006/relationships/image" Target="../media/image10.png"/><Relationship Id="rId16" Type="http://schemas.openxmlformats.org/officeDocument/2006/relationships/image" Target="../media/image23.png"/><Relationship Id="rId1" Type="http://schemas.openxmlformats.org/officeDocument/2006/relationships/image" Target="../media/image9.png"/><Relationship Id="rId6" Type="http://schemas.openxmlformats.org/officeDocument/2006/relationships/image" Target="../media/image14.png"/><Relationship Id="rId11" Type="http://schemas.openxmlformats.org/officeDocument/2006/relationships/image" Target="../media/image18.png"/><Relationship Id="rId5" Type="http://schemas.openxmlformats.org/officeDocument/2006/relationships/image" Target="../media/image13.png"/><Relationship Id="rId15" Type="http://schemas.openxmlformats.org/officeDocument/2006/relationships/image" Target="../media/image22.png"/><Relationship Id="rId10" Type="http://schemas.openxmlformats.org/officeDocument/2006/relationships/image" Target="../media/image17.png"/><Relationship Id="rId19" Type="http://schemas.openxmlformats.org/officeDocument/2006/relationships/chart" Target="../charts/chart8.xml"/><Relationship Id="rId4" Type="http://schemas.openxmlformats.org/officeDocument/2006/relationships/image" Target="../media/image12.png"/><Relationship Id="rId9" Type="http://schemas.openxmlformats.org/officeDocument/2006/relationships/image" Target="../media/image16.png"/><Relationship Id="rId1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editAs="oneCell">
    <xdr:from>
      <xdr:col>13</xdr:col>
      <xdr:colOff>0</xdr:colOff>
      <xdr:row>15</xdr:row>
      <xdr:rowOff>0</xdr:rowOff>
    </xdr:from>
    <xdr:to>
      <xdr:col>13</xdr:col>
      <xdr:colOff>304800</xdr:colOff>
      <xdr:row>15</xdr:row>
      <xdr:rowOff>332308</xdr:rowOff>
    </xdr:to>
    <xdr:sp macro="" textlink="">
      <xdr:nvSpPr>
        <xdr:cNvPr id="2096" name="AutoShape 48" descr="Resultado de imagen para heidelbergcement">
          <a:extLst>
            <a:ext uri="{FF2B5EF4-FFF2-40B4-BE49-F238E27FC236}">
              <a16:creationId xmlns:a16="http://schemas.microsoft.com/office/drawing/2014/main" id="{EBAF9DAF-18D3-4875-8FFF-AEB741FF11AC}"/>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15</xdr:row>
      <xdr:rowOff>0</xdr:rowOff>
    </xdr:from>
    <xdr:to>
      <xdr:col>13</xdr:col>
      <xdr:colOff>304800</xdr:colOff>
      <xdr:row>15</xdr:row>
      <xdr:rowOff>332308</xdr:rowOff>
    </xdr:to>
    <xdr:sp macro="" textlink="">
      <xdr:nvSpPr>
        <xdr:cNvPr id="2097" name="AutoShape 49" descr="Resultado de imagen para heidelbergcement">
          <a:extLst>
            <a:ext uri="{FF2B5EF4-FFF2-40B4-BE49-F238E27FC236}">
              <a16:creationId xmlns:a16="http://schemas.microsoft.com/office/drawing/2014/main" id="{1AED6D21-AC79-48CB-9928-5DBD43CA26F1}"/>
            </a:ext>
          </a:extLst>
        </xdr:cNvPr>
        <xdr:cNvSpPr>
          <a:spLocks noChangeAspect="1" noChangeArrowheads="1"/>
        </xdr:cNvSpPr>
      </xdr:nvSpPr>
      <xdr:spPr bwMode="auto">
        <a:xfrm>
          <a:off x="15001875" y="80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1" name="AutoShape 51" descr="Resultado de imagen para heidelbergcement">
          <a:extLst>
            <a:ext uri="{FF2B5EF4-FFF2-40B4-BE49-F238E27FC236}">
              <a16:creationId xmlns:a16="http://schemas.microsoft.com/office/drawing/2014/main" id="{9C93AAA3-5F34-E84C-A119-511471E42284}"/>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2</xdr:row>
      <xdr:rowOff>0</xdr:rowOff>
    </xdr:from>
    <xdr:to>
      <xdr:col>13</xdr:col>
      <xdr:colOff>304800</xdr:colOff>
      <xdr:row>2</xdr:row>
      <xdr:rowOff>304800</xdr:rowOff>
    </xdr:to>
    <xdr:sp macro="" textlink="">
      <xdr:nvSpPr>
        <xdr:cNvPr id="12" name="AutoShape 52" descr="Resultado de imagen para heidelbergcement">
          <a:extLst>
            <a:ext uri="{FF2B5EF4-FFF2-40B4-BE49-F238E27FC236}">
              <a16:creationId xmlns:a16="http://schemas.microsoft.com/office/drawing/2014/main" id="{D38869C9-D998-A047-96C8-5B849EBEA94D}"/>
            </a:ext>
          </a:extLst>
        </xdr:cNvPr>
        <xdr:cNvSpPr>
          <a:spLocks noChangeAspect="1" noChangeArrowheads="1"/>
        </xdr:cNvSpPr>
      </xdr:nvSpPr>
      <xdr:spPr bwMode="auto">
        <a:xfrm>
          <a:off x="18110200" y="31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xdr:colOff>
      <xdr:row>19</xdr:row>
      <xdr:rowOff>76200</xdr:rowOff>
    </xdr:from>
    <xdr:to>
      <xdr:col>11</xdr:col>
      <xdr:colOff>666750</xdr:colOff>
      <xdr:row>22</xdr:row>
      <xdr:rowOff>666750</xdr:rowOff>
    </xdr:to>
    <xdr:graphicFrame macro="">
      <xdr:nvGraphicFramePr>
        <xdr:cNvPr id="2" name="Chart 4">
          <a:extLst>
            <a:ext uri="{FF2B5EF4-FFF2-40B4-BE49-F238E27FC236}">
              <a16:creationId xmlns:a16="http://schemas.microsoft.com/office/drawing/2014/main" id="{9E23D189-C3B7-523A-69E6-128398296259}"/>
            </a:ext>
            <a:ext uri="{147F2762-F138-4A5C-976F-8EAC2B608ADB}">
              <a16:predDERef xmlns:a16="http://schemas.microsoft.com/office/drawing/2014/main" pred="{2D8AEC4D-5853-421C-8616-2A1885050A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723900</xdr:colOff>
      <xdr:row>19</xdr:row>
      <xdr:rowOff>66675</xdr:rowOff>
    </xdr:from>
    <xdr:to>
      <xdr:col>15</xdr:col>
      <xdr:colOff>714375</xdr:colOff>
      <xdr:row>22</xdr:row>
      <xdr:rowOff>685800</xdr:rowOff>
    </xdr:to>
    <xdr:graphicFrame macro="">
      <xdr:nvGraphicFramePr>
        <xdr:cNvPr id="3" name="Chart 5">
          <a:extLst>
            <a:ext uri="{FF2B5EF4-FFF2-40B4-BE49-F238E27FC236}">
              <a16:creationId xmlns:a16="http://schemas.microsoft.com/office/drawing/2014/main" id="{1471EB7D-83EE-43B1-6F3B-DAB93ADF05E3}"/>
            </a:ext>
            <a:ext uri="{147F2762-F138-4A5C-976F-8EAC2B608ADB}">
              <a16:predDERef xmlns:a16="http://schemas.microsoft.com/office/drawing/2014/main" pred="{9E23D189-C3B7-523A-69E6-1283982962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704850</xdr:colOff>
      <xdr:row>18</xdr:row>
      <xdr:rowOff>247650</xdr:rowOff>
    </xdr:from>
    <xdr:to>
      <xdr:col>11</xdr:col>
      <xdr:colOff>714375</xdr:colOff>
      <xdr:row>23</xdr:row>
      <xdr:rowOff>0</xdr:rowOff>
    </xdr:to>
    <xdr:cxnSp macro="">
      <xdr:nvCxnSpPr>
        <xdr:cNvPr id="9" name="Straight Connector 1">
          <a:extLst>
            <a:ext uri="{FF2B5EF4-FFF2-40B4-BE49-F238E27FC236}">
              <a16:creationId xmlns:a16="http://schemas.microsoft.com/office/drawing/2014/main" id="{2D9F9EFF-8C8B-4839-A102-86B66E9BDF73}"/>
            </a:ext>
            <a:ext uri="{147F2762-F138-4A5C-976F-8EAC2B608ADB}">
              <a16:predDERef xmlns:a16="http://schemas.microsoft.com/office/drawing/2014/main" pred="{1471EB7D-83EE-43B1-6F3B-DAB93ADF05E3}"/>
            </a:ext>
          </a:extLst>
        </xdr:cNvPr>
        <xdr:cNvCxnSpPr>
          <a:cxnSpLocks/>
        </xdr:cNvCxnSpPr>
      </xdr:nvCxnSpPr>
      <xdr:spPr bwMode="auto">
        <a:xfrm>
          <a:off x="12144375" y="4324350"/>
          <a:ext cx="9525" cy="2886075"/>
        </a:xfrm>
        <a:prstGeom prst="line">
          <a:avLst/>
        </a:prstGeom>
        <a:ln w="12700">
          <a:solidFill>
            <a:srgbClr val="1F497D"/>
          </a:solidFill>
          <a:headEnd type="none" w="med" len="med"/>
          <a:tailEnd type="none" w="med" len="med"/>
        </a:ln>
      </xdr:spPr>
      <xdr:style>
        <a:lnRef idx="1">
          <a:schemeClr val="dk1"/>
        </a:lnRef>
        <a:fillRef idx="0">
          <a:schemeClr val="dk1"/>
        </a:fillRef>
        <a:effectRef idx="0">
          <a:schemeClr val="dk1"/>
        </a:effectRef>
        <a:fontRef idx="minor">
          <a:schemeClr val="tx1"/>
        </a:fontRef>
      </xdr:style>
    </xdr:cxnSp>
    <xdr:clientData/>
  </xdr:twoCellAnchor>
  <xdr:twoCellAnchor>
    <xdr:from>
      <xdr:col>14</xdr:col>
      <xdr:colOff>219075</xdr:colOff>
      <xdr:row>35</xdr:row>
      <xdr:rowOff>28575</xdr:rowOff>
    </xdr:from>
    <xdr:to>
      <xdr:col>15</xdr:col>
      <xdr:colOff>742950</xdr:colOff>
      <xdr:row>37</xdr:row>
      <xdr:rowOff>114300</xdr:rowOff>
    </xdr:to>
    <xdr:sp macro="" textlink="">
      <xdr:nvSpPr>
        <xdr:cNvPr id="8" name="Rectangle 9">
          <a:extLst>
            <a:ext uri="{FF2B5EF4-FFF2-40B4-BE49-F238E27FC236}">
              <a16:creationId xmlns:a16="http://schemas.microsoft.com/office/drawing/2014/main" id="{9EA941B6-F7AA-AE8B-792C-EC306EB6FD73}"/>
            </a:ext>
            <a:ext uri="{147F2762-F138-4A5C-976F-8EAC2B608ADB}">
              <a16:predDERef xmlns:a16="http://schemas.microsoft.com/office/drawing/2014/main" pred="{2D9F9EFF-8C8B-4839-A102-86B66E9BDF73}"/>
            </a:ext>
          </a:extLst>
        </xdr:cNvPr>
        <xdr:cNvSpPr/>
      </xdr:nvSpPr>
      <xdr:spPr bwMode="auto">
        <a:xfrm>
          <a:off x="13944600" y="9248775"/>
          <a:ext cx="1285875" cy="409575"/>
        </a:xfrm>
        <a:prstGeom prst="rect">
          <a:avLst/>
        </a:prstGeom>
        <a:solidFill>
          <a:srgbClr val="FFFFFF"/>
        </a:solidFill>
        <a:ln w="9525" cap="flat" cmpd="sng" algn="ctr">
          <a:solidFill>
            <a:schemeClr val="bg1"/>
          </a:solidFill>
          <a:prstDash val="solid"/>
          <a:round/>
          <a:headEnd type="none" w="med" len="med"/>
          <a:tailEnd type="none" w="med" len="med"/>
        </a:ln>
        <a:effectLst/>
      </xdr:spPr>
      <xdr:txBody>
        <a:bodyPr vertOverflow="clip" horzOverflow="clip" wrap="square" lIns="18288" tIns="0" rIns="0" bIns="0" rtlCol="0" anchor="t" upright="1"/>
        <a:lstStyle/>
        <a:p>
          <a:pPr algn="l"/>
          <a:endParaRPr lang="en-US"/>
        </a:p>
      </xdr:txBody>
    </xdr:sp>
    <xdr:clientData/>
  </xdr:twoCellAnchor>
  <xdr:twoCellAnchor editAs="oneCell">
    <xdr:from>
      <xdr:col>16</xdr:col>
      <xdr:colOff>981075</xdr:colOff>
      <xdr:row>2</xdr:row>
      <xdr:rowOff>19050</xdr:rowOff>
    </xdr:from>
    <xdr:to>
      <xdr:col>24</xdr:col>
      <xdr:colOff>19050</xdr:colOff>
      <xdr:row>23</xdr:row>
      <xdr:rowOff>238125</xdr:rowOff>
    </xdr:to>
    <xdr:pic>
      <xdr:nvPicPr>
        <xdr:cNvPr id="4" name="Imagem 3">
          <a:extLst>
            <a:ext uri="{FF2B5EF4-FFF2-40B4-BE49-F238E27FC236}">
              <a16:creationId xmlns:a16="http://schemas.microsoft.com/office/drawing/2014/main" id="{18A7B55D-4930-D4B9-499C-965E39FA8F56}"/>
            </a:ext>
            <a:ext uri="{147F2762-F138-4A5C-976F-8EAC2B608ADB}">
              <a16:predDERef xmlns:a16="http://schemas.microsoft.com/office/drawing/2014/main" pred="{9EA941B6-F7AA-AE8B-792C-EC306EB6FD73}"/>
            </a:ext>
          </a:extLst>
        </xdr:cNvPr>
        <xdr:cNvPicPr>
          <a:picLocks noChangeAspect="1"/>
        </xdr:cNvPicPr>
      </xdr:nvPicPr>
      <xdr:blipFill>
        <a:blip xmlns:r="http://schemas.openxmlformats.org/officeDocument/2006/relationships" r:embed="rId3"/>
        <a:stretch>
          <a:fillRect/>
        </a:stretch>
      </xdr:blipFill>
      <xdr:spPr>
        <a:xfrm>
          <a:off x="16535400" y="371475"/>
          <a:ext cx="5934075" cy="5000625"/>
        </a:xfrm>
        <a:prstGeom prst="rect">
          <a:avLst/>
        </a:prstGeom>
      </xdr:spPr>
    </xdr:pic>
    <xdr:clientData/>
  </xdr:twoCellAnchor>
  <xdr:twoCellAnchor editAs="oneCell">
    <xdr:from>
      <xdr:col>9</xdr:col>
      <xdr:colOff>123825</xdr:colOff>
      <xdr:row>25</xdr:row>
      <xdr:rowOff>142875</xdr:rowOff>
    </xdr:from>
    <xdr:to>
      <xdr:col>16</xdr:col>
      <xdr:colOff>1304925</xdr:colOff>
      <xdr:row>39</xdr:row>
      <xdr:rowOff>9525</xdr:rowOff>
    </xdr:to>
    <xdr:pic>
      <xdr:nvPicPr>
        <xdr:cNvPr id="7" name="Imagem 4">
          <a:extLst>
            <a:ext uri="{FF2B5EF4-FFF2-40B4-BE49-F238E27FC236}">
              <a16:creationId xmlns:a16="http://schemas.microsoft.com/office/drawing/2014/main" id="{7499D1C2-8CBE-13D9-2B8B-93C6741A0A21}"/>
            </a:ext>
            <a:ext uri="{147F2762-F138-4A5C-976F-8EAC2B608ADB}">
              <a16:predDERef xmlns:a16="http://schemas.microsoft.com/office/drawing/2014/main" pred="{18A7B55D-4930-D4B9-499C-965E39FA8F56}"/>
            </a:ext>
          </a:extLst>
        </xdr:cNvPr>
        <xdr:cNvPicPr>
          <a:picLocks noChangeAspect="1"/>
        </xdr:cNvPicPr>
      </xdr:nvPicPr>
      <xdr:blipFill>
        <a:blip xmlns:r="http://schemas.openxmlformats.org/officeDocument/2006/relationships" r:embed="rId4"/>
        <a:stretch>
          <a:fillRect/>
        </a:stretch>
      </xdr:blipFill>
      <xdr:spPr>
        <a:xfrm>
          <a:off x="10344150" y="6162675"/>
          <a:ext cx="6515100" cy="34480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7</xdr:col>
      <xdr:colOff>0</xdr:colOff>
      <xdr:row>24</xdr:row>
      <xdr:rowOff>0</xdr:rowOff>
    </xdr:from>
    <xdr:ext cx="304800" cy="308437"/>
    <xdr:sp macro="" textlink="">
      <xdr:nvSpPr>
        <xdr:cNvPr id="19" name="AutoShape 231" descr="Resultado de imagen para beer consumption trend">
          <a:extLst>
            <a:ext uri="{FF2B5EF4-FFF2-40B4-BE49-F238E27FC236}">
              <a16:creationId xmlns:a16="http://schemas.microsoft.com/office/drawing/2014/main" id="{A23DF9CB-ABDC-4CBC-941E-C3A1E6B7BDD7}"/>
            </a:ext>
          </a:extLst>
        </xdr:cNvPr>
        <xdr:cNvSpPr>
          <a:spLocks noChangeAspect="1" noChangeArrowheads="1"/>
        </xdr:cNvSpPr>
      </xdr:nvSpPr>
      <xdr:spPr bwMode="auto">
        <a:xfrm>
          <a:off x="7829550" y="71437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13</xdr:row>
      <xdr:rowOff>0</xdr:rowOff>
    </xdr:from>
    <xdr:ext cx="304800" cy="308437"/>
    <xdr:sp macro="" textlink="">
      <xdr:nvSpPr>
        <xdr:cNvPr id="18" name="AutoShape 232" descr="Resultado de imagen para beer consumption trend">
          <a:extLst>
            <a:ext uri="{FF2B5EF4-FFF2-40B4-BE49-F238E27FC236}">
              <a16:creationId xmlns:a16="http://schemas.microsoft.com/office/drawing/2014/main" id="{290ADD27-FE0C-4C99-AF77-3098E89BD849}"/>
            </a:ext>
          </a:extLst>
        </xdr:cNvPr>
        <xdr:cNvSpPr>
          <a:spLocks noChangeAspect="1" noChangeArrowheads="1"/>
        </xdr:cNvSpPr>
      </xdr:nvSpPr>
      <xdr:spPr bwMode="auto">
        <a:xfrm>
          <a:off x="7829550" y="1200150"/>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38</xdr:row>
      <xdr:rowOff>0</xdr:rowOff>
    </xdr:from>
    <xdr:ext cx="304800" cy="306171"/>
    <xdr:sp macro="" textlink="">
      <xdr:nvSpPr>
        <xdr:cNvPr id="17" name="AutoShape 233" descr="Resultado de imagen para beer consumption trend">
          <a:extLst>
            <a:ext uri="{FF2B5EF4-FFF2-40B4-BE49-F238E27FC236}">
              <a16:creationId xmlns:a16="http://schemas.microsoft.com/office/drawing/2014/main" id="{76C615DC-9449-489C-838D-7501FF91B816}"/>
            </a:ext>
          </a:extLst>
        </xdr:cNvPr>
        <xdr:cNvSpPr>
          <a:spLocks noChangeAspect="1" noChangeArrowheads="1"/>
        </xdr:cNvSpPr>
      </xdr:nvSpPr>
      <xdr:spPr bwMode="auto">
        <a:xfrm>
          <a:off x="7067550" y="2181225"/>
          <a:ext cx="30480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24</xdr:row>
      <xdr:rowOff>0</xdr:rowOff>
    </xdr:from>
    <xdr:ext cx="304800" cy="305262"/>
    <xdr:sp macro="" textlink="">
      <xdr:nvSpPr>
        <xdr:cNvPr id="16" name="AutoShape 231" descr="Resultado de imagen para beer consumption trend">
          <a:extLst>
            <a:ext uri="{FF2B5EF4-FFF2-40B4-BE49-F238E27FC236}">
              <a16:creationId xmlns:a16="http://schemas.microsoft.com/office/drawing/2014/main" id="{3816F209-593F-4972-8238-056F7A06C2DB}"/>
            </a:ext>
          </a:extLst>
        </xdr:cNvPr>
        <xdr:cNvSpPr>
          <a:spLocks noChangeAspect="1" noChangeArrowheads="1"/>
        </xdr:cNvSpPr>
      </xdr:nvSpPr>
      <xdr:spPr bwMode="auto">
        <a:xfrm>
          <a:off x="10601325" y="923925"/>
          <a:ext cx="304800" cy="3028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7</xdr:col>
      <xdr:colOff>0</xdr:colOff>
      <xdr:row>38</xdr:row>
      <xdr:rowOff>0</xdr:rowOff>
    </xdr:from>
    <xdr:ext cx="304800" cy="301207"/>
    <xdr:sp macro="" textlink="">
      <xdr:nvSpPr>
        <xdr:cNvPr id="14" name="AutoShape 233" descr="Resultado de imagen para beer consumption trend">
          <a:extLst>
            <a:ext uri="{FF2B5EF4-FFF2-40B4-BE49-F238E27FC236}">
              <a16:creationId xmlns:a16="http://schemas.microsoft.com/office/drawing/2014/main" id="{71A499F7-7BCB-43D8-AAAA-8629B391E887}"/>
            </a:ext>
          </a:extLst>
        </xdr:cNvPr>
        <xdr:cNvSpPr>
          <a:spLocks noChangeAspect="1" noChangeArrowheads="1"/>
        </xdr:cNvSpPr>
      </xdr:nvSpPr>
      <xdr:spPr bwMode="auto">
        <a:xfrm>
          <a:off x="10601325" y="3152775"/>
          <a:ext cx="304800" cy="285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twoCellAnchor>
    <xdr:from>
      <xdr:col>11</xdr:col>
      <xdr:colOff>500202</xdr:colOff>
      <xdr:row>17</xdr:row>
      <xdr:rowOff>30629</xdr:rowOff>
    </xdr:from>
    <xdr:to>
      <xdr:col>19</xdr:col>
      <xdr:colOff>673893</xdr:colOff>
      <xdr:row>36</xdr:row>
      <xdr:rowOff>120651</xdr:rowOff>
    </xdr:to>
    <xdr:graphicFrame macro="">
      <xdr:nvGraphicFramePr>
        <xdr:cNvPr id="2" name="Chart 1">
          <a:extLst>
            <a:ext uri="{FF2B5EF4-FFF2-40B4-BE49-F238E27FC236}">
              <a16:creationId xmlns:a16="http://schemas.microsoft.com/office/drawing/2014/main" id="{F8B867AC-6A7A-4512-8C9D-97B8E534E8E4}"/>
            </a:ext>
            <a:ext uri="{147F2762-F138-4A5C-976F-8EAC2B608ADB}">
              <a16:predDERef xmlns:a16="http://schemas.microsoft.com/office/drawing/2014/main" pred="{71A499F7-7BCB-43D8-AAAA-8629B391E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335756</xdr:colOff>
      <xdr:row>36</xdr:row>
      <xdr:rowOff>66675</xdr:rowOff>
    </xdr:from>
    <xdr:to>
      <xdr:col>21</xdr:col>
      <xdr:colOff>721518</xdr:colOff>
      <xdr:row>54</xdr:row>
      <xdr:rowOff>76200</xdr:rowOff>
    </xdr:to>
    <xdr:graphicFrame macro="">
      <xdr:nvGraphicFramePr>
        <xdr:cNvPr id="5" name="Chart 2">
          <a:extLst>
            <a:ext uri="{FF2B5EF4-FFF2-40B4-BE49-F238E27FC236}">
              <a16:creationId xmlns:a16="http://schemas.microsoft.com/office/drawing/2014/main" id="{06EE3DBE-321E-4EF6-A0A4-D90C4883E80D}"/>
            </a:ext>
            <a:ext uri="{147F2762-F138-4A5C-976F-8EAC2B608ADB}">
              <a16:predDERef xmlns:a16="http://schemas.microsoft.com/office/drawing/2014/main" pred="{F8B867AC-6A7A-4512-8C9D-97B8E534E8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265371</xdr:colOff>
      <xdr:row>43</xdr:row>
      <xdr:rowOff>96580</xdr:rowOff>
    </xdr:from>
    <xdr:to>
      <xdr:col>9</xdr:col>
      <xdr:colOff>244858</xdr:colOff>
      <xdr:row>47</xdr:row>
      <xdr:rowOff>97251</xdr:rowOff>
    </xdr:to>
    <xdr:pic>
      <xdr:nvPicPr>
        <xdr:cNvPr id="2" name="Picture 1">
          <a:extLst>
            <a:ext uri="{FF2B5EF4-FFF2-40B4-BE49-F238E27FC236}">
              <a16:creationId xmlns:a16="http://schemas.microsoft.com/office/drawing/2014/main" id="{FB00182A-1394-B72C-F80C-63BB01746BBE}"/>
            </a:ext>
          </a:extLst>
        </xdr:cNvPr>
        <xdr:cNvPicPr>
          <a:picLocks noChangeAspect="1"/>
        </xdr:cNvPicPr>
      </xdr:nvPicPr>
      <xdr:blipFill>
        <a:blip xmlns:r="http://schemas.openxmlformats.org/officeDocument/2006/relationships" r:embed="rId1"/>
        <a:stretch>
          <a:fillRect/>
        </a:stretch>
      </xdr:blipFill>
      <xdr:spPr>
        <a:xfrm>
          <a:off x="903324" y="6325487"/>
          <a:ext cx="10725965" cy="736090"/>
        </a:xfrm>
        <a:prstGeom prst="rect">
          <a:avLst/>
        </a:prstGeom>
      </xdr:spPr>
    </xdr:pic>
    <xdr:clientData/>
  </xdr:twoCellAnchor>
  <xdr:twoCellAnchor editAs="oneCell">
    <xdr:from>
      <xdr:col>1</xdr:col>
      <xdr:colOff>209550</xdr:colOff>
      <xdr:row>49</xdr:row>
      <xdr:rowOff>28575</xdr:rowOff>
    </xdr:from>
    <xdr:to>
      <xdr:col>9</xdr:col>
      <xdr:colOff>160462</xdr:colOff>
      <xdr:row>55</xdr:row>
      <xdr:rowOff>142877</xdr:rowOff>
    </xdr:to>
    <xdr:pic>
      <xdr:nvPicPr>
        <xdr:cNvPr id="3" name="Picture 2">
          <a:extLst>
            <a:ext uri="{FF2B5EF4-FFF2-40B4-BE49-F238E27FC236}">
              <a16:creationId xmlns:a16="http://schemas.microsoft.com/office/drawing/2014/main" id="{333BFC67-F145-CB9D-5412-66049D6EA2D4}"/>
            </a:ext>
            <a:ext uri="{147F2762-F138-4A5C-976F-8EAC2B608ADB}">
              <a16:predDERef xmlns:a16="http://schemas.microsoft.com/office/drawing/2014/main" pred="{FB00182A-1394-B72C-F80C-63BB01746BBE}"/>
            </a:ext>
          </a:extLst>
        </xdr:cNvPr>
        <xdr:cNvPicPr>
          <a:picLocks noChangeAspect="1"/>
        </xdr:cNvPicPr>
      </xdr:nvPicPr>
      <xdr:blipFill>
        <a:blip xmlns:r="http://schemas.openxmlformats.org/officeDocument/2006/relationships" r:embed="rId2"/>
        <a:stretch>
          <a:fillRect/>
        </a:stretch>
      </xdr:blipFill>
      <xdr:spPr>
        <a:xfrm>
          <a:off x="828675" y="6505575"/>
          <a:ext cx="10277475" cy="1085850"/>
        </a:xfrm>
        <a:prstGeom prst="rect">
          <a:avLst/>
        </a:prstGeom>
      </xdr:spPr>
    </xdr:pic>
    <xdr:clientData/>
  </xdr:twoCellAnchor>
  <xdr:twoCellAnchor editAs="oneCell">
    <xdr:from>
      <xdr:col>1</xdr:col>
      <xdr:colOff>142210</xdr:colOff>
      <xdr:row>57</xdr:row>
      <xdr:rowOff>55156</xdr:rowOff>
    </xdr:from>
    <xdr:to>
      <xdr:col>9</xdr:col>
      <xdr:colOff>655097</xdr:colOff>
      <xdr:row>62</xdr:row>
      <xdr:rowOff>36108</xdr:rowOff>
    </xdr:to>
    <xdr:pic>
      <xdr:nvPicPr>
        <xdr:cNvPr id="4" name="Picture 3">
          <a:extLst>
            <a:ext uri="{FF2B5EF4-FFF2-40B4-BE49-F238E27FC236}">
              <a16:creationId xmlns:a16="http://schemas.microsoft.com/office/drawing/2014/main" id="{83B4C705-6B02-52C8-3319-5ADD666B4587}"/>
            </a:ext>
            <a:ext uri="{147F2762-F138-4A5C-976F-8EAC2B608ADB}">
              <a16:predDERef xmlns:a16="http://schemas.microsoft.com/office/drawing/2014/main" pred="{333BFC67-F145-CB9D-5412-66049D6EA2D4}"/>
            </a:ext>
          </a:extLst>
        </xdr:cNvPr>
        <xdr:cNvPicPr>
          <a:picLocks noChangeAspect="1"/>
        </xdr:cNvPicPr>
      </xdr:nvPicPr>
      <xdr:blipFill>
        <a:blip xmlns:r="http://schemas.openxmlformats.org/officeDocument/2006/relationships" r:embed="rId3"/>
        <a:stretch>
          <a:fillRect/>
        </a:stretch>
      </xdr:blipFill>
      <xdr:spPr>
        <a:xfrm>
          <a:off x="780163" y="8640947"/>
          <a:ext cx="11259365" cy="822696"/>
        </a:xfrm>
        <a:prstGeom prst="rect">
          <a:avLst/>
        </a:prstGeom>
      </xdr:spPr>
    </xdr:pic>
    <xdr:clientData/>
  </xdr:twoCellAnchor>
  <xdr:twoCellAnchor editAs="oneCell">
    <xdr:from>
      <xdr:col>1</xdr:col>
      <xdr:colOff>266700</xdr:colOff>
      <xdr:row>64</xdr:row>
      <xdr:rowOff>0</xdr:rowOff>
    </xdr:from>
    <xdr:to>
      <xdr:col>9</xdr:col>
      <xdr:colOff>1055812</xdr:colOff>
      <xdr:row>67</xdr:row>
      <xdr:rowOff>2299</xdr:rowOff>
    </xdr:to>
    <xdr:pic>
      <xdr:nvPicPr>
        <xdr:cNvPr id="5" name="Picture 4">
          <a:extLst>
            <a:ext uri="{FF2B5EF4-FFF2-40B4-BE49-F238E27FC236}">
              <a16:creationId xmlns:a16="http://schemas.microsoft.com/office/drawing/2014/main" id="{8726192D-8D10-6594-BAE8-7B8163C3C742}"/>
            </a:ext>
            <a:ext uri="{147F2762-F138-4A5C-976F-8EAC2B608ADB}">
              <a16:predDERef xmlns:a16="http://schemas.microsoft.com/office/drawing/2014/main" pred="{83B4C705-6B02-52C8-3319-5ADD666B4587}"/>
            </a:ext>
          </a:extLst>
        </xdr:cNvPr>
        <xdr:cNvPicPr>
          <a:picLocks noChangeAspect="1"/>
        </xdr:cNvPicPr>
      </xdr:nvPicPr>
      <xdr:blipFill>
        <a:blip xmlns:r="http://schemas.openxmlformats.org/officeDocument/2006/relationships" r:embed="rId4"/>
        <a:stretch>
          <a:fillRect/>
        </a:stretch>
      </xdr:blipFill>
      <xdr:spPr>
        <a:xfrm>
          <a:off x="885825" y="8905875"/>
          <a:ext cx="11115675" cy="485775"/>
        </a:xfrm>
        <a:prstGeom prst="rect">
          <a:avLst/>
        </a:prstGeom>
      </xdr:spPr>
    </xdr:pic>
    <xdr:clientData/>
  </xdr:twoCellAnchor>
  <xdr:twoCellAnchor editAs="oneCell">
    <xdr:from>
      <xdr:col>1</xdr:col>
      <xdr:colOff>0</xdr:colOff>
      <xdr:row>70</xdr:row>
      <xdr:rowOff>76200</xdr:rowOff>
    </xdr:from>
    <xdr:to>
      <xdr:col>9</xdr:col>
      <xdr:colOff>1017712</xdr:colOff>
      <xdr:row>74</xdr:row>
      <xdr:rowOff>85727</xdr:rowOff>
    </xdr:to>
    <xdr:pic>
      <xdr:nvPicPr>
        <xdr:cNvPr id="6" name="Picture 5">
          <a:extLst>
            <a:ext uri="{FF2B5EF4-FFF2-40B4-BE49-F238E27FC236}">
              <a16:creationId xmlns:a16="http://schemas.microsoft.com/office/drawing/2014/main" id="{7A16BABD-BC63-E803-07FA-5BD8BF213A2B}"/>
            </a:ext>
            <a:ext uri="{147F2762-F138-4A5C-976F-8EAC2B608ADB}">
              <a16:predDERef xmlns:a16="http://schemas.microsoft.com/office/drawing/2014/main" pred="{8726192D-8D10-6594-BAE8-7B8163C3C742}"/>
            </a:ext>
          </a:extLst>
        </xdr:cNvPr>
        <xdr:cNvPicPr>
          <a:picLocks noChangeAspect="1"/>
        </xdr:cNvPicPr>
      </xdr:nvPicPr>
      <xdr:blipFill>
        <a:blip xmlns:r="http://schemas.openxmlformats.org/officeDocument/2006/relationships" r:embed="rId5"/>
        <a:stretch>
          <a:fillRect/>
        </a:stretch>
      </xdr:blipFill>
      <xdr:spPr>
        <a:xfrm>
          <a:off x="619125" y="9953625"/>
          <a:ext cx="11344275" cy="1152525"/>
        </a:xfrm>
        <a:prstGeom prst="rect">
          <a:avLst/>
        </a:prstGeom>
      </xdr:spPr>
    </xdr:pic>
    <xdr:clientData/>
  </xdr:twoCellAnchor>
  <xdr:twoCellAnchor editAs="oneCell">
    <xdr:from>
      <xdr:col>1</xdr:col>
      <xdr:colOff>247650</xdr:colOff>
      <xdr:row>40</xdr:row>
      <xdr:rowOff>123825</xdr:rowOff>
    </xdr:from>
    <xdr:to>
      <xdr:col>9</xdr:col>
      <xdr:colOff>493837</xdr:colOff>
      <xdr:row>42</xdr:row>
      <xdr:rowOff>145339</xdr:rowOff>
    </xdr:to>
    <xdr:pic>
      <xdr:nvPicPr>
        <xdr:cNvPr id="10" name="Picture 9">
          <a:extLst>
            <a:ext uri="{FF2B5EF4-FFF2-40B4-BE49-F238E27FC236}">
              <a16:creationId xmlns:a16="http://schemas.microsoft.com/office/drawing/2014/main" id="{B1178E12-27BE-66E7-6156-2E55643CE14C}"/>
            </a:ext>
            <a:ext uri="{147F2762-F138-4A5C-976F-8EAC2B608ADB}">
              <a16:predDERef xmlns:a16="http://schemas.microsoft.com/office/drawing/2014/main" pred="{98476A1B-9826-00CE-4A48-8096BD905F2B}"/>
            </a:ext>
          </a:extLst>
        </xdr:cNvPr>
        <xdr:cNvPicPr>
          <a:picLocks noChangeAspect="1"/>
        </xdr:cNvPicPr>
      </xdr:nvPicPr>
      <xdr:blipFill>
        <a:blip xmlns:r="http://schemas.openxmlformats.org/officeDocument/2006/relationships" r:embed="rId6"/>
        <a:stretch>
          <a:fillRect/>
        </a:stretch>
      </xdr:blipFill>
      <xdr:spPr>
        <a:xfrm>
          <a:off x="866775" y="5143500"/>
          <a:ext cx="10572750" cy="352425"/>
        </a:xfrm>
        <a:prstGeom prst="rect">
          <a:avLst/>
        </a:prstGeom>
      </xdr:spPr>
    </xdr:pic>
    <xdr:clientData/>
  </xdr:twoCellAnchor>
  <xdr:twoCellAnchor>
    <xdr:from>
      <xdr:col>0</xdr:col>
      <xdr:colOff>549348</xdr:colOff>
      <xdr:row>401</xdr:row>
      <xdr:rowOff>26582</xdr:rowOff>
    </xdr:from>
    <xdr:to>
      <xdr:col>6</xdr:col>
      <xdr:colOff>115187</xdr:colOff>
      <xdr:row>416</xdr:row>
      <xdr:rowOff>124049</xdr:rowOff>
    </xdr:to>
    <xdr:graphicFrame macro="">
      <xdr:nvGraphicFramePr>
        <xdr:cNvPr id="18" name="Chart 17">
          <a:extLst>
            <a:ext uri="{FF2B5EF4-FFF2-40B4-BE49-F238E27FC236}">
              <a16:creationId xmlns:a16="http://schemas.microsoft.com/office/drawing/2014/main" id="{1DDCED10-1DE7-D9FB-9BA2-C93B38273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44302</xdr:colOff>
      <xdr:row>42</xdr:row>
      <xdr:rowOff>17721</xdr:rowOff>
    </xdr:from>
    <xdr:to>
      <xdr:col>17</xdr:col>
      <xdr:colOff>524410</xdr:colOff>
      <xdr:row>44</xdr:row>
      <xdr:rowOff>20379</xdr:rowOff>
    </xdr:to>
    <xdr:pic>
      <xdr:nvPicPr>
        <xdr:cNvPr id="16" name="Picture 6">
          <a:extLst>
            <a:ext uri="{FF2B5EF4-FFF2-40B4-BE49-F238E27FC236}">
              <a16:creationId xmlns:a16="http://schemas.microsoft.com/office/drawing/2014/main" id="{8FC052B4-B961-4F7B-9578-89CFC8AFB276}"/>
            </a:ext>
            <a:ext uri="{147F2762-F138-4A5C-976F-8EAC2B608ADB}">
              <a16:predDERef xmlns:a16="http://schemas.microsoft.com/office/drawing/2014/main" pred="{7A16BABD-BC63-E803-07FA-5BD8BF213A2B}"/>
            </a:ext>
          </a:extLst>
        </xdr:cNvPr>
        <xdr:cNvPicPr>
          <a:picLocks noChangeAspect="1"/>
        </xdr:cNvPicPr>
      </xdr:nvPicPr>
      <xdr:blipFill>
        <a:blip xmlns:r="http://schemas.openxmlformats.org/officeDocument/2006/relationships" r:embed="rId8"/>
        <a:stretch>
          <a:fillRect/>
        </a:stretch>
      </xdr:blipFill>
      <xdr:spPr>
        <a:xfrm>
          <a:off x="12954000" y="5794744"/>
          <a:ext cx="10617836" cy="374798"/>
        </a:xfrm>
        <a:prstGeom prst="rect">
          <a:avLst/>
        </a:prstGeom>
      </xdr:spPr>
    </xdr:pic>
    <xdr:clientData/>
  </xdr:twoCellAnchor>
  <xdr:twoCellAnchor editAs="oneCell">
    <xdr:from>
      <xdr:col>10</xdr:col>
      <xdr:colOff>37877</xdr:colOff>
      <xdr:row>46</xdr:row>
      <xdr:rowOff>35442</xdr:rowOff>
    </xdr:from>
    <xdr:to>
      <xdr:col>16</xdr:col>
      <xdr:colOff>814266</xdr:colOff>
      <xdr:row>48</xdr:row>
      <xdr:rowOff>55629</xdr:rowOff>
    </xdr:to>
    <xdr:pic>
      <xdr:nvPicPr>
        <xdr:cNvPr id="17" name="Picture 7">
          <a:extLst>
            <a:ext uri="{FF2B5EF4-FFF2-40B4-BE49-F238E27FC236}">
              <a16:creationId xmlns:a16="http://schemas.microsoft.com/office/drawing/2014/main" id="{F291DB1A-8495-4CB7-A6B5-7A2D47B1F2F4}"/>
            </a:ext>
            <a:ext uri="{147F2762-F138-4A5C-976F-8EAC2B608ADB}">
              <a16:predDERef xmlns:a16="http://schemas.microsoft.com/office/drawing/2014/main" pred="{3C192289-7BFF-C9CB-EDFF-82387A647A44}"/>
            </a:ext>
          </a:extLst>
        </xdr:cNvPr>
        <xdr:cNvPicPr>
          <a:picLocks noChangeAspect="1"/>
        </xdr:cNvPicPr>
      </xdr:nvPicPr>
      <xdr:blipFill>
        <a:blip xmlns:r="http://schemas.openxmlformats.org/officeDocument/2006/relationships" r:embed="rId9"/>
        <a:stretch>
          <a:fillRect/>
        </a:stretch>
      </xdr:blipFill>
      <xdr:spPr>
        <a:xfrm>
          <a:off x="12947575" y="6556744"/>
          <a:ext cx="9310373" cy="365745"/>
        </a:xfrm>
        <a:prstGeom prst="rect">
          <a:avLst/>
        </a:prstGeom>
      </xdr:spPr>
    </xdr:pic>
    <xdr:clientData/>
  </xdr:twoCellAnchor>
  <xdr:twoCellAnchor editAs="oneCell">
    <xdr:from>
      <xdr:col>10</xdr:col>
      <xdr:colOff>36461</xdr:colOff>
      <xdr:row>49</xdr:row>
      <xdr:rowOff>78415</xdr:rowOff>
    </xdr:from>
    <xdr:to>
      <xdr:col>17</xdr:col>
      <xdr:colOff>50660</xdr:colOff>
      <xdr:row>54</xdr:row>
      <xdr:rowOff>2215</xdr:rowOff>
    </xdr:to>
    <xdr:pic>
      <xdr:nvPicPr>
        <xdr:cNvPr id="19" name="Picture 8">
          <a:extLst>
            <a:ext uri="{FF2B5EF4-FFF2-40B4-BE49-F238E27FC236}">
              <a16:creationId xmlns:a16="http://schemas.microsoft.com/office/drawing/2014/main" id="{5F15E9B3-62FD-40F7-938E-E2674F0506A5}"/>
            </a:ext>
            <a:ext uri="{147F2762-F138-4A5C-976F-8EAC2B608ADB}">
              <a16:predDERef xmlns:a16="http://schemas.microsoft.com/office/drawing/2014/main" pred="{ADB40E2D-AC81-1463-063D-DBFAD60114F7}"/>
            </a:ext>
          </a:extLst>
        </xdr:cNvPr>
        <xdr:cNvPicPr>
          <a:picLocks noChangeAspect="1"/>
        </xdr:cNvPicPr>
      </xdr:nvPicPr>
      <xdr:blipFill>
        <a:blip xmlns:r="http://schemas.openxmlformats.org/officeDocument/2006/relationships" r:embed="rId10"/>
        <a:stretch>
          <a:fillRect/>
        </a:stretch>
      </xdr:blipFill>
      <xdr:spPr>
        <a:xfrm>
          <a:off x="12946159" y="7113624"/>
          <a:ext cx="10151927" cy="765544"/>
        </a:xfrm>
        <a:prstGeom prst="rect">
          <a:avLst/>
        </a:prstGeom>
      </xdr:spPr>
    </xdr:pic>
    <xdr:clientData/>
  </xdr:twoCellAnchor>
  <xdr:twoCellAnchor editAs="oneCell">
    <xdr:from>
      <xdr:col>10</xdr:col>
      <xdr:colOff>118686</xdr:colOff>
      <xdr:row>54</xdr:row>
      <xdr:rowOff>78636</xdr:rowOff>
    </xdr:from>
    <xdr:to>
      <xdr:col>16</xdr:col>
      <xdr:colOff>1489917</xdr:colOff>
      <xdr:row>58</xdr:row>
      <xdr:rowOff>145312</xdr:rowOff>
    </xdr:to>
    <xdr:pic>
      <xdr:nvPicPr>
        <xdr:cNvPr id="20" name="Picture 10">
          <a:extLst>
            <a:ext uri="{FF2B5EF4-FFF2-40B4-BE49-F238E27FC236}">
              <a16:creationId xmlns:a16="http://schemas.microsoft.com/office/drawing/2014/main" id="{E6FB6CAF-C282-42DE-A926-E57C04131252}"/>
            </a:ext>
            <a:ext uri="{147F2762-F138-4A5C-976F-8EAC2B608ADB}">
              <a16:predDERef xmlns:a16="http://schemas.microsoft.com/office/drawing/2014/main" pred="{B1178E12-27BE-66E7-6156-2E55643CE14C}"/>
            </a:ext>
          </a:extLst>
        </xdr:cNvPr>
        <xdr:cNvPicPr>
          <a:picLocks noChangeAspect="1"/>
        </xdr:cNvPicPr>
      </xdr:nvPicPr>
      <xdr:blipFill>
        <a:blip xmlns:r="http://schemas.openxmlformats.org/officeDocument/2006/relationships" r:embed="rId11"/>
        <a:stretch>
          <a:fillRect/>
        </a:stretch>
      </xdr:blipFill>
      <xdr:spPr>
        <a:xfrm>
          <a:off x="13028384" y="7955589"/>
          <a:ext cx="9904277" cy="740072"/>
        </a:xfrm>
        <a:prstGeom prst="rect">
          <a:avLst/>
        </a:prstGeom>
      </xdr:spPr>
    </xdr:pic>
    <xdr:clientData/>
  </xdr:twoCellAnchor>
  <xdr:twoCellAnchor editAs="oneCell">
    <xdr:from>
      <xdr:col>10</xdr:col>
      <xdr:colOff>96003</xdr:colOff>
      <xdr:row>59</xdr:row>
      <xdr:rowOff>7752</xdr:rowOff>
    </xdr:from>
    <xdr:to>
      <xdr:col>16</xdr:col>
      <xdr:colOff>1466296</xdr:colOff>
      <xdr:row>64</xdr:row>
      <xdr:rowOff>150626</xdr:rowOff>
    </xdr:to>
    <xdr:pic>
      <xdr:nvPicPr>
        <xdr:cNvPr id="21" name="Picture 11">
          <a:extLst>
            <a:ext uri="{FF2B5EF4-FFF2-40B4-BE49-F238E27FC236}">
              <a16:creationId xmlns:a16="http://schemas.microsoft.com/office/drawing/2014/main" id="{67188881-D181-4BE6-8F11-4771E878E246}"/>
            </a:ext>
            <a:ext uri="{147F2762-F138-4A5C-976F-8EAC2B608ADB}">
              <a16:predDERef xmlns:a16="http://schemas.microsoft.com/office/drawing/2014/main" pred="{EC7CA726-E6EB-8362-A0DE-4044EAFA582B}"/>
            </a:ext>
          </a:extLst>
        </xdr:cNvPr>
        <xdr:cNvPicPr>
          <a:picLocks noChangeAspect="1"/>
        </xdr:cNvPicPr>
      </xdr:nvPicPr>
      <xdr:blipFill>
        <a:blip xmlns:r="http://schemas.openxmlformats.org/officeDocument/2006/relationships" r:embed="rId12"/>
        <a:stretch>
          <a:fillRect/>
        </a:stretch>
      </xdr:blipFill>
      <xdr:spPr>
        <a:xfrm>
          <a:off x="13005701" y="8726450"/>
          <a:ext cx="9904277" cy="984618"/>
        </a:xfrm>
        <a:prstGeom prst="rect">
          <a:avLst/>
        </a:prstGeom>
      </xdr:spPr>
    </xdr:pic>
    <xdr:clientData/>
  </xdr:twoCellAnchor>
  <xdr:twoCellAnchor editAs="oneCell">
    <xdr:from>
      <xdr:col>10</xdr:col>
      <xdr:colOff>82227</xdr:colOff>
      <xdr:row>65</xdr:row>
      <xdr:rowOff>112528</xdr:rowOff>
    </xdr:from>
    <xdr:to>
      <xdr:col>16</xdr:col>
      <xdr:colOff>240083</xdr:colOff>
      <xdr:row>67</xdr:row>
      <xdr:rowOff>83954</xdr:rowOff>
    </xdr:to>
    <xdr:pic>
      <xdr:nvPicPr>
        <xdr:cNvPr id="22" name="Picture 12">
          <a:extLst>
            <a:ext uri="{FF2B5EF4-FFF2-40B4-BE49-F238E27FC236}">
              <a16:creationId xmlns:a16="http://schemas.microsoft.com/office/drawing/2014/main" id="{D17EB122-E8C4-4D40-BBDB-5FCFC4C17997}"/>
            </a:ext>
            <a:ext uri="{147F2762-F138-4A5C-976F-8EAC2B608ADB}">
              <a16:predDERef xmlns:a16="http://schemas.microsoft.com/office/drawing/2014/main" pred="{5DC7BA01-DBD3-C8CD-7795-5BDDA1A63671}"/>
            </a:ext>
          </a:extLst>
        </xdr:cNvPr>
        <xdr:cNvPicPr>
          <a:picLocks noChangeAspect="1"/>
        </xdr:cNvPicPr>
      </xdr:nvPicPr>
      <xdr:blipFill>
        <a:blip xmlns:r="http://schemas.openxmlformats.org/officeDocument/2006/relationships" r:embed="rId13"/>
        <a:stretch>
          <a:fillRect/>
        </a:stretch>
      </xdr:blipFill>
      <xdr:spPr>
        <a:xfrm>
          <a:off x="12991925" y="9841319"/>
          <a:ext cx="8691840" cy="308123"/>
        </a:xfrm>
        <a:prstGeom prst="rect">
          <a:avLst/>
        </a:prstGeom>
      </xdr:spPr>
    </xdr:pic>
    <xdr:clientData/>
  </xdr:twoCellAnchor>
  <xdr:twoCellAnchor editAs="oneCell">
    <xdr:from>
      <xdr:col>19</xdr:col>
      <xdr:colOff>753141</xdr:colOff>
      <xdr:row>47</xdr:row>
      <xdr:rowOff>124047</xdr:rowOff>
    </xdr:from>
    <xdr:to>
      <xdr:col>27</xdr:col>
      <xdr:colOff>640909</xdr:colOff>
      <xdr:row>75</xdr:row>
      <xdr:rowOff>53649</xdr:rowOff>
    </xdr:to>
    <xdr:pic>
      <xdr:nvPicPr>
        <xdr:cNvPr id="7" name="Imagem 6">
          <a:extLst>
            <a:ext uri="{FF2B5EF4-FFF2-40B4-BE49-F238E27FC236}">
              <a16:creationId xmlns:a16="http://schemas.microsoft.com/office/drawing/2014/main" id="{029D3E56-2A2E-9825-76F9-FFEA32C4C732}"/>
            </a:ext>
          </a:extLst>
        </xdr:cNvPr>
        <xdr:cNvPicPr>
          <a:picLocks noChangeAspect="1"/>
        </xdr:cNvPicPr>
      </xdr:nvPicPr>
      <xdr:blipFill>
        <a:blip xmlns:r="http://schemas.openxmlformats.org/officeDocument/2006/relationships" r:embed="rId14"/>
        <a:stretch>
          <a:fillRect/>
        </a:stretch>
      </xdr:blipFill>
      <xdr:spPr>
        <a:xfrm>
          <a:off x="26732025" y="6822559"/>
          <a:ext cx="9135139" cy="5130695"/>
        </a:xfrm>
        <a:prstGeom prst="rect">
          <a:avLst/>
        </a:prstGeom>
      </xdr:spPr>
    </xdr:pic>
    <xdr:clientData/>
  </xdr:twoCellAnchor>
  <xdr:twoCellAnchor editAs="oneCell">
    <xdr:from>
      <xdr:col>10</xdr:col>
      <xdr:colOff>81337</xdr:colOff>
      <xdr:row>68</xdr:row>
      <xdr:rowOff>37035</xdr:rowOff>
    </xdr:from>
    <xdr:to>
      <xdr:col>18</xdr:col>
      <xdr:colOff>904890</xdr:colOff>
      <xdr:row>76</xdr:row>
      <xdr:rowOff>132021</xdr:rowOff>
    </xdr:to>
    <xdr:pic>
      <xdr:nvPicPr>
        <xdr:cNvPr id="8" name="Imagem 7">
          <a:extLst>
            <a:ext uri="{FF2B5EF4-FFF2-40B4-BE49-F238E27FC236}">
              <a16:creationId xmlns:a16="http://schemas.microsoft.com/office/drawing/2014/main" id="{DFBFF46E-7946-BC37-1219-0341FBD91FE0}"/>
            </a:ext>
          </a:extLst>
        </xdr:cNvPr>
        <xdr:cNvPicPr>
          <a:picLocks noChangeAspect="1"/>
        </xdr:cNvPicPr>
      </xdr:nvPicPr>
      <xdr:blipFill>
        <a:blip xmlns:r="http://schemas.openxmlformats.org/officeDocument/2006/relationships" r:embed="rId15"/>
        <a:stretch>
          <a:fillRect/>
        </a:stretch>
      </xdr:blipFill>
      <xdr:spPr>
        <a:xfrm>
          <a:off x="12991035" y="10270872"/>
          <a:ext cx="12768817" cy="1929102"/>
        </a:xfrm>
        <a:prstGeom prst="rect">
          <a:avLst/>
        </a:prstGeom>
      </xdr:spPr>
    </xdr:pic>
    <xdr:clientData/>
  </xdr:twoCellAnchor>
  <xdr:twoCellAnchor editAs="oneCell">
    <xdr:from>
      <xdr:col>1</xdr:col>
      <xdr:colOff>0</xdr:colOff>
      <xdr:row>327</xdr:row>
      <xdr:rowOff>0</xdr:rowOff>
    </xdr:from>
    <xdr:to>
      <xdr:col>6</xdr:col>
      <xdr:colOff>169520</xdr:colOff>
      <xdr:row>340</xdr:row>
      <xdr:rowOff>154614</xdr:rowOff>
    </xdr:to>
    <xdr:pic>
      <xdr:nvPicPr>
        <xdr:cNvPr id="11" name="Imagem 10">
          <a:extLst>
            <a:ext uri="{FF2B5EF4-FFF2-40B4-BE49-F238E27FC236}">
              <a16:creationId xmlns:a16="http://schemas.microsoft.com/office/drawing/2014/main" id="{4CFE863F-02CF-4A7F-ADCF-F0A49E3455B1}"/>
            </a:ext>
          </a:extLst>
        </xdr:cNvPr>
        <xdr:cNvPicPr>
          <a:picLocks noChangeAspect="1"/>
        </xdr:cNvPicPr>
      </xdr:nvPicPr>
      <xdr:blipFill>
        <a:blip xmlns:r="http://schemas.openxmlformats.org/officeDocument/2006/relationships" r:embed="rId16"/>
        <a:stretch>
          <a:fillRect/>
        </a:stretch>
      </xdr:blipFill>
      <xdr:spPr>
        <a:xfrm>
          <a:off x="637953" y="47332605"/>
          <a:ext cx="7477125" cy="2343150"/>
        </a:xfrm>
        <a:prstGeom prst="rect">
          <a:avLst/>
        </a:prstGeom>
      </xdr:spPr>
    </xdr:pic>
    <xdr:clientData/>
  </xdr:twoCellAnchor>
  <xdr:twoCellAnchor>
    <xdr:from>
      <xdr:col>2</xdr:col>
      <xdr:colOff>1290188</xdr:colOff>
      <xdr:row>197</xdr:row>
      <xdr:rowOff>130628</xdr:rowOff>
    </xdr:from>
    <xdr:to>
      <xdr:col>17</xdr:col>
      <xdr:colOff>1757082</xdr:colOff>
      <xdr:row>215</xdr:row>
      <xdr:rowOff>116542</xdr:rowOff>
    </xdr:to>
    <xdr:graphicFrame macro="">
      <xdr:nvGraphicFramePr>
        <xdr:cNvPr id="12" name="Gráfico 11">
          <a:extLst>
            <a:ext uri="{FF2B5EF4-FFF2-40B4-BE49-F238E27FC236}">
              <a16:creationId xmlns:a16="http://schemas.microsoft.com/office/drawing/2014/main" id="{7B516FF5-4C22-5A6A-73FB-DEB2EEB31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1299880</xdr:colOff>
      <xdr:row>216</xdr:row>
      <xdr:rowOff>17929</xdr:rowOff>
    </xdr:from>
    <xdr:to>
      <xdr:col>17</xdr:col>
      <xdr:colOff>1739152</xdr:colOff>
      <xdr:row>248</xdr:row>
      <xdr:rowOff>159099</xdr:rowOff>
    </xdr:to>
    <xdr:graphicFrame macro="">
      <xdr:nvGraphicFramePr>
        <xdr:cNvPr id="23" name="Gráfico 22">
          <a:extLst>
            <a:ext uri="{FF2B5EF4-FFF2-40B4-BE49-F238E27FC236}">
              <a16:creationId xmlns:a16="http://schemas.microsoft.com/office/drawing/2014/main" id="{57743BB6-8E1C-452E-817F-84AA4F9CA8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1290502</xdr:colOff>
      <xdr:row>175</xdr:row>
      <xdr:rowOff>105049</xdr:rowOff>
    </xdr:from>
    <xdr:to>
      <xdr:col>17</xdr:col>
      <xdr:colOff>1730827</xdr:colOff>
      <xdr:row>196</xdr:row>
      <xdr:rowOff>87087</xdr:rowOff>
    </xdr:to>
    <xdr:graphicFrame macro="">
      <xdr:nvGraphicFramePr>
        <xdr:cNvPr id="9" name="Gráfico 8">
          <a:extLst>
            <a:ext uri="{FF2B5EF4-FFF2-40B4-BE49-F238E27FC236}">
              <a16:creationId xmlns:a16="http://schemas.microsoft.com/office/drawing/2014/main" id="{DB2C57F8-0437-18C5-94F4-5117F7A56B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gabri\Desktop\ISEG\Lisbon%20Investment%20Society\Head%20ER\Assumptions%20sheet-%20Dami&#227;o.xlsx" TargetMode="External"/><Relationship Id="rId1" Type="http://schemas.openxmlformats.org/officeDocument/2006/relationships/externalLinkPath" Target="file:///C:\Users\gabri\Desktop\ISEG\Lisbon%20Investment%20Society\Head%20ER\Assumptions%20sheet-%20Dami&#227;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afons\AppData\Local\Microsoft\Windows\INetCache\Content.Outlook\XHQIGWWU\PACCAR-ES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
      <sheetName val="Segments"/>
      <sheetName val="Acuerdo"/>
      <sheetName val="Peers"/>
      <sheetName val="ESG"/>
      <sheetName val="DCF"/>
      <sheetName val="Assum."/>
      <sheetName val="Fin. Data"/>
      <sheetName val="Fin. Data (Common Size)"/>
      <sheetName val="Inputs"/>
      <sheetName val="Sector Imp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or Impact"/>
    </sheetNames>
    <sheetDataSet>
      <sheetData sheetId="0">
        <row r="4">
          <cell r="K4" t="str">
            <v>Communication Services</v>
          </cell>
          <cell r="L4" t="str">
            <v>Low</v>
          </cell>
          <cell r="M4" t="str">
            <v>Low</v>
          </cell>
          <cell r="N4" t="str">
            <v>Medium</v>
          </cell>
          <cell r="O4" t="str">
            <v>Low</v>
          </cell>
          <cell r="P4" t="str">
            <v>Low</v>
          </cell>
          <cell r="Q4" t="str">
            <v>Medium</v>
          </cell>
          <cell r="R4" t="str">
            <v>Medium</v>
          </cell>
          <cell r="S4" t="str">
            <v>Low</v>
          </cell>
          <cell r="T4" t="str">
            <v>Low</v>
          </cell>
          <cell r="U4" t="str">
            <v>High</v>
          </cell>
          <cell r="V4" t="str">
            <v>Low</v>
          </cell>
          <cell r="W4" t="str">
            <v>Low</v>
          </cell>
          <cell r="X4" t="str">
            <v>Low</v>
          </cell>
          <cell r="Y4" t="str">
            <v>Low</v>
          </cell>
          <cell r="Z4" t="str">
            <v>Low</v>
          </cell>
          <cell r="AA4" t="str">
            <v>Medium</v>
          </cell>
        </row>
        <row r="5">
          <cell r="K5" t="str">
            <v>Consumer Discretionary</v>
          </cell>
          <cell r="L5" t="str">
            <v>Low</v>
          </cell>
          <cell r="M5" t="str">
            <v>Low</v>
          </cell>
          <cell r="N5" t="str">
            <v>Medium</v>
          </cell>
          <cell r="O5" t="str">
            <v>Medium</v>
          </cell>
          <cell r="P5" t="str">
            <v>Low</v>
          </cell>
          <cell r="Q5" t="str">
            <v>Medium</v>
          </cell>
          <cell r="R5" t="str">
            <v>Medium</v>
          </cell>
          <cell r="S5" t="str">
            <v>Low</v>
          </cell>
          <cell r="T5" t="str">
            <v>Low</v>
          </cell>
          <cell r="U5" t="str">
            <v>Medium</v>
          </cell>
          <cell r="V5" t="str">
            <v>Medium</v>
          </cell>
          <cell r="W5" t="str">
            <v>Medium</v>
          </cell>
          <cell r="X5" t="str">
            <v>High</v>
          </cell>
          <cell r="Y5" t="str">
            <v>Low</v>
          </cell>
          <cell r="Z5" t="str">
            <v>High</v>
          </cell>
          <cell r="AA5" t="str">
            <v>Low</v>
          </cell>
        </row>
        <row r="6">
          <cell r="K6" t="str">
            <v>Consumer Staples</v>
          </cell>
          <cell r="L6" t="str">
            <v>High</v>
          </cell>
          <cell r="M6" t="str">
            <v>Very High</v>
          </cell>
          <cell r="N6" t="str">
            <v>High</v>
          </cell>
          <cell r="O6" t="str">
            <v>High</v>
          </cell>
          <cell r="P6" t="str">
            <v>High</v>
          </cell>
          <cell r="Q6" t="str">
            <v>Medium</v>
          </cell>
          <cell r="R6" t="str">
            <v>High</v>
          </cell>
          <cell r="S6" t="str">
            <v>High</v>
          </cell>
          <cell r="T6" t="str">
            <v>Low</v>
          </cell>
          <cell r="U6" t="str">
            <v>Medium</v>
          </cell>
          <cell r="V6" t="str">
            <v>Medium</v>
          </cell>
          <cell r="W6" t="str">
            <v>Low</v>
          </cell>
          <cell r="X6" t="str">
            <v>High</v>
          </cell>
          <cell r="Y6" t="str">
            <v>Low</v>
          </cell>
          <cell r="Z6" t="str">
            <v>Very High</v>
          </cell>
          <cell r="AA6" t="str">
            <v>Low</v>
          </cell>
        </row>
        <row r="7">
          <cell r="K7" t="str">
            <v>Energy</v>
          </cell>
          <cell r="L7" t="str">
            <v>Very High</v>
          </cell>
          <cell r="M7" t="str">
            <v>Very High</v>
          </cell>
          <cell r="N7" t="str">
            <v>Medium</v>
          </cell>
          <cell r="O7" t="str">
            <v>Very High</v>
          </cell>
          <cell r="P7" t="str">
            <v>High</v>
          </cell>
          <cell r="Q7" t="str">
            <v>High</v>
          </cell>
          <cell r="R7" t="str">
            <v>Medium</v>
          </cell>
          <cell r="S7" t="str">
            <v>Medium</v>
          </cell>
          <cell r="T7" t="str">
            <v>Medium</v>
          </cell>
          <cell r="U7" t="str">
            <v>Medium</v>
          </cell>
          <cell r="V7" t="str">
            <v>High</v>
          </cell>
          <cell r="W7" t="str">
            <v>Medium</v>
          </cell>
          <cell r="X7" t="str">
            <v>Medium</v>
          </cell>
          <cell r="Y7" t="str">
            <v>High</v>
          </cell>
          <cell r="Z7" t="str">
            <v>High</v>
          </cell>
          <cell r="AA7" t="str">
            <v>Low</v>
          </cell>
        </row>
        <row r="8">
          <cell r="K8" t="str">
            <v>Renewable Energy</v>
          </cell>
          <cell r="L8" t="str">
            <v>Low</v>
          </cell>
          <cell r="M8" t="str">
            <v>Low</v>
          </cell>
          <cell r="N8" t="str">
            <v>Low</v>
          </cell>
          <cell r="O8" t="str">
            <v>Medium</v>
          </cell>
          <cell r="P8" t="str">
            <v>Medium</v>
          </cell>
          <cell r="Q8" t="str">
            <v>Low</v>
          </cell>
          <cell r="R8" t="str">
            <v>Medium</v>
          </cell>
          <cell r="S8" t="str">
            <v>Medium</v>
          </cell>
          <cell r="T8" t="str">
            <v>High</v>
          </cell>
          <cell r="U8" t="str">
            <v>Medium</v>
          </cell>
          <cell r="V8" t="str">
            <v>Low</v>
          </cell>
          <cell r="W8" t="str">
            <v>Low</v>
          </cell>
          <cell r="X8" t="str">
            <v>Medium</v>
          </cell>
          <cell r="Y8" t="str">
            <v>Medium</v>
          </cell>
          <cell r="Z8" t="str">
            <v>High</v>
          </cell>
          <cell r="AA8" t="str">
            <v>Low</v>
          </cell>
        </row>
        <row r="9">
          <cell r="K9" t="str">
            <v>Financials</v>
          </cell>
          <cell r="L9" t="str">
            <v>Low</v>
          </cell>
          <cell r="M9" t="str">
            <v>Low</v>
          </cell>
          <cell r="N9" t="str">
            <v>Low</v>
          </cell>
          <cell r="O9" t="str">
            <v>Low</v>
          </cell>
          <cell r="P9" t="str">
            <v>Low</v>
          </cell>
          <cell r="Q9" t="str">
            <v>Low</v>
          </cell>
          <cell r="R9" t="str">
            <v>Low</v>
          </cell>
          <cell r="S9" t="str">
            <v>Medium</v>
          </cell>
          <cell r="T9" t="str">
            <v>High</v>
          </cell>
          <cell r="U9" t="str">
            <v>Medium</v>
          </cell>
          <cell r="V9" t="str">
            <v>Low</v>
          </cell>
          <cell r="W9" t="str">
            <v>Low</v>
          </cell>
          <cell r="X9" t="str">
            <v>Low</v>
          </cell>
          <cell r="Y9" t="str">
            <v>Low</v>
          </cell>
          <cell r="Z9" t="str">
            <v>Medium</v>
          </cell>
          <cell r="AA9" t="str">
            <v>Low</v>
          </cell>
        </row>
        <row r="10">
          <cell r="K10" t="str">
            <v>Forestry</v>
          </cell>
          <cell r="L10" t="str">
            <v>Low</v>
          </cell>
          <cell r="M10" t="str">
            <v>Medium</v>
          </cell>
          <cell r="N10" t="str">
            <v>Low</v>
          </cell>
          <cell r="O10" t="str">
            <v>Medium</v>
          </cell>
          <cell r="P10" t="str">
            <v>High</v>
          </cell>
          <cell r="Q10" t="str">
            <v>Low</v>
          </cell>
          <cell r="R10" t="str">
            <v>Low</v>
          </cell>
          <cell r="S10" t="str">
            <v>Low</v>
          </cell>
          <cell r="T10" t="str">
            <v>Low</v>
          </cell>
          <cell r="U10" t="str">
            <v>Low</v>
          </cell>
          <cell r="V10" t="str">
            <v>Low</v>
          </cell>
          <cell r="W10" t="str">
            <v>Low</v>
          </cell>
          <cell r="X10" t="str">
            <v>Low</v>
          </cell>
          <cell r="Y10" t="str">
            <v>Medium</v>
          </cell>
          <cell r="Z10" t="str">
            <v>Low</v>
          </cell>
          <cell r="AA10" t="str">
            <v>Low</v>
          </cell>
        </row>
        <row r="11">
          <cell r="K11" t="str">
            <v>Health Care</v>
          </cell>
          <cell r="L11" t="str">
            <v>Low</v>
          </cell>
          <cell r="M11" t="str">
            <v>Medium</v>
          </cell>
          <cell r="N11" t="str">
            <v>Low</v>
          </cell>
          <cell r="O11" t="str">
            <v>Low</v>
          </cell>
          <cell r="P11" t="str">
            <v>Low</v>
          </cell>
          <cell r="Q11" t="str">
            <v>Low</v>
          </cell>
          <cell r="R11" t="str">
            <v>Low</v>
          </cell>
          <cell r="S11" t="str">
            <v>Medium</v>
          </cell>
          <cell r="T11" t="str">
            <v>Low</v>
          </cell>
          <cell r="U11" t="str">
            <v>High</v>
          </cell>
          <cell r="V11" t="str">
            <v>Low</v>
          </cell>
          <cell r="W11" t="str">
            <v>Low</v>
          </cell>
          <cell r="X11" t="str">
            <v>Low</v>
          </cell>
          <cell r="Y11" t="str">
            <v>Low</v>
          </cell>
          <cell r="Z11" t="str">
            <v>Low</v>
          </cell>
          <cell r="AA11" t="str">
            <v>Low</v>
          </cell>
        </row>
        <row r="12">
          <cell r="K12" t="str">
            <v>Industrials</v>
          </cell>
          <cell r="L12" t="str">
            <v>Very High</v>
          </cell>
          <cell r="M12" t="str">
            <v>Very High</v>
          </cell>
          <cell r="N12" t="str">
            <v>Very High</v>
          </cell>
          <cell r="O12" t="str">
            <v>High</v>
          </cell>
          <cell r="P12" t="str">
            <v>High</v>
          </cell>
          <cell r="Q12" t="str">
            <v>Low</v>
          </cell>
          <cell r="R12" t="str">
            <v>Medium</v>
          </cell>
          <cell r="S12" t="str">
            <v>High</v>
          </cell>
          <cell r="T12" t="str">
            <v>Very High</v>
          </cell>
          <cell r="U12" t="str">
            <v>Medium</v>
          </cell>
          <cell r="V12" t="str">
            <v>Very High</v>
          </cell>
          <cell r="W12" t="str">
            <v>Medium</v>
          </cell>
          <cell r="X12" t="str">
            <v>Very High</v>
          </cell>
          <cell r="Y12" t="str">
            <v>Very High</v>
          </cell>
          <cell r="Z12" t="str">
            <v>Very High</v>
          </cell>
          <cell r="AA12" t="str">
            <v>High</v>
          </cell>
        </row>
        <row r="13">
          <cell r="K13" t="str">
            <v>Information Technology</v>
          </cell>
          <cell r="L13" t="str">
            <v>Medium</v>
          </cell>
          <cell r="M13" t="str">
            <v>Low</v>
          </cell>
          <cell r="N13" t="str">
            <v>High</v>
          </cell>
          <cell r="O13" t="str">
            <v>Low</v>
          </cell>
          <cell r="P13" t="str">
            <v>Low</v>
          </cell>
          <cell r="Q13" t="str">
            <v>Low</v>
          </cell>
          <cell r="R13" t="str">
            <v>Low</v>
          </cell>
          <cell r="S13" t="str">
            <v>Low</v>
          </cell>
          <cell r="T13" t="str">
            <v>Low</v>
          </cell>
          <cell r="U13" t="str">
            <v>High</v>
          </cell>
          <cell r="V13" t="str">
            <v>Low</v>
          </cell>
          <cell r="W13" t="str">
            <v>Low</v>
          </cell>
          <cell r="X13" t="str">
            <v>Low</v>
          </cell>
          <cell r="Y13" t="str">
            <v>Low</v>
          </cell>
          <cell r="Z13" t="str">
            <v>Medium</v>
          </cell>
          <cell r="AA13" t="str">
            <v>Very High</v>
          </cell>
        </row>
        <row r="14">
          <cell r="K14" t="str">
            <v>Materials</v>
          </cell>
          <cell r="L14" t="str">
            <v>Very High</v>
          </cell>
          <cell r="M14" t="str">
            <v>Very High</v>
          </cell>
          <cell r="N14" t="str">
            <v>Very High</v>
          </cell>
          <cell r="O14" t="str">
            <v>Very High</v>
          </cell>
          <cell r="P14" t="str">
            <v>High</v>
          </cell>
          <cell r="Q14" t="str">
            <v>High</v>
          </cell>
          <cell r="R14" t="str">
            <v>High</v>
          </cell>
          <cell r="S14" t="str">
            <v>Medium</v>
          </cell>
          <cell r="T14" t="str">
            <v>High</v>
          </cell>
          <cell r="U14" t="str">
            <v>Low</v>
          </cell>
          <cell r="V14" t="str">
            <v>Very High</v>
          </cell>
          <cell r="W14" t="str">
            <v>Medium</v>
          </cell>
          <cell r="X14" t="str">
            <v>Medium</v>
          </cell>
          <cell r="Y14" t="str">
            <v>Very High</v>
          </cell>
          <cell r="Z14" t="str">
            <v>High</v>
          </cell>
          <cell r="AA14" t="str">
            <v>Medium</v>
          </cell>
        </row>
        <row r="15">
          <cell r="K15" t="str">
            <v>Real Estate</v>
          </cell>
          <cell r="L15" t="str">
            <v>Low</v>
          </cell>
          <cell r="M15" t="str">
            <v>Low</v>
          </cell>
          <cell r="N15" t="str">
            <v>Medium</v>
          </cell>
          <cell r="O15" t="str">
            <v>Low</v>
          </cell>
          <cell r="P15" t="str">
            <v>Low</v>
          </cell>
          <cell r="Q15" t="str">
            <v>Medium</v>
          </cell>
          <cell r="R15" t="str">
            <v>Low</v>
          </cell>
          <cell r="S15" t="str">
            <v>Low</v>
          </cell>
          <cell r="T15" t="str">
            <v>Low</v>
          </cell>
          <cell r="U15" t="str">
            <v>High</v>
          </cell>
          <cell r="V15" t="str">
            <v>Low</v>
          </cell>
          <cell r="W15" t="str">
            <v>Medium</v>
          </cell>
          <cell r="X15" t="str">
            <v>Low</v>
          </cell>
          <cell r="Y15" t="str">
            <v>Medium</v>
          </cell>
          <cell r="Z15" t="str">
            <v>Low</v>
          </cell>
          <cell r="AA15" t="str">
            <v>Low</v>
          </cell>
        </row>
        <row r="16">
          <cell r="K16" t="str">
            <v>Utilities</v>
          </cell>
          <cell r="L16" t="str">
            <v>Very High</v>
          </cell>
          <cell r="M16" t="str">
            <v>High</v>
          </cell>
          <cell r="N16" t="str">
            <v>High</v>
          </cell>
          <cell r="O16" t="str">
            <v>Medium</v>
          </cell>
          <cell r="P16" t="str">
            <v>High</v>
          </cell>
          <cell r="Q16" t="str">
            <v>Low</v>
          </cell>
          <cell r="R16" t="str">
            <v>Medium</v>
          </cell>
          <cell r="S16" t="str">
            <v>Medium</v>
          </cell>
          <cell r="T16" t="str">
            <v>Low</v>
          </cell>
          <cell r="U16" t="str">
            <v>Medium</v>
          </cell>
          <cell r="V16" t="str">
            <v>Medium</v>
          </cell>
          <cell r="W16" t="str">
            <v>Medium</v>
          </cell>
          <cell r="X16" t="str">
            <v>Medium</v>
          </cell>
          <cell r="Y16" t="str">
            <v>Low</v>
          </cell>
          <cell r="Z16" t="str">
            <v>Medium</v>
          </cell>
          <cell r="AA16" t="str">
            <v>Low</v>
          </cell>
        </row>
      </sheetData>
    </sheetDataSet>
  </externalBook>
</externalLink>
</file>

<file path=xl/persons/person.xml><?xml version="1.0" encoding="utf-8"?>
<personList xmlns="http://schemas.microsoft.com/office/spreadsheetml/2018/threadedcomments" xmlns:x="http://schemas.openxmlformats.org/spreadsheetml/2006/main">
  <person displayName="Gonçalo T Raposo" id="{69245220-6608-4757-B095-E49590D7B0D5}" userId="Gonçalo T Raposo" providerId="None"/>
  <person displayName="DAVID FILIPE DE SOUSA TITA" id="{6D2C5BD9-1C3E-4972-9F97-1CA81A3CC14E}" userId="S::david.tita@aln.iseg.ulisboa.pt::2b554b1a-dfdf-4fc2-8414-05963e9f059c" providerId="AD"/>
  <person displayName="VITOR MANUEL SILVA PEREIRA" id="{4F3627F3-5E58-4673-B57C-E78F7071B9BE}" userId="S::vitorpereira@aln.iseg.ulisboa.pt::ef4115d5-a5da-4591-a5cb-bde354ff32a7" providerId="AD"/>
  <person displayName="Afonso Rafael Costa Simões" id="{36327C47-2050-4A8E-88F5-5CF71939FC19}" userId="S::afonso_simoes@aln.iseg.ulisboa.pt::7d795103-2611-439a-9d29-5532e66c07f8" providerId="AD"/>
  <person displayName="Beatriz Filipa Cardoso Lagadoiro" id="{5AF80347-8D83-4A7F-8705-2C28C45B8F4A}" userId="S::beatrizlagadoiro@aln.iseg.ulisboa.pt::a8c570e4-6299-437b-9a9e-cfb79c303915" providerId="AD"/>
</personList>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5">
  <rv s="0">
    <v>https://www.bing.com/financeapi/forcetrigger?t=a1zk27&amp;q=XNAS%3aPCAR&amp;form=skydnc</v>
    <v>Learn more on Bing</v>
  </rv>
  <rv s="1">
    <v>pt-BR</v>
    <v>a1zk27</v>
    <v>268435456</v>
    <v>1</v>
    <v>6</v>
    <v>Da plataforma Refinitiv</v>
    <v>0</v>
    <v>1</v>
    <v>PACCAR INC (XNAS:PCAR)</v>
    <v>3</v>
    <v>4</v>
    <v>Finance</v>
    <v>5</v>
    <v>125.5</v>
    <v>68.400000000000006</v>
    <v>XNAS</v>
    <v>524010700</v>
    <v>114.16500000000001</v>
    <v>1971</v>
    <v>112.33</v>
    <v>0.94179999999999997</v>
    <v>Nasdaq Stock Market</v>
    <v>59359932096</v>
    <v>A PACCAR Inc (PACCAR) é uma empresa de tecnologia. Os segmentos da empresa incluem Caminhões, Peças e Serviços Financeiros. O segmento de caminhões inclui o projeto, fabricação e distribuição de caminhões comerciais leves, médios e pesados. Os caminhões da empresa são comercializados sob as placas de identificação Kenworth, Peterbilt e DAF. Também fabrica motores, principalmente para uso em caminhões da Companhia, em suas instalações em Columbus, Mississippi; Também fabrica motores, principalmente para uso em caminhões da Companhia, em suas instalações em Columbus, Mississippi; Eindhoven, Holanda, e Ponta Grossa, Brasil. O segmento de peças inclui a distribuição de peças de reposição para caminhões e veículos comerciais relacionados. O segmento de Serviços Financeiros inclui produtos e serviços financeiros e de leasing fornecidos a clientes e revendedores. Seus Outros negócios incluem a fabricação e comercialização de guinchos industriais. A Companhia atua na Austrália e no Brasil e vende caminhões e peças para clientes na Ásia, África, Oriente Médio e América do Sul.</v>
    <v>XNAS</v>
    <v>111.96</v>
    <v>32400</v>
    <v>45411.722618622654</v>
    <v>0</v>
    <v>2256092</v>
    <v>USD</v>
    <v>PACCAR INC</v>
    <v>PACCAR INC</v>
    <v>12.778600000000001</v>
    <v>112.76</v>
    <v>113.28</v>
    <v>777 106th Avenue NE, BELLEVUE, WA, 98004 US</v>
    <v>Machinery, Equipment &amp; Components</v>
    <v>PCAR</v>
    <v>Ações</v>
    <v>PACCAR INC (XNAS:PCAR)</v>
    <v>1.32</v>
    <v>1.179E-2</v>
    <v>1354811</v>
  </rv>
  <rv s="2">
    <v>1</v>
  </rv>
  <rv s="3">
    <v>0</v>
    <v>5</v>
  </rv>
  <rv s="3">
    <v>1</v>
    <v>5</v>
  </rv>
  <rv s="0">
    <v>https://www.bing.com/financeapi/forcetrigger?t=c3tqp2&amp;q=XSTO%3aVOLCAR+B&amp;form=skydnc</v>
    <v>Learn more on Bing</v>
  </rv>
  <rv s="4">
    <v>en-GB</v>
    <v>c3tqp2</v>
    <v>268435456</v>
    <v>1</v>
    <v>6</v>
    <v>Powered by Refinitiv</v>
    <v>6</v>
    <v>Volvo Car AB (XSTO:VOLCAR B)</v>
    <v>3</v>
    <v>7</v>
    <v>Finance</v>
    <v>8</v>
    <v>1.24</v>
    <v>0.04</v>
    <v>1.0020000000000001E-3</v>
    <v>SEK</v>
    <v>Volvo Car AB is a Sweden-based automotive brand. Volvo Car Group is focused on the design, engineering, manufacturing, distribution and sale of passenger cars, with particular focus on sustainability, fully electric cars and direct consumer relations, including subscription and other new mobility services. Volvo Car Group’s addressable market is the global premium passenger car market. Moreover, the Company’s intention is to be a pure electric car company and as a result it is undergoing a shift in its business model to a direct sales model in most of its markets. Volvo Cars’ commitment to electrification also results in the launch of Polestar, a progressive stand-alone electric performance car brand, in which Volvo Cars owns shares. Volvo Cars also holds shares in the automotive brand LYNK&amp;CO, which focuses on young open-minded urban people through a flexible customer offering.</v>
    <v>43446</v>
    <v>NASDAQ Stockholm</v>
    <v>XSTO</v>
    <v>XSTO</v>
    <v>Avd 50090 Hb3s, GOETEBORG, VASTRA GOTALANDS, 405 31 SE</v>
    <v>40.49</v>
    <v>Automobiles &amp; Auto Parts</v>
    <v>Stock</v>
    <v>45378.489548611113</v>
    <v>5</v>
    <v>39.5</v>
    <v>118972400000</v>
    <v>Volvo Car AB</v>
    <v>Volvo Car AB</v>
    <v>39.82</v>
    <v>9.11</v>
    <v>39.93</v>
    <v>39.97</v>
    <v>2979524000</v>
    <v>VOLCAR B</v>
    <v>Volvo Car AB (XSTO:VOLCAR B)</v>
    <v>1274782</v>
    <v>4378160</v>
    <v>2010</v>
  </rv>
  <rv s="2">
    <v>6</v>
  </rv>
  <rv s="0">
    <v>https://www.bing.com/financeapi/forcetrigger?t=a24kar&amp;q=XNAS%3aTSLA&amp;form=skydnc</v>
    <v>Learn more on Bing</v>
  </rv>
  <rv s="5">
    <v>en-GB</v>
    <v>a24kar</v>
    <v>268435456</v>
    <v>1</v>
    <v>6</v>
    <v>Powered by Refinitiv</v>
    <v>9</v>
    <v>TESLA, INC. (XNAS:TSLA)</v>
    <v>3</v>
    <v>10</v>
    <v>Finance</v>
    <v>11</v>
    <v>299.29000000000002</v>
    <v>152.37</v>
    <v>2.3988</v>
    <v>1.8</v>
    <v>2.4909999999999997E-3</v>
    <v>1.0537000000000001E-2</v>
    <v>0.43</v>
    <v>USD</v>
    <v>Tesla, Inc. designs, develops, manufactures, sells and leases high-performance fully electric vehicles and energy generation and storage systems, and offer services related to its products. The Company's segments include automotive, and energy generation and storage. The automotive segment includes the design, development, manufacturing, sales and leasing of high-performance fully electric vehicles, and sales of automotive regulatory credits. This segment also includes sales of used vehicles, non-warranty after-sales vehicle services, body shop and parts, paid supercharging, vehicle insurance and retail merchandise. Its consumer vehicles include the Model 3, Y, S, X and Cybertruck. The energy generation and storage segment includes the design, manufacture, installation, sales and leasing of solar energy generation and energy storage products and related services and sales of solar energy systems incentives. Its lithium-ion battery energy storage products include Powerwall and Megapack.</v>
    <v>140473</v>
    <v>Nasdaq Stock Market</v>
    <v>XNAS</v>
    <v>XNAS</v>
    <v>1 Tesla Road, AUSTIN, TX, 78725 US</v>
    <v>175.24</v>
    <v>Automobiles &amp; Auto Parts</v>
    <v>Stock</v>
    <v>45376.888152025</v>
    <v>8</v>
    <v>168.73</v>
    <v>549790470330</v>
    <v>TESLA, INC.</v>
    <v>TESLA, INC.</v>
    <v>168.76</v>
    <v>39.728299999999997</v>
    <v>170.83</v>
    <v>172.63</v>
    <v>173.06</v>
    <v>3184791000</v>
    <v>TSLA</v>
    <v>TESLA, INC. (XNAS:TSLA)</v>
    <v>73929806</v>
    <v>98005131</v>
    <v>2003</v>
  </rv>
  <rv s="2">
    <v>9</v>
  </rv>
  <rv s="0">
    <v>https://www.bing.com/financeapi/forcetrigger?t=c4eo9c&amp;q=XFRA%3aDTG&amp;form=skydnc</v>
    <v>Learn more on Bing</v>
  </rv>
  <rv s="4">
    <v>en-GB</v>
    <v>c4eo9c</v>
    <v>268435456</v>
    <v>1</v>
    <v>6</v>
    <v>Powered by Refinitiv</v>
    <v>6</v>
    <v>Daimler Truck Holding AG (XFRA:DTG)</v>
    <v>3</v>
    <v>12</v>
    <v>Finance</v>
    <v>13</v>
    <v>1.3540000000000001</v>
    <v>-0.37</v>
    <v>-7.8739999999999991E-3</v>
    <v>EUR</v>
    <v>Daimler Truck Holding AG is a Germany-based company, which is now operating as an independent entity. It manufactures commercial vehicles, develops new solutions, and invents new technologies. The Company is engaged in the manufacturing of Medium Duty Truck (MDT) and Heavy-Duty Trucks (HDT). The Company produces buses and trucks under brands, such as Bharat Benz, Freightliner, FUSO, Mercedes-Benz, Setra, Thomas Built Buses, and Western Star. The Company also offers tailored financial services to support the purchase and use of its trucks and buses. The Company has operations in France, Germany, India, Mexico, Brazil, and the United States of America, The Company's truck product range includes light, medium, and heavy trucks for long-distance distribution and construction site haulage, special vehicles which are used in municipal application as well as industrial engines.</v>
    <v>104416</v>
    <v>Deutsche Boerse AG</v>
    <v>XFRA</v>
    <v>XFRA</v>
    <v>Fasanenweg 10, LEINFELDEN-ECHTERDINGEN, BADEN-WUERTTEMBERG, 70771 DE</v>
    <v>47</v>
    <v>Machinery, Equipment &amp; Components</v>
    <v>Stock</v>
    <v>45378.443055555559</v>
    <v>11</v>
    <v>46.62</v>
    <v>38728120000</v>
    <v>Daimler Truck Holding AG</v>
    <v>Daimler Truck Holding AG</v>
    <v>47</v>
    <v>10.11</v>
    <v>46.99</v>
    <v>46.62</v>
    <v>822951900</v>
    <v>DTG</v>
    <v>Daimler Truck Holding AG (XFRA:DTG)</v>
    <v>409</v>
    <v>1448760</v>
    <v>2021</v>
  </rv>
  <rv s="2">
    <v>12</v>
  </rv>
  <rv s="0">
    <v>https://www.bing.com/financeapi/forcetrigger?t=ae9wmw&amp;q=XPAR%3aRNO&amp;form=skydnc</v>
    <v>Learn more on Bing</v>
  </rv>
  <rv s="6">
    <v>en-GB</v>
    <v>ae9wmw</v>
    <v>268435456</v>
    <v>1</v>
    <v>6</v>
    <v>Powered by Refinitiv</v>
    <v>14</v>
    <v>Renault SA (XPAR:RNO)</v>
    <v>3</v>
    <v>15</v>
    <v>Finance</v>
    <v>13</v>
    <v>45.78</v>
    <v>31.184999999999999</v>
    <v>1.9100999999999999</v>
    <v>0.155</v>
    <v>3.411E-3</v>
    <v>EUR</v>
    <v>Renault SA is a France-based company that designs, manufactures and sells passenger cars and light commercial vehicles and related services. Its brand portfolio consists of Renault, Dacia (both operating globally), Alpine (active in Europe, Japan and Australia), Renault Samsung Motors (operates only in South Korea) and Lada (operates only in Russia). The Group operating segments are three: Automotive excluding AVTOVAZ, Sales Financing and AVTOVAZ. Automotive excluding AVTOVAZ consists of the Group’s automotive activities comprising the production, sales, and distribution of passenger and light commercial vehicles, automobile service for the Renault, Dacia and Samsung brands and investments in Nissan, among others. Sales Financing, carried out by RCI Banque, covers the financing operations for sales of vehicles to dealers and end-users. AVTOVAZ, consists of the Russian automotive group AVTOVAZ and its parent company, the joint venture lliance Rostec Auto b.v.</v>
    <v>105497</v>
    <v>Euronext Paris</v>
    <v>XPAR</v>
    <v>XPAR</v>
    <v>122-122 Bis Avenue du General Leclerc, BOULOGNE-BILLANCOURT, ILE-DE-FRANCE, 92100 FR</v>
    <v>45.78</v>
    <v>Automobiles &amp; Auto Parts</v>
    <v>Stock</v>
    <v>45376.708333333336</v>
    <v>14</v>
    <v>44.97</v>
    <v>13436140000</v>
    <v>Renault SA</v>
    <v>Renault SA</v>
    <v>45.094999999999999</v>
    <v>5.6161000000000003</v>
    <v>45.435000000000002</v>
    <v>45.59</v>
    <v>295722300</v>
    <v>RNO</v>
    <v>Renault SA (XPAR:RNO)</v>
    <v>952772</v>
    <v>1335260</v>
    <v>2002</v>
  </rv>
  <rv s="2">
    <v>15</v>
  </rv>
  <rv s="7">
    <v>2</v>
    <v>5</v>
    <v>Volvo Logo PNG Image - PNG All | PNG All</v>
  </rv>
  <rv s="7">
    <v>3</v>
    <v>5</v>
    <v>Tesla logo PNG</v>
  </rv>
  <rv s="3">
    <v>4</v>
    <v>5</v>
  </rv>
  <rv s="7">
    <v>5</v>
    <v>5</v>
    <v>Renault logo PNG</v>
  </rv>
  <rv s="8">
    <v>12</v>
    <v>Descrição</v>
    <v>0</v>
  </rv>
  <rv s="8">
    <v>12</v>
    <v>Moeda</v>
    <v>0</v>
  </rv>
  <rv s="9">
    <v>pt-BR</v>
    <v>avyn9c</v>
    <v>268435456</v>
    <v>1</v>
    <v>6</v>
    <v>Da plataforma Refinitiv</v>
    <v>16</v>
    <v>17</v>
    <v>USD/EUR</v>
    <v>18</v>
    <v>19</v>
    <v>Finance</v>
    <v>20</v>
    <v>0.95699999999999996</v>
    <v>0.88670000000000004</v>
    <v>USD</v>
    <v>0.93200000000000005</v>
    <v>45408.875</v>
    <v>EUR</v>
    <v>US Dollar/Euro FX Cross Rate</v>
    <v>0.93489999999999995</v>
    <v>USDEUR</v>
    <v>Par de Moedas</v>
    <v>USD/EUR</v>
    <v>2.8999999999999998E-3</v>
    <v>3.1119999999999997E-3</v>
  </rv>
  <rv s="2">
    <v>23</v>
  </rv>
</rvData>
</file>

<file path=xl/richData/rdrichvaluestructure.xml><?xml version="1.0" encoding="utf-8"?>
<rvStructures xmlns="http://schemas.microsoft.com/office/spreadsheetml/2017/richdata" count="10">
  <s t="_hyperlink">
    <k n="Address" t="s"/>
    <k n="Text" t="s"/>
  </s>
  <s t="_linkedentitycore">
    <k n="%EntityCulture" t="s"/>
    <k n="%EntityId" t="s"/>
    <k n="%EntityServiceId"/>
    <k n="%IsRefreshable" t="b"/>
    <k n="%OutdatedReason" t="i"/>
    <k n="%ProviderInfo" t="s"/>
    <k n="_CanonicalPropertyNames" t="spb"/>
    <k n="_Display" t="spb"/>
    <k n="_DisplayString" t="s"/>
    <k n="_Flags" t="spb"/>
    <k n="_Format" t="spb"/>
    <k n="_Icon" t="s"/>
    <k n="_SubLabel" t="spb"/>
    <k n="52 semanas de alta"/>
    <k n="52 semanas de baixa"/>
    <k n="Abreviatura do câmbio" t="s"/>
    <k n="Ações em circulação"/>
    <k n="Alto"/>
    <k n="Ano de incorporação"/>
    <k n="Baixo"/>
    <k n="Beta"/>
    <k n="Bolsa" t="s"/>
    <k n="Capitalização de mercado"/>
    <k n="Descrição" t="s"/>
    <k n="ExchangeID" t="s"/>
    <k n="Fechamento anterior"/>
    <k n="Funcionários"/>
    <k n="Hora da última transação"/>
    <k n="LearnMoreOnLink" t="r"/>
    <k n="Média de volume"/>
    <k n="Moeda" t="s"/>
    <k n="Nome" t="s"/>
    <k n="Nome oficial" t="s"/>
    <k n="P/E"/>
    <k n="Pendência"/>
    <k n="Preço"/>
    <k n="Sede" t="s"/>
    <k n="Setor" t="s"/>
    <k n="Símbolo do ticker" t="s"/>
    <k n="Tipo de instrumento" t="s"/>
    <k n="UniqueName" t="s"/>
    <k n="Variação"/>
    <k n="Variação (%)"/>
    <k n="Volume"/>
  </s>
  <s t="_linkedentity">
    <k n="%cvi" t="r"/>
  </s>
  <s t="_localImage">
    <k n="_rvRel:LocalImageIdentifier" t="i"/>
    <k n="CalcOrigin" t="i"/>
  </s>
  <s t="_linkedentitycore">
    <k n="%EntityCulture" t="s"/>
    <k n="%EntityId" t="s"/>
    <k n="%EntityServiceId"/>
    <k n="%IsRefreshable" t="b"/>
    <k n="%OutdatedReason" t="i"/>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ocalImage">
    <k n="_rvRel:LocalImageIdentifier" t="i"/>
    <k n="CalcOrigin" t="i"/>
    <k n="Text" t="s"/>
  </s>
  <s t="_error">
    <k n="errorType" t="i"/>
    <k n="field" t="s"/>
    <k n="subType" t="i"/>
  </s>
  <s t="_linkedentitycore">
    <k n="%EntityCulture" t="s"/>
    <k n="%EntityId" t="s"/>
    <k n="%EntityServiceId"/>
    <k n="%IsRefreshable" t="b"/>
    <k n="%OutdatedReason" t="i"/>
    <k n="%ProviderInfo" t="s"/>
    <k n="_CanonicalPropertyNames" t="spb"/>
    <k n="_Display" t="spb"/>
    <k n="_DisplayString" t="s"/>
    <k n="_Flags" t="spb"/>
    <k n="_Format" t="spb"/>
    <k n="_Icon" t="s"/>
    <k n="_SubLabel" t="spb"/>
    <k n="52 semanas de alta"/>
    <k n="52 semanas de baixa"/>
    <k n="Da moeda" t="s"/>
    <k n="Fechamento anterior"/>
    <k n="Hora da última transação"/>
    <k n="Moeda" t="s"/>
    <k n="Nome" t="s"/>
    <k n="Preço"/>
    <k n="Símbolo do ticker" t="s"/>
    <k n="Tipo de instrumento" t="s"/>
    <k n="UniqueName" t="s"/>
    <k n="Variação"/>
    <k n="Variação (%)"/>
  </s>
</rvStructures>
</file>

<file path=xl/richData/rdsupportingpropertybag.xml><?xml version="1.0" encoding="utf-8"?>
<supportingPropertyBags xmlns="http://schemas.microsoft.com/office/spreadsheetml/2017/richdata2">
  <spbArrays count="5">
    <a count="44">
      <v t="s">%EntityServiceId</v>
      <v t="s">_Format</v>
      <v t="s">%IsRefreshable</v>
      <v t="s">_CanonicalPropertyNames</v>
      <v t="s">%EntityCulture</v>
      <v t="s">%EntityId</v>
      <v t="s">_Icon</v>
      <v t="s">_Display</v>
      <v t="s">Nome</v>
      <v t="s">_SubLabel</v>
      <v t="s">Preço</v>
      <v t="s">Bolsa</v>
      <v t="s">Nome oficial</v>
      <v t="s">Hora da última transação</v>
      <v t="s">Símbolo do ticker</v>
      <v t="s">Abreviatura do câmbio</v>
      <v t="s">Variação</v>
      <v t="s">Variação (%)</v>
      <v t="s">Moeda</v>
      <v t="s">Fechamento anterior</v>
      <v t="s">Pendência</v>
      <v t="s">Alto</v>
      <v t="s">Baixo</v>
      <v t="s">52 semanas de alta</v>
      <v t="s">52 semanas de baixa</v>
      <v t="s">Volume</v>
      <v t="s">Média de volume</v>
      <v t="s">Capitalização de mercado</v>
      <v t="s">Beta</v>
      <v t="s">P/E</v>
      <v t="s">Ações em circulação</v>
      <v t="s">Descrição</v>
      <v t="s">Funcionários</v>
      <v t="s">Sede</v>
      <v t="s">Setor</v>
      <v t="s">Tipo de instrumento</v>
      <v t="s">Ano de incorporação</v>
      <v t="s">_Flags</v>
      <v t="s">UniqueName</v>
      <v t="s">_DisplayString</v>
      <v t="s">LearnMoreOnLink</v>
      <v t="s">ExchangeID</v>
      <v t="s">%ProviderInfo</v>
      <v t="s">%OutdatedReason</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43">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v t="s">%OutdatedReason</v>
    </a>
    <a count="26">
      <v t="s">%EntityServiceId</v>
      <v t="s">_Format</v>
      <v t="s">%IsRefreshable</v>
      <v t="s">_CanonicalPropertyNames</v>
      <v t="s">%EntityCulture</v>
      <v t="s">%EntityId</v>
      <v t="s">_Icon</v>
      <v t="s">_Display</v>
      <v t="s">Nome</v>
      <v t="s">Preço</v>
      <v t="s">_SubLabel</v>
      <v t="s">Hora da última transação</v>
      <v t="s">Símbolo do ticker</v>
      <v t="s">Variação</v>
      <v t="s">Variação (%)</v>
      <v t="s">Moeda</v>
      <v t="s">Da moeda</v>
      <v t="s">Fechamento anterior</v>
      <v t="s">52 semanas de alta</v>
      <v t="s">52 semanas de baixa</v>
      <v t="s">Tipo de instrumento</v>
      <v t="s">_Flags</v>
      <v t="s">UniqueName</v>
      <v t="s">_DisplayString</v>
      <v t="s">%ProviderInfo</v>
      <v t="s">%OutdatedReason</v>
    </a>
  </spbArrays>
  <spbData count="21">
    <spb s="0">
      <v>P/E</v>
      <v>High</v>
      <v>Beta</v>
      <v>Name</v>
      <v>Headquarters</v>
      <v>Low</v>
      <v>Exchange</v>
      <v>Currency</v>
      <v>Price</v>
      <v>Industry</v>
      <v>Volume</v>
      <v>Change</v>
      <v>Description</v>
      <v>Open</v>
      <v>ExchangeID</v>
      <v>UniqueName</v>
      <v>Employees</v>
      <v>Official name</v>
      <v>Change (%)</v>
      <v>%ProviderInfo</v>
      <v>LearnMoreOnLink</v>
      <v>Volume average</v>
      <v>Ticker symbol</v>
      <v>52 week high</v>
      <v>52 week low</v>
      <v>Year incorporated</v>
      <v>Shares outstanding</v>
      <v>Previous close</v>
      <v>Instrument type</v>
      <v>Exchange abbreviation</v>
      <v>Market cap</v>
      <v>Last trade time</v>
    </spb>
    <spb s="1">
      <v>0</v>
      <v>Name</v>
      <v>LearnMoreOnLink</v>
    </spb>
    <spb s="2">
      <v>0</v>
      <v>0</v>
      <v>0</v>
    </spb>
    <spb s="3">
      <v>2</v>
      <v>2</v>
      <v>2</v>
      <v>2</v>
    </spb>
    <spb s="4">
      <v>1</v>
      <v>2</v>
      <v>1</v>
      <v>3</v>
      <v>2</v>
      <v>2</v>
      <v>4</v>
      <v>2</v>
      <v>2</v>
      <v>4</v>
      <v>5</v>
      <v>4</v>
      <v>6</v>
      <v>2</v>
      <v>2</v>
      <v>7</v>
      <v>4</v>
      <v>2</v>
      <v>8</v>
      <v>9</v>
    </spb>
    <spb s="5">
      <v>Tempo Real Nasdaq Última venda</v>
      <v xml:space="preserve">do fechamento anterior </v>
      <v>Origem : Nasdaq Última venda</v>
      <v xml:space="preserve">do fechamento anterior </v>
      <v>GMT</v>
    </spb>
    <spb s="1">
      <v>1</v>
      <v>Name</v>
      <v>LearnMoreOnLink</v>
    </spb>
    <spb s="6">
      <v>10</v>
      <v>1</v>
      <v>1</v>
      <v>10</v>
      <v>3</v>
      <v>10</v>
      <v>10</v>
      <v>10</v>
      <v>4</v>
      <v>4</v>
      <v>5</v>
      <v>11</v>
      <v>10</v>
      <v>4</v>
      <v>9</v>
      <v>7</v>
      <v>6</v>
      <v>4</v>
    </spb>
    <spb s="7">
      <v>Delayed 15 minutes</v>
      <v>from previous close</v>
      <v>from previous close</v>
      <v>Source: Nasdaq Nordic</v>
      <v>GMT</v>
    </spb>
    <spb s="1">
      <v>2</v>
      <v>Name</v>
      <v>LearnMoreOnLink</v>
    </spb>
    <spb s="8">
      <v>2</v>
      <v>1</v>
      <v>1</v>
      <v>2</v>
      <v>3</v>
      <v>2</v>
      <v>2</v>
      <v>2</v>
      <v>4</v>
      <v>4</v>
      <v>5</v>
      <v>8</v>
      <v>2</v>
      <v>2</v>
      <v>2</v>
      <v>4</v>
      <v>9</v>
      <v>7</v>
      <v>6</v>
      <v>4</v>
      <v>2</v>
      <v>2</v>
      <v>5</v>
    </spb>
    <spb s="9">
      <v>at close</v>
      <v>from previous close</v>
      <v>from previous close</v>
      <v>Source: Nasdaq Last Sale</v>
      <v>GMT</v>
      <v>Real-Time Nasdaq Last Sale</v>
      <v>from close</v>
      <v>from close</v>
    </spb>
    <spb s="6">
      <v>12</v>
      <v>1</v>
      <v>1</v>
      <v>12</v>
      <v>3</v>
      <v>12</v>
      <v>12</v>
      <v>12</v>
      <v>4</v>
      <v>4</v>
      <v>5</v>
      <v>13</v>
      <v>12</v>
      <v>4</v>
      <v>9</v>
      <v>7</v>
      <v>6</v>
      <v>4</v>
    </spb>
    <spb s="10">
      <v>Delayed 15 minutes</v>
      <v>from previous close</v>
      <v>from previous close</v>
      <v>GMT</v>
    </spb>
    <spb s="1">
      <v>3</v>
      <v>Name</v>
      <v>LearnMoreOnLink</v>
    </spb>
    <spb s="11">
      <v>12</v>
      <v>1</v>
      <v>1</v>
      <v>12</v>
      <v>3</v>
      <v>12</v>
      <v>12</v>
      <v>12</v>
      <v>4</v>
      <v>4</v>
      <v>5</v>
      <v>13</v>
      <v>12</v>
      <v>12</v>
      <v>12</v>
      <v>4</v>
      <v>9</v>
      <v>7</v>
      <v>6</v>
      <v>4</v>
    </spb>
    <spb s="12">
      <v>Name</v>
      <v>Currency</v>
      <v>Price</v>
      <v>From currency</v>
      <v>Change</v>
      <v>UniqueName</v>
      <v>Change (%)</v>
      <v>%ProviderInfo</v>
      <v>Ticker symbol</v>
      <v>52 week high</v>
      <v>52 week low</v>
      <v>Previous close</v>
      <v>Instrument type</v>
      <v>Last trade time</v>
    </spb>
    <spb s="13">
      <v>4</v>
      <v>Name</v>
    </spb>
    <spb s="14">
      <v>2</v>
      <v>2</v>
    </spb>
    <spb s="15">
      <v>3</v>
      <v>12</v>
      <v>12</v>
      <v>5</v>
      <v>6</v>
      <v>12</v>
      <v>12</v>
      <v>12</v>
      <v>9</v>
    </spb>
    <spb s="16">
      <v>GMT</v>
    </spb>
  </spbData>
</supportingPropertyBags>
</file>

<file path=xl/richData/rdsupportingpropertybagstructure.xml><?xml version="1.0" encoding="utf-8"?>
<spbStructures xmlns="http://schemas.microsoft.com/office/spreadsheetml/2017/richdata2" count="17">
  <s>
    <k n="P/E" t="s"/>
    <k n="Alto" t="s"/>
    <k n="Beta" t="s"/>
    <k n="Nome" t="s"/>
    <k n="Sede" t="s"/>
    <k n="Baixo" t="s"/>
    <k n="Bolsa" t="s"/>
    <k n="Moeda" t="s"/>
    <k n="Preço" t="s"/>
    <k n="Setor" t="s"/>
    <k n="Volume" t="s"/>
    <k n="Variação" t="s"/>
    <k n="Descrição" t="s"/>
    <k n="Pendência" t="s"/>
    <k n="ExchangeID" t="s"/>
    <k n="UniqueName" t="s"/>
    <k n="Funcionários" t="s"/>
    <k n="Nome oficial" t="s"/>
    <k n="Variação (%)" t="s"/>
    <k n="%ProviderInfo" t="s"/>
    <k n="LearnMoreOnLink" t="s"/>
    <k n="Média de volume" t="s"/>
    <k n="Símbolo do ticker" t="s"/>
    <k n="52 semanas de alta" t="s"/>
    <k n="52 semanas de baixa" t="s"/>
    <k n="Ano de incorporação" t="s"/>
    <k n="Ações em circulação" t="s"/>
    <k n="Fechamento anterior" t="s"/>
    <k n="Tipo de instrumento" t="s"/>
    <k n="Abreviatura do câmbio" t="s"/>
    <k n="Capitalização de mercado" t="s"/>
    <k n="Hora da última transação" t="s"/>
  </s>
  <s>
    <k n="^Order" t="spba"/>
    <k n="TitleProperty" t="s"/>
    <k n="SubTitleProperty" t="s"/>
  </s>
  <s>
    <k n="ShowInCardView" t="b"/>
    <k n="ShowInDotNotation" t="b"/>
    <k n="ShowInAutoComplete" t="b"/>
  </s>
  <s>
    <k n="ExchangeID" t="spb"/>
    <k n="UniqueName" t="spb"/>
    <k n="`%ProviderInfo" t="spb"/>
    <k n="LearnMoreOnLink" t="spb"/>
  </s>
  <s>
    <k n="P/E" t="i"/>
    <k n="Alto" t="i"/>
    <k n="Beta" t="i"/>
    <k n="Nome" t="i"/>
    <k n="Baixo" t="i"/>
    <k n="Preço" t="i"/>
    <k n="Volume" t="i"/>
    <k n="Variação" t="i"/>
    <k n="Pendência" t="i"/>
    <k n="Funcionários" t="i"/>
    <k n="Variação (%)" t="i"/>
    <k n="Média de volume" t="i"/>
    <k n="`%EntityServiceId" t="i"/>
    <k n="52 semanas de alta" t="i"/>
    <k n="52 semanas de baixa" t="i"/>
    <k n="Ano de incorporação" t="i"/>
    <k n="Ações em circulação" t="i"/>
    <k n="Fechamento anterior" t="i"/>
    <k n="Capitalização de mercado" t="i"/>
    <k n="Hora da última transação" t="i"/>
  </s>
  <s>
    <k n="Preço" t="s"/>
    <k n="Variação" t="s"/>
    <k n="ExchangeID" t="s"/>
    <k n="Variação (%)" t="s"/>
    <k n="Hora da última transação"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ExchangeID"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Price" t="s"/>
    <k n="Change" t="s"/>
    <k n="Change (%)" t="s"/>
    <k n="Last trade time"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Nome" t="s"/>
    <k n="Moeda" t="s"/>
    <k n="Preço" t="s"/>
    <k n="Da moeda" t="s"/>
    <k n="Variação" t="s"/>
    <k n="UniqueName" t="s"/>
    <k n="Variação (%)" t="s"/>
    <k n="%ProviderInfo" t="s"/>
    <k n="Símbolo do ticker" t="s"/>
    <k n="52 semanas de alta" t="s"/>
    <k n="52 semanas de baixa" t="s"/>
    <k n="Fechamento anterior" t="s"/>
    <k n="Tipo de instrumento" t="s"/>
    <k n="Hora da última transação" t="s"/>
  </s>
  <s>
    <k n="^Order" t="spba"/>
    <k n="TitleProperty" t="s"/>
  </s>
  <s>
    <k n="UniqueName" t="spb"/>
    <k n="`%ProviderInfo" t="spb"/>
  </s>
  <s>
    <k n="Nome" t="i"/>
    <k n="Preço" t="i"/>
    <k n="Variação" t="i"/>
    <k n="Variação (%)" t="i"/>
    <k n="`%EntityServiceId" t="i"/>
    <k n="52 semanas de alta" t="i"/>
    <k n="52 semanas de baixa" t="i"/>
    <k n="Fechamento anterior" t="i"/>
    <k n="Hora da última transação" t="i"/>
  </s>
  <s>
    <k n="Hora da última transaçã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4" formatCode="#,##0.00"/>
    </x:dxf>
    <x:dxf>
      <x:numFmt numFmtId="3" formatCode="#,##0"/>
    </x:dxf>
    <x:dxf>
      <x:numFmt numFmtId="14" formatCode="0.00%"/>
    </x:dxf>
    <x:dxf>
      <x:numFmt numFmtId="2" formatCode="0.00"/>
    </x:dxf>
    <x:dxf>
      <x:numFmt numFmtId="1" formatCode="0"/>
    </x:dxf>
    <x:dxf>
      <x:numFmt numFmtId="27" formatCode="yyyy/m/d\ h:mm"/>
    </x:dxf>
    <x:dxf>
      <x:numFmt numFmtId="0" formatCode="General"/>
    </x:dxf>
  </dxfs>
  <richProperties>
    <rPr n="NumberFormat" t="s"/>
    <rPr n="IsTitleField" t="b"/>
  </richProperties>
  <richStyles>
    <rSty dxfid="0">
      <rpv i="0">#,##0.00</rpv>
    </rSty>
    <rSty dxfid="6">
      <rpv i="0">_([$$-en-US]* #,##0.00_);_([$$-en-US]* (#,##0.00);_([$$-en-US]* "-"??_);_(@_)</rpv>
    </rSty>
    <rSty>
      <rpv i="1">1</rpv>
    </rSty>
    <rSty dxfid="1">
      <rpv i="0">#,##0</rpv>
    </rSty>
    <rSty dxfid="2"/>
    <rSty dxfid="3">
      <rpv i="0">0.00</rpv>
    </rSty>
    <rSty dxfid="4">
      <rpv i="0">0</rpv>
    </rSty>
    <rSty dxfid="6">
      <rpv i="0">_([$$-en-US]* #,##0_);_([$$-en-US]* (#,##0);_([$$-en-US]* "-"_);_(@_)</rpv>
    </rSty>
    <rSty dxfid="5"/>
    <rSty dxfid="6">
      <rpv i="0">_-* #,##0.00 [$kr-se-SE]_-;-* #,##0.00 [$kr-se-SE]_-;_-* "-"?? [$kr-se-SE]_-;_-@_-</rpv>
    </rSty>
    <rSty dxfid="6">
      <rpv i="0">_-* #,##0 [$kr-se-SE]_-;-* #,##0 [$kr-se-SE]_-;_-* "-" [$kr-se-SE]_-;_-@_-</rpv>
    </rSty>
    <rSty dxfid="6">
      <rpv i="0">_([$€-x-euro2] * #,##0.00_);_([$€-x-euro2] * (#,##0.00);_([$€-x-euro2] * "-"??_);_(@_)</rpv>
    </rSty>
    <rSty dxfid="6">
      <rpv i="0">_([$€-x-euro2] * #,##0_);_([$€-x-euro2] * (#,##0);_([$€-x-euro2] * "-"_);_(@_)</rpv>
    </rSty>
  </richStyles>
</richStyleSheet>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2" dT="2023-03-05T23:56:38.75" personId="{6D2C5BD9-1C3E-4972-9F97-1CA81A3CC14E}" id="{B8360AB7-5DB1-45D3-ABF9-3AFEF51621D6}">
    <text>Date of last update of the report</text>
  </threadedComment>
  <threadedComment ref="D2" dT="2023-03-05T23:56:06.54" personId="{6D2C5BD9-1C3E-4972-9F97-1CA81A3CC14E}" id="{D17B5162-9C54-4F03-8882-3A424C1A2E60}">
    <text>Insert the date when the company will issue their next quarter/annual report</text>
  </threadedComment>
  <threadedComment ref="L2" dT="2023-03-05T23:56:59.28" personId="{6D2C5BD9-1C3E-4972-9F97-1CA81A3CC14E}" id="{74106D0B-4568-4C95-B1A7-D780E3BD20D3}">
    <text>In what exchange the company is listed in (Input the main exchange)</text>
  </threadedComment>
</ThreadedComments>
</file>

<file path=xl/threadedComments/threadedComment2.xml><?xml version="1.0" encoding="utf-8"?>
<ThreadedComments xmlns="http://schemas.microsoft.com/office/spreadsheetml/2018/threadedcomments" xmlns:x="http://schemas.openxmlformats.org/spreadsheetml/2006/main">
  <threadedComment ref="C7" dT="2024-04-30T18:31:01.65" personId="{36327C47-2050-4A8E-88F5-5CF71939FC19}" id="{062BC1DC-0CB7-4D29-87CB-CDB12B945015}">
    <text>Mexico, South America, Australia and Other</text>
  </threadedComment>
  <threadedComment ref="C15" dT="2024-04-08T11:55:26.26" personId="{5AF80347-8D83-4A7F-8705-2C28C45B8F4A}" id="{B790DD17-791D-4AC4-BD28-BBE31782A146}">
    <text>from the financing or leasing of PACCAR products and services provided to truck customers and dealers</text>
  </threadedComment>
  <threadedComment ref="C16" dT="2024-04-08T11:40:07.80" personId="{5AF80347-8D83-4A7F-8705-2C28C45B8F4A}" id="{286DAC21-0B5E-43AE-BE50-23774BF430AF}">
    <text>Other includes the winch business as well as sales, income and expenses not attributable to a reportable segment</text>
  </threadedComment>
  <threadedComment ref="D27" dT="2024-04-13T21:22:06.22" personId="{5AF80347-8D83-4A7F-8705-2C28C45B8F4A}" id="{C133BDA6-AEE6-488D-8A70-82461C95AE38}">
    <text xml:space="preserve">also influenced by:  globalization </text>
  </threadedComment>
</ThreadedComments>
</file>

<file path=xl/threadedComments/threadedComment3.xml><?xml version="1.0" encoding="utf-8"?>
<ThreadedComments xmlns="http://schemas.microsoft.com/office/spreadsheetml/2018/threadedcomments" xmlns:x="http://schemas.openxmlformats.org/spreadsheetml/2006/main">
  <threadedComment ref="C18" dT="2024-04-19T17:03:22.16" personId="{69245220-6608-4757-B095-E49590D7B0D5}" id="{F368CCC5-6913-0347-8F29-B8B16DF2FC25}">
    <text>38,7% in 2023</text>
  </threadedComment>
  <threadedComment ref="D43" dT="2024-04-07T11:11:13.71" personId="{69245220-6608-4757-B095-E49590D7B0D5}" id="{66F19324-9A44-364B-BF27-62745DD7960F}">
    <text>Yahoo Finance says 1,01</text>
  </threadedComment>
  <threadedComment ref="G43" dT="2024-04-07T11:23:26.60" personId="{69245220-6608-4757-B095-E49590D7B0D5}" id="{81D59438-C4D5-2D48-9F85-1A8DB411B5BB}">
    <text>1,68 Yahoo Finance</text>
  </threadedComment>
  <threadedComment ref="F44" dT="2024-04-07T11:22:38.86" personId="{69245220-6608-4757-B095-E49590D7B0D5}" id="{10F1DD23-2E32-6146-9BCD-9916D29911CA}">
    <text>4,08% previous year</text>
  </threadedComment>
  <threadedComment ref="E49" dT="2024-04-12T22:06:23.37" personId="{69245220-6608-4757-B095-E49590D7B0D5}" id="{CBA2628C-E527-B74E-9B01-2BE1DBF34941}">
    <text xml:space="preserve">Market Watch
</text>
  </threadedComment>
</ThreadedComments>
</file>

<file path=xl/threadedComments/threadedComment4.xml><?xml version="1.0" encoding="utf-8"?>
<ThreadedComments xmlns="http://schemas.microsoft.com/office/spreadsheetml/2018/threadedcomments" xmlns:x="http://schemas.openxmlformats.org/spreadsheetml/2006/main">
  <threadedComment ref="G6" dT="2024-04-30T15:17:29.54" personId="{36327C47-2050-4A8E-88F5-5CF71939FC19}" id="{700C8CAB-D721-441E-96B5-3D8AFE144D90}">
    <text>Q1 FY24: 8744,3</text>
  </threadedComment>
  <threadedComment ref="G7" dT="2024-05-05T15:24:51.74" personId="{36327C47-2050-4A8E-88F5-5CF71939FC19}" id="{792A0ECF-AD3F-4B01-9E2A-5CC4D27337F6}">
    <text>"PACCAR achieved excellent truck parts and other gross margins of 19% in the first quarter. We anticipate second quarter margins to be strong and in a range of 18% to 18.5%." PACCAR Q1 2024 Earnings Call Transcript</text>
  </threadedComment>
  <threadedComment ref="G15" dT="2024-05-01T14:32:57.14" personId="{36327C47-2050-4A8E-88F5-5CF71939FC19}" id="{C8329289-A4B7-4358-920A-E0EB28386555}">
    <text>Q1 FY2024: 1534,5
Forecast for 2024: 6755,2</text>
  </threadedComment>
  <threadedComment ref="G17" dT="2024-04-30T15:19:24.74" personId="{36327C47-2050-4A8E-88F5-5CF71939FC19}" id="{B0182465-18A6-474D-9B56-172839104F30}">
    <text>1Q FY24: 1195,3
Forecast for 2024: 5359,18</text>
  </threadedComment>
  <threadedComment ref="G22" dT="2024-04-30T15:20:17.75" personId="{36327C47-2050-4A8E-88F5-5CF71939FC19}" id="{C8ACA9B9-E711-48FC-87AB-592BF22FF983}">
    <text>Q1 FY24: 1469</text>
  </threadedComment>
  <threadedComment ref="C23" dT="2024-05-01T13:53:45.97" personId="{36327C47-2050-4A8E-88F5-5CF71939FC19}" id="{A5B73C30-9D75-4525-944A-D223C900CB1A}">
    <text>Excludes Acquisition of equipment for operating leases</text>
  </threadedComment>
  <threadedComment ref="G23" dT="2024-05-05T15:22:46.05" personId="{36327C47-2050-4A8E-88F5-5CF71939FC19}" id="{EA872A3A-68D9-477B-9792-E350A517C9D3}">
    <text>In 2024, we’re planning capital investments in the range of $700 million to $750 million</text>
  </threadedComment>
  <threadedComment ref="G26" dT="2024-04-30T15:20:39.21" personId="{36327C47-2050-4A8E-88F5-5CF71939FC19}" id="{64CB78E2-EE69-46E7-9140-8AF9DAA2B73B}">
    <text>Q1 FY24: -526,1</text>
  </threadedComment>
  <threadedComment ref="G32" dT="2024-05-05T15:39:22.86" personId="{36327C47-2050-4A8E-88F5-5CF71939FC19}" id="{EE923B4E-A21B-482F-B249-48773422CBFE}">
    <text>Q1 FY2024: -1880</text>
  </threadedComment>
  <threadedComment ref="C40" dT="2024-04-29T17:20:15.23" personId="{36327C47-2050-4A8E-88F5-5CF71939FC19}" id="{716972D5-F66B-4D97-9A1E-3C81AE40029B}">
    <text>Gross Value (Excluding Operating Leases)</text>
  </threadedComment>
  <threadedComment ref="C41" dT="2024-05-03T11:31:01.40" personId="{36327C47-2050-4A8E-88F5-5CF71939FC19}" id="{5B6287A8-68EE-4393-93C7-43E4C6B1F139}">
    <text>Only Depreciation from PPE</text>
  </threadedComment>
  <threadedComment ref="D53" dT="2024-04-28T18:33:19.46" personId="{4F3627F3-5E58-4673-B57C-E78F7071B9BE}" id="{0C75EED1-434F-4C69-BDDB-7008D656CD08}">
    <text>They don't have amortizations</text>
  </threadedComment>
  <threadedComment ref="E56" dT="2024-04-28T18:24:55.85" personId="{4F3627F3-5E58-4673-B57C-E78F7071B9BE}" id="{7018352D-1142-4633-B689-1479B98A1BA4}">
    <text>As in the guide</text>
  </threadedComment>
  <threadedComment ref="D63" dT="2024-04-28T18:31:25.54" personId="{4F3627F3-5E58-4673-B57C-E78F7071B9BE}" id="{4EAAE50F-47C5-4011-AD14-C5FC7681A8D7}">
    <text>They don't really plan on doing any acquisition, but are open to the possibility.</text>
  </threadedComment>
  <threadedComment ref="D64" dT="2024-04-28T18:32:47.59" personId="{4F3627F3-5E58-4673-B57C-E78F7071B9BE}" id="{AB6CF340-AB85-4AEC-B637-E6B087649E4B}">
    <text>They state in their presentation, that they have a 50% dividend policy, however the data in the inputs show this value as 33% so, I forecasted it to stay the same.</text>
  </threadedComment>
</ThreadedComments>
</file>

<file path=xl/threadedComments/threadedComment5.xml><?xml version="1.0" encoding="utf-8"?>
<ThreadedComments xmlns="http://schemas.microsoft.com/office/spreadsheetml/2018/threadedcomments" xmlns:x="http://schemas.openxmlformats.org/spreadsheetml/2006/main">
  <threadedComment ref="AS138" dT="2024-05-05T15:21:01.91" personId="{36327C47-2050-4A8E-88F5-5CF71939FC19}" id="{52BECF3C-658B-4083-A0DA-1F67DF6E04DD}">
    <text>"PACCAR delivered 48,100 trucks during the first quarter and anticipates second quarter deliveries to be around 48,000" PACCAR Q1 2024 Earnings Call Transcript</text>
  </threadedComment>
  <threadedComment ref="D292" dT="2024-05-01T14:43:41.57" personId="{36327C47-2050-4A8E-88F5-5CF71939FC19}" id="{F8540655-C020-4C7F-80EF-C44CC1E23C68}">
    <text>Includes a -942,6$ million European Commission Charge</text>
  </threadedComment>
  <threadedComment ref="E292" dT="2024-05-01T14:44:25.73" personId="{36327C47-2050-4A8E-88F5-5CF71939FC19}" id="{3792DACB-48E7-4C44-864B-A334E874BDFD}">
    <text>Includes a 109,6$ million European Commission Charge</text>
  </threadedComment>
  <threadedComment ref="L292" dT="2024-05-01T14:43:41.57" personId="{36327C47-2050-4A8E-88F5-5CF71939FC19}" id="{BA454C82-AB01-40F8-A0A2-88E0B0883ABC}">
    <text>Includes a -942,6$ million European Commission Charge</text>
  </threadedComment>
  <threadedComment ref="M292" dT="2024-05-01T14:44:25.73" personId="{36327C47-2050-4A8E-88F5-5CF71939FC19}" id="{40F9E3E6-C70D-43DD-B8C1-42C4A9E053C8}">
    <text>Includes a 109,6$ million European Commission Charge</text>
  </threadedComment>
  <threadedComment ref="O294" dT="2024-05-01T15:05:13.25" personId="{36327C47-2050-4A8E-88F5-5CF71939FC19}" id="{0826DE32-FE81-4474-8516-31CF21568C0E}">
    <text>Includes a one-time net tax benefit of $173,4 million, from the new US tax law</text>
  </threadedComment>
  <threadedComment ref="D306" dT="2024-05-01T14:37:58.32" personId="{36327C47-2050-4A8E-88F5-5CF71939FC19}" id="{4452BEF6-C202-4C43-A002-3E07CC610A57}">
    <text>Includes a $600 million non-recurring charge related to civil litigation in Europe</text>
  </threadedComment>
  <threadedComment ref="L306" dT="2024-05-01T14:37:58.32" personId="{36327C47-2050-4A8E-88F5-5CF71939FC19}" id="{EDAA7EA2-4E96-4683-AB7C-4045FF3AF33B}">
    <text>Includes a $600 million non-recurring charge related to civil litigation in Europe</text>
  </threadedComment>
  <threadedComment ref="B310" dT="2024-05-01T14:46:58.29" personId="{36327C47-2050-4A8E-88F5-5CF71939FC19}" id="{B7E12147-FF74-4D4F-8A25-8B1F669756DA}">
    <text>Excluding 2016 as it is clearly an outlier</text>
  </threadedComment>
  <threadedComment ref="B392" dT="2024-04-30T10:50:44.13" personId="{36327C47-2050-4A8E-88F5-5CF71939FC19}" id="{F67BCC06-59BC-4E5B-8EFC-AC69C2A12BD9}">
    <text>Gross Value (excluding Operating Leases)</text>
  </threadedComment>
</ThreadedComments>
</file>

<file path=xl/threadedComments/threadedComment6.xml><?xml version="1.0" encoding="utf-8"?>
<ThreadedComments xmlns="http://schemas.microsoft.com/office/spreadsheetml/2018/threadedcomments" xmlns:x="http://schemas.openxmlformats.org/spreadsheetml/2006/main">
  <threadedComment ref="A10" dT="2024-05-01T14:30:21.63" personId="{36327C47-2050-4A8E-88F5-5CF71939FC19}" id="{E68105D2-438B-439D-B2E7-7A480FDD158B}">
    <text>The company reports Investment Income as part of NFC, so it was included here as well.</text>
  </threadedComment>
  <threadedComment ref="A19" dT="2024-04-27T13:39:35.03" personId="{36327C47-2050-4A8E-88F5-5CF71939FC19}" id="{DA832A37-588E-4AC1-BF66-327D541D41D1}">
    <text>Foreign currency translation gain</text>
  </threadedComment>
  <threadedComment ref="A33" dT="2024-04-29T17:19:05.73" personId="{36327C47-2050-4A8E-88F5-5CF71939FC19}" id="{C57D4B20-A51A-43A4-94D1-AEC50B8EF273}">
    <text>Net</text>
  </threadedComment>
  <threadedComment ref="A34" dT="2024-04-29T16:52:44.39" personId="{36327C47-2050-4A8E-88F5-5CF71939FC19}" id="{B8A4D5DA-F1BD-4621-AE10-5CFE90701F12}">
    <text>Initially part of PPE</text>
  </threadedComment>
  <threadedComment ref="A35" dT="2024-04-29T16:53:28.32" personId="{36327C47-2050-4A8E-88F5-5CF71939FC19}" id="{0F6B4018-B400-4D51-9042-832809EE9781}">
    <text>Marketable Securities</text>
  </threadedComment>
  <threadedComment ref="A49" dT="2024-04-27T13:56:52.00" personId="{36327C47-2050-4A8E-88F5-5CF71939FC19}" id="{49F34F47-6438-428A-879C-3D74C0245DEF}">
    <text>Capital Lease Obligations</text>
  </threadedComment>
  <threadedComment ref="A61" dT="2024-04-29T16:59:04.26" personId="{36327C47-2050-4A8E-88F5-5CF71939FC19}" id="{A462F7C7-B776-413F-8F47-AF2946095E0F}">
    <text>Includes Equipment on Operating Leases and Other</text>
  </threadedComment>
  <threadedComment ref="A75" dT="2024-04-27T14:37:32.33" personId="{36327C47-2050-4A8E-88F5-5CF71939FC19}" id="{CAF30932-06FD-4016-B9BF-D4BA178255B4}">
    <text>Proceeds from Stock Compensation Transactions</text>
  </threadedComment>
  <threadedComment ref="A103" dT="2024-04-27T14:31:12.73" personId="{36327C47-2050-4A8E-88F5-5CF71939FC19}" id="{B3747472-DC2E-4F80-AAC2-623B07DD3A42}">
    <text>Found in Income Statement of Refinitiv</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17/10/relationships/threadedComment" Target="../threadedComments/threadedComment2.xml"/><Relationship Id="rId3" Type="http://schemas.openxmlformats.org/officeDocument/2006/relationships/hyperlink" Target="https://www.zionmarketresearch.com/report/heavy-duty-trucks-market" TargetMode="External"/><Relationship Id="rId7" Type="http://schemas.openxmlformats.org/officeDocument/2006/relationships/comments" Target="../comments2.xml"/><Relationship Id="rId2" Type="http://schemas.openxmlformats.org/officeDocument/2006/relationships/hyperlink" Target="https://www.thebrainyinsights.com/report/freight-trucking-market-13927" TargetMode="External"/><Relationship Id="rId1" Type="http://schemas.openxmlformats.org/officeDocument/2006/relationships/hyperlink" Target="https://www.mordorintelligence.com/industry-reports/heavy-duty-trucks-market"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4.xml"/><Relationship Id="rId1" Type="http://schemas.openxmlformats.org/officeDocument/2006/relationships/printerSettings" Target="../printerSettings/printerSettings7.bin"/><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 Id="rId4" Type="http://schemas.microsoft.com/office/2017/10/relationships/threadedComment" Target="../threadedComments/threadedComment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002060"/>
    <pageSetUpPr fitToPage="1"/>
  </sheetPr>
  <dimension ref="A1:S107"/>
  <sheetViews>
    <sheetView showGridLines="0" topLeftCell="B1" zoomScale="71" zoomScaleNormal="344" workbookViewId="0">
      <selection activeCell="H39" sqref="H39:H42"/>
    </sheetView>
  </sheetViews>
  <sheetFormatPr defaultColWidth="11.42578125" defaultRowHeight="12.75"/>
  <cols>
    <col min="1" max="1" width="0.42578125" customWidth="1"/>
    <col min="2" max="2" width="21.28515625" bestFit="1" customWidth="1"/>
    <col min="3" max="3" width="23.42578125" customWidth="1"/>
    <col min="4" max="4" width="32" customWidth="1"/>
    <col min="5" max="5" width="20.28515625" bestFit="1" customWidth="1"/>
    <col min="6" max="6" width="17" bestFit="1" customWidth="1"/>
    <col min="7" max="7" width="13.42578125" bestFit="1" customWidth="1"/>
    <col min="8" max="8" width="30" customWidth="1"/>
    <col min="9" max="9" width="26.42578125" customWidth="1"/>
    <col min="10" max="10" width="10.28515625" customWidth="1"/>
    <col min="11" max="11" width="13.7109375" customWidth="1"/>
    <col min="12" max="12" width="20.7109375" bestFit="1" customWidth="1"/>
    <col min="13" max="13" width="31" customWidth="1"/>
  </cols>
  <sheetData>
    <row r="1" spans="2:17" ht="3.75" customHeight="1" thickBot="1"/>
    <row r="2" spans="2:17" ht="22.5" customHeight="1">
      <c r="B2" s="503">
        <v>45410</v>
      </c>
      <c r="C2" s="504" t="s">
        <v>0</v>
      </c>
      <c r="D2" s="505" t="s">
        <v>1</v>
      </c>
      <c r="E2" s="1207" t="e" vm="1">
        <f>Inputs!H3</f>
        <v>#VALUE!</v>
      </c>
      <c r="F2" s="1208"/>
      <c r="G2" s="1208"/>
      <c r="H2" s="1208"/>
      <c r="I2" s="1208"/>
      <c r="J2" s="1208"/>
      <c r="K2" s="1209"/>
      <c r="L2" s="506" t="str" cm="1">
        <f t="array" aca="1" ref="L2" ca="1">_FV(E2,"Bolsa")</f>
        <v>Nasdaq Stock Market</v>
      </c>
      <c r="M2" s="507" t="s">
        <v>2</v>
      </c>
    </row>
    <row r="3" spans="2:17" ht="26.25" customHeight="1">
      <c r="B3" s="1326" t="e" vm="2">
        <v>#VALUE!</v>
      </c>
      <c r="C3" s="1327"/>
      <c r="D3" s="1221" t="s">
        <v>3</v>
      </c>
      <c r="E3" s="1221"/>
      <c r="F3" s="1221"/>
      <c r="G3" s="1221"/>
      <c r="H3" s="1221" t="s">
        <v>4</v>
      </c>
      <c r="I3" s="1221"/>
      <c r="J3" s="1221"/>
      <c r="K3" s="1221"/>
      <c r="L3" s="1221"/>
      <c r="M3" s="1222"/>
    </row>
    <row r="4" spans="2:17">
      <c r="B4" s="1328"/>
      <c r="C4" s="1329"/>
      <c r="D4" s="1220" t="s">
        <v>5</v>
      </c>
      <c r="E4" s="1220"/>
      <c r="F4" s="1220"/>
      <c r="G4" s="1220"/>
      <c r="H4" s="102" t="s">
        <v>6</v>
      </c>
      <c r="I4" s="103" t="s">
        <v>7</v>
      </c>
      <c r="J4" s="103" t="s">
        <v>8</v>
      </c>
      <c r="K4" s="1229" t="s">
        <v>9</v>
      </c>
      <c r="L4" s="1230"/>
      <c r="M4" s="1231"/>
    </row>
    <row r="5" spans="2:17" ht="15">
      <c r="B5" s="1328"/>
      <c r="C5" s="1329"/>
      <c r="D5" s="1220"/>
      <c r="E5" s="1220"/>
      <c r="F5" s="1220"/>
      <c r="G5" s="1220"/>
      <c r="H5" s="687" t="s">
        <v>10</v>
      </c>
      <c r="I5" s="711" t="s">
        <v>11</v>
      </c>
      <c r="J5" s="502" t="s">
        <v>12</v>
      </c>
      <c r="K5" s="1226" t="s">
        <v>13</v>
      </c>
      <c r="L5" s="1227"/>
      <c r="M5" s="1228"/>
      <c r="N5" s="738"/>
    </row>
    <row r="6" spans="2:17" ht="29.45" customHeight="1">
      <c r="B6" s="1328"/>
      <c r="C6" s="1329"/>
      <c r="D6" s="1220"/>
      <c r="E6" s="1220"/>
      <c r="F6" s="1220"/>
      <c r="G6" s="1220"/>
      <c r="H6" s="932" t="s">
        <v>14</v>
      </c>
      <c r="I6" s="711" t="s">
        <v>15</v>
      </c>
      <c r="J6" s="502" t="s">
        <v>12</v>
      </c>
      <c r="K6" s="1226" t="s">
        <v>16</v>
      </c>
      <c r="L6" s="1227"/>
      <c r="M6" s="1228"/>
    </row>
    <row r="7" spans="2:17" ht="30.6" customHeight="1">
      <c r="B7" s="1328"/>
      <c r="C7" s="1329"/>
      <c r="D7" s="1220"/>
      <c r="E7" s="1220"/>
      <c r="F7" s="1220"/>
      <c r="G7" s="1220"/>
      <c r="H7" s="932" t="s">
        <v>17</v>
      </c>
      <c r="I7" s="711" t="s">
        <v>18</v>
      </c>
      <c r="J7" s="502" t="s">
        <v>12</v>
      </c>
      <c r="K7" s="1226" t="s">
        <v>19</v>
      </c>
      <c r="L7" s="1227"/>
      <c r="M7" s="1228"/>
    </row>
    <row r="8" spans="2:17" ht="25.9" customHeight="1">
      <c r="B8" s="1328"/>
      <c r="C8" s="1329"/>
      <c r="D8" s="1220"/>
      <c r="E8" s="1220"/>
      <c r="F8" s="1220"/>
      <c r="G8" s="1220"/>
      <c r="H8" s="932" t="s">
        <v>20</v>
      </c>
      <c r="I8" s="711" t="s">
        <v>21</v>
      </c>
      <c r="J8" s="502" t="s">
        <v>12</v>
      </c>
      <c r="K8" s="1226" t="s">
        <v>22</v>
      </c>
      <c r="L8" s="1227"/>
      <c r="M8" s="1228"/>
    </row>
    <row r="9" spans="2:17" ht="28.15" customHeight="1">
      <c r="B9" s="1328"/>
      <c r="C9" s="1329"/>
      <c r="D9" s="1220"/>
      <c r="E9" s="1220"/>
      <c r="F9" s="1220"/>
      <c r="G9" s="1220"/>
      <c r="H9" s="932" t="s">
        <v>23</v>
      </c>
      <c r="I9" s="711" t="s">
        <v>24</v>
      </c>
      <c r="J9" s="502" t="s">
        <v>25</v>
      </c>
      <c r="K9" s="1226" t="s">
        <v>26</v>
      </c>
      <c r="L9" s="1227"/>
      <c r="M9" s="1228"/>
    </row>
    <row r="10" spans="2:17" ht="25.9" customHeight="1">
      <c r="B10" s="1328"/>
      <c r="C10" s="1329"/>
      <c r="D10" s="1220"/>
      <c r="E10" s="1220"/>
      <c r="F10" s="1220"/>
      <c r="G10" s="1220"/>
      <c r="H10" s="932" t="s">
        <v>27</v>
      </c>
      <c r="I10" s="711" t="s">
        <v>28</v>
      </c>
      <c r="J10" s="502" t="s">
        <v>12</v>
      </c>
      <c r="K10" s="1226" t="s">
        <v>29</v>
      </c>
      <c r="L10" s="1227"/>
      <c r="M10" s="1228"/>
    </row>
    <row r="11" spans="2:17" ht="42.6" customHeight="1">
      <c r="B11" s="1328"/>
      <c r="C11" s="1329"/>
      <c r="D11" s="1220"/>
      <c r="E11" s="1220"/>
      <c r="F11" s="1220"/>
      <c r="G11" s="1220"/>
      <c r="H11" s="932" t="s">
        <v>30</v>
      </c>
      <c r="I11" s="711" t="s">
        <v>24</v>
      </c>
      <c r="J11" s="502" t="s">
        <v>25</v>
      </c>
      <c r="K11" s="1226" t="s">
        <v>31</v>
      </c>
      <c r="L11" s="1227"/>
      <c r="M11" s="1228"/>
      <c r="P11" s="298"/>
    </row>
    <row r="12" spans="2:17">
      <c r="B12" s="1328"/>
      <c r="C12" s="1329"/>
      <c r="D12" s="1220"/>
      <c r="E12" s="1220"/>
      <c r="F12" s="1220"/>
      <c r="G12" s="1220"/>
      <c r="H12" s="932" t="s">
        <v>32</v>
      </c>
      <c r="I12" s="711" t="s">
        <v>33</v>
      </c>
      <c r="J12" s="502" t="s">
        <v>25</v>
      </c>
      <c r="K12" s="1332" t="s">
        <v>34</v>
      </c>
      <c r="L12" s="1227"/>
      <c r="M12" s="1228"/>
    </row>
    <row r="13" spans="2:17">
      <c r="B13" s="1328"/>
      <c r="C13" s="1329"/>
      <c r="D13" s="1220"/>
      <c r="E13" s="1220"/>
      <c r="F13" s="1220"/>
      <c r="G13" s="1220"/>
      <c r="H13" s="932" t="s">
        <v>35</v>
      </c>
      <c r="I13" s="711" t="s">
        <v>36</v>
      </c>
      <c r="J13" s="502" t="s">
        <v>25</v>
      </c>
      <c r="K13" s="1332" t="s">
        <v>37</v>
      </c>
      <c r="L13" s="1227"/>
      <c r="M13" s="1228"/>
      <c r="Q13" s="249"/>
    </row>
    <row r="14" spans="2:17" ht="37.9" customHeight="1">
      <c r="B14" s="1328"/>
      <c r="C14" s="1329"/>
      <c r="D14" s="1220"/>
      <c r="E14" s="1220"/>
      <c r="F14" s="1220"/>
      <c r="G14" s="1220"/>
      <c r="H14" s="932" t="s">
        <v>38</v>
      </c>
      <c r="I14" s="711" t="s">
        <v>39</v>
      </c>
      <c r="J14" s="502" t="s">
        <v>12</v>
      </c>
      <c r="K14" s="1332" t="s">
        <v>40</v>
      </c>
      <c r="L14" s="1227"/>
      <c r="M14" s="1228"/>
    </row>
    <row r="15" spans="2:17" ht="27" customHeight="1">
      <c r="B15" s="1330"/>
      <c r="C15" s="1331"/>
      <c r="D15" s="1220"/>
      <c r="E15" s="1220"/>
      <c r="F15" s="1220"/>
      <c r="G15" s="1220"/>
      <c r="H15" s="932" t="s">
        <v>41</v>
      </c>
      <c r="I15" s="711" t="s">
        <v>42</v>
      </c>
      <c r="J15" s="502" t="s">
        <v>12</v>
      </c>
      <c r="K15" s="1332" t="s">
        <v>43</v>
      </c>
      <c r="L15" s="1227"/>
      <c r="M15" s="1228"/>
    </row>
    <row r="16" spans="2:17" ht="33" customHeight="1">
      <c r="B16" s="1324" t="str" cm="1">
        <f t="array" aca="1" ref="B16" ca="1">_FV(E2,"Moeda")&amp;" MILLIONS"</f>
        <v>USD MILLIONS</v>
      </c>
      <c r="C16" s="1325"/>
      <c r="D16" s="1220"/>
      <c r="E16" s="1220"/>
      <c r="F16" s="1220"/>
      <c r="G16" s="1220"/>
      <c r="H16" s="932" t="s">
        <v>44</v>
      </c>
      <c r="I16" s="711" t="s">
        <v>21</v>
      </c>
      <c r="J16" s="502" t="s">
        <v>12</v>
      </c>
      <c r="K16" s="1332" t="s">
        <v>45</v>
      </c>
      <c r="L16" s="1227"/>
      <c r="M16" s="1228"/>
    </row>
    <row r="17" spans="2:13" ht="18">
      <c r="B17" s="1166" t="s">
        <v>46</v>
      </c>
      <c r="C17" s="1167"/>
      <c r="D17" s="1167"/>
      <c r="E17" s="1167"/>
      <c r="F17" s="1167"/>
      <c r="G17" s="1167"/>
      <c r="H17" s="1167"/>
      <c r="I17" s="1167"/>
      <c r="J17" s="1167"/>
      <c r="K17" s="1167"/>
      <c r="L17" s="1167"/>
      <c r="M17" s="1168"/>
    </row>
    <row r="18" spans="2:13" ht="14.25">
      <c r="B18" s="1162" t="s">
        <v>47</v>
      </c>
      <c r="C18" s="1163"/>
      <c r="D18" s="1160" t="s">
        <v>48</v>
      </c>
      <c r="E18" s="1334"/>
      <c r="F18" s="1223" t="s">
        <v>49</v>
      </c>
      <c r="G18" s="1224"/>
      <c r="H18" s="1225"/>
      <c r="I18" s="1160" t="str">
        <f>"Profitability ("&amp;J19&amp;")"</f>
        <v>Profitability (2023)</v>
      </c>
      <c r="J18" s="1333"/>
      <c r="K18" s="1334"/>
      <c r="L18" s="1160" t="s">
        <v>50</v>
      </c>
      <c r="M18" s="1161"/>
    </row>
    <row r="19" spans="2:13">
      <c r="B19" s="508" t="s">
        <v>51</v>
      </c>
      <c r="C19" s="720">
        <v>105.92</v>
      </c>
      <c r="D19" s="12" t="s">
        <v>52</v>
      </c>
      <c r="E19" s="719">
        <f ca="1">_xlfn.XLOOKUP(D19,'Fin. Data'!A:A,'Fin. Data'!B:B,,0)</f>
        <v>40823</v>
      </c>
      <c r="F19" s="1210" t="s">
        <v>53</v>
      </c>
      <c r="G19" s="1211"/>
      <c r="H19" s="96" t="s">
        <v>54</v>
      </c>
      <c r="I19" t="s">
        <v>55</v>
      </c>
      <c r="J19" s="1335">
        <v>2023</v>
      </c>
      <c r="K19" s="1336"/>
      <c r="L19" s="11" t="s">
        <v>56</v>
      </c>
      <c r="M19" s="511">
        <f>Inputs!B82</f>
        <v>0.98140000000000005</v>
      </c>
    </row>
    <row r="20" spans="2:13" ht="12.75" customHeight="1">
      <c r="B20" s="508" t="s">
        <v>57</v>
      </c>
      <c r="C20" s="638" cm="1">
        <f t="array" aca="1" ref="C20" ca="1">_FV(E2,"Ações em circulação",TRUE)</f>
        <v>524010700</v>
      </c>
      <c r="D20" s="11" t="s">
        <v>58</v>
      </c>
      <c r="E20" s="719">
        <f ca="1">_xlfn.XLOOKUP(D20,'Fin. Data'!A:A,'Fin. Data'!B:B,,0)</f>
        <v>24945</v>
      </c>
      <c r="F20" s="1212" t="str">
        <f>Segments!C5</f>
        <v>United States and Canada</v>
      </c>
      <c r="G20" s="1213"/>
      <c r="H20" s="15">
        <f>Segments!B5</f>
        <v>0.53637900897874591</v>
      </c>
      <c r="I20" s="11" t="s">
        <v>59</v>
      </c>
      <c r="J20" s="1216">
        <v>45291</v>
      </c>
      <c r="K20" s="1217"/>
      <c r="L20" s="11" t="s">
        <v>60</v>
      </c>
      <c r="M20" s="933">
        <f>Inputs!B83</f>
        <v>1.8599999999999998E-2</v>
      </c>
    </row>
    <row r="21" spans="2:13" ht="12.75" customHeight="1">
      <c r="B21" s="508" t="s">
        <v>61</v>
      </c>
      <c r="C21" s="719">
        <f ca="1">C19*C20/1000000</f>
        <v>55503.213344000003</v>
      </c>
      <c r="D21" s="11" t="s">
        <v>62</v>
      </c>
      <c r="E21" s="282">
        <f ca="1">_xlfn.XLOOKUP("Cash &amp; Eq.",'Fin. Data'!A:A,'Fin. Data'!B:B,,0)*1000000/C20</f>
        <v>13.705826999334175</v>
      </c>
      <c r="F21" s="1212" t="str">
        <f>Segments!C6</f>
        <v>Europe</v>
      </c>
      <c r="G21" s="1213"/>
      <c r="H21" s="15">
        <f>Segments!B6</f>
        <v>0.24884847725706996</v>
      </c>
      <c r="I21" s="1218" t="s">
        <v>63</v>
      </c>
      <c r="J21" s="1218"/>
      <c r="K21" s="719">
        <f>_xlfn.XLOOKUP(I21,'Fin. Data'!A:A,'Fin. Data'!B:B,,0)</f>
        <v>6770.9</v>
      </c>
      <c r="L21" s="8" t="s">
        <v>64</v>
      </c>
      <c r="M21" s="510" cm="1">
        <f t="array" aca="1" ref="M21" ca="1">_FV(E2,"Beta")</f>
        <v>0.94179999999999997</v>
      </c>
    </row>
    <row r="22" spans="2:13" ht="12.75" customHeight="1">
      <c r="B22" s="509" t="s">
        <v>65</v>
      </c>
      <c r="C22" s="719">
        <f>'Fin. Data'!B58</f>
        <v>14238</v>
      </c>
      <c r="D22" s="11" t="s">
        <v>66</v>
      </c>
      <c r="E22" s="736">
        <f>_xlfn.XLOOKUP("EBITDA",'Fin. Data'!A:A,'Fin. Data'!B:B,,0)/_xlfn.XLOOKUP("Net Financial Cost",'Fin. Data'!A:A,'Fin. Data'!B:B,,0)</f>
        <v>-52.487596899224805</v>
      </c>
      <c r="F22" s="1212" t="str">
        <f>Segments!C7</f>
        <v>Other</v>
      </c>
      <c r="G22" s="1213"/>
      <c r="H22" s="15">
        <f>Segments!B7</f>
        <v>0.21477251376418408</v>
      </c>
      <c r="I22" s="1219" t="s">
        <v>67</v>
      </c>
      <c r="J22" s="1219"/>
      <c r="K22" s="719" t="e">
        <f ca="1">_xlfn.XLOOKUP(I22,'Fin. Data'!A:A,'Fin. Data'!B:B,,0)</f>
        <v>#N/A</v>
      </c>
      <c r="L22" s="11" t="s">
        <v>68</v>
      </c>
      <c r="M22" s="510" t="str">
        <f>Inputs!B84</f>
        <v>A+/A1</v>
      </c>
    </row>
    <row r="23" spans="2:13" ht="12.75" customHeight="1">
      <c r="B23" s="509" t="s">
        <v>69</v>
      </c>
      <c r="C23" s="719">
        <f>'Fin. Data'!B39</f>
        <v>7182</v>
      </c>
      <c r="D23" s="11" t="s">
        <v>70</v>
      </c>
      <c r="E23" s="282">
        <f>_xlfn.XLOOKUP("Total Debt",'Fin. Data'!A:A,'Fin. Data'!B:B,,0)/_xlfn.XLOOKUP("EBITDA",'Fin. Data'!A:A,'Fin. Data'!B:B,,0)</f>
        <v>2.1028223722104893</v>
      </c>
      <c r="F23" s="1212"/>
      <c r="G23" s="1213"/>
      <c r="H23" s="39"/>
      <c r="I23" s="1219" t="s">
        <v>71</v>
      </c>
      <c r="J23" s="1219"/>
      <c r="K23" s="719">
        <f>_xlfn.XLOOKUP(I23,'Fin. Data'!A:A,'Fin. Data'!B:B,,0)</f>
        <v>5847</v>
      </c>
      <c r="L23" s="11" t="s">
        <v>72</v>
      </c>
      <c r="M23" s="510">
        <f ca="1">IFERROR((C19*C20/(E19-E20))/1000000,"")</f>
        <v>3.4956048207582819</v>
      </c>
    </row>
    <row r="24" spans="2:13" ht="12.75" customHeight="1">
      <c r="B24" s="509" t="s">
        <v>73</v>
      </c>
      <c r="C24" s="719">
        <f ca="1">C21+C22-C23</f>
        <v>62559.213344000003</v>
      </c>
      <c r="D24" s="11" t="s">
        <v>74</v>
      </c>
      <c r="E24" s="282">
        <f ca="1">_xlfn.XLOOKUP("Other Assets",'Fin. Data'!A:A,'Fin. Data'!B:B,,0)/_xlfn.XLOOKUP("Total Assets",'Fin. Data'!A:A,'Fin. Data'!B:B,,0)</f>
        <v>0.48125811429831228</v>
      </c>
      <c r="F24" s="1212"/>
      <c r="G24" s="1213"/>
      <c r="H24" s="39"/>
      <c r="I24" s="1218" t="s">
        <v>75</v>
      </c>
      <c r="J24" s="1218"/>
      <c r="K24" s="719">
        <f ca="1">_xlfn.XLOOKUP(I24,'Fin. Data'!A:A,'Fin. Data'!B:B,,0)</f>
        <v>4601</v>
      </c>
      <c r="L24" s="11" t="s">
        <v>76</v>
      </c>
      <c r="M24" s="511">
        <f ca="1">IFERROR(K30/E19,"")</f>
        <v>-1.9433489291167559E-3</v>
      </c>
    </row>
    <row r="25" spans="2:13" ht="12.75" customHeight="1">
      <c r="B25" s="509" t="s">
        <v>77</v>
      </c>
      <c r="C25" s="114" t="s">
        <v>78</v>
      </c>
      <c r="D25" s="11" t="s">
        <v>79</v>
      </c>
      <c r="E25" s="282">
        <f>_xlfn.XLOOKUP(D25,'Fin. Data'!A:A,'Fin. Data'!B:B,,0)</f>
        <v>0.3487739754550131</v>
      </c>
      <c r="F25" s="1214" t="s">
        <v>80</v>
      </c>
      <c r="G25" s="1215"/>
      <c r="H25" s="97" t="s">
        <v>54</v>
      </c>
      <c r="I25" s="1218" t="s">
        <v>81</v>
      </c>
      <c r="J25" s="1218"/>
      <c r="K25" s="720">
        <f ca="1">1000000*K24/C20</f>
        <v>8.7803550576352727</v>
      </c>
      <c r="L25" s="11" t="s">
        <v>82</v>
      </c>
      <c r="M25" s="512">
        <f ca="1">IFERROR(C21/K29,"")</f>
        <v>17.592143690649763</v>
      </c>
    </row>
    <row r="26" spans="2:13" ht="12.75" customHeight="1">
      <c r="B26" s="508" t="s">
        <v>83</v>
      </c>
      <c r="C26" s="115" t="s">
        <v>78</v>
      </c>
      <c r="D26" s="11" t="s">
        <v>84</v>
      </c>
      <c r="E26" s="737">
        <f>AVERAGE(_xlfn.XLOOKUP("EBITDA Margin",'Fin. Data'!A:A,'Fin. Data'!B:D,,0))</f>
        <v>0.16583335273442953</v>
      </c>
      <c r="F26" s="1212" t="str">
        <f>Segments!C13</f>
        <v xml:space="preserve">Trucks </v>
      </c>
      <c r="G26" s="1213"/>
      <c r="H26" s="935">
        <f>Segments!B13</f>
        <v>0.76425810051412857</v>
      </c>
      <c r="I26" s="1218" t="s">
        <v>85</v>
      </c>
      <c r="J26" s="1218"/>
      <c r="K26" s="62">
        <f ca="1">K24/E19</f>
        <v>0.11270607255713691</v>
      </c>
      <c r="L26" s="11" t="s">
        <v>86</v>
      </c>
      <c r="M26" s="513">
        <f ca="1">IFERROR(C24/E19,"")</f>
        <v>1.5324501713249885</v>
      </c>
    </row>
    <row r="27" spans="2:13" ht="12.75" customHeight="1">
      <c r="B27" s="508" t="s">
        <v>87</v>
      </c>
      <c r="C27" s="931">
        <f>Inputs!B88</f>
        <v>1.6500000000000001E-2</v>
      </c>
      <c r="D27" s="11" t="s">
        <v>88</v>
      </c>
      <c r="E27" s="113">
        <f>AVERAGE(_xlfn.XLOOKUP("Operating Margin",'Fin. Data'!A:A,'Fin. Data'!B:D,,0))</f>
        <v>0.1351258489399636</v>
      </c>
      <c r="F27" s="1212" t="str">
        <f>Segments!C14</f>
        <v>Parts</v>
      </c>
      <c r="G27" s="1213"/>
      <c r="H27" s="935">
        <f>Segments!B14</f>
        <v>0.18260389325711551</v>
      </c>
      <c r="I27" s="1218" t="s">
        <v>89</v>
      </c>
      <c r="J27" s="1218"/>
      <c r="K27" s="62">
        <f ca="1">K24/(E19-(E20-C22))</f>
        <v>0.15277593305883916</v>
      </c>
      <c r="L27" s="11" t="s">
        <v>90</v>
      </c>
      <c r="M27" s="513">
        <f ca="1">IFERROR(C24/K28,"")</f>
        <v>12.68057890543499</v>
      </c>
    </row>
    <row r="28" spans="2:13" ht="14.25">
      <c r="B28" s="1162" t="s">
        <v>91</v>
      </c>
      <c r="C28" s="1163"/>
      <c r="D28" s="11" t="s">
        <v>92</v>
      </c>
      <c r="E28" s="113">
        <f>AVERAGE(_xlfn.XLOOKUP("Net Income Margin",'Fin. Data'!A:A,'Fin. Data'!B:D,,0))</f>
        <v>0.10474247456094986</v>
      </c>
      <c r="F28" s="1212" t="str">
        <f>Segments!C15</f>
        <v>Financial Services</v>
      </c>
      <c r="G28" s="1213"/>
      <c r="H28" s="935">
        <f>Segments!B15</f>
        <v>5.1580817253767716E-2</v>
      </c>
      <c r="I28" s="1218" t="s">
        <v>93</v>
      </c>
      <c r="J28" s="1218"/>
      <c r="K28" s="719">
        <f>AVERAGE(_xlfn.XLOOKUP("EBITDA",'Fin. Data'!A:A,'Fin. Data'!B:D,,0))</f>
        <v>4933.4666666666662</v>
      </c>
      <c r="L28" s="11" t="s">
        <v>94</v>
      </c>
      <c r="M28" s="512">
        <f ca="1">IFERROR(C21/K30,"")</f>
        <v>-699.62033626890764</v>
      </c>
    </row>
    <row r="29" spans="2:13" ht="12.75" customHeight="1">
      <c r="B29" s="514" t="s">
        <v>95</v>
      </c>
      <c r="C29" s="579"/>
      <c r="D29" s="515"/>
      <c r="E29" s="120"/>
      <c r="F29" s="1212" t="str">
        <f>Segments!C16</f>
        <v>Other</v>
      </c>
      <c r="G29" s="1213"/>
      <c r="H29" s="935">
        <f>Segments!B16</f>
        <v>1.5571889749881858E-3</v>
      </c>
      <c r="I29" s="1218" t="s">
        <v>96</v>
      </c>
      <c r="J29" s="1218"/>
      <c r="K29" s="719">
        <f ca="1">AVERAGE(_xlfn.XLOOKUP("Net Income",'Fin. Data'!A:A,'Fin. Data'!B:D,,0))</f>
        <v>3155</v>
      </c>
      <c r="L29" s="11" t="s">
        <v>97</v>
      </c>
      <c r="M29" s="934" t="s">
        <v>78</v>
      </c>
    </row>
    <row r="30" spans="2:13" ht="12.75" customHeight="1">
      <c r="B30" s="514" t="s">
        <v>98</v>
      </c>
      <c r="C30" s="580"/>
      <c r="D30" s="11" t="s">
        <v>99</v>
      </c>
      <c r="E30" s="359">
        <f>-_xlfn.XLOOKUP("Net Financial Cost",'Fin. Data'!A:A,'Fin. Data'!B:B,,0)/AVERAGE(_xlfn.XLOOKUP("Net Debt",'Fin. Data'!A:A,'Fin. Data'!B:D,,0))</f>
        <v>1.8565603262173182E-2</v>
      </c>
      <c r="F30" s="1212"/>
      <c r="G30" s="1213"/>
      <c r="H30" s="15"/>
      <c r="I30" s="1218" t="s">
        <v>100</v>
      </c>
      <c r="J30" s="1218"/>
      <c r="K30" s="719">
        <f ca="1">AVERAGE(_xlfn.XLOOKUP("Net Financial Cost",'Fin. Data'!A:A,'Fin. Data'!B:D,,0))</f>
        <v>-79.333333333333329</v>
      </c>
      <c r="L30" s="11" t="s">
        <v>101</v>
      </c>
      <c r="M30" s="511">
        <f ca="1">-IFERROR(SUM(E51:E53)/(3*C21),"")</f>
        <v>1.9448723805886796E-2</v>
      </c>
    </row>
    <row r="31" spans="2:13" ht="12.6" customHeight="1">
      <c r="B31" s="514" t="s">
        <v>102</v>
      </c>
      <c r="C31" s="580"/>
      <c r="D31" s="117"/>
      <c r="E31" s="119"/>
      <c r="F31" s="1307"/>
      <c r="G31" s="1308"/>
      <c r="H31" s="16"/>
      <c r="I31" s="117"/>
      <c r="J31" s="118"/>
      <c r="K31" s="118"/>
      <c r="L31" s="11" t="s">
        <v>103</v>
      </c>
      <c r="M31" s="511">
        <f ca="1">-IFERROR(L52/C21,"")</f>
        <v>2.7360578036950058E-2</v>
      </c>
    </row>
    <row r="32" spans="2:13" ht="18.75" thickBot="1">
      <c r="B32" s="1166" t="s">
        <v>104</v>
      </c>
      <c r="C32" s="1167"/>
      <c r="D32" s="1167"/>
      <c r="E32" s="1167"/>
      <c r="F32" s="1167"/>
      <c r="G32" s="1167"/>
      <c r="H32" s="1167"/>
      <c r="I32" s="1167"/>
      <c r="J32" s="1167"/>
      <c r="K32" s="1167"/>
      <c r="L32" s="1167"/>
      <c r="M32" s="1168"/>
    </row>
    <row r="33" spans="1:19" ht="15" thickBot="1">
      <c r="B33" s="1305" t="s">
        <v>105</v>
      </c>
      <c r="C33" s="1306"/>
      <c r="D33" s="1306"/>
      <c r="E33" s="1306"/>
      <c r="F33" s="1306"/>
      <c r="G33" s="1306"/>
      <c r="H33" s="362" t="s">
        <v>106</v>
      </c>
      <c r="I33" s="1321" t="s">
        <v>107</v>
      </c>
      <c r="J33" s="1322"/>
      <c r="K33" s="1322"/>
      <c r="L33" s="1322"/>
      <c r="M33" s="1323"/>
      <c r="N33" s="10"/>
    </row>
    <row r="34" spans="1:19" ht="13.35" customHeight="1" thickBot="1">
      <c r="A34" s="10"/>
      <c r="B34" s="516" t="s">
        <v>108</v>
      </c>
      <c r="C34" s="1204" t="s">
        <v>109</v>
      </c>
      <c r="D34" s="1205"/>
      <c r="E34" s="1205"/>
      <c r="F34" s="1205"/>
      <c r="G34" s="1206"/>
      <c r="H34" s="1290" t="s">
        <v>110</v>
      </c>
      <c r="I34" s="1310" t="s">
        <v>111</v>
      </c>
      <c r="J34" s="1311"/>
      <c r="K34" s="1311"/>
      <c r="L34" s="1311"/>
      <c r="M34" s="1312"/>
    </row>
    <row r="35" spans="1:19" ht="13.5" thickBot="1">
      <c r="A35" s="10"/>
      <c r="B35" s="639" t="s">
        <v>112</v>
      </c>
      <c r="C35" s="1293" t="s">
        <v>113</v>
      </c>
      <c r="D35" s="1294"/>
      <c r="E35" s="1294"/>
      <c r="F35" s="1294"/>
      <c r="G35" s="1295"/>
      <c r="H35" s="1291"/>
      <c r="I35" s="1313"/>
      <c r="J35" s="1314"/>
      <c r="K35" s="1314"/>
      <c r="L35" s="1314"/>
      <c r="M35" s="1315"/>
    </row>
    <row r="36" spans="1:19" ht="24">
      <c r="A36" s="10"/>
      <c r="B36" s="639" t="s">
        <v>114</v>
      </c>
      <c r="C36" s="1293" t="s">
        <v>115</v>
      </c>
      <c r="D36" s="1294"/>
      <c r="E36" s="1294"/>
      <c r="F36" s="1294"/>
      <c r="G36" s="1295"/>
      <c r="H36" s="1291"/>
      <c r="I36" s="1313"/>
      <c r="J36" s="1314"/>
      <c r="K36" s="1314"/>
      <c r="L36" s="1314"/>
      <c r="M36" s="1315"/>
    </row>
    <row r="37" spans="1:19" ht="24.75" thickBot="1">
      <c r="B37" s="639" t="s">
        <v>116</v>
      </c>
      <c r="C37" s="1296" t="s">
        <v>117</v>
      </c>
      <c r="D37" s="1297"/>
      <c r="E37" s="1297"/>
      <c r="F37" s="1297"/>
      <c r="G37" s="1298"/>
      <c r="H37" s="1292"/>
      <c r="I37" s="1316"/>
      <c r="J37" s="1317"/>
      <c r="K37" s="1317"/>
      <c r="L37" s="1317"/>
      <c r="M37" s="1318"/>
    </row>
    <row r="38" spans="1:19" ht="15" thickBot="1">
      <c r="B38" s="1177" t="s">
        <v>118</v>
      </c>
      <c r="C38" s="1178"/>
      <c r="D38" s="1178"/>
      <c r="E38" s="1178"/>
      <c r="F38" s="1178"/>
      <c r="G38" s="1179"/>
      <c r="H38" s="363" t="s">
        <v>119</v>
      </c>
      <c r="I38" s="1319" t="s">
        <v>120</v>
      </c>
      <c r="J38" s="1319"/>
      <c r="K38" s="1319"/>
      <c r="L38" s="1319"/>
      <c r="M38" s="1320"/>
    </row>
    <row r="39" spans="1:19" ht="13.35" customHeight="1" thickBot="1">
      <c r="B39" s="517" t="s">
        <v>121</v>
      </c>
      <c r="C39" s="1180" t="s">
        <v>109</v>
      </c>
      <c r="D39" s="1181"/>
      <c r="E39" s="1181"/>
      <c r="F39" s="1181"/>
      <c r="G39" s="1182"/>
      <c r="H39" s="1302">
        <f ca="1">DCF!D75</f>
        <v>98.051638528853573</v>
      </c>
      <c r="I39" s="1169" t="s">
        <v>122</v>
      </c>
      <c r="J39" s="1191">
        <f>DCF!F50</f>
        <v>9.2499999999999999E-2</v>
      </c>
      <c r="K39" s="1192"/>
      <c r="L39" s="1197" t="s">
        <v>123</v>
      </c>
      <c r="M39" s="1201">
        <f ca="1">SARD!AJ14</f>
        <v>0.11047345292889732</v>
      </c>
    </row>
    <row r="40" spans="1:19" ht="13.5" thickBot="1">
      <c r="B40" s="639" t="s">
        <v>124</v>
      </c>
      <c r="C40" s="1299" t="s">
        <v>125</v>
      </c>
      <c r="D40" s="1300"/>
      <c r="E40" s="1300"/>
      <c r="F40" s="1300"/>
      <c r="G40" s="1301"/>
      <c r="H40" s="1303"/>
      <c r="I40" s="1170"/>
      <c r="J40" s="1193"/>
      <c r="K40" s="1194"/>
      <c r="L40" s="1198"/>
      <c r="M40" s="1202"/>
    </row>
    <row r="41" spans="1:19" ht="24.75" thickBot="1">
      <c r="B41" s="640" t="s">
        <v>126</v>
      </c>
      <c r="C41" s="1174" t="s">
        <v>127</v>
      </c>
      <c r="D41" s="1175"/>
      <c r="E41" s="1175"/>
      <c r="F41" s="1175"/>
      <c r="G41" s="1176"/>
      <c r="H41" s="1303"/>
      <c r="I41" s="1169" t="s">
        <v>128</v>
      </c>
      <c r="J41" s="1195">
        <f ca="1">DCF!D74</f>
        <v>-7.4285890022152801E-2</v>
      </c>
      <c r="K41" s="1196"/>
      <c r="L41" s="1199" t="s">
        <v>129</v>
      </c>
      <c r="M41" s="1203">
        <f ca="1">SARD!AM14</f>
        <v>1.0642162020863433E-2</v>
      </c>
    </row>
    <row r="42" spans="1:19" ht="24.75" thickBot="1">
      <c r="B42" s="641" t="s">
        <v>130</v>
      </c>
      <c r="C42" s="1171" t="s">
        <v>131</v>
      </c>
      <c r="D42" s="1172"/>
      <c r="E42" s="1172"/>
      <c r="F42" s="1172"/>
      <c r="G42" s="1173"/>
      <c r="H42" s="1304"/>
      <c r="I42" s="1170"/>
      <c r="J42" s="1193"/>
      <c r="K42" s="1194"/>
      <c r="L42" s="1200"/>
      <c r="M42" s="1202"/>
    </row>
    <row r="43" spans="1:19" ht="18">
      <c r="B43" s="1166" t="s">
        <v>132</v>
      </c>
      <c r="C43" s="1167"/>
      <c r="D43" s="1167"/>
      <c r="E43" s="1167"/>
      <c r="F43" s="1167"/>
      <c r="G43" s="1167"/>
      <c r="H43" s="1167"/>
      <c r="I43" s="1167"/>
      <c r="J43" s="1167"/>
      <c r="K43" s="1167"/>
      <c r="L43" s="1167"/>
      <c r="M43" s="1168"/>
      <c r="N43" s="91"/>
      <c r="O43" s="91"/>
      <c r="P43" s="91"/>
      <c r="Q43" s="91"/>
      <c r="R43" s="91"/>
      <c r="S43" s="91"/>
    </row>
    <row r="44" spans="1:19">
      <c r="B44" s="518" t="s">
        <v>133</v>
      </c>
      <c r="C44" s="104" t="s">
        <v>134</v>
      </c>
      <c r="D44" s="104" t="s">
        <v>135</v>
      </c>
      <c r="E44" s="124" t="s">
        <v>136</v>
      </c>
      <c r="F44" s="104" t="s">
        <v>137</v>
      </c>
      <c r="G44" s="104" t="s">
        <v>79</v>
      </c>
      <c r="H44" s="123" t="s">
        <v>138</v>
      </c>
      <c r="I44" s="123" t="s">
        <v>139</v>
      </c>
      <c r="J44" s="1245" t="s">
        <v>140</v>
      </c>
      <c r="K44" s="1245"/>
      <c r="L44" s="1245"/>
      <c r="M44" s="1309"/>
      <c r="N44" s="91"/>
      <c r="O44" s="91"/>
      <c r="P44" s="91"/>
      <c r="Q44" s="91"/>
      <c r="R44" s="91"/>
      <c r="S44" s="91"/>
    </row>
    <row r="45" spans="1:19">
      <c r="B45" s="520">
        <f>B46-1</f>
        <v>2015</v>
      </c>
      <c r="C45" s="122" cm="1">
        <f t="array" aca="1" ref="C45:C53" ca="1">_xlfn.SORTBY(TRANSPOSE(_xlfn.XLOOKUP(C$44,'Fin. Data'!$A:$A,'Fin. Data'!$B:$J,,0)),$B$45:$B$53,-1)</f>
        <v>19115</v>
      </c>
      <c r="D45" s="99" cm="1">
        <f t="array" ref="D45:D53">_xlfn.SORTBY(TRANSPOSE(_xlfn.XLOOKUP(D$44,'Fin. Data'!$A:$A,'Fin. Data'!$B:$J,,0)),$B$45:$B$53,-1)</f>
        <v>0.12780538843839917</v>
      </c>
      <c r="E45" s="122" cm="1">
        <f t="array" ref="E45:E53">_xlfn.SORTBY(TRANSPOSE(_xlfn.XLOOKUP(E$44,'Fin. Data'!$A:$A,'Fin. Data'!$B:$J,,0)),$B$45:$B$53,-1)</f>
        <v>-882.1</v>
      </c>
      <c r="F45" s="121">
        <f>Inputs!K77</f>
        <v>-12.500000000000185</v>
      </c>
      <c r="G45" s="99" cm="1">
        <f t="array" ref="G45:G53">_xlfn.SORTBY(TRANSPOSE(_xlfn.XLOOKUP(G$44,'Fin. Data'!$A:$A,'Fin. Data'!$B:$J,,0)),$B$45:$B$53,-1)</f>
        <v>0.40701089531027951</v>
      </c>
      <c r="H45" s="122" cm="1">
        <f t="array" aca="1" ref="H45:H53" ca="1">_xlfn.SORTBY(TRANSPOSE(_xlfn.XLOOKUP(H$44,'Fin. Data'!$A:$A,'Fin. Data'!$B:$J,,0)),$B$45:$B$53,-1)</f>
        <v>907.1</v>
      </c>
      <c r="I45" s="122" cm="1">
        <f t="array" ref="I45:I53">_xlfn.SORTBY(TRANSPOSE(_xlfn.XLOOKUP(I$44,'Fin. Data'!$A:$A,'Fin. Data'!$B:$J,,0)),$B$45:$B$53,-1)</f>
        <v>-2019.5</v>
      </c>
      <c r="J45" s="301"/>
      <c r="K45" s="117"/>
      <c r="L45" s="100">
        <f>J19</f>
        <v>2023</v>
      </c>
      <c r="M45" s="521">
        <f>L45-1</f>
        <v>2022</v>
      </c>
      <c r="N45" s="91"/>
      <c r="O45" s="91"/>
      <c r="P45" s="91"/>
      <c r="Q45" s="91"/>
      <c r="R45" s="91"/>
      <c r="S45" s="91"/>
    </row>
    <row r="46" spans="1:19">
      <c r="B46" s="520">
        <f>B47-1</f>
        <v>2016</v>
      </c>
      <c r="C46" s="122">
        <f ca="1"/>
        <v>17033</v>
      </c>
      <c r="D46" s="98">
        <v>7.2975987788410732E-2</v>
      </c>
      <c r="E46" s="122">
        <v>-899.8</v>
      </c>
      <c r="F46" s="121">
        <f>Inputs!J77</f>
        <v>278.7999999999999</v>
      </c>
      <c r="G46" s="99">
        <v>0.41063035999806191</v>
      </c>
      <c r="H46" s="122">
        <f ca="1"/>
        <v>993.1</v>
      </c>
      <c r="I46" s="122">
        <v>-1692.0000000000002</v>
      </c>
      <c r="J46" s="1189" t="s">
        <v>75</v>
      </c>
      <c r="K46" s="1190"/>
      <c r="L46" s="48">
        <f ca="1">_xlfn.XLOOKUP($J46,'Fin. Data'!$A:$A,'Fin. Data'!B:B,,0)</f>
        <v>4601</v>
      </c>
      <c r="M46" s="522">
        <f ca="1">_xlfn.XLOOKUP($J46,'Fin. Data'!$A:$A,'Fin. Data'!C:C,,0)</f>
        <v>3012</v>
      </c>
      <c r="N46" s="18">
        <f t="shared" ref="N46:N54" ca="1" si="0">(C46/C45)-1</f>
        <v>-0.10891969657337175</v>
      </c>
      <c r="O46" s="18">
        <f t="shared" ref="O46:O54" si="1">(D46/D45)-1</f>
        <v>-0.4290069559658326</v>
      </c>
      <c r="P46" s="499"/>
      <c r="Q46" s="17"/>
      <c r="R46" s="17"/>
      <c r="S46" s="17"/>
    </row>
    <row r="47" spans="1:19">
      <c r="B47" s="520">
        <f t="shared" ref="B47:B51" si="2">B48-1</f>
        <v>2017</v>
      </c>
      <c r="C47" s="122">
        <f ca="1"/>
        <v>19456</v>
      </c>
      <c r="D47" s="98">
        <v>0.11790707236842106</v>
      </c>
      <c r="E47" s="122">
        <v>-558.29999999999995</v>
      </c>
      <c r="F47" s="121">
        <f>Inputs!I77</f>
        <v>-100.69999999999978</v>
      </c>
      <c r="G47" s="99">
        <v>0.37879692832764505</v>
      </c>
      <c r="H47" s="122">
        <f ca="1"/>
        <v>1107.5</v>
      </c>
      <c r="I47" s="122">
        <v>-2037.4</v>
      </c>
      <c r="J47" s="1189" t="s">
        <v>141</v>
      </c>
      <c r="K47" s="1190"/>
      <c r="L47" s="48">
        <f ca="1">_xlfn.XLOOKUP($J47,'Fin. Data'!$A:$A,'Fin. Data'!B:B,,0)</f>
        <v>4190</v>
      </c>
      <c r="M47" s="522">
        <f ca="1">_xlfn.XLOOKUP($J47,'Fin. Data'!$A:$A,'Fin. Data'!C:C,,0)</f>
        <v>3027</v>
      </c>
      <c r="N47" s="18">
        <f t="shared" ca="1" si="0"/>
        <v>0.14225327305818114</v>
      </c>
      <c r="O47" s="18">
        <f t="shared" si="1"/>
        <v>0.61569683318689927</v>
      </c>
      <c r="P47" s="499"/>
      <c r="Q47" s="17">
        <f>F47/F46-1</f>
        <v>-1.3611908177905301</v>
      </c>
      <c r="R47" s="17">
        <f t="shared" ref="R47:S53" ca="1" si="3">H47/H46-1</f>
        <v>0.11519484442654315</v>
      </c>
      <c r="S47" s="17">
        <f t="shared" si="3"/>
        <v>0.20413711583924332</v>
      </c>
    </row>
    <row r="48" spans="1:19">
      <c r="B48" s="520">
        <f t="shared" si="2"/>
        <v>2018</v>
      </c>
      <c r="C48" s="122">
        <f ca="1"/>
        <v>23496</v>
      </c>
      <c r="D48" s="98">
        <v>0.12244637385086823</v>
      </c>
      <c r="E48" s="122">
        <v>-1158.6999999999998</v>
      </c>
      <c r="F48" s="121">
        <f>Inputs!H77</f>
        <v>449.00000000000023</v>
      </c>
      <c r="G48" s="99">
        <v>0.39051094890510951</v>
      </c>
      <c r="H48" s="122">
        <f ca="1"/>
        <v>1054.0999999999999</v>
      </c>
      <c r="I48" s="122">
        <v>-1636.6999999999998</v>
      </c>
      <c r="J48" s="1189" t="s">
        <v>142</v>
      </c>
      <c r="K48" s="1190"/>
      <c r="L48" s="48">
        <f ca="1">_xlfn.XLOOKUP($J48,'Fin. Data'!$A:$A,'Fin. Data'!B:B,,0)</f>
        <v>-2871</v>
      </c>
      <c r="M48" s="522">
        <f ca="1">_xlfn.XLOOKUP($J48,'Fin. Data'!$A:$A,'Fin. Data'!C:C,,0)</f>
        <v>-2033</v>
      </c>
      <c r="N48" s="18">
        <f t="shared" ca="1" si="0"/>
        <v>0.20764802631578938</v>
      </c>
      <c r="O48" s="18">
        <f t="shared" si="1"/>
        <v>3.849897543264702E-2</v>
      </c>
      <c r="P48" s="499"/>
      <c r="Q48" s="17">
        <f t="shared" ref="Q48:Q53" si="4">F48/F47-1</f>
        <v>-5.4587884806355635</v>
      </c>
      <c r="R48" s="17">
        <f t="shared" ca="1" si="3"/>
        <v>-4.8216704288939094E-2</v>
      </c>
      <c r="S48" s="17">
        <f t="shared" si="3"/>
        <v>-0.19667222931186823</v>
      </c>
    </row>
    <row r="49" spans="2:19">
      <c r="B49" s="520">
        <f t="shared" si="2"/>
        <v>2019</v>
      </c>
      <c r="C49" s="122">
        <f ca="1"/>
        <v>25600</v>
      </c>
      <c r="D49" s="98">
        <v>0.12523437500000001</v>
      </c>
      <c r="E49" s="122">
        <v>-1248.8</v>
      </c>
      <c r="F49" s="121">
        <f>Inputs!G77</f>
        <v>1071.2</v>
      </c>
      <c r="G49" s="99">
        <v>0.39575473361306018</v>
      </c>
      <c r="H49" s="122">
        <f ca="1"/>
        <v>1077.3</v>
      </c>
      <c r="I49" s="122">
        <v>-2105.9</v>
      </c>
      <c r="J49" s="1158" t="s">
        <v>143</v>
      </c>
      <c r="K49" s="1159"/>
      <c r="L49" s="48">
        <f ca="1">_xlfn.XLOOKUP($J49,'Fin. Data'!$A:$A,'Fin. Data'!B:B,,0)</f>
        <v>-695</v>
      </c>
      <c r="M49" s="522">
        <f>_xlfn.XLOOKUP($J49,'Fin. Data'!$A:$A,'Fin. Data'!C:C,,0)</f>
        <v>-525</v>
      </c>
      <c r="N49" s="18">
        <f t="shared" ca="1" si="0"/>
        <v>8.9547156962887398E-2</v>
      </c>
      <c r="O49" s="18">
        <f t="shared" si="1"/>
        <v>2.2769160583941739E-2</v>
      </c>
      <c r="P49" s="499"/>
      <c r="Q49" s="17">
        <f t="shared" si="4"/>
        <v>1.3857461024498874</v>
      </c>
      <c r="R49" s="17">
        <f t="shared" ca="1" si="3"/>
        <v>2.200929703064225E-2</v>
      </c>
      <c r="S49" s="17">
        <f t="shared" si="3"/>
        <v>0.28667440581658243</v>
      </c>
    </row>
    <row r="50" spans="2:19">
      <c r="B50" s="520">
        <f t="shared" si="2"/>
        <v>2020</v>
      </c>
      <c r="C50" s="122">
        <f ca="1"/>
        <v>18729</v>
      </c>
      <c r="D50" s="98">
        <v>9.3971915211703769E-2</v>
      </c>
      <c r="E50" s="122">
        <v>-1281.8999999999999</v>
      </c>
      <c r="F50" s="121">
        <f>Inputs!F77</f>
        <v>739.2</v>
      </c>
      <c r="G50" s="99">
        <v>0.38414720452937012</v>
      </c>
      <c r="H50" s="122">
        <f ca="1"/>
        <v>1049</v>
      </c>
      <c r="I50" s="122">
        <v>-1883</v>
      </c>
      <c r="J50" s="1158" t="s">
        <v>144</v>
      </c>
      <c r="K50" s="1159"/>
      <c r="L50" s="48">
        <f ca="1">_xlfn.XLOOKUP($J50,'Fin. Data'!$A:$A,'Fin. Data'!B:B,,0)</f>
        <v>-731.1</v>
      </c>
      <c r="M50" s="522">
        <f ca="1">_xlfn.XLOOKUP($J50,'Fin. Data'!$A:$A,'Fin. Data'!C:C,,0)</f>
        <v>-1035.8</v>
      </c>
      <c r="N50" s="18">
        <f t="shared" ca="1" si="0"/>
        <v>-0.26839843750000003</v>
      </c>
      <c r="O50" s="18">
        <f t="shared" si="1"/>
        <v>-0.24963161902070607</v>
      </c>
      <c r="P50" s="499"/>
      <c r="Q50" s="17">
        <f t="shared" si="4"/>
        <v>-0.30993278566094096</v>
      </c>
      <c r="R50" s="17">
        <f t="shared" ca="1" si="3"/>
        <v>-2.6269377146570072E-2</v>
      </c>
      <c r="S50" s="17">
        <f t="shared" si="3"/>
        <v>-0.10584548174177311</v>
      </c>
    </row>
    <row r="51" spans="2:19">
      <c r="B51" s="520">
        <f t="shared" si="2"/>
        <v>2021</v>
      </c>
      <c r="C51" s="122">
        <f ca="1"/>
        <v>23522</v>
      </c>
      <c r="D51" s="98">
        <v>0.10377518918459315</v>
      </c>
      <c r="E51" s="122">
        <v>-709.5</v>
      </c>
      <c r="F51" s="121">
        <f>Inputs!E77</f>
        <v>-635.50000000000011</v>
      </c>
      <c r="G51" s="99">
        <v>0.35605078151662001</v>
      </c>
      <c r="H51" s="122">
        <f ca="1"/>
        <v>903.3</v>
      </c>
      <c r="I51" s="122">
        <v>-1808.9</v>
      </c>
      <c r="J51" s="1189" t="s">
        <v>145</v>
      </c>
      <c r="K51" s="1190"/>
      <c r="L51" s="48">
        <f ca="1">_xlfn.XLOOKUP($J51,'Fin. Data'!$A:$A,'Fin. Data'!B:B,,0)</f>
        <v>1102.2</v>
      </c>
      <c r="M51" s="522">
        <f ca="1">_xlfn.XLOOKUP($J51,'Fin. Data'!$A:$A,'Fin. Data'!C:C,,0)</f>
        <v>304.89999999999998</v>
      </c>
      <c r="N51" s="18">
        <f t="shared" ca="1" si="0"/>
        <v>0.25591328955096371</v>
      </c>
      <c r="O51" s="18">
        <f t="shared" si="1"/>
        <v>0.10432131718082105</v>
      </c>
      <c r="P51" s="499"/>
      <c r="Q51" s="17">
        <f t="shared" si="4"/>
        <v>-1.8597132034632036</v>
      </c>
      <c r="R51" s="17">
        <f t="shared" ca="1" si="3"/>
        <v>-0.13889418493803629</v>
      </c>
      <c r="S51" s="17">
        <f t="shared" si="3"/>
        <v>-3.9352097716409906E-2</v>
      </c>
    </row>
    <row r="52" spans="2:19">
      <c r="B52" s="520">
        <f>B53-1</f>
        <v>2022</v>
      </c>
      <c r="C52" s="122">
        <f ca="1"/>
        <v>28820</v>
      </c>
      <c r="D52" s="98">
        <v>0.13514920194309507</v>
      </c>
      <c r="E52" s="122">
        <v>-1006.8000000000001</v>
      </c>
      <c r="F52" s="121">
        <f>Inputs!D$77</f>
        <v>-111.30000000000021</v>
      </c>
      <c r="G52" s="99">
        <v>0.34484313018391632</v>
      </c>
      <c r="H52" s="122">
        <f ca="1"/>
        <v>790.2</v>
      </c>
      <c r="I52" s="122">
        <v>-1560.8</v>
      </c>
      <c r="J52" s="1158" t="s">
        <v>146</v>
      </c>
      <c r="K52" s="1159"/>
      <c r="L52" s="48">
        <f ca="1">_xlfn.XLOOKUP($J52,'Fin. Data'!$A:$A,'Fin. Data'!B:B,,0)</f>
        <v>-1518.6</v>
      </c>
      <c r="M52" s="522">
        <f ca="1">_xlfn.XLOOKUP($J52,'Fin. Data'!$A:$A,'Fin. Data'!C:C,,0)</f>
        <v>-1004.7</v>
      </c>
      <c r="N52" s="18">
        <f t="shared" ca="1" si="0"/>
        <v>0.22523594932403701</v>
      </c>
      <c r="O52" s="18">
        <f t="shared" si="1"/>
        <v>0.30232672187852616</v>
      </c>
      <c r="P52" s="499"/>
      <c r="Q52" s="17">
        <f t="shared" si="4"/>
        <v>-0.82486231313926006</v>
      </c>
      <c r="R52" s="17">
        <f t="shared" ca="1" si="3"/>
        <v>-0.12520757223513779</v>
      </c>
      <c r="S52" s="17">
        <f t="shared" si="3"/>
        <v>-0.13715517717950143</v>
      </c>
    </row>
    <row r="53" spans="2:19">
      <c r="B53" s="520">
        <f>J19</f>
        <v>2023</v>
      </c>
      <c r="C53" s="122">
        <f ca="1"/>
        <v>35127</v>
      </c>
      <c r="D53" s="98">
        <v>0.16645315569220259</v>
      </c>
      <c r="E53" s="122">
        <v>-1522.1</v>
      </c>
      <c r="F53" s="121">
        <f>Inputs!C77</f>
        <v>1262.6000000000001</v>
      </c>
      <c r="G53" s="99">
        <v>0.3487739754550131</v>
      </c>
      <c r="H53" s="122">
        <f ca="1"/>
        <v>923.9</v>
      </c>
      <c r="I53" s="122">
        <v>-1426.1</v>
      </c>
      <c r="J53" s="1158" t="s">
        <v>147</v>
      </c>
      <c r="K53" s="1159"/>
      <c r="L53" s="48">
        <f ca="1">_xlfn.XLOOKUP($J53,'Fin. Data'!$A:$A,'Fin. Data'!B:B,,0)</f>
        <v>-3.5</v>
      </c>
      <c r="M53" s="522">
        <f ca="1">_xlfn.XLOOKUP($J53,'Fin. Data'!$A:$A,'Fin. Data'!C:C,,0)</f>
        <v>-2.1</v>
      </c>
      <c r="N53" s="18">
        <f t="shared" ca="1" si="0"/>
        <v>0.21884108258154056</v>
      </c>
      <c r="O53" s="18">
        <f t="shared" si="1"/>
        <v>0.23162514686759406</v>
      </c>
      <c r="P53" s="499"/>
      <c r="Q53" s="17">
        <f t="shared" si="4"/>
        <v>-12.344115004492343</v>
      </c>
      <c r="R53" s="17">
        <f t="shared" ca="1" si="3"/>
        <v>0.16919767147557563</v>
      </c>
      <c r="S53" s="17">
        <f t="shared" si="3"/>
        <v>-8.6301896463352179E-2</v>
      </c>
    </row>
    <row r="54" spans="2:19">
      <c r="B54" s="523" t="s">
        <v>148</v>
      </c>
      <c r="C54" s="101">
        <f ca="1">IFERROR((C53/C45)^(1/8)-1,"")</f>
        <v>7.9029566108122618E-2</v>
      </c>
      <c r="D54" s="101">
        <f>IFERROR((D53/D45)^(1/8)-1,"")</f>
        <v>3.3577052546868602E-2</v>
      </c>
      <c r="E54" s="116"/>
      <c r="F54" s="101" t="str">
        <f>IFERROR((F53/F45)^(1/8)-1,"")</f>
        <v/>
      </c>
      <c r="G54" s="116"/>
      <c r="H54" s="101">
        <f ca="1">IFERROR((H53/H45)^(1/8)-1,"")</f>
        <v>2.296525867129251E-3</v>
      </c>
      <c r="I54" s="116"/>
      <c r="J54" s="1189" t="s">
        <v>149</v>
      </c>
      <c r="K54" s="1190"/>
      <c r="L54" s="48">
        <f ca="1">_xlfn.XLOOKUP($J54,'Fin. Data'!$A:$A,'Fin. Data'!B:B,,0)</f>
        <v>69.599999999999994</v>
      </c>
      <c r="M54" s="522">
        <f ca="1">_xlfn.XLOOKUP($J54,'Fin. Data'!$A:$A,'Fin. Data'!C:C,,0)</f>
        <v>-36.299999999999997</v>
      </c>
      <c r="N54" s="18">
        <f t="shared" ca="1" si="0"/>
        <v>-0.99999775017604386</v>
      </c>
      <c r="O54" s="18">
        <f t="shared" si="1"/>
        <v>-0.79827926717738107</v>
      </c>
      <c r="P54" s="499"/>
      <c r="Q54" s="17"/>
      <c r="R54" s="17"/>
      <c r="S54" s="17"/>
    </row>
    <row r="55" spans="2:19">
      <c r="B55" s="523" t="s">
        <v>150</v>
      </c>
      <c r="C55" s="101">
        <f ca="1">IFERROR(AVERAGE(N46:N53),"")</f>
        <v>9.5265080465003427E-2</v>
      </c>
      <c r="D55" s="101">
        <f>IFERROR(AVERAGE(O46:O53),"")</f>
        <v>7.9574947517986327E-2</v>
      </c>
      <c r="E55" s="116"/>
      <c r="F55" s="101">
        <f>IFERROR(AVERAGE(Q46:Q53),"")</f>
        <v>-2.9675509289617077</v>
      </c>
      <c r="G55" s="116"/>
      <c r="H55" s="101">
        <f>IFERROR(AVERAGE(S46:S53),"")</f>
        <v>-1.0645051536725585E-2</v>
      </c>
      <c r="I55" s="116"/>
      <c r="J55" s="1183" t="s">
        <v>151</v>
      </c>
      <c r="K55" s="1184"/>
      <c r="L55" s="125">
        <f ca="1">L47-L48+L51-L52-L53</f>
        <v>9685.2999999999993</v>
      </c>
      <c r="M55" s="524">
        <f ca="1">M47-M48+M51-M52-M53</f>
        <v>6371.7</v>
      </c>
      <c r="N55" s="91"/>
      <c r="O55" s="91"/>
      <c r="P55" s="91"/>
      <c r="Q55" s="91"/>
      <c r="R55" s="91"/>
      <c r="S55" s="91"/>
    </row>
    <row r="56" spans="2:19">
      <c r="B56" s="523" t="s">
        <v>152</v>
      </c>
      <c r="C56" s="101">
        <f ca="1">IFERROR(STDEV(C46:C53)/AVERAGE(C46:C53),"")</f>
        <v>0.24781234904066568</v>
      </c>
      <c r="D56" s="101">
        <f>IFERROR(STDEV(D45:D53)/AVERAGE(D45:D53),"")</f>
        <v>0.22374052528725411</v>
      </c>
      <c r="E56" s="116"/>
      <c r="F56" s="101">
        <f>IFERROR(STDEV(F45:F53)/AVERAGE(F45:F53),"")</f>
        <v>1.8843780316054599</v>
      </c>
      <c r="G56" s="116"/>
      <c r="H56" s="101">
        <f ca="1">IFERROR(STDEV(H45:H53)/AVERAGE(H45:H53),"")</f>
        <v>0.10627517729380084</v>
      </c>
      <c r="I56" s="116"/>
      <c r="J56" s="1185" t="s">
        <v>153</v>
      </c>
      <c r="K56" s="1186"/>
      <c r="L56" s="299">
        <f ca="1">IFERROR(SUM(I50:I53)/(C53-C49),"")</f>
        <v>-0.70103915188411869</v>
      </c>
      <c r="M56" s="525">
        <f ca="1">IFERROR((SUM(I50:I53)-SUM(H50:H53))/(C53-C49),"")</f>
        <v>-1.0858822294531332</v>
      </c>
      <c r="N56" s="91"/>
      <c r="O56" s="91"/>
      <c r="P56" s="91"/>
      <c r="Q56" s="91"/>
      <c r="R56" s="91"/>
      <c r="S56" s="91"/>
    </row>
    <row r="57" spans="2:19">
      <c r="B57" s="523" t="s">
        <v>154</v>
      </c>
      <c r="C57" s="101">
        <f ca="1">IFERROR(C53/C52-1,"")</f>
        <v>0.21884108258154056</v>
      </c>
      <c r="D57" s="101">
        <f>IFERROR(D53/D52-1,"")</f>
        <v>0.23162514686759406</v>
      </c>
      <c r="E57" s="116"/>
      <c r="F57" s="101">
        <f>IFERROR(1-(F53/F52),"")</f>
        <v>12.344115004492343</v>
      </c>
      <c r="G57" s="116"/>
      <c r="H57" s="101">
        <f ca="1">IFERROR(1-(H53/H52),"")</f>
        <v>-0.16919767147557563</v>
      </c>
      <c r="I57" s="116"/>
      <c r="J57" s="1187" t="s">
        <v>155</v>
      </c>
      <c r="K57" s="1188"/>
      <c r="L57" s="300">
        <f ca="1">IFERROR(L56/E26,"")</f>
        <v>-4.227371275588836</v>
      </c>
      <c r="M57" s="526">
        <f ca="1">IFERROR(M56/E26,"")</f>
        <v>-6.5480327783765988</v>
      </c>
      <c r="N57" s="91"/>
      <c r="O57" s="91"/>
      <c r="P57" s="91"/>
      <c r="Q57" s="91"/>
      <c r="R57" s="91"/>
      <c r="S57" s="91"/>
    </row>
    <row r="58" spans="2:19" ht="18">
      <c r="B58" s="1166" t="s">
        <v>156</v>
      </c>
      <c r="C58" s="1167"/>
      <c r="D58" s="1167"/>
      <c r="E58" s="1167"/>
      <c r="F58" s="1167"/>
      <c r="G58" s="1167"/>
      <c r="H58" s="1167"/>
      <c r="I58" s="1167"/>
      <c r="J58" s="1167"/>
      <c r="K58" s="1167"/>
      <c r="L58" s="1167"/>
      <c r="M58" s="1168"/>
      <c r="N58" s="91"/>
      <c r="O58" s="91"/>
      <c r="P58" s="91"/>
      <c r="Q58" s="91"/>
      <c r="R58" s="91"/>
      <c r="S58" s="91"/>
    </row>
    <row r="59" spans="2:19" ht="14.25">
      <c r="B59" s="1164" t="s">
        <v>157</v>
      </c>
      <c r="C59" s="1165"/>
      <c r="D59" s="1165"/>
      <c r="E59" s="1165"/>
      <c r="F59" s="1165"/>
      <c r="G59" s="1165"/>
      <c r="H59" s="1165"/>
      <c r="I59" s="1165"/>
      <c r="J59" s="1257" t="s">
        <v>158</v>
      </c>
      <c r="K59" s="1257"/>
      <c r="L59" s="1257"/>
      <c r="M59" s="1289"/>
      <c r="N59" s="91"/>
      <c r="O59" s="91"/>
      <c r="P59" s="91"/>
      <c r="Q59" s="91"/>
      <c r="R59" s="91"/>
      <c r="S59" s="91"/>
    </row>
    <row r="60" spans="2:19" ht="15.75" customHeight="1">
      <c r="B60" s="1288" t="s">
        <v>159</v>
      </c>
      <c r="C60" s="1245"/>
      <c r="D60" s="1245"/>
      <c r="E60" s="1245" t="s">
        <v>160</v>
      </c>
      <c r="F60" s="1245"/>
      <c r="G60" s="1245"/>
      <c r="H60" s="1245"/>
      <c r="I60" s="1245"/>
      <c r="J60" s="1245" t="s">
        <v>161</v>
      </c>
      <c r="K60" s="1245"/>
      <c r="L60" s="1245"/>
      <c r="M60" s="519" t="s">
        <v>162</v>
      </c>
      <c r="N60" s="91"/>
      <c r="O60" s="91"/>
      <c r="P60" s="91"/>
      <c r="Q60" s="91"/>
      <c r="R60" s="91"/>
      <c r="S60" s="91"/>
    </row>
    <row r="61" spans="2:19" ht="18.75" customHeight="1">
      <c r="B61" s="1234" t="s">
        <v>163</v>
      </c>
      <c r="C61" s="1235"/>
      <c r="D61" s="1235"/>
      <c r="E61" s="1234" t="s">
        <v>164</v>
      </c>
      <c r="F61" s="1240"/>
      <c r="G61" s="1240"/>
      <c r="H61" s="1240"/>
      <c r="I61" s="1240"/>
      <c r="J61" s="1268" t="s">
        <v>165</v>
      </c>
      <c r="K61" s="1269"/>
      <c r="L61" s="1270"/>
      <c r="M61" s="925" t="s">
        <v>166</v>
      </c>
      <c r="N61" s="91"/>
      <c r="O61" s="91"/>
      <c r="P61" s="91"/>
      <c r="Q61" s="91"/>
      <c r="R61" s="91"/>
      <c r="S61" s="91"/>
    </row>
    <row r="62" spans="2:19" ht="18.75" customHeight="1">
      <c r="B62" s="1236"/>
      <c r="C62" s="1237"/>
      <c r="D62" s="1237"/>
      <c r="E62" s="1241"/>
      <c r="F62" s="1242"/>
      <c r="G62" s="1242"/>
      <c r="H62" s="1242"/>
      <c r="I62" s="1242"/>
      <c r="J62" s="1268" t="s">
        <v>167</v>
      </c>
      <c r="K62" s="1269"/>
      <c r="L62" s="1270"/>
      <c r="M62" s="925" t="s">
        <v>166</v>
      </c>
      <c r="N62" s="91"/>
      <c r="O62" s="91"/>
    </row>
    <row r="63" spans="2:19" ht="18.75" customHeight="1">
      <c r="B63" s="1236"/>
      <c r="C63" s="1237"/>
      <c r="D63" s="1237"/>
      <c r="E63" s="1241"/>
      <c r="F63" s="1242"/>
      <c r="G63" s="1242"/>
      <c r="H63" s="1242"/>
      <c r="I63" s="1242"/>
      <c r="J63" s="1268" t="s">
        <v>168</v>
      </c>
      <c r="K63" s="1269"/>
      <c r="L63" s="1270"/>
      <c r="M63" s="925" t="s">
        <v>169</v>
      </c>
      <c r="N63" s="91"/>
    </row>
    <row r="64" spans="2:19" ht="18.75" customHeight="1">
      <c r="B64" s="1236"/>
      <c r="C64" s="1237"/>
      <c r="D64" s="1237"/>
      <c r="E64" s="1241"/>
      <c r="F64" s="1242"/>
      <c r="G64" s="1242"/>
      <c r="H64" s="1242"/>
      <c r="I64" s="1242"/>
      <c r="J64" s="1268" t="s">
        <v>170</v>
      </c>
      <c r="K64" s="1269"/>
      <c r="L64" s="1270"/>
      <c r="M64" s="925" t="s">
        <v>171</v>
      </c>
    </row>
    <row r="65" spans="2:14" ht="18.75" customHeight="1">
      <c r="B65" s="1236"/>
      <c r="C65" s="1237"/>
      <c r="D65" s="1237"/>
      <c r="E65" s="1241"/>
      <c r="F65" s="1242"/>
      <c r="G65" s="1242"/>
      <c r="H65" s="1242"/>
      <c r="I65" s="1242"/>
      <c r="J65" s="1268" t="s">
        <v>172</v>
      </c>
      <c r="K65" s="1269"/>
      <c r="L65" s="1270"/>
      <c r="M65" s="925" t="s">
        <v>173</v>
      </c>
      <c r="N65" s="91"/>
    </row>
    <row r="66" spans="2:14" ht="18.75" customHeight="1">
      <c r="B66" s="1236"/>
      <c r="C66" s="1237"/>
      <c r="D66" s="1237"/>
      <c r="E66" s="1241"/>
      <c r="F66" s="1242"/>
      <c r="G66" s="1242"/>
      <c r="H66" s="1242"/>
      <c r="I66" s="1242"/>
      <c r="J66" s="1268" t="s">
        <v>174</v>
      </c>
      <c r="K66" s="1269"/>
      <c r="L66" s="1270"/>
      <c r="M66" s="925" t="s">
        <v>175</v>
      </c>
    </row>
    <row r="67" spans="2:14" ht="18.75" customHeight="1">
      <c r="B67" s="1236"/>
      <c r="C67" s="1237"/>
      <c r="D67" s="1237"/>
      <c r="E67" s="1241"/>
      <c r="F67" s="1242"/>
      <c r="G67" s="1242"/>
      <c r="H67" s="1242"/>
      <c r="I67" s="1242"/>
      <c r="J67" s="1271" t="s">
        <v>176</v>
      </c>
      <c r="K67" s="1272"/>
      <c r="L67" s="1273"/>
      <c r="M67" s="925" t="s">
        <v>177</v>
      </c>
      <c r="N67" s="91"/>
    </row>
    <row r="68" spans="2:14" ht="18.75" customHeight="1">
      <c r="B68" s="1236"/>
      <c r="C68" s="1237"/>
      <c r="D68" s="1237"/>
      <c r="E68" s="1241"/>
      <c r="F68" s="1242"/>
      <c r="G68" s="1242"/>
      <c r="H68" s="1242"/>
      <c r="I68" s="1242"/>
      <c r="J68" s="1268" t="s">
        <v>178</v>
      </c>
      <c r="K68" s="1269"/>
      <c r="L68" s="1270"/>
      <c r="M68" s="925" t="s">
        <v>179</v>
      </c>
      <c r="N68" s="10"/>
    </row>
    <row r="69" spans="2:14" ht="18.75" customHeight="1">
      <c r="B69" s="1236"/>
      <c r="C69" s="1237"/>
      <c r="D69" s="1237"/>
      <c r="E69" s="1241"/>
      <c r="F69" s="1242"/>
      <c r="G69" s="1242"/>
      <c r="H69" s="1242"/>
      <c r="I69" s="1242"/>
      <c r="J69" s="1268" t="s">
        <v>180</v>
      </c>
      <c r="K69" s="1269"/>
      <c r="L69" s="1270"/>
      <c r="M69" s="926" t="s">
        <v>181</v>
      </c>
      <c r="N69" s="91"/>
    </row>
    <row r="70" spans="2:14" ht="17.25" customHeight="1">
      <c r="B70" s="1238"/>
      <c r="C70" s="1239"/>
      <c r="D70" s="1239"/>
      <c r="E70" s="1243"/>
      <c r="F70" s="1244"/>
      <c r="G70" s="1244"/>
      <c r="H70" s="1244"/>
      <c r="I70" s="1244"/>
      <c r="J70" s="1268" t="s">
        <v>182</v>
      </c>
      <c r="K70" s="1269"/>
      <c r="L70" s="1270"/>
      <c r="M70" s="925" t="s">
        <v>183</v>
      </c>
    </row>
    <row r="71" spans="2:14" ht="15.75" customHeight="1">
      <c r="B71" s="1288" t="s">
        <v>184</v>
      </c>
      <c r="C71" s="1245"/>
      <c r="D71" s="1245"/>
      <c r="E71" s="1245" t="s">
        <v>185</v>
      </c>
      <c r="F71" s="1245"/>
      <c r="G71" s="1245"/>
      <c r="H71" s="1245"/>
      <c r="I71" s="1246"/>
      <c r="J71" s="1264"/>
      <c r="K71" s="1265"/>
      <c r="L71" s="1266"/>
      <c r="M71" s="927"/>
      <c r="N71" s="91"/>
    </row>
    <row r="72" spans="2:14" ht="19.5" customHeight="1">
      <c r="B72" s="1277" t="s">
        <v>186</v>
      </c>
      <c r="C72" s="1278"/>
      <c r="D72" s="1279"/>
      <c r="E72" s="1234" t="s">
        <v>187</v>
      </c>
      <c r="F72" s="1235"/>
      <c r="G72" s="1235"/>
      <c r="H72" s="1235"/>
      <c r="I72" s="1235"/>
      <c r="J72" s="1264"/>
      <c r="K72" s="1265"/>
      <c r="L72" s="1266"/>
      <c r="M72" s="927"/>
    </row>
    <row r="73" spans="2:14" ht="18" customHeight="1">
      <c r="B73" s="1280"/>
      <c r="C73" s="1281"/>
      <c r="D73" s="1282"/>
      <c r="E73" s="1236"/>
      <c r="F73" s="1237"/>
      <c r="G73" s="1237"/>
      <c r="H73" s="1237"/>
      <c r="I73" s="1237"/>
      <c r="J73" s="1264"/>
      <c r="K73" s="1265"/>
      <c r="L73" s="1266"/>
      <c r="M73" s="927"/>
      <c r="N73" s="91"/>
    </row>
    <row r="74" spans="2:14" ht="18" customHeight="1">
      <c r="B74" s="1280"/>
      <c r="C74" s="1281"/>
      <c r="D74" s="1282"/>
      <c r="E74" s="1236"/>
      <c r="F74" s="1237"/>
      <c r="G74" s="1237"/>
      <c r="H74" s="1237"/>
      <c r="I74" s="1237"/>
      <c r="J74" s="1264"/>
      <c r="K74" s="1265"/>
      <c r="L74" s="1266"/>
      <c r="M74" s="927"/>
    </row>
    <row r="75" spans="2:14" ht="18" customHeight="1">
      <c r="B75" s="1280"/>
      <c r="C75" s="1281"/>
      <c r="D75" s="1282"/>
      <c r="E75" s="1236"/>
      <c r="F75" s="1237"/>
      <c r="G75" s="1237"/>
      <c r="H75" s="1237"/>
      <c r="I75" s="1237"/>
      <c r="J75" s="1264"/>
      <c r="K75" s="1265"/>
      <c r="L75" s="1266"/>
      <c r="M75" s="927"/>
      <c r="N75" s="91"/>
    </row>
    <row r="76" spans="2:14" ht="18.75" customHeight="1">
      <c r="B76" s="1280"/>
      <c r="C76" s="1281"/>
      <c r="D76" s="1282"/>
      <c r="E76" s="1236"/>
      <c r="F76" s="1237"/>
      <c r="G76" s="1237"/>
      <c r="H76" s="1237"/>
      <c r="I76" s="1237"/>
      <c r="J76" s="1264"/>
      <c r="K76" s="1265"/>
      <c r="L76" s="1266"/>
      <c r="M76" s="927"/>
    </row>
    <row r="77" spans="2:14" ht="17.25" customHeight="1">
      <c r="B77" s="1280"/>
      <c r="C77" s="1281"/>
      <c r="D77" s="1282"/>
      <c r="E77" s="1236"/>
      <c r="F77" s="1237"/>
      <c r="G77" s="1237"/>
      <c r="H77" s="1237"/>
      <c r="I77" s="1237"/>
      <c r="J77" s="1264"/>
      <c r="K77" s="1265"/>
      <c r="L77" s="1266"/>
      <c r="M77" s="927"/>
      <c r="N77" s="91"/>
    </row>
    <row r="78" spans="2:14" ht="18.75" customHeight="1">
      <c r="B78" s="1280"/>
      <c r="C78" s="1281"/>
      <c r="D78" s="1282"/>
      <c r="E78" s="1236"/>
      <c r="F78" s="1237"/>
      <c r="G78" s="1237"/>
      <c r="H78" s="1237"/>
      <c r="I78" s="1237"/>
      <c r="J78" s="1264"/>
      <c r="K78" s="1265"/>
      <c r="L78" s="1266"/>
      <c r="M78" s="927"/>
    </row>
    <row r="79" spans="2:14" ht="17.25" customHeight="1">
      <c r="B79" s="1280"/>
      <c r="C79" s="1281"/>
      <c r="D79" s="1282"/>
      <c r="E79" s="1236"/>
      <c r="F79" s="1237"/>
      <c r="G79" s="1237"/>
      <c r="H79" s="1237"/>
      <c r="I79" s="1237"/>
      <c r="J79" s="1264"/>
      <c r="K79" s="1265"/>
      <c r="L79" s="1266"/>
      <c r="M79" s="927"/>
      <c r="N79" s="91"/>
    </row>
    <row r="80" spans="2:14" ht="17.25" customHeight="1" thickBot="1">
      <c r="B80" s="1280"/>
      <c r="C80" s="1281"/>
      <c r="D80" s="1282"/>
      <c r="E80" s="1236"/>
      <c r="F80" s="1237"/>
      <c r="G80" s="1237"/>
      <c r="H80" s="1237"/>
      <c r="I80" s="1237"/>
      <c r="J80" s="1274"/>
      <c r="K80" s="1275"/>
      <c r="L80" s="1276"/>
      <c r="M80" s="924"/>
    </row>
    <row r="81" spans="2:13" ht="17.25" customHeight="1">
      <c r="B81" s="1283"/>
      <c r="C81" s="1284"/>
      <c r="D81" s="1285"/>
      <c r="E81" s="1238"/>
      <c r="F81" s="1239"/>
      <c r="G81" s="1239"/>
      <c r="H81" s="1239"/>
      <c r="I81" s="1239"/>
      <c r="J81" s="1286" t="s">
        <v>188</v>
      </c>
      <c r="K81" s="1287"/>
      <c r="L81" s="1287"/>
      <c r="M81" s="928">
        <f>SUM(M61:M80)</f>
        <v>0</v>
      </c>
    </row>
    <row r="82" spans="2:13" ht="14.25">
      <c r="B82" s="1256" t="s">
        <v>189</v>
      </c>
      <c r="C82" s="1257"/>
      <c r="D82" s="1257"/>
      <c r="E82" s="1257"/>
      <c r="F82" s="1257"/>
      <c r="G82" s="1165" t="s">
        <v>190</v>
      </c>
      <c r="H82" s="1165"/>
      <c r="I82" s="1165"/>
      <c r="J82" s="1165"/>
      <c r="K82" s="1165"/>
      <c r="L82" s="1165"/>
      <c r="M82" s="1233"/>
    </row>
    <row r="83" spans="2:13" s="10" customFormat="1">
      <c r="B83" s="1247" t="s">
        <v>191</v>
      </c>
      <c r="C83" s="1248"/>
      <c r="D83" s="1248"/>
      <c r="E83" s="1248"/>
      <c r="F83" s="1249"/>
      <c r="G83" s="1258" t="e" vm="3">
        <v>#VALUE!</v>
      </c>
      <c r="H83" s="1259"/>
      <c r="I83" s="1259"/>
      <c r="J83" s="1259"/>
      <c r="K83" s="1259"/>
      <c r="L83" s="1259"/>
      <c r="M83" s="1260"/>
    </row>
    <row r="84" spans="2:13">
      <c r="B84" s="1250"/>
      <c r="C84" s="1251"/>
      <c r="D84" s="1251"/>
      <c r="E84" s="1251"/>
      <c r="F84" s="1252"/>
      <c r="G84" s="1261"/>
      <c r="H84" s="1262"/>
      <c r="I84" s="1262"/>
      <c r="J84" s="1262"/>
      <c r="K84" s="1262"/>
      <c r="L84" s="1262"/>
      <c r="M84" s="1263"/>
    </row>
    <row r="85" spans="2:13">
      <c r="B85" s="1250"/>
      <c r="C85" s="1251"/>
      <c r="D85" s="1251"/>
      <c r="E85" s="1251"/>
      <c r="F85" s="1252"/>
      <c r="G85" s="1261"/>
      <c r="H85" s="1262"/>
      <c r="I85" s="1262"/>
      <c r="J85" s="1262"/>
      <c r="K85" s="1262"/>
      <c r="L85" s="1262"/>
      <c r="M85" s="1263"/>
    </row>
    <row r="86" spans="2:13">
      <c r="B86" s="1250"/>
      <c r="C86" s="1251"/>
      <c r="D86" s="1251"/>
      <c r="E86" s="1251"/>
      <c r="F86" s="1252"/>
      <c r="G86" s="1261"/>
      <c r="H86" s="1262"/>
      <c r="I86" s="1262"/>
      <c r="J86" s="1262"/>
      <c r="K86" s="1262"/>
      <c r="L86" s="1262"/>
      <c r="M86" s="1263"/>
    </row>
    <row r="87" spans="2:13">
      <c r="B87" s="1250"/>
      <c r="C87" s="1251"/>
      <c r="D87" s="1251"/>
      <c r="E87" s="1251"/>
      <c r="F87" s="1252"/>
      <c r="G87" s="1261"/>
      <c r="H87" s="1262"/>
      <c r="I87" s="1262"/>
      <c r="J87" s="1262"/>
      <c r="K87" s="1262"/>
      <c r="L87" s="1262"/>
      <c r="M87" s="1263"/>
    </row>
    <row r="88" spans="2:13">
      <c r="B88" s="1250"/>
      <c r="C88" s="1251"/>
      <c r="D88" s="1251"/>
      <c r="E88" s="1251"/>
      <c r="F88" s="1252"/>
      <c r="G88" s="1261"/>
      <c r="H88" s="1262"/>
      <c r="I88" s="1262"/>
      <c r="J88" s="1262"/>
      <c r="K88" s="1262"/>
      <c r="L88" s="1262"/>
      <c r="M88" s="1263"/>
    </row>
    <row r="89" spans="2:13">
      <c r="B89" s="1250"/>
      <c r="C89" s="1251"/>
      <c r="D89" s="1251"/>
      <c r="E89" s="1251"/>
      <c r="F89" s="1252"/>
      <c r="G89" s="1261"/>
      <c r="H89" s="1262"/>
      <c r="I89" s="1262"/>
      <c r="J89" s="1262"/>
      <c r="K89" s="1262"/>
      <c r="L89" s="1262"/>
      <c r="M89" s="1263"/>
    </row>
    <row r="90" spans="2:13">
      <c r="B90" s="1250"/>
      <c r="C90" s="1251"/>
      <c r="D90" s="1251"/>
      <c r="E90" s="1251"/>
      <c r="F90" s="1252"/>
      <c r="G90" s="1261"/>
      <c r="H90" s="1262"/>
      <c r="I90" s="1262"/>
      <c r="J90" s="1262"/>
      <c r="K90" s="1262"/>
      <c r="L90" s="1262"/>
      <c r="M90" s="1263"/>
    </row>
    <row r="91" spans="2:13">
      <c r="B91" s="1250"/>
      <c r="C91" s="1251"/>
      <c r="D91" s="1251"/>
      <c r="E91" s="1251"/>
      <c r="F91" s="1252"/>
      <c r="G91" s="1261"/>
      <c r="H91" s="1262"/>
      <c r="I91" s="1262"/>
      <c r="J91" s="1262"/>
      <c r="K91" s="1262"/>
      <c r="L91" s="1262"/>
      <c r="M91" s="1263"/>
    </row>
    <row r="92" spans="2:13">
      <c r="B92" s="1250"/>
      <c r="C92" s="1251"/>
      <c r="D92" s="1251"/>
      <c r="E92" s="1251"/>
      <c r="F92" s="1252"/>
      <c r="G92" s="1261"/>
      <c r="H92" s="1262"/>
      <c r="I92" s="1262"/>
      <c r="J92" s="1262"/>
      <c r="K92" s="1262"/>
      <c r="L92" s="1262"/>
      <c r="M92" s="1263"/>
    </row>
    <row r="93" spans="2:13">
      <c r="B93" s="1250"/>
      <c r="C93" s="1251"/>
      <c r="D93" s="1251"/>
      <c r="E93" s="1251"/>
      <c r="F93" s="1252"/>
      <c r="G93" s="1261"/>
      <c r="H93" s="1262"/>
      <c r="I93" s="1262"/>
      <c r="J93" s="1262"/>
      <c r="K93" s="1262"/>
      <c r="L93" s="1262"/>
      <c r="M93" s="1263"/>
    </row>
    <row r="94" spans="2:13">
      <c r="B94" s="1250"/>
      <c r="C94" s="1251"/>
      <c r="D94" s="1251"/>
      <c r="E94" s="1251"/>
      <c r="F94" s="1252"/>
      <c r="G94" s="1261"/>
      <c r="H94" s="1262"/>
      <c r="I94" s="1262"/>
      <c r="J94" s="1262"/>
      <c r="K94" s="1262"/>
      <c r="L94" s="1262"/>
      <c r="M94" s="1263"/>
    </row>
    <row r="95" spans="2:13">
      <c r="B95" s="1250"/>
      <c r="C95" s="1251"/>
      <c r="D95" s="1251"/>
      <c r="E95" s="1251"/>
      <c r="F95" s="1252"/>
      <c r="G95" s="1261"/>
      <c r="H95" s="1262"/>
      <c r="I95" s="1262"/>
      <c r="J95" s="1262"/>
      <c r="K95" s="1262"/>
      <c r="L95" s="1262"/>
      <c r="M95" s="1263"/>
    </row>
    <row r="96" spans="2:13">
      <c r="B96" s="1250"/>
      <c r="C96" s="1251"/>
      <c r="D96" s="1251"/>
      <c r="E96" s="1251"/>
      <c r="F96" s="1252"/>
      <c r="G96" s="1261"/>
      <c r="H96" s="1262"/>
      <c r="I96" s="1262"/>
      <c r="J96" s="1262"/>
      <c r="K96" s="1262"/>
      <c r="L96" s="1262"/>
      <c r="M96" s="1263"/>
    </row>
    <row r="97" spans="2:13">
      <c r="B97" s="1250"/>
      <c r="C97" s="1251"/>
      <c r="D97" s="1251"/>
      <c r="E97" s="1251"/>
      <c r="F97" s="1252"/>
      <c r="G97" s="1261"/>
      <c r="H97" s="1262"/>
      <c r="I97" s="1262"/>
      <c r="J97" s="1262"/>
      <c r="K97" s="1262"/>
      <c r="L97" s="1262"/>
      <c r="M97" s="1263"/>
    </row>
    <row r="98" spans="2:13">
      <c r="B98" s="1250"/>
      <c r="C98" s="1251"/>
      <c r="D98" s="1251"/>
      <c r="E98" s="1251"/>
      <c r="F98" s="1252"/>
      <c r="G98" s="1261"/>
      <c r="H98" s="1262"/>
      <c r="I98" s="1262"/>
      <c r="J98" s="1262"/>
      <c r="K98" s="1262"/>
      <c r="L98" s="1262"/>
      <c r="M98" s="1263"/>
    </row>
    <row r="99" spans="2:13">
      <c r="B99" s="1250"/>
      <c r="C99" s="1251"/>
      <c r="D99" s="1251"/>
      <c r="E99" s="1251"/>
      <c r="F99" s="1252"/>
      <c r="G99" s="1261"/>
      <c r="H99" s="1262"/>
      <c r="I99" s="1262"/>
      <c r="J99" s="1262"/>
      <c r="K99" s="1262"/>
      <c r="L99" s="1262"/>
      <c r="M99" s="1263"/>
    </row>
    <row r="100" spans="2:13">
      <c r="B100" s="1250"/>
      <c r="C100" s="1251"/>
      <c r="D100" s="1251"/>
      <c r="E100" s="1251"/>
      <c r="F100" s="1252"/>
      <c r="G100" s="1261"/>
      <c r="H100" s="1262"/>
      <c r="I100" s="1262"/>
      <c r="J100" s="1262"/>
      <c r="K100" s="1262"/>
      <c r="L100" s="1262"/>
      <c r="M100" s="1263"/>
    </row>
    <row r="101" spans="2:13">
      <c r="B101" s="1250"/>
      <c r="C101" s="1251"/>
      <c r="D101" s="1251"/>
      <c r="E101" s="1251"/>
      <c r="F101" s="1252"/>
      <c r="G101" s="1261"/>
      <c r="H101" s="1262"/>
      <c r="I101" s="1262"/>
      <c r="J101" s="1262"/>
      <c r="K101" s="1262"/>
      <c r="L101" s="1262"/>
      <c r="M101" s="1263"/>
    </row>
    <row r="102" spans="2:13">
      <c r="B102" s="1250"/>
      <c r="C102" s="1251"/>
      <c r="D102" s="1251"/>
      <c r="E102" s="1251"/>
      <c r="F102" s="1252"/>
      <c r="G102" s="1261"/>
      <c r="H102" s="1262"/>
      <c r="I102" s="1262"/>
      <c r="J102" s="1262"/>
      <c r="K102" s="1262"/>
      <c r="L102" s="1262"/>
      <c r="M102" s="1263"/>
    </row>
    <row r="103" spans="2:13">
      <c r="B103" s="1250"/>
      <c r="C103" s="1251"/>
      <c r="D103" s="1251"/>
      <c r="E103" s="1251"/>
      <c r="F103" s="1252"/>
      <c r="G103" s="1261"/>
      <c r="H103" s="1262"/>
      <c r="I103" s="1262"/>
      <c r="J103" s="1262"/>
      <c r="K103" s="1262"/>
      <c r="L103" s="1262"/>
      <c r="M103" s="1263"/>
    </row>
    <row r="104" spans="2:13">
      <c r="B104" s="1250"/>
      <c r="C104" s="1251"/>
      <c r="D104" s="1251"/>
      <c r="E104" s="1251"/>
      <c r="F104" s="1252"/>
      <c r="G104" s="1261"/>
      <c r="H104" s="1262"/>
      <c r="I104" s="1262"/>
      <c r="J104" s="1262"/>
      <c r="K104" s="1262"/>
      <c r="L104" s="1262"/>
      <c r="M104" s="1263"/>
    </row>
    <row r="105" spans="2:13">
      <c r="B105" s="1250"/>
      <c r="C105" s="1251"/>
      <c r="D105" s="1251"/>
      <c r="E105" s="1251"/>
      <c r="F105" s="1252"/>
      <c r="G105" s="1261"/>
      <c r="H105" s="1262"/>
      <c r="I105" s="1262"/>
      <c r="J105" s="1262"/>
      <c r="K105" s="1262"/>
      <c r="L105" s="1262"/>
      <c r="M105" s="1263"/>
    </row>
    <row r="106" spans="2:13" ht="13.5" thickBot="1">
      <c r="B106" s="1250"/>
      <c r="C106" s="1251"/>
      <c r="D106" s="1251"/>
      <c r="E106" s="1251"/>
      <c r="F106" s="1252"/>
      <c r="G106" s="1261"/>
      <c r="H106" s="1262"/>
      <c r="I106" s="1262"/>
      <c r="J106" s="1262"/>
      <c r="K106" s="1262"/>
      <c r="L106" s="1262"/>
      <c r="M106" s="1263"/>
    </row>
    <row r="107" spans="2:13" ht="32.85" customHeight="1" thickBot="1">
      <c r="B107" s="1253"/>
      <c r="C107" s="1254"/>
      <c r="D107" s="1254"/>
      <c r="E107" s="1254"/>
      <c r="F107" s="1255"/>
      <c r="G107" s="1232" t="e" vm="1">
        <f>Inputs!H3</f>
        <v>#VALUE!</v>
      </c>
      <c r="H107" s="1232"/>
      <c r="I107" s="778" t="e" vm="4">
        <f>Peers!C2</f>
        <v>#VALUE!</v>
      </c>
      <c r="J107" s="1267" t="e" vm="5">
        <f>Peers!C3</f>
        <v>#VALUE!</v>
      </c>
      <c r="K107" s="1267"/>
      <c r="L107" s="779" t="e" vm="6">
        <f>Peers!C4</f>
        <v>#VALUE!</v>
      </c>
      <c r="M107" s="777" t="e" vm="7">
        <f>Peers!C5</f>
        <v>#VALUE!</v>
      </c>
    </row>
  </sheetData>
  <mergeCells count="128">
    <mergeCell ref="J47:K47"/>
    <mergeCell ref="J48:K48"/>
    <mergeCell ref="J49:K49"/>
    <mergeCell ref="J50:K50"/>
    <mergeCell ref="J51:K51"/>
    <mergeCell ref="K7:M7"/>
    <mergeCell ref="K10:M10"/>
    <mergeCell ref="K11:M11"/>
    <mergeCell ref="B16:C16"/>
    <mergeCell ref="B3:C15"/>
    <mergeCell ref="K12:M12"/>
    <mergeCell ref="K13:M13"/>
    <mergeCell ref="K14:M14"/>
    <mergeCell ref="K15:M15"/>
    <mergeCell ref="K16:M16"/>
    <mergeCell ref="I18:K18"/>
    <mergeCell ref="J19:K19"/>
    <mergeCell ref="B28:C28"/>
    <mergeCell ref="D18:E18"/>
    <mergeCell ref="B17:M17"/>
    <mergeCell ref="F22:G22"/>
    <mergeCell ref="F23:G23"/>
    <mergeCell ref="F24:G24"/>
    <mergeCell ref="B61:D70"/>
    <mergeCell ref="J59:M59"/>
    <mergeCell ref="F30:G30"/>
    <mergeCell ref="F28:G28"/>
    <mergeCell ref="F29:G29"/>
    <mergeCell ref="H34:H37"/>
    <mergeCell ref="C36:G36"/>
    <mergeCell ref="C37:G37"/>
    <mergeCell ref="C40:G40"/>
    <mergeCell ref="H39:H42"/>
    <mergeCell ref="B33:G33"/>
    <mergeCell ref="F31:G31"/>
    <mergeCell ref="B32:M32"/>
    <mergeCell ref="B60:D60"/>
    <mergeCell ref="E60:I60"/>
    <mergeCell ref="J44:M44"/>
    <mergeCell ref="I34:M37"/>
    <mergeCell ref="I38:M38"/>
    <mergeCell ref="J46:K46"/>
    <mergeCell ref="C35:G35"/>
    <mergeCell ref="I28:J28"/>
    <mergeCell ref="I29:J29"/>
    <mergeCell ref="I30:J30"/>
    <mergeCell ref="I33:M33"/>
    <mergeCell ref="J75:L75"/>
    <mergeCell ref="J71:L71"/>
    <mergeCell ref="B72:D81"/>
    <mergeCell ref="J76:L76"/>
    <mergeCell ref="J77:L77"/>
    <mergeCell ref="J78:L78"/>
    <mergeCell ref="J81:L81"/>
    <mergeCell ref="J79:L79"/>
    <mergeCell ref="B71:D71"/>
    <mergeCell ref="G107:H107"/>
    <mergeCell ref="G82:M82"/>
    <mergeCell ref="E72:I81"/>
    <mergeCell ref="E61:I70"/>
    <mergeCell ref="J60:L60"/>
    <mergeCell ref="E71:I71"/>
    <mergeCell ref="B83:F107"/>
    <mergeCell ref="B82:F82"/>
    <mergeCell ref="G83:M106"/>
    <mergeCell ref="J73:L73"/>
    <mergeCell ref="J107:K107"/>
    <mergeCell ref="J61:L61"/>
    <mergeCell ref="J62:L62"/>
    <mergeCell ref="J63:L63"/>
    <mergeCell ref="J64:L64"/>
    <mergeCell ref="J65:L65"/>
    <mergeCell ref="J66:L66"/>
    <mergeCell ref="J67:L67"/>
    <mergeCell ref="J68:L68"/>
    <mergeCell ref="J69:L69"/>
    <mergeCell ref="J80:L80"/>
    <mergeCell ref="J72:L72"/>
    <mergeCell ref="J70:L70"/>
    <mergeCell ref="J74:L74"/>
    <mergeCell ref="E2:K2"/>
    <mergeCell ref="F19:G19"/>
    <mergeCell ref="F27:G27"/>
    <mergeCell ref="F25:G25"/>
    <mergeCell ref="J20:K20"/>
    <mergeCell ref="I21:J21"/>
    <mergeCell ref="I22:J22"/>
    <mergeCell ref="I23:J23"/>
    <mergeCell ref="I24:J24"/>
    <mergeCell ref="I25:J25"/>
    <mergeCell ref="I26:J26"/>
    <mergeCell ref="I27:J27"/>
    <mergeCell ref="F26:G26"/>
    <mergeCell ref="D4:G16"/>
    <mergeCell ref="D3:G3"/>
    <mergeCell ref="H3:M3"/>
    <mergeCell ref="F18:H18"/>
    <mergeCell ref="F21:G21"/>
    <mergeCell ref="F20:G20"/>
    <mergeCell ref="K9:M9"/>
    <mergeCell ref="K4:M4"/>
    <mergeCell ref="K6:M6"/>
    <mergeCell ref="K8:M8"/>
    <mergeCell ref="K5:M5"/>
    <mergeCell ref="J52:K52"/>
    <mergeCell ref="L18:M18"/>
    <mergeCell ref="B18:C18"/>
    <mergeCell ref="B59:I59"/>
    <mergeCell ref="B58:M58"/>
    <mergeCell ref="B43:M43"/>
    <mergeCell ref="I39:I40"/>
    <mergeCell ref="C42:G42"/>
    <mergeCell ref="C41:G41"/>
    <mergeCell ref="B38:G38"/>
    <mergeCell ref="C39:G39"/>
    <mergeCell ref="J55:K55"/>
    <mergeCell ref="J56:K56"/>
    <mergeCell ref="J57:K57"/>
    <mergeCell ref="J53:K53"/>
    <mergeCell ref="I41:I42"/>
    <mergeCell ref="J54:K54"/>
    <mergeCell ref="J39:K40"/>
    <mergeCell ref="J41:K42"/>
    <mergeCell ref="L39:L40"/>
    <mergeCell ref="L41:L42"/>
    <mergeCell ref="M39:M40"/>
    <mergeCell ref="M41:M42"/>
    <mergeCell ref="C34:G34"/>
  </mergeCells>
  <phoneticPr fontId="0" type="noConversion"/>
  <conditionalFormatting sqref="C45:C53 D45:E45">
    <cfRule type="dataBar" priority="11">
      <dataBar>
        <cfvo type="min"/>
        <cfvo type="max"/>
        <color rgb="FF63C384"/>
      </dataBar>
      <extLst>
        <ext xmlns:x14="http://schemas.microsoft.com/office/spreadsheetml/2009/9/main" uri="{B025F937-C7B1-47D3-B67F-A62EFF666E3E}">
          <x14:id>{F4773E1D-8C81-41A2-B9F2-E9E8E2054B23}</x14:id>
        </ext>
      </extLst>
    </cfRule>
  </conditionalFormatting>
  <conditionalFormatting sqref="D45:D53">
    <cfRule type="dataBar" priority="10">
      <dataBar>
        <cfvo type="min"/>
        <cfvo type="max"/>
        <color rgb="FF638EC6"/>
      </dataBar>
      <extLst>
        <ext xmlns:x14="http://schemas.microsoft.com/office/spreadsheetml/2009/9/main" uri="{B025F937-C7B1-47D3-B67F-A62EFF666E3E}">
          <x14:id>{AB45923C-EAD5-474F-8382-F5BEE7164463}</x14:id>
        </ext>
      </extLst>
    </cfRule>
  </conditionalFormatting>
  <conditionalFormatting sqref="D46:D53">
    <cfRule type="dataBar" priority="17">
      <dataBar>
        <cfvo type="min"/>
        <cfvo type="max"/>
        <color rgb="FF638EC6"/>
      </dataBar>
      <extLst>
        <ext xmlns:x14="http://schemas.microsoft.com/office/spreadsheetml/2009/9/main" uri="{B025F937-C7B1-47D3-B67F-A62EFF666E3E}">
          <x14:id>{8F05AC94-FB75-41DC-A030-BD50695363B2}</x14:id>
        </ext>
      </extLst>
    </cfRule>
    <cfRule type="dataBar" priority="19">
      <dataBar>
        <cfvo type="min"/>
        <cfvo type="max"/>
        <color rgb="FF63C384"/>
      </dataBar>
      <extLst>
        <ext xmlns:x14="http://schemas.microsoft.com/office/spreadsheetml/2009/9/main" uri="{B025F937-C7B1-47D3-B67F-A62EFF666E3E}">
          <x14:id>{16E131EF-4CFA-4C45-B407-C7FA5F1CCD58}</x14:id>
        </ext>
      </extLst>
    </cfRule>
  </conditionalFormatting>
  <conditionalFormatting sqref="E45:E53">
    <cfRule type="dataBar" priority="9">
      <dataBar>
        <cfvo type="min"/>
        <cfvo type="max"/>
        <color rgb="FFFF555A"/>
      </dataBar>
      <extLst>
        <ext xmlns:x14="http://schemas.microsoft.com/office/spreadsheetml/2009/9/main" uri="{B025F937-C7B1-47D3-B67F-A62EFF666E3E}">
          <x14:id>{4C108334-4BC4-4B0F-A919-0620BA53FECB}</x14:id>
        </ext>
      </extLst>
    </cfRule>
  </conditionalFormatting>
  <conditionalFormatting sqref="E46:E53">
    <cfRule type="dataBar" priority="12">
      <dataBar>
        <cfvo type="min"/>
        <cfvo type="max"/>
        <color rgb="FF63C384"/>
      </dataBar>
      <extLst>
        <ext xmlns:x14="http://schemas.microsoft.com/office/spreadsheetml/2009/9/main" uri="{B025F937-C7B1-47D3-B67F-A62EFF666E3E}">
          <x14:id>{3D2B4733-6086-41B3-B3A7-1CB39146AAEB}</x14:id>
        </ext>
      </extLst>
    </cfRule>
  </conditionalFormatting>
  <conditionalFormatting sqref="E54:E57 G54:G57 I54:I57">
    <cfRule type="dataBar" priority="14">
      <dataBar>
        <cfvo type="min"/>
        <cfvo type="max"/>
        <color rgb="FF638EC6"/>
      </dataBar>
      <extLst>
        <ext xmlns:x14="http://schemas.microsoft.com/office/spreadsheetml/2009/9/main" uri="{B025F937-C7B1-47D3-B67F-A62EFF666E3E}">
          <x14:id>{4382A5A4-8938-4754-913D-04C8EB3E9944}</x14:id>
        </ext>
      </extLst>
    </cfRule>
    <cfRule type="dataBar" priority="15">
      <dataBar>
        <cfvo type="min"/>
        <cfvo type="max"/>
        <color rgb="FF63C384"/>
      </dataBar>
      <extLst>
        <ext xmlns:x14="http://schemas.microsoft.com/office/spreadsheetml/2009/9/main" uri="{B025F937-C7B1-47D3-B67F-A62EFF666E3E}">
          <x14:id>{CA48BEF9-536B-483E-93D1-1D70FAC05115}</x14:id>
        </ext>
      </extLst>
    </cfRule>
  </conditionalFormatting>
  <conditionalFormatting sqref="F45:F53">
    <cfRule type="dataBar" priority="16">
      <dataBar>
        <cfvo type="min"/>
        <cfvo type="max"/>
        <color rgb="FF63C384"/>
      </dataBar>
      <extLst>
        <ext xmlns:x14="http://schemas.microsoft.com/office/spreadsheetml/2009/9/main" uri="{B025F937-C7B1-47D3-B67F-A62EFF666E3E}">
          <x14:id>{FD1FEF9A-F365-4DFE-A927-1852D99D71EB}</x14:id>
        </ext>
      </extLst>
    </cfRule>
  </conditionalFormatting>
  <conditionalFormatting sqref="G45:G53">
    <cfRule type="dataBar" priority="18">
      <dataBar>
        <cfvo type="min"/>
        <cfvo type="max"/>
        <color rgb="FF63C384"/>
      </dataBar>
      <extLst>
        <ext xmlns:x14="http://schemas.microsoft.com/office/spreadsheetml/2009/9/main" uri="{B025F937-C7B1-47D3-B67F-A62EFF666E3E}">
          <x14:id>{ADD19CCF-E818-42F8-BF99-60EF2D3A801A}</x14:id>
        </ext>
      </extLst>
    </cfRule>
  </conditionalFormatting>
  <conditionalFormatting sqref="H20:H24">
    <cfRule type="dataBar" priority="8">
      <dataBar>
        <cfvo type="min"/>
        <cfvo type="max"/>
        <color rgb="FF638EC6"/>
      </dataBar>
      <extLst>
        <ext xmlns:x14="http://schemas.microsoft.com/office/spreadsheetml/2009/9/main" uri="{B025F937-C7B1-47D3-B67F-A62EFF666E3E}">
          <x14:id>{FB1A4ECC-D3E1-4C53-9ADF-103FFC3A87EE}</x14:id>
        </ext>
      </extLst>
    </cfRule>
  </conditionalFormatting>
  <conditionalFormatting sqref="H26:H30">
    <cfRule type="dataBar" priority="76">
      <dataBar>
        <cfvo type="min"/>
        <cfvo type="max"/>
        <color rgb="FF638EC6"/>
      </dataBar>
      <extLst>
        <ext xmlns:x14="http://schemas.microsoft.com/office/spreadsheetml/2009/9/main" uri="{B025F937-C7B1-47D3-B67F-A62EFF666E3E}">
          <x14:id>{6EB89896-7685-489D-A212-BEDCDA6C1614}</x14:id>
        </ext>
      </extLst>
    </cfRule>
  </conditionalFormatting>
  <conditionalFormatting sqref="H45:H53">
    <cfRule type="dataBar" priority="21">
      <dataBar>
        <cfvo type="min"/>
        <cfvo type="max"/>
        <color rgb="FF63C384"/>
      </dataBar>
      <extLst>
        <ext xmlns:x14="http://schemas.microsoft.com/office/spreadsheetml/2009/9/main" uri="{B025F937-C7B1-47D3-B67F-A62EFF666E3E}">
          <x14:id>{595E424D-F3AE-4040-A937-2E859AA15AD2}</x14:id>
        </ext>
      </extLst>
    </cfRule>
  </conditionalFormatting>
  <conditionalFormatting sqref="I45:I53">
    <cfRule type="dataBar" priority="13">
      <dataBar>
        <cfvo type="min"/>
        <cfvo type="max"/>
        <color rgb="FF63C384"/>
      </dataBar>
      <extLst>
        <ext xmlns:x14="http://schemas.microsoft.com/office/spreadsheetml/2009/9/main" uri="{B025F937-C7B1-47D3-B67F-A62EFF666E3E}">
          <x14:id>{60823727-C433-4BFE-A422-F2DB16A0B39B}</x14:id>
        </ext>
      </extLst>
    </cfRule>
  </conditionalFormatting>
  <conditionalFormatting sqref="J41:K42">
    <cfRule type="cellIs" dxfId="47" priority="1" operator="lessThan">
      <formula>0</formula>
    </cfRule>
    <cfRule type="cellIs" dxfId="46" priority="2" operator="greaterThan">
      <formula>0</formula>
    </cfRule>
  </conditionalFormatting>
  <conditionalFormatting sqref="M39:M42">
    <cfRule type="cellIs" dxfId="45" priority="3" operator="lessThan">
      <formula>0</formula>
    </cfRule>
    <cfRule type="cellIs" dxfId="44" priority="4" operator="greaterThan">
      <formula>0</formula>
    </cfRule>
  </conditionalFormatting>
  <printOptions horizontalCentered="1" verticalCentered="1"/>
  <pageMargins left="0" right="0" top="0.19685039370078741" bottom="0.19685039370078741" header="0" footer="0"/>
  <pageSetup paperSize="134" scale="64" orientation="landscape" r:id="rId1"/>
  <headerFooter alignWithMargins="0"/>
  <ignoredErrors>
    <ignoredError sqref="N46:S46 N48:S56 N47:P47 R47:S47" evalError="1"/>
  </ignoredErrors>
  <drawing r:id="rId2"/>
  <legacyDrawing r:id="rId3"/>
  <extLst>
    <ext xmlns:x14="http://schemas.microsoft.com/office/spreadsheetml/2009/9/main" uri="{78C0D931-6437-407d-A8EE-F0AAD7539E65}">
      <x14:conditionalFormattings>
        <x14:conditionalFormatting xmlns:xm="http://schemas.microsoft.com/office/excel/2006/main">
          <x14:cfRule type="dataBar" id="{F4773E1D-8C81-41A2-B9F2-E9E8E2054B23}">
            <x14:dataBar minLength="0" maxLength="100" border="1" negativeBarBorderColorSameAsPositive="0">
              <x14:cfvo type="autoMin"/>
              <x14:cfvo type="autoMax"/>
              <x14:borderColor rgb="FF63C384"/>
              <x14:negativeFillColor rgb="FFFF0000"/>
              <x14:negativeBorderColor rgb="FFFF0000"/>
              <x14:axisColor rgb="FF000000"/>
            </x14:dataBar>
          </x14:cfRule>
          <xm:sqref>C45:C53 D45:E45</xm:sqref>
        </x14:conditionalFormatting>
        <x14:conditionalFormatting xmlns:xm="http://schemas.microsoft.com/office/excel/2006/main">
          <x14:cfRule type="dataBar" id="{AB45923C-EAD5-474F-8382-F5BEE7164463}">
            <x14:dataBar minLength="0" maxLength="100" gradient="0">
              <x14:cfvo type="autoMin"/>
              <x14:cfvo type="autoMax"/>
              <x14:negativeFillColor rgb="FFFF0000"/>
              <x14:axisColor rgb="FF000000"/>
            </x14:dataBar>
          </x14:cfRule>
          <xm:sqref>D45:D53</xm:sqref>
        </x14:conditionalFormatting>
        <x14:conditionalFormatting xmlns:xm="http://schemas.microsoft.com/office/excel/2006/main">
          <x14:cfRule type="dataBar" id="{8F05AC94-FB75-41DC-A030-BD50695363B2}">
            <x14:dataBar minLength="0" maxLength="100" gradient="0">
              <x14:cfvo type="autoMin"/>
              <x14:cfvo type="autoMax"/>
              <x14:negativeFillColor rgb="FFFF0000"/>
              <x14:axisColor rgb="FF000000"/>
            </x14:dataBar>
          </x14:cfRule>
          <x14:cfRule type="dataBar" id="{16E131EF-4CFA-4C45-B407-C7FA5F1CCD58}">
            <x14:dataBar minLength="0" maxLength="100" gradient="0">
              <x14:cfvo type="autoMin"/>
              <x14:cfvo type="autoMax"/>
              <x14:negativeFillColor rgb="FFFF0000"/>
              <x14:axisColor rgb="FF000000"/>
            </x14:dataBar>
          </x14:cfRule>
          <xm:sqref>D46:D53</xm:sqref>
        </x14:conditionalFormatting>
        <x14:conditionalFormatting xmlns:xm="http://schemas.microsoft.com/office/excel/2006/main">
          <x14:cfRule type="dataBar" id="{4C108334-4BC4-4B0F-A919-0620BA53FECB}">
            <x14:dataBar minLength="0" maxLength="100" border="1" negativeBarBorderColorSameAsPositive="0">
              <x14:cfvo type="autoMin"/>
              <x14:cfvo type="autoMax"/>
              <x14:borderColor rgb="FFFF555A"/>
              <x14:negativeFillColor rgb="FFFF0000"/>
              <x14:negativeBorderColor rgb="FFFF0000"/>
              <x14:axisColor rgb="FF000000"/>
            </x14:dataBar>
          </x14:cfRule>
          <xm:sqref>E45:E53</xm:sqref>
        </x14:conditionalFormatting>
        <x14:conditionalFormatting xmlns:xm="http://schemas.microsoft.com/office/excel/2006/main">
          <x14:cfRule type="dataBar" id="{3D2B4733-6086-41B3-B3A7-1CB39146AAEB}">
            <x14:dataBar minLength="0" maxLength="100" border="1" negativeBarBorderColorSameAsPositive="0">
              <x14:cfvo type="autoMin"/>
              <x14:cfvo type="autoMax"/>
              <x14:borderColor rgb="FF63C384"/>
              <x14:negativeFillColor rgb="FFFF0000"/>
              <x14:negativeBorderColor rgb="FFFF0000"/>
              <x14:axisColor rgb="FF000000"/>
            </x14:dataBar>
          </x14:cfRule>
          <xm:sqref>E46:E53</xm:sqref>
        </x14:conditionalFormatting>
        <x14:conditionalFormatting xmlns:xm="http://schemas.microsoft.com/office/excel/2006/main">
          <x14:cfRule type="dataBar" id="{4382A5A4-8938-4754-913D-04C8EB3E9944}">
            <x14:dataBar minLength="0" maxLength="100" gradient="0">
              <x14:cfvo type="autoMin"/>
              <x14:cfvo type="autoMax"/>
              <x14:negativeFillColor rgb="FFFF0000"/>
              <x14:axisColor rgb="FF000000"/>
            </x14:dataBar>
          </x14:cfRule>
          <x14:cfRule type="dataBar" id="{CA48BEF9-536B-483E-93D1-1D70FAC05115}">
            <x14:dataBar minLength="0" maxLength="100" gradient="0">
              <x14:cfvo type="autoMin"/>
              <x14:cfvo type="autoMax"/>
              <x14:negativeFillColor rgb="FFFF0000"/>
              <x14:axisColor rgb="FF000000"/>
            </x14:dataBar>
          </x14:cfRule>
          <xm:sqref>E54:E57 G54:G57 I54:I57</xm:sqref>
        </x14:conditionalFormatting>
        <x14:conditionalFormatting xmlns:xm="http://schemas.microsoft.com/office/excel/2006/main">
          <x14:cfRule type="dataBar" id="{FD1FEF9A-F365-4DFE-A927-1852D99D71EB}">
            <x14:dataBar minLength="0" maxLength="100" gradient="0">
              <x14:cfvo type="autoMin"/>
              <x14:cfvo type="autoMax"/>
              <x14:negativeFillColor rgb="FFFF0000"/>
              <x14:axisColor rgb="FF000000"/>
            </x14:dataBar>
          </x14:cfRule>
          <xm:sqref>F45:F53</xm:sqref>
        </x14:conditionalFormatting>
        <x14:conditionalFormatting xmlns:xm="http://schemas.microsoft.com/office/excel/2006/main">
          <x14:cfRule type="dataBar" id="{ADD19CCF-E818-42F8-BF99-60EF2D3A801A}">
            <x14:dataBar minLength="0" maxLength="100" border="1" negativeBarBorderColorSameAsPositive="0">
              <x14:cfvo type="autoMin"/>
              <x14:cfvo type="autoMax"/>
              <x14:borderColor rgb="FF63C384"/>
              <x14:negativeFillColor rgb="FFFF0000"/>
              <x14:negativeBorderColor rgb="FFFF0000"/>
              <x14:axisColor rgb="FF000000"/>
            </x14:dataBar>
          </x14:cfRule>
          <xm:sqref>G45:G53</xm:sqref>
        </x14:conditionalFormatting>
        <x14:conditionalFormatting xmlns:xm="http://schemas.microsoft.com/office/excel/2006/main">
          <x14:cfRule type="dataBar" id="{FB1A4ECC-D3E1-4C53-9ADF-103FFC3A87EE}">
            <x14:dataBar minLength="0" maxLength="100" border="1" negativeBarBorderColorSameAsPositive="0">
              <x14:cfvo type="autoMin"/>
              <x14:cfvo type="autoMax"/>
              <x14:borderColor rgb="FF638EC6"/>
              <x14:negativeFillColor rgb="FFFF0000"/>
              <x14:negativeBorderColor rgb="FFFF0000"/>
              <x14:axisColor rgb="FF000000"/>
            </x14:dataBar>
          </x14:cfRule>
          <xm:sqref>H20:H24</xm:sqref>
        </x14:conditionalFormatting>
        <x14:conditionalFormatting xmlns:xm="http://schemas.microsoft.com/office/excel/2006/main">
          <x14:cfRule type="dataBar" id="{6EB89896-7685-489D-A212-BEDCDA6C1614}">
            <x14:dataBar minLength="0" maxLength="100" border="1" negativeBarBorderColorSameAsPositive="0">
              <x14:cfvo type="autoMin"/>
              <x14:cfvo type="autoMax"/>
              <x14:borderColor rgb="FF638EC6"/>
              <x14:negativeFillColor rgb="FFFF0000"/>
              <x14:negativeBorderColor rgb="FFFF0000"/>
              <x14:axisColor rgb="FF000000"/>
            </x14:dataBar>
          </x14:cfRule>
          <xm:sqref>H26:H30</xm:sqref>
        </x14:conditionalFormatting>
        <x14:conditionalFormatting xmlns:xm="http://schemas.microsoft.com/office/excel/2006/main">
          <x14:cfRule type="dataBar" id="{595E424D-F3AE-4040-A937-2E859AA15AD2}">
            <x14:dataBar minLength="0" maxLength="100" border="1" negativeBarBorderColorSameAsPositive="0">
              <x14:cfvo type="autoMin"/>
              <x14:cfvo type="autoMax"/>
              <x14:borderColor rgb="FF63C384"/>
              <x14:negativeFillColor rgb="FFFF0000"/>
              <x14:negativeBorderColor rgb="FFFF0000"/>
              <x14:axisColor rgb="FF000000"/>
            </x14:dataBar>
          </x14:cfRule>
          <xm:sqref>H45:H53</xm:sqref>
        </x14:conditionalFormatting>
        <x14:conditionalFormatting xmlns:xm="http://schemas.microsoft.com/office/excel/2006/main">
          <x14:cfRule type="dataBar" id="{60823727-C433-4BFE-A422-F2DB16A0B39B}">
            <x14:dataBar minLength="0" maxLength="100" border="1" negativeBarBorderColorSameAsPositive="0">
              <x14:cfvo type="autoMin"/>
              <x14:cfvo type="autoMax"/>
              <x14:borderColor rgb="FF63C384"/>
              <x14:negativeFillColor rgb="FFFF0000"/>
              <x14:negativeBorderColor rgb="FFFF0000"/>
              <x14:axisColor rgb="FF000000"/>
            </x14:dataBar>
          </x14:cfRule>
          <xm:sqref>I45:I53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6"/>
  <sheetViews>
    <sheetView workbookViewId="0"/>
  </sheetViews>
  <sheetFormatPr defaultColWidth="11.42578125" defaultRowHeight="12.75"/>
  <cols>
    <col min="1" max="1" width="27.140625" bestFit="1" customWidth="1"/>
  </cols>
  <sheetData>
    <row r="1" spans="1:1">
      <c r="A1" t="s">
        <v>192</v>
      </c>
    </row>
    <row r="2" spans="1:1">
      <c r="A2" t="s">
        <v>193</v>
      </c>
    </row>
    <row r="3" spans="1:1">
      <c r="A3" t="s">
        <v>194</v>
      </c>
    </row>
    <row r="4" spans="1:1">
      <c r="A4" t="s">
        <v>195</v>
      </c>
    </row>
    <row r="5" spans="1:1">
      <c r="A5" t="s">
        <v>196</v>
      </c>
    </row>
    <row r="6" spans="1:1">
      <c r="A6" s="10" t="s">
        <v>197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tabColor theme="9"/>
  </sheetPr>
  <dimension ref="B1:Y65"/>
  <sheetViews>
    <sheetView showGridLines="0" zoomScale="65" zoomScaleNormal="100" workbookViewId="0">
      <selection activeCell="C6" sqref="C6"/>
    </sheetView>
  </sheetViews>
  <sheetFormatPr defaultColWidth="11.42578125" defaultRowHeight="12.75"/>
  <cols>
    <col min="1" max="1" width="2.140625" customWidth="1"/>
    <col min="2" max="2" width="11.28515625" customWidth="1"/>
    <col min="3" max="3" width="42.7109375" customWidth="1"/>
    <col min="4" max="4" width="18" style="2" customWidth="1"/>
    <col min="5" max="6" width="16.7109375" bestFit="1" customWidth="1"/>
    <col min="7" max="7" width="15.5703125" bestFit="1" customWidth="1"/>
    <col min="8" max="8" width="15.28515625" customWidth="1"/>
    <col min="9" max="9" width="14.7109375" bestFit="1" customWidth="1"/>
    <col min="10" max="11" width="11.42578125" bestFit="1" customWidth="1"/>
    <col min="17" max="17" width="23.42578125" customWidth="1"/>
  </cols>
  <sheetData>
    <row r="1" spans="2:25" ht="7.5" customHeight="1"/>
    <row r="2" spans="2:25" ht="20.25">
      <c r="B2" s="1349" t="str">
        <f>"Regions "&amp;"("&amp;OP!$J$19&amp;")"</f>
        <v>Regions (2023)</v>
      </c>
      <c r="C2" s="1350"/>
      <c r="D2" s="1350"/>
      <c r="E2" s="1350"/>
      <c r="F2" s="1350"/>
      <c r="G2" s="1350"/>
      <c r="H2" s="1350"/>
      <c r="I2" s="1350"/>
      <c r="J2" s="1350"/>
      <c r="K2" s="1350"/>
      <c r="L2" s="1350"/>
      <c r="M2" s="1350"/>
      <c r="N2" s="1350"/>
      <c r="O2" s="1350"/>
      <c r="P2" s="1350"/>
      <c r="Q2" s="1345" t="s">
        <v>198</v>
      </c>
      <c r="R2" s="1346"/>
      <c r="S2" s="1346"/>
      <c r="T2" s="1346"/>
      <c r="U2" s="1346"/>
      <c r="V2" s="1346"/>
      <c r="W2" s="1346"/>
      <c r="X2" s="1346"/>
      <c r="Y2" s="1347"/>
    </row>
    <row r="3" spans="2:25" ht="18.75" thickBot="1">
      <c r="B3" s="149"/>
      <c r="C3" s="150"/>
      <c r="D3" s="1356" t="s">
        <v>199</v>
      </c>
      <c r="E3" s="1356"/>
      <c r="F3" s="1356"/>
      <c r="G3" s="1356"/>
      <c r="H3" s="1356"/>
      <c r="I3" s="1357"/>
      <c r="J3" s="132"/>
      <c r="K3" s="1348" t="s">
        <v>200</v>
      </c>
      <c r="L3" s="1348"/>
      <c r="M3" s="1348"/>
      <c r="N3" s="1348"/>
      <c r="O3" s="1348"/>
      <c r="P3" s="1348"/>
      <c r="Q3" s="127"/>
      <c r="Y3" s="144"/>
    </row>
    <row r="4" spans="2:25" ht="13.5" thickBot="1">
      <c r="B4" s="138" t="s">
        <v>201</v>
      </c>
      <c r="C4" s="139" t="s">
        <v>202</v>
      </c>
      <c r="D4" s="140">
        <f>OP!J19</f>
        <v>2023</v>
      </c>
      <c r="E4" s="140">
        <f>D4-1</f>
        <v>2022</v>
      </c>
      <c r="F4" s="140">
        <f>E4-1</f>
        <v>2021</v>
      </c>
      <c r="G4" s="140">
        <f>F4-1</f>
        <v>2020</v>
      </c>
      <c r="H4" s="140">
        <f>G4-1</f>
        <v>2019</v>
      </c>
      <c r="I4" s="140">
        <f>H4-1</f>
        <v>2018</v>
      </c>
      <c r="J4" s="133"/>
      <c r="K4" s="140">
        <f>OP!J19</f>
        <v>2023</v>
      </c>
      <c r="L4" s="140">
        <f t="shared" ref="L4:P4" si="0">K4-1</f>
        <v>2022</v>
      </c>
      <c r="M4" s="140">
        <f t="shared" si="0"/>
        <v>2021</v>
      </c>
      <c r="N4" s="140">
        <f t="shared" si="0"/>
        <v>2020</v>
      </c>
      <c r="O4" s="140">
        <f t="shared" si="0"/>
        <v>2019</v>
      </c>
      <c r="P4" s="151">
        <f t="shared" si="0"/>
        <v>2018</v>
      </c>
      <c r="Q4" s="127"/>
      <c r="Y4" s="144"/>
    </row>
    <row r="5" spans="2:25">
      <c r="B5" s="136">
        <f>IFERROR(D5/$D$8,"")</f>
        <v>0.53637900897874591</v>
      </c>
      <c r="C5" s="137" t="s">
        <v>203</v>
      </c>
      <c r="D5" s="549">
        <v>18841.599999999999</v>
      </c>
      <c r="E5" s="549">
        <v>15379.2</v>
      </c>
      <c r="F5" s="549">
        <v>12388.8</v>
      </c>
      <c r="G5" s="549">
        <v>10526.6</v>
      </c>
      <c r="H5" s="549">
        <v>15119.3</v>
      </c>
      <c r="I5" s="549">
        <v>13165.7</v>
      </c>
      <c r="J5" s="134"/>
      <c r="K5" s="256">
        <f t="shared" ref="K5:K7" si="1">IFERROR((D5-E5)/E5,"-")</f>
        <v>0.22513524760715756</v>
      </c>
      <c r="L5" s="256">
        <f t="shared" ref="L5:L7" si="2">IFERROR((E5-F5)/F5,"-")</f>
        <v>0.24137931034482771</v>
      </c>
      <c r="M5" s="256">
        <f t="shared" ref="M5:M7" si="3">IFERROR((F5-G5)/G5,"-")</f>
        <v>0.17690422358596308</v>
      </c>
      <c r="N5" s="256">
        <f t="shared" ref="N5:N7" si="4">IFERROR((G5-H5)/H5,"-")</f>
        <v>-0.30376406315107174</v>
      </c>
      <c r="O5" s="256">
        <f t="shared" ref="O5:O7" si="5">IFERROR((H5-I5)/I5,"-")</f>
        <v>0.14838557767532287</v>
      </c>
      <c r="P5" s="256" t="str">
        <f t="shared" ref="P5:P7" si="6">IFERROR((I5-J5)/J5,"-")</f>
        <v>-</v>
      </c>
      <c r="Q5" s="127"/>
      <c r="Y5" s="144"/>
    </row>
    <row r="6" spans="2:25">
      <c r="B6" s="136">
        <f>IFERROR(D6/$D$8,"")</f>
        <v>0.24884847725706996</v>
      </c>
      <c r="C6" s="137" t="s">
        <v>204</v>
      </c>
      <c r="D6" s="549">
        <v>8741.4</v>
      </c>
      <c r="E6" s="549">
        <v>7486.5</v>
      </c>
      <c r="F6" s="549">
        <v>6325.4</v>
      </c>
      <c r="G6" s="549">
        <v>4871.2</v>
      </c>
      <c r="H6" s="549">
        <v>6104.7</v>
      </c>
      <c r="I6" s="549">
        <v>6071.9</v>
      </c>
      <c r="J6" s="134"/>
      <c r="K6" s="256">
        <f t="shared" si="1"/>
        <v>0.16762171909436982</v>
      </c>
      <c r="L6" s="256">
        <f t="shared" si="2"/>
        <v>0.18356151389635444</v>
      </c>
      <c r="M6" s="256">
        <f t="shared" si="3"/>
        <v>0.29853013631138114</v>
      </c>
      <c r="N6" s="256">
        <f t="shared" si="4"/>
        <v>-0.20205743115959834</v>
      </c>
      <c r="O6" s="256">
        <f t="shared" si="5"/>
        <v>5.4019334969285038E-3</v>
      </c>
      <c r="P6" s="256" t="str">
        <f t="shared" si="6"/>
        <v>-</v>
      </c>
      <c r="Q6" s="127"/>
      <c r="Y6" s="144"/>
    </row>
    <row r="7" spans="2:25" ht="13.5" thickBot="1">
      <c r="B7" s="136">
        <f>IFERROR(D7/$D$8,"")</f>
        <v>0.21477251376418408</v>
      </c>
      <c r="C7" s="137" t="s">
        <v>205</v>
      </c>
      <c r="D7" s="549">
        <v>7544.4</v>
      </c>
      <c r="E7" s="549">
        <v>5954</v>
      </c>
      <c r="F7" s="549">
        <v>4808.1000000000004</v>
      </c>
      <c r="G7" s="549">
        <v>3330.7</v>
      </c>
      <c r="H7" s="549">
        <v>4375.7</v>
      </c>
      <c r="I7" s="549">
        <v>4258.1000000000004</v>
      </c>
      <c r="J7" s="134"/>
      <c r="K7" s="256">
        <f t="shared" si="1"/>
        <v>0.26711454484380243</v>
      </c>
      <c r="L7" s="256">
        <f t="shared" si="2"/>
        <v>0.23832698987125883</v>
      </c>
      <c r="M7" s="256">
        <f t="shared" si="3"/>
        <v>0.44357042063229968</v>
      </c>
      <c r="N7" s="256">
        <f t="shared" si="4"/>
        <v>-0.23881893182805039</v>
      </c>
      <c r="O7" s="256">
        <f t="shared" si="5"/>
        <v>2.761795166858445E-2</v>
      </c>
      <c r="P7" s="256" t="str">
        <f t="shared" si="6"/>
        <v>-</v>
      </c>
      <c r="Q7" s="127"/>
      <c r="Y7" s="144"/>
    </row>
    <row r="8" spans="2:25" ht="13.5" thickBot="1">
      <c r="B8" s="838">
        <f>SUM(B5:B7)</f>
        <v>0.99999999999999989</v>
      </c>
      <c r="C8" s="839" t="s">
        <v>188</v>
      </c>
      <c r="D8" s="742">
        <f t="shared" ref="D8:I8" si="7">SUM(D5:D7)</f>
        <v>35127.4</v>
      </c>
      <c r="E8" s="742">
        <f t="shared" si="7"/>
        <v>28819.7</v>
      </c>
      <c r="F8" s="742">
        <f t="shared" si="7"/>
        <v>23522.299999999996</v>
      </c>
      <c r="G8" s="742">
        <f t="shared" si="7"/>
        <v>18728.5</v>
      </c>
      <c r="H8" s="742">
        <f t="shared" si="7"/>
        <v>25599.7</v>
      </c>
      <c r="I8" s="742">
        <f t="shared" si="7"/>
        <v>23495.699999999997</v>
      </c>
      <c r="J8" s="135"/>
      <c r="K8" s="257">
        <f>(D8-E8)/E8</f>
        <v>0.21886764955915575</v>
      </c>
      <c r="L8" s="257">
        <f>(E8-F8)/F8</f>
        <v>0.22520756898772679</v>
      </c>
      <c r="M8" s="257">
        <f>(F8-G8)/G8</f>
        <v>0.25596283738687003</v>
      </c>
      <c r="N8" s="257">
        <f t="shared" ref="N8:O8" si="8">(G8-H8)/H8</f>
        <v>-0.26840939542260261</v>
      </c>
      <c r="O8" s="257">
        <f t="shared" si="8"/>
        <v>8.9548300327294092E-2</v>
      </c>
      <c r="P8" s="257" t="s">
        <v>78</v>
      </c>
      <c r="Q8" s="127"/>
      <c r="Y8" s="144"/>
    </row>
    <row r="9" spans="2:25">
      <c r="B9" s="147"/>
      <c r="C9" s="6"/>
      <c r="D9" s="14"/>
      <c r="E9" s="14"/>
      <c r="F9" s="14"/>
      <c r="G9" s="14"/>
      <c r="H9" s="14"/>
      <c r="I9" s="14"/>
      <c r="J9" s="14"/>
      <c r="K9" s="14"/>
      <c r="L9" s="14"/>
      <c r="M9" s="14"/>
      <c r="N9" s="14"/>
      <c r="O9" s="14"/>
      <c r="P9" s="14"/>
      <c r="Q9" s="127"/>
      <c r="Y9" s="144"/>
    </row>
    <row r="10" spans="2:25" ht="21" thickBot="1">
      <c r="B10" s="1349" t="str">
        <f>"Categories "&amp;"("&amp;OP!$J$19&amp;")"</f>
        <v>Categories (2023)</v>
      </c>
      <c r="C10" s="1350"/>
      <c r="D10" s="1350"/>
      <c r="E10" s="1350"/>
      <c r="F10" s="1350"/>
      <c r="G10" s="1350"/>
      <c r="H10" s="1350"/>
      <c r="I10" s="1350"/>
      <c r="J10" s="1350"/>
      <c r="K10" s="1350"/>
      <c r="L10" s="1350"/>
      <c r="M10" s="1350"/>
      <c r="N10" s="1350"/>
      <c r="O10" s="1350"/>
      <c r="P10" s="1350"/>
      <c r="Q10" s="127"/>
      <c r="S10" s="258"/>
      <c r="Y10" s="144"/>
    </row>
    <row r="11" spans="2:25" ht="20.25">
      <c r="B11" s="149"/>
      <c r="C11" s="150"/>
      <c r="D11" s="1353" t="s">
        <v>199</v>
      </c>
      <c r="E11" s="1354"/>
      <c r="F11" s="1354"/>
      <c r="G11" s="1354"/>
      <c r="H11" s="1354"/>
      <c r="I11" s="1355"/>
      <c r="J11" s="132"/>
      <c r="K11" s="1351" t="s">
        <v>200</v>
      </c>
      <c r="L11" s="1352"/>
      <c r="M11" s="1352"/>
      <c r="N11" s="1352"/>
      <c r="O11" s="1352"/>
      <c r="P11" s="1352"/>
      <c r="Q11" s="127"/>
      <c r="Y11" s="144"/>
    </row>
    <row r="12" spans="2:25">
      <c r="B12" s="148" t="s">
        <v>201</v>
      </c>
      <c r="C12" s="126" t="s">
        <v>206</v>
      </c>
      <c r="D12" s="130">
        <f>OP!J19</f>
        <v>2023</v>
      </c>
      <c r="E12" s="130">
        <f>D12-1</f>
        <v>2022</v>
      </c>
      <c r="F12" s="130">
        <f>E12-1</f>
        <v>2021</v>
      </c>
      <c r="G12" s="130">
        <f>F12-1</f>
        <v>2020</v>
      </c>
      <c r="H12" s="130">
        <f>G12-1</f>
        <v>2019</v>
      </c>
      <c r="I12" s="130">
        <f>H12-1</f>
        <v>2018</v>
      </c>
      <c r="J12" s="845"/>
      <c r="K12" s="843">
        <f>OP!J19</f>
        <v>2023</v>
      </c>
      <c r="L12" s="844">
        <f t="shared" ref="L12:P12" si="9">K12-1</f>
        <v>2022</v>
      </c>
      <c r="M12" s="844">
        <f t="shared" si="9"/>
        <v>2021</v>
      </c>
      <c r="N12" s="844">
        <f t="shared" si="9"/>
        <v>2020</v>
      </c>
      <c r="O12" s="844">
        <f t="shared" si="9"/>
        <v>2019</v>
      </c>
      <c r="P12" s="846">
        <f t="shared" si="9"/>
        <v>2018</v>
      </c>
      <c r="Y12" s="144"/>
    </row>
    <row r="13" spans="2:25">
      <c r="B13" s="136">
        <f>IFERROR(D13/$D$17,"")</f>
        <v>0.76425810051412857</v>
      </c>
      <c r="C13" s="129" t="s">
        <v>207</v>
      </c>
      <c r="D13" s="549">
        <v>26846.400000000001</v>
      </c>
      <c r="E13" s="549">
        <v>21486.2</v>
      </c>
      <c r="F13" s="549">
        <v>16799.7</v>
      </c>
      <c r="G13" s="549">
        <v>13164.8</v>
      </c>
      <c r="H13" s="549">
        <v>19989.5</v>
      </c>
      <c r="I13" s="549">
        <v>18187</v>
      </c>
      <c r="J13" s="840"/>
      <c r="K13" s="256">
        <f>IFERROR((D13-E13)/E13,"-")</f>
        <v>0.24947175396300883</v>
      </c>
      <c r="L13" s="256">
        <f t="shared" ref="L13:P13" si="10">IFERROR((E13-F13)/F13,"-")</f>
        <v>0.27896331482109799</v>
      </c>
      <c r="M13" s="256">
        <f t="shared" si="10"/>
        <v>0.27610749878463797</v>
      </c>
      <c r="N13" s="256">
        <f t="shared" si="10"/>
        <v>-0.34141424247730062</v>
      </c>
      <c r="O13" s="256">
        <f t="shared" si="10"/>
        <v>9.9109253862649141E-2</v>
      </c>
      <c r="P13" s="256" t="str">
        <f t="shared" si="10"/>
        <v>-</v>
      </c>
      <c r="Q13" s="127"/>
      <c r="Y13" s="144"/>
    </row>
    <row r="14" spans="2:25">
      <c r="B14" s="136">
        <f>IFERROR(D14/$D$17,"")</f>
        <v>0.18260389325711551</v>
      </c>
      <c r="C14" s="397" t="s">
        <v>208</v>
      </c>
      <c r="D14" s="549">
        <v>6414.4</v>
      </c>
      <c r="E14" s="549">
        <v>5764.3</v>
      </c>
      <c r="F14" s="549">
        <v>4944.3</v>
      </c>
      <c r="G14" s="549">
        <v>3912.9</v>
      </c>
      <c r="H14" s="549">
        <v>4024.9</v>
      </c>
      <c r="I14" s="549">
        <v>3838.9</v>
      </c>
      <c r="J14" s="840"/>
      <c r="K14" s="256">
        <f t="shared" ref="K14:K16" si="11">IFERROR((D14-E14)/E14,"-")</f>
        <v>0.11278038963967861</v>
      </c>
      <c r="L14" s="256">
        <f t="shared" ref="L14:L16" si="12">IFERROR((E14-F14)/F14,"-")</f>
        <v>0.16584754161357523</v>
      </c>
      <c r="M14" s="256">
        <f t="shared" ref="M14:M16" si="13">IFERROR((F14-G14)/G14,"-")</f>
        <v>0.26358966495438169</v>
      </c>
      <c r="N14" s="256">
        <f t="shared" ref="N14:N16" si="14">IFERROR((G14-H14)/H14,"-")</f>
        <v>-2.7826778305051057E-2</v>
      </c>
      <c r="O14" s="256">
        <f t="shared" ref="O14:O16" si="15">IFERROR((H14-I14)/I14,"-")</f>
        <v>4.8451379301362368E-2</v>
      </c>
      <c r="P14" s="256" t="str">
        <f t="shared" ref="P14:P16" si="16">IFERROR((I14-J14)/J14,"-")</f>
        <v>-</v>
      </c>
      <c r="Q14" s="127"/>
      <c r="Y14" s="144"/>
    </row>
    <row r="15" spans="2:25">
      <c r="B15" s="136">
        <f>IFERROR(D15/$D$17,"")</f>
        <v>5.1580817253767716E-2</v>
      </c>
      <c r="C15" s="397" t="s">
        <v>209</v>
      </c>
      <c r="D15" s="549">
        <v>1811.9</v>
      </c>
      <c r="E15" s="549">
        <v>1505.4</v>
      </c>
      <c r="F15" s="549">
        <v>1687.8</v>
      </c>
      <c r="G15" s="549">
        <v>1574.2</v>
      </c>
      <c r="H15" s="549">
        <v>1480</v>
      </c>
      <c r="I15" s="549">
        <v>1357.1</v>
      </c>
      <c r="J15" s="840"/>
      <c r="K15" s="256">
        <f t="shared" si="11"/>
        <v>0.20360037199415437</v>
      </c>
      <c r="L15" s="256">
        <f t="shared" si="12"/>
        <v>-0.10806967650195513</v>
      </c>
      <c r="M15" s="256">
        <f t="shared" si="13"/>
        <v>7.2163638673611932E-2</v>
      </c>
      <c r="N15" s="256">
        <f t="shared" si="14"/>
        <v>6.3648648648648679E-2</v>
      </c>
      <c r="O15" s="256">
        <f t="shared" si="15"/>
        <v>9.0560754550143757E-2</v>
      </c>
      <c r="P15" s="256" t="str">
        <f t="shared" si="16"/>
        <v>-</v>
      </c>
      <c r="Q15" s="127"/>
      <c r="Y15" s="144"/>
    </row>
    <row r="16" spans="2:25">
      <c r="B16" s="552">
        <f>IFERROR(D16/$D$17,"")</f>
        <v>1.5571889749881858E-3</v>
      </c>
      <c r="C16" s="553" t="s">
        <v>205</v>
      </c>
      <c r="D16" s="836">
        <v>54.7</v>
      </c>
      <c r="E16" s="836">
        <v>63.8</v>
      </c>
      <c r="F16" s="836">
        <v>90.5</v>
      </c>
      <c r="G16" s="836">
        <v>76.599999999999994</v>
      </c>
      <c r="H16" s="836">
        <v>105.3</v>
      </c>
      <c r="I16" s="836">
        <v>112.7</v>
      </c>
      <c r="J16" s="840"/>
      <c r="K16" s="847">
        <f t="shared" si="11"/>
        <v>-0.1426332288401253</v>
      </c>
      <c r="L16" s="847">
        <f t="shared" si="12"/>
        <v>-0.29502762430939228</v>
      </c>
      <c r="M16" s="847">
        <f t="shared" si="13"/>
        <v>0.18146214099216718</v>
      </c>
      <c r="N16" s="847">
        <f t="shared" si="14"/>
        <v>-0.27255460588793928</v>
      </c>
      <c r="O16" s="847">
        <f t="shared" si="15"/>
        <v>-6.5661047027506705E-2</v>
      </c>
      <c r="P16" s="847" t="str">
        <f t="shared" si="16"/>
        <v>-</v>
      </c>
      <c r="Q16" s="127"/>
      <c r="Y16" s="144"/>
    </row>
    <row r="17" spans="2:25" ht="13.5" thickBot="1">
      <c r="B17" s="131">
        <f>SUM(B13:B16)</f>
        <v>1</v>
      </c>
      <c r="C17" s="837" t="s">
        <v>188</v>
      </c>
      <c r="D17" s="742">
        <f t="shared" ref="D17:I17" si="17">SUM(D13:D16)</f>
        <v>35127.4</v>
      </c>
      <c r="E17" s="742">
        <f t="shared" si="17"/>
        <v>28819.7</v>
      </c>
      <c r="F17" s="742">
        <f t="shared" si="17"/>
        <v>23522.3</v>
      </c>
      <c r="G17" s="742">
        <f t="shared" si="17"/>
        <v>18728.5</v>
      </c>
      <c r="H17" s="742">
        <f t="shared" si="17"/>
        <v>25599.7</v>
      </c>
      <c r="I17" s="742">
        <f t="shared" si="17"/>
        <v>23495.7</v>
      </c>
      <c r="J17" s="555"/>
      <c r="K17" s="841">
        <f>(D17-E17)/E17</f>
        <v>0.21886764955915575</v>
      </c>
      <c r="L17" s="842">
        <f>(E17-F17)/F17</f>
        <v>0.22520756898772662</v>
      </c>
      <c r="M17" s="842">
        <f>(F17-G17)/G17</f>
        <v>0.25596283738687026</v>
      </c>
      <c r="N17" s="842">
        <f>(G17-H17)/H17</f>
        <v>-0.26840939542260261</v>
      </c>
      <c r="O17" s="842">
        <f>(H17-I17)/I17</f>
        <v>8.9548300327293925E-2</v>
      </c>
      <c r="P17" s="842" t="s">
        <v>78</v>
      </c>
      <c r="Q17" s="127"/>
      <c r="Y17" s="144"/>
    </row>
    <row r="18" spans="2:25" ht="14.85" customHeight="1">
      <c r="B18" s="554"/>
      <c r="C18" s="13"/>
      <c r="D18" s="741"/>
      <c r="E18" s="741"/>
      <c r="F18" s="741"/>
      <c r="G18" s="741"/>
      <c r="H18" s="741"/>
      <c r="I18" s="741"/>
      <c r="J18" s="555"/>
      <c r="K18" s="556"/>
      <c r="L18" s="556"/>
      <c r="M18" s="556"/>
      <c r="N18" s="556"/>
      <c r="O18" s="556"/>
      <c r="P18" s="556"/>
      <c r="Q18" s="127"/>
      <c r="Y18" s="144"/>
    </row>
    <row r="19" spans="2:25" ht="21" thickBot="1">
      <c r="B19" s="1353" t="s">
        <v>80</v>
      </c>
      <c r="C19" s="1355"/>
      <c r="D19" s="1353" t="s">
        <v>210</v>
      </c>
      <c r="E19" s="1354"/>
      <c r="F19" s="1354"/>
      <c r="G19" s="1354"/>
      <c r="H19" s="1354"/>
      <c r="I19" s="1362" t="s">
        <v>211</v>
      </c>
      <c r="J19" s="1363"/>
      <c r="K19" s="1363"/>
      <c r="L19" s="1363"/>
      <c r="M19" s="1363"/>
      <c r="N19" s="1363"/>
      <c r="O19" s="1363"/>
      <c r="P19" s="1363"/>
      <c r="Q19" s="127"/>
      <c r="S19" s="557"/>
      <c r="Y19" s="144"/>
    </row>
    <row r="20" spans="2:25" ht="27" customHeight="1">
      <c r="B20" s="1358" t="str">
        <f>C13</f>
        <v xml:space="preserve">Trucks </v>
      </c>
      <c r="C20" s="1359"/>
      <c r="D20" s="1360" t="s">
        <v>212</v>
      </c>
      <c r="E20" s="1361"/>
      <c r="F20" s="1361"/>
      <c r="G20" s="1361"/>
      <c r="H20" s="1361"/>
      <c r="I20" s="127"/>
      <c r="Q20" s="127"/>
      <c r="Y20" s="144"/>
    </row>
    <row r="21" spans="2:25" ht="26.25" customHeight="1">
      <c r="B21" s="1358" t="str">
        <f>C14</f>
        <v>Parts</v>
      </c>
      <c r="C21" s="1359"/>
      <c r="D21" s="1360" t="s">
        <v>213</v>
      </c>
      <c r="E21" s="1361"/>
      <c r="F21" s="1361"/>
      <c r="G21" s="1361"/>
      <c r="H21" s="1361"/>
      <c r="I21" s="127"/>
      <c r="Q21" s="127"/>
      <c r="Y21" s="144"/>
    </row>
    <row r="22" spans="2:25" ht="15.75" customHeight="1">
      <c r="B22" s="1358" t="str">
        <f>C15</f>
        <v>Financial Services</v>
      </c>
      <c r="C22" s="1359"/>
      <c r="D22" s="1360" t="s">
        <v>214</v>
      </c>
      <c r="E22" s="1361"/>
      <c r="F22" s="1361"/>
      <c r="G22" s="1361"/>
      <c r="H22" s="1361"/>
      <c r="I22" s="127"/>
      <c r="Q22" s="127"/>
      <c r="Y22" s="144"/>
    </row>
    <row r="23" spans="2:25" ht="56.25" customHeight="1">
      <c r="B23" s="1358" t="str">
        <f>C16</f>
        <v>Other</v>
      </c>
      <c r="C23" s="1359"/>
      <c r="D23" s="1360" t="s">
        <v>215</v>
      </c>
      <c r="E23" s="1361"/>
      <c r="F23" s="1361"/>
      <c r="G23" s="1361"/>
      <c r="H23" s="1361"/>
      <c r="I23" s="128"/>
      <c r="J23" s="145"/>
      <c r="K23" s="145"/>
      <c r="L23" s="145"/>
      <c r="M23" s="145"/>
      <c r="N23" s="145"/>
      <c r="O23" s="145"/>
      <c r="P23" s="145"/>
      <c r="Q23" s="128"/>
      <c r="R23" s="145"/>
      <c r="S23" s="145"/>
      <c r="T23" s="145"/>
      <c r="U23" s="145"/>
      <c r="V23" s="145"/>
      <c r="W23" s="145"/>
      <c r="X23" s="145"/>
      <c r="Y23" s="146"/>
    </row>
    <row r="24" spans="2:25" ht="20.25">
      <c r="B24" s="1353" t="s">
        <v>112</v>
      </c>
      <c r="C24" s="1354"/>
      <c r="D24" s="1354"/>
      <c r="E24" s="1354"/>
      <c r="F24" s="1354"/>
      <c r="G24" s="1354"/>
      <c r="H24" s="1354"/>
      <c r="I24" s="1355"/>
      <c r="J24" s="1364" t="s">
        <v>216</v>
      </c>
      <c r="K24" s="1365"/>
      <c r="L24" s="1365"/>
      <c r="M24" s="1365"/>
      <c r="N24" s="1365"/>
      <c r="O24" s="1365"/>
      <c r="P24" s="1365"/>
      <c r="Q24" s="1366"/>
    </row>
    <row r="25" spans="2:25" ht="13.5" thickBot="1">
      <c r="B25" s="1367" t="s">
        <v>217</v>
      </c>
      <c r="C25" s="1368"/>
      <c r="D25" s="1339" t="s">
        <v>210</v>
      </c>
      <c r="E25" s="1340"/>
      <c r="F25" s="1340"/>
      <c r="G25" s="1340"/>
      <c r="H25" s="1340"/>
      <c r="I25" s="1341"/>
      <c r="J25" s="141"/>
      <c r="K25" s="142"/>
      <c r="L25" s="142"/>
      <c r="M25" s="142"/>
      <c r="N25" s="142"/>
      <c r="O25" s="142"/>
      <c r="P25" s="142"/>
      <c r="Q25" s="143"/>
    </row>
    <row r="26" spans="2:25" ht="45.75" customHeight="1">
      <c r="B26" s="1337" t="s">
        <v>218</v>
      </c>
      <c r="C26" s="1338"/>
      <c r="D26" s="1342" t="s">
        <v>219</v>
      </c>
      <c r="E26" s="1343" t="s">
        <v>220</v>
      </c>
      <c r="F26" s="1343"/>
      <c r="G26" s="1343"/>
      <c r="H26" s="1343"/>
      <c r="I26" s="1344"/>
      <c r="J26" s="739"/>
      <c r="Q26" s="144"/>
    </row>
    <row r="27" spans="2:25" ht="38.25" customHeight="1">
      <c r="B27" s="1337" t="s">
        <v>221</v>
      </c>
      <c r="C27" s="1338"/>
      <c r="D27" s="1342" t="s">
        <v>222</v>
      </c>
      <c r="E27" s="1343"/>
      <c r="F27" s="1343"/>
      <c r="G27" s="1343"/>
      <c r="H27" s="1343"/>
      <c r="I27" s="1344"/>
      <c r="J27" s="127"/>
      <c r="Q27" s="144"/>
    </row>
    <row r="28" spans="2:25" ht="45.75" customHeight="1" thickBot="1">
      <c r="B28" s="1337" t="s">
        <v>223</v>
      </c>
      <c r="C28" s="1338"/>
      <c r="D28" s="1342" t="s">
        <v>224</v>
      </c>
      <c r="E28" s="1343"/>
      <c r="F28" s="1343"/>
      <c r="G28" s="1343"/>
      <c r="H28" s="1343"/>
      <c r="I28" s="1344"/>
      <c r="J28" s="127"/>
      <c r="K28" s="739"/>
      <c r="Q28" s="144"/>
    </row>
    <row r="29" spans="2:25" ht="15.75" customHeight="1" thickBot="1">
      <c r="B29" s="1367" t="s">
        <v>225</v>
      </c>
      <c r="C29" s="1401"/>
      <c r="D29" s="1402"/>
      <c r="E29" s="1402"/>
      <c r="F29" s="1402"/>
      <c r="G29" s="1402"/>
      <c r="H29" s="1402"/>
      <c r="I29" s="1403"/>
      <c r="J29" s="127"/>
      <c r="Q29" s="144"/>
    </row>
    <row r="30" spans="2:25" ht="13.5" customHeight="1">
      <c r="B30" s="1372" t="s">
        <v>226</v>
      </c>
      <c r="C30" s="1373"/>
      <c r="D30" s="1398" t="s">
        <v>227</v>
      </c>
      <c r="E30" s="1399"/>
      <c r="F30" s="1400"/>
      <c r="G30" s="1398" t="s">
        <v>228</v>
      </c>
      <c r="H30" s="1399"/>
      <c r="I30" s="1400"/>
      <c r="J30" s="127"/>
      <c r="Q30" s="144"/>
      <c r="T30" s="10"/>
      <c r="U30" s="10"/>
    </row>
    <row r="31" spans="2:25">
      <c r="B31" s="1370" t="s">
        <v>229</v>
      </c>
      <c r="C31" s="1374"/>
      <c r="D31" s="1392">
        <v>6.83E-2</v>
      </c>
      <c r="E31" s="1393"/>
      <c r="F31" s="1394"/>
      <c r="G31" s="1375" t="s">
        <v>230</v>
      </c>
      <c r="H31" s="1376"/>
      <c r="I31" s="1377"/>
      <c r="J31" s="127"/>
      <c r="Q31" s="144"/>
      <c r="T31" s="10"/>
      <c r="U31" s="10"/>
    </row>
    <row r="32" spans="2:25">
      <c r="B32" s="1370" t="s">
        <v>231</v>
      </c>
      <c r="C32" s="1371"/>
      <c r="D32" s="1395">
        <v>7.3999999999999996E-2</v>
      </c>
      <c r="E32" s="1396"/>
      <c r="F32" s="1397"/>
      <c r="G32" s="1375" t="s">
        <v>232</v>
      </c>
      <c r="H32" s="1376"/>
      <c r="I32" s="1377"/>
      <c r="J32" s="127"/>
      <c r="Q32" s="144"/>
      <c r="T32" s="10"/>
      <c r="U32" s="10"/>
    </row>
    <row r="33" spans="2:24">
      <c r="B33" s="1387" t="s">
        <v>233</v>
      </c>
      <c r="C33" s="1388"/>
      <c r="D33" s="1395">
        <v>3.9E-2</v>
      </c>
      <c r="E33" s="1396"/>
      <c r="F33" s="1397"/>
      <c r="G33" s="1375" t="s">
        <v>234</v>
      </c>
      <c r="H33" s="1376"/>
      <c r="I33" s="1377"/>
      <c r="J33" s="127"/>
      <c r="Q33" s="144"/>
      <c r="T33" s="10"/>
      <c r="U33" s="10"/>
    </row>
    <row r="34" spans="2:24" ht="13.5" thickBot="1">
      <c r="B34" s="1389" t="s">
        <v>235</v>
      </c>
      <c r="C34" s="1390"/>
      <c r="D34" s="1389">
        <f>AVERAGE(D31:F33)</f>
        <v>6.0433333333333332E-2</v>
      </c>
      <c r="E34" s="1390"/>
      <c r="F34" s="1391"/>
      <c r="G34" s="1389" t="str" cm="1">
        <f t="array" ref="G34">SMALL(_xlfn.NUMBERVALUE(LEFT(G31:G33,4)),1)&amp;" - "&amp;LARGE(_xlfn.NUMBERVALUE(RIGHT(G31:G33,4)),1)</f>
        <v>2019 - 2032</v>
      </c>
      <c r="H34" s="1390"/>
      <c r="I34" s="1391"/>
      <c r="J34" s="127"/>
      <c r="Q34" s="144"/>
      <c r="T34" s="10"/>
      <c r="U34" s="10"/>
    </row>
    <row r="35" spans="2:24" ht="20.25">
      <c r="B35" s="1353" t="s">
        <v>236</v>
      </c>
      <c r="C35" s="1354"/>
      <c r="D35" s="1354"/>
      <c r="E35" s="1354"/>
      <c r="F35" s="1354"/>
      <c r="G35" s="1354"/>
      <c r="H35" s="1354"/>
      <c r="I35" s="1355"/>
      <c r="J35" s="127"/>
      <c r="Q35" s="144"/>
      <c r="T35" s="10"/>
      <c r="U35" s="10"/>
    </row>
    <row r="36" spans="2:24" ht="12.75" customHeight="1">
      <c r="B36" s="1378" t="s">
        <v>237</v>
      </c>
      <c r="C36" s="1379"/>
      <c r="D36" s="1379"/>
      <c r="E36" s="1379"/>
      <c r="F36" s="1379"/>
      <c r="G36" s="1379"/>
      <c r="H36" s="1379"/>
      <c r="I36" s="1380"/>
      <c r="J36" s="127"/>
      <c r="Q36" s="144"/>
      <c r="T36" s="10"/>
      <c r="U36" s="10"/>
    </row>
    <row r="37" spans="2:24">
      <c r="B37" s="1381"/>
      <c r="C37" s="1382"/>
      <c r="D37" s="1382"/>
      <c r="E37" s="1382"/>
      <c r="F37" s="1382"/>
      <c r="G37" s="1382"/>
      <c r="H37" s="1382"/>
      <c r="I37" s="1383"/>
      <c r="J37" s="127"/>
      <c r="Q37" s="144"/>
      <c r="T37" s="10"/>
      <c r="U37" s="10"/>
    </row>
    <row r="38" spans="2:24">
      <c r="B38" s="1381"/>
      <c r="C38" s="1382"/>
      <c r="D38" s="1382"/>
      <c r="E38" s="1382"/>
      <c r="F38" s="1382"/>
      <c r="G38" s="1382"/>
      <c r="H38" s="1382"/>
      <c r="I38" s="1383"/>
      <c r="J38" s="127"/>
      <c r="Q38" s="144"/>
      <c r="T38" s="10"/>
      <c r="U38" s="10"/>
    </row>
    <row r="39" spans="2:24">
      <c r="B39" s="1381"/>
      <c r="C39" s="1382"/>
      <c r="D39" s="1382"/>
      <c r="E39" s="1382"/>
      <c r="F39" s="1382"/>
      <c r="G39" s="1382"/>
      <c r="H39" s="1382"/>
      <c r="I39" s="1383"/>
      <c r="J39" s="127"/>
      <c r="Q39" s="144"/>
      <c r="T39" s="10"/>
      <c r="U39" s="10"/>
    </row>
    <row r="40" spans="2:24">
      <c r="B40" s="1381"/>
      <c r="C40" s="1382"/>
      <c r="D40" s="1382"/>
      <c r="E40" s="1382"/>
      <c r="F40" s="1382"/>
      <c r="G40" s="1382"/>
      <c r="H40" s="1382"/>
      <c r="I40" s="1383"/>
      <c r="J40" s="127"/>
      <c r="Q40" s="144"/>
      <c r="S40" s="1369" t="s">
        <v>238</v>
      </c>
      <c r="T40" s="1369"/>
      <c r="U40" s="1369"/>
      <c r="V40" s="1369"/>
      <c r="W40" s="1369"/>
      <c r="X40" s="1369"/>
    </row>
    <row r="41" spans="2:24">
      <c r="B41" s="1381"/>
      <c r="C41" s="1382"/>
      <c r="D41" s="1382"/>
      <c r="E41" s="1382"/>
      <c r="F41" s="1382"/>
      <c r="G41" s="1382"/>
      <c r="H41" s="1382"/>
      <c r="I41" s="1383"/>
      <c r="J41" s="127"/>
      <c r="Q41" s="144"/>
      <c r="S41" s="1369"/>
      <c r="T41" s="1369"/>
      <c r="U41" s="1369"/>
      <c r="V41" s="1369"/>
      <c r="W41" s="1369"/>
      <c r="X41" s="1369"/>
    </row>
    <row r="42" spans="2:24" ht="13.35" customHeight="1">
      <c r="B42" s="1381"/>
      <c r="C42" s="1382"/>
      <c r="D42" s="1382"/>
      <c r="E42" s="1382"/>
      <c r="F42" s="1382"/>
      <c r="G42" s="1382"/>
      <c r="H42" s="1382"/>
      <c r="I42" s="1383"/>
      <c r="J42" s="127"/>
      <c r="Q42" s="144"/>
      <c r="S42" s="1369"/>
      <c r="T42" s="1369"/>
      <c r="U42" s="1369"/>
      <c r="V42" s="1369"/>
      <c r="W42" s="1369"/>
      <c r="X42" s="1369"/>
    </row>
    <row r="43" spans="2:24">
      <c r="B43" s="1381"/>
      <c r="C43" s="1382"/>
      <c r="D43" s="1382"/>
      <c r="E43" s="1382"/>
      <c r="F43" s="1382"/>
      <c r="G43" s="1382"/>
      <c r="H43" s="1382"/>
      <c r="I43" s="1383"/>
      <c r="J43" s="127"/>
      <c r="Q43" s="144"/>
      <c r="T43" s="10"/>
      <c r="U43" s="10"/>
    </row>
    <row r="44" spans="2:24">
      <c r="B44" s="1381"/>
      <c r="C44" s="1382"/>
      <c r="D44" s="1382"/>
      <c r="E44" s="1382"/>
      <c r="F44" s="1382"/>
      <c r="G44" s="1382"/>
      <c r="H44" s="1382"/>
      <c r="I44" s="1383"/>
      <c r="J44" s="127"/>
      <c r="Q44" s="144"/>
      <c r="T44" s="10"/>
      <c r="U44" s="10"/>
    </row>
    <row r="45" spans="2:24">
      <c r="B45" s="1381"/>
      <c r="C45" s="1382"/>
      <c r="D45" s="1382"/>
      <c r="E45" s="1382"/>
      <c r="F45" s="1382"/>
      <c r="G45" s="1382"/>
      <c r="H45" s="1382"/>
      <c r="I45" s="1383"/>
      <c r="J45" s="127"/>
      <c r="Q45" s="144"/>
      <c r="T45" s="10"/>
      <c r="U45" s="10"/>
    </row>
    <row r="46" spans="2:24">
      <c r="B46" s="1381"/>
      <c r="C46" s="1382"/>
      <c r="D46" s="1382"/>
      <c r="E46" s="1382"/>
      <c r="F46" s="1382"/>
      <c r="G46" s="1382"/>
      <c r="H46" s="1382"/>
      <c r="I46" s="1383"/>
      <c r="J46" s="127"/>
      <c r="Q46" s="144"/>
      <c r="T46" s="10"/>
      <c r="U46" s="10"/>
    </row>
    <row r="47" spans="2:24">
      <c r="B47" s="1381"/>
      <c r="C47" s="1382"/>
      <c r="D47" s="1382"/>
      <c r="E47" s="1382"/>
      <c r="F47" s="1382"/>
      <c r="G47" s="1382"/>
      <c r="H47" s="1382"/>
      <c r="I47" s="1383"/>
      <c r="J47" s="127"/>
      <c r="Q47" s="144"/>
      <c r="T47" s="10"/>
      <c r="U47" s="10"/>
    </row>
    <row r="48" spans="2:24">
      <c r="B48" s="1381"/>
      <c r="C48" s="1382"/>
      <c r="D48" s="1382"/>
      <c r="E48" s="1382"/>
      <c r="F48" s="1382"/>
      <c r="G48" s="1382"/>
      <c r="H48" s="1382"/>
      <c r="I48" s="1383"/>
      <c r="J48" s="127"/>
      <c r="Q48" s="144"/>
      <c r="T48" s="10"/>
      <c r="U48" s="10"/>
    </row>
    <row r="49" spans="2:21">
      <c r="B49" s="1381"/>
      <c r="C49" s="1382"/>
      <c r="D49" s="1382"/>
      <c r="E49" s="1382"/>
      <c r="F49" s="1382"/>
      <c r="G49" s="1382"/>
      <c r="H49" s="1382"/>
      <c r="I49" s="1383"/>
      <c r="J49" s="127"/>
      <c r="Q49" s="144"/>
      <c r="T49" s="10"/>
      <c r="U49" s="10"/>
    </row>
    <row r="50" spans="2:21">
      <c r="B50" s="1381"/>
      <c r="C50" s="1382"/>
      <c r="D50" s="1382"/>
      <c r="E50" s="1382"/>
      <c r="F50" s="1382"/>
      <c r="G50" s="1382"/>
      <c r="H50" s="1382"/>
      <c r="I50" s="1383"/>
      <c r="J50" s="127"/>
      <c r="Q50" s="144"/>
      <c r="T50" s="10"/>
      <c r="U50" s="10"/>
    </row>
    <row r="51" spans="2:21">
      <c r="B51" s="1384"/>
      <c r="C51" s="1385"/>
      <c r="D51" s="1385"/>
      <c r="E51" s="1385"/>
      <c r="F51" s="1385"/>
      <c r="G51" s="1385"/>
      <c r="H51" s="1385"/>
      <c r="I51" s="1386"/>
      <c r="J51" s="128"/>
      <c r="K51" s="145"/>
      <c r="L51" s="145"/>
      <c r="M51" s="145"/>
      <c r="N51" s="145"/>
      <c r="O51" s="145"/>
      <c r="P51" s="145"/>
      <c r="Q51" s="146"/>
      <c r="T51" s="10"/>
      <c r="U51" s="10"/>
    </row>
    <row r="52" spans="2:21">
      <c r="T52" s="10"/>
      <c r="U52" s="10"/>
    </row>
    <row r="53" spans="2:21">
      <c r="T53" s="10"/>
      <c r="U53" s="10"/>
    </row>
    <row r="54" spans="2:21">
      <c r="T54" s="10"/>
      <c r="U54" s="10"/>
    </row>
    <row r="55" spans="2:21">
      <c r="T55" s="10"/>
      <c r="U55" s="10"/>
    </row>
    <row r="56" spans="2:21">
      <c r="O56" s="259"/>
      <c r="T56" s="10"/>
      <c r="U56" s="10"/>
    </row>
    <row r="57" spans="2:21">
      <c r="O57" s="259"/>
      <c r="T57" s="10"/>
      <c r="U57" s="10"/>
    </row>
    <row r="58" spans="2:21">
      <c r="O58" s="259"/>
      <c r="T58" s="10"/>
      <c r="U58" s="10"/>
    </row>
    <row r="59" spans="2:21">
      <c r="T59" s="10"/>
      <c r="U59" s="10"/>
    </row>
    <row r="60" spans="2:21">
      <c r="T60" s="10"/>
      <c r="U60" s="10"/>
    </row>
    <row r="61" spans="2:21">
      <c r="T61" s="10"/>
      <c r="U61" s="10"/>
    </row>
    <row r="62" spans="2:21">
      <c r="T62" s="10"/>
      <c r="U62" s="10"/>
    </row>
    <row r="63" spans="2:21">
      <c r="T63" s="10"/>
      <c r="U63" s="10"/>
    </row>
    <row r="64" spans="2:21">
      <c r="T64" s="10"/>
      <c r="U64" s="10"/>
    </row>
    <row r="65" spans="20:21">
      <c r="T65" s="10"/>
      <c r="U65" s="10"/>
    </row>
  </sheetData>
  <mergeCells count="47">
    <mergeCell ref="D33:F33"/>
    <mergeCell ref="G33:I33"/>
    <mergeCell ref="B28:C28"/>
    <mergeCell ref="D30:F30"/>
    <mergeCell ref="G30:I30"/>
    <mergeCell ref="D32:F32"/>
    <mergeCell ref="G32:I32"/>
    <mergeCell ref="D28:I28"/>
    <mergeCell ref="B29:I29"/>
    <mergeCell ref="I19:P19"/>
    <mergeCell ref="J24:Q24"/>
    <mergeCell ref="B24:I24"/>
    <mergeCell ref="B25:C25"/>
    <mergeCell ref="S40:X42"/>
    <mergeCell ref="B32:C32"/>
    <mergeCell ref="B30:C30"/>
    <mergeCell ref="B31:C31"/>
    <mergeCell ref="G31:I31"/>
    <mergeCell ref="B36:I51"/>
    <mergeCell ref="B33:C33"/>
    <mergeCell ref="B34:C34"/>
    <mergeCell ref="B35:I35"/>
    <mergeCell ref="D34:F34"/>
    <mergeCell ref="G34:I34"/>
    <mergeCell ref="D31:F31"/>
    <mergeCell ref="B22:C22"/>
    <mergeCell ref="B21:C21"/>
    <mergeCell ref="D19:H19"/>
    <mergeCell ref="D20:H20"/>
    <mergeCell ref="D21:H21"/>
    <mergeCell ref="D22:H22"/>
    <mergeCell ref="B27:C27"/>
    <mergeCell ref="D25:I25"/>
    <mergeCell ref="B26:C26"/>
    <mergeCell ref="D27:I27"/>
    <mergeCell ref="Q2:Y2"/>
    <mergeCell ref="K3:P3"/>
    <mergeCell ref="B2:P2"/>
    <mergeCell ref="K11:P11"/>
    <mergeCell ref="B10:P10"/>
    <mergeCell ref="D11:I11"/>
    <mergeCell ref="D3:I3"/>
    <mergeCell ref="B23:C23"/>
    <mergeCell ref="D23:H23"/>
    <mergeCell ref="D26:I26"/>
    <mergeCell ref="B20:C20"/>
    <mergeCell ref="B19:C19"/>
  </mergeCells>
  <phoneticPr fontId="0" type="noConversion"/>
  <conditionalFormatting sqref="B5:B7">
    <cfRule type="dataBar" priority="275">
      <dataBar>
        <cfvo type="min"/>
        <cfvo type="max"/>
        <color rgb="FF638EC6"/>
      </dataBar>
      <extLst>
        <ext xmlns:x14="http://schemas.microsoft.com/office/spreadsheetml/2009/9/main" uri="{B025F937-C7B1-47D3-B67F-A62EFF666E3E}">
          <x14:id>{6E381EE6-DF6C-4880-BDC6-793A4FBC9886}</x14:id>
        </ext>
      </extLst>
    </cfRule>
  </conditionalFormatting>
  <conditionalFormatting sqref="B13:B16 B18">
    <cfRule type="dataBar" priority="227">
      <dataBar>
        <cfvo type="min"/>
        <cfvo type="max"/>
        <color rgb="FF638EC6"/>
      </dataBar>
      <extLst>
        <ext xmlns:x14="http://schemas.microsoft.com/office/spreadsheetml/2009/9/main" uri="{B025F937-C7B1-47D3-B67F-A62EFF666E3E}">
          <x14:id>{070902CC-8EB6-43DB-B9AD-5811F17D394B}</x14:id>
        </ext>
      </extLst>
    </cfRule>
  </conditionalFormatting>
  <conditionalFormatting sqref="D5:I7">
    <cfRule type="dataBar" priority="277">
      <dataBar>
        <cfvo type="min"/>
        <cfvo type="max"/>
        <color rgb="FF63C384"/>
      </dataBar>
      <extLst>
        <ext xmlns:x14="http://schemas.microsoft.com/office/spreadsheetml/2009/9/main" uri="{B025F937-C7B1-47D3-B67F-A62EFF666E3E}">
          <x14:id>{FAF8AA30-91EF-4E1F-9B41-DA4B997C9E2E}</x14:id>
        </ext>
      </extLst>
    </cfRule>
  </conditionalFormatting>
  <conditionalFormatting sqref="D13:I16">
    <cfRule type="dataBar" priority="283">
      <dataBar>
        <cfvo type="min"/>
        <cfvo type="max"/>
        <color rgb="FF63C384"/>
      </dataBar>
      <extLst>
        <ext xmlns:x14="http://schemas.microsoft.com/office/spreadsheetml/2009/9/main" uri="{B025F937-C7B1-47D3-B67F-A62EFF666E3E}">
          <x14:id>{CCA55538-3F1E-4BAF-9F51-D0882FAFEB2D}</x14:id>
        </ext>
      </extLst>
    </cfRule>
  </conditionalFormatting>
  <conditionalFormatting sqref="D18:I18">
    <cfRule type="dataBar" priority="172">
      <dataBar>
        <cfvo type="min"/>
        <cfvo type="max"/>
        <color rgb="FF63C384"/>
      </dataBar>
      <extLst>
        <ext xmlns:x14="http://schemas.microsoft.com/office/spreadsheetml/2009/9/main" uri="{B025F937-C7B1-47D3-B67F-A62EFF666E3E}">
          <x14:id>{3F107DCC-63A1-497B-B919-528218A545C1}</x14:id>
        </ext>
      </extLst>
    </cfRule>
    <cfRule type="dataBar" priority="177">
      <dataBar>
        <cfvo type="min"/>
        <cfvo type="max"/>
        <color rgb="FF63C384"/>
      </dataBar>
      <extLst>
        <ext xmlns:x14="http://schemas.microsoft.com/office/spreadsheetml/2009/9/main" uri="{B025F937-C7B1-47D3-B67F-A62EFF666E3E}">
          <x14:id>{5BBC426E-7FA9-4F5C-AC78-B3996BA8F931}</x14:id>
        </ext>
      </extLst>
    </cfRule>
  </conditionalFormatting>
  <conditionalFormatting sqref="E18">
    <cfRule type="dataBar" priority="230">
      <dataBar>
        <cfvo type="min"/>
        <cfvo type="max"/>
        <color rgb="FF63C384"/>
      </dataBar>
      <extLst>
        <ext xmlns:x14="http://schemas.microsoft.com/office/spreadsheetml/2009/9/main" uri="{B025F937-C7B1-47D3-B67F-A62EFF666E3E}">
          <x14:id>{5AA7A103-2149-42E1-9BBB-48A01258D43D}</x14:id>
        </ext>
      </extLst>
    </cfRule>
  </conditionalFormatting>
  <conditionalFormatting sqref="F18">
    <cfRule type="dataBar" priority="233">
      <dataBar>
        <cfvo type="min"/>
        <cfvo type="max"/>
        <color rgb="FF63C384"/>
      </dataBar>
      <extLst>
        <ext xmlns:x14="http://schemas.microsoft.com/office/spreadsheetml/2009/9/main" uri="{B025F937-C7B1-47D3-B67F-A62EFF666E3E}">
          <x14:id>{5EE1521A-2483-44CA-9CCA-E5FC63E6246F}</x14:id>
        </ext>
      </extLst>
    </cfRule>
  </conditionalFormatting>
  <conditionalFormatting sqref="G18">
    <cfRule type="dataBar" priority="236">
      <dataBar>
        <cfvo type="min"/>
        <cfvo type="max"/>
        <color rgb="FF63C384"/>
      </dataBar>
      <extLst>
        <ext xmlns:x14="http://schemas.microsoft.com/office/spreadsheetml/2009/9/main" uri="{B025F937-C7B1-47D3-B67F-A62EFF666E3E}">
          <x14:id>{00DC50B7-1706-4DFB-A90F-9F95CB19CA6D}</x14:id>
        </ext>
      </extLst>
    </cfRule>
  </conditionalFormatting>
  <conditionalFormatting sqref="H18">
    <cfRule type="dataBar" priority="239">
      <dataBar>
        <cfvo type="min"/>
        <cfvo type="max"/>
        <color rgb="FF63C384"/>
      </dataBar>
      <extLst>
        <ext xmlns:x14="http://schemas.microsoft.com/office/spreadsheetml/2009/9/main" uri="{B025F937-C7B1-47D3-B67F-A62EFF666E3E}">
          <x14:id>{EED505F4-1AE5-4E85-A25F-1DAC1EADC97D}</x14:id>
        </ext>
      </extLst>
    </cfRule>
  </conditionalFormatting>
  <conditionalFormatting sqref="I18">
    <cfRule type="dataBar" priority="226">
      <dataBar>
        <cfvo type="min"/>
        <cfvo type="max"/>
        <color rgb="FF63C384"/>
      </dataBar>
      <extLst>
        <ext xmlns:x14="http://schemas.microsoft.com/office/spreadsheetml/2009/9/main" uri="{B025F937-C7B1-47D3-B67F-A62EFF666E3E}">
          <x14:id>{A192D211-7CF8-4DE2-A7D7-7E84CEAE76AC}</x14:id>
        </ext>
      </extLst>
    </cfRule>
  </conditionalFormatting>
  <conditionalFormatting sqref="K13:O16">
    <cfRule type="dataBar" priority="286">
      <dataBar>
        <cfvo type="min"/>
        <cfvo type="max"/>
        <color rgb="FF63C384"/>
      </dataBar>
      <extLst>
        <ext xmlns:x14="http://schemas.microsoft.com/office/spreadsheetml/2009/9/main" uri="{B025F937-C7B1-47D3-B67F-A62EFF666E3E}">
          <x14:id>{F3088F69-B26C-44FB-8FF7-526786056297}</x14:id>
        </ext>
      </extLst>
    </cfRule>
    <cfRule type="dataBar" priority="285">
      <dataBar>
        <cfvo type="min"/>
        <cfvo type="max"/>
        <color rgb="FF63C384"/>
      </dataBar>
      <extLst>
        <ext xmlns:x14="http://schemas.microsoft.com/office/spreadsheetml/2009/9/main" uri="{B025F937-C7B1-47D3-B67F-A62EFF666E3E}">
          <x14:id>{62471153-2A82-42AF-9AE9-7FFF5548A22F}</x14:id>
        </ext>
      </extLst>
    </cfRule>
    <cfRule type="dataBar" priority="284">
      <dataBar>
        <cfvo type="min"/>
        <cfvo type="max"/>
        <color rgb="FF63C384"/>
      </dataBar>
      <extLst>
        <ext xmlns:x14="http://schemas.microsoft.com/office/spreadsheetml/2009/9/main" uri="{B025F937-C7B1-47D3-B67F-A62EFF666E3E}">
          <x14:id>{840280E2-3BF7-493D-BD03-2843D346D4A6}</x14:id>
        </ext>
      </extLst>
    </cfRule>
  </conditionalFormatting>
  <conditionalFormatting sqref="K18:O18">
    <cfRule type="dataBar" priority="246">
      <dataBar>
        <cfvo type="min"/>
        <cfvo type="max"/>
        <color rgb="FF63C384"/>
      </dataBar>
      <extLst>
        <ext xmlns:x14="http://schemas.microsoft.com/office/spreadsheetml/2009/9/main" uri="{B025F937-C7B1-47D3-B67F-A62EFF666E3E}">
          <x14:id>{589E11FE-E342-4D21-9EB3-CB0F15AE87A6}</x14:id>
        </ext>
      </extLst>
    </cfRule>
    <cfRule type="dataBar" priority="245">
      <dataBar>
        <cfvo type="min"/>
        <cfvo type="max"/>
        <color rgb="FF63C384"/>
      </dataBar>
      <extLst>
        <ext xmlns:x14="http://schemas.microsoft.com/office/spreadsheetml/2009/9/main" uri="{B025F937-C7B1-47D3-B67F-A62EFF666E3E}">
          <x14:id>{CBC457F7-3DB8-46A0-988B-11CCF8FF31E5}</x14:id>
        </ext>
      </extLst>
    </cfRule>
  </conditionalFormatting>
  <conditionalFormatting sqref="K5:P7">
    <cfRule type="dataBar" priority="280">
      <dataBar>
        <cfvo type="min"/>
        <cfvo type="max"/>
        <color rgb="FF63C384"/>
      </dataBar>
      <extLst>
        <ext xmlns:x14="http://schemas.microsoft.com/office/spreadsheetml/2009/9/main" uri="{B025F937-C7B1-47D3-B67F-A62EFF666E3E}">
          <x14:id>{5832A442-CC22-41FC-AD17-86122538435B}</x14:id>
        </ext>
      </extLst>
    </cfRule>
    <cfRule type="dataBar" priority="279">
      <dataBar>
        <cfvo type="min"/>
        <cfvo type="max"/>
        <color rgb="FF63C384"/>
      </dataBar>
      <extLst>
        <ext xmlns:x14="http://schemas.microsoft.com/office/spreadsheetml/2009/9/main" uri="{B025F937-C7B1-47D3-B67F-A62EFF666E3E}">
          <x14:id>{1642E512-5328-4DB9-81F4-5A67EFFA2D7A}</x14:id>
        </ext>
      </extLst>
    </cfRule>
    <cfRule type="dataBar" priority="278">
      <dataBar>
        <cfvo type="min"/>
        <cfvo type="max"/>
        <color rgb="FF63C384"/>
      </dataBar>
      <extLst>
        <ext xmlns:x14="http://schemas.microsoft.com/office/spreadsheetml/2009/9/main" uri="{B025F937-C7B1-47D3-B67F-A62EFF666E3E}">
          <x14:id>{5A27FB5F-AC6D-40FD-B152-7630C251B9C8}</x14:id>
        </ext>
      </extLst>
    </cfRule>
  </conditionalFormatting>
  <conditionalFormatting sqref="K18:P18">
    <cfRule type="dataBar" priority="64">
      <dataBar>
        <cfvo type="min"/>
        <cfvo type="max"/>
        <color rgb="FF63C384"/>
      </dataBar>
      <extLst>
        <ext xmlns:x14="http://schemas.microsoft.com/office/spreadsheetml/2009/9/main" uri="{B025F937-C7B1-47D3-B67F-A62EFF666E3E}">
          <x14:id>{624EF9E9-FC69-4C57-8B92-4F6320D43BF6}</x14:id>
        </ext>
      </extLst>
    </cfRule>
    <cfRule type="dataBar" priority="261">
      <dataBar>
        <cfvo type="min"/>
        <cfvo type="max"/>
        <color rgb="FF63C384"/>
      </dataBar>
      <extLst>
        <ext xmlns:x14="http://schemas.microsoft.com/office/spreadsheetml/2009/9/main" uri="{B025F937-C7B1-47D3-B67F-A62EFF666E3E}">
          <x14:id>{EC7F1560-4E75-4756-AE37-09B82982D1AB}</x14:id>
        </ext>
      </extLst>
    </cfRule>
    <cfRule type="dataBar" priority="82">
      <dataBar>
        <cfvo type="min"/>
        <cfvo type="max"/>
        <color rgb="FF63C384"/>
      </dataBar>
      <extLst>
        <ext xmlns:x14="http://schemas.microsoft.com/office/spreadsheetml/2009/9/main" uri="{B025F937-C7B1-47D3-B67F-A62EFF666E3E}">
          <x14:id>{FE2287FA-B40E-40F5-8AA8-262EA0BD4636}</x14:id>
        </ext>
      </extLst>
    </cfRule>
    <cfRule type="dataBar" priority="80">
      <dataBar>
        <cfvo type="min"/>
        <cfvo type="max"/>
        <color rgb="FF63C384"/>
      </dataBar>
      <extLst>
        <ext xmlns:x14="http://schemas.microsoft.com/office/spreadsheetml/2009/9/main" uri="{B025F937-C7B1-47D3-B67F-A62EFF666E3E}">
          <x14:id>{904D660B-3592-4479-B026-ACD9350A3616}</x14:id>
        </ext>
      </extLst>
    </cfRule>
    <cfRule type="dataBar" priority="73">
      <dataBar>
        <cfvo type="min"/>
        <cfvo type="max"/>
        <color rgb="FF63C384"/>
      </dataBar>
      <extLst>
        <ext xmlns:x14="http://schemas.microsoft.com/office/spreadsheetml/2009/9/main" uri="{B025F937-C7B1-47D3-B67F-A62EFF666E3E}">
          <x14:id>{1C8C07B2-BD7C-4727-B188-3301C366D456}</x14:id>
        </ext>
      </extLst>
    </cfRule>
  </conditionalFormatting>
  <conditionalFormatting sqref="L5:L7">
    <cfRule type="dataBar" priority="281">
      <dataBar>
        <cfvo type="min"/>
        <cfvo type="max"/>
        <color rgb="FF63C384"/>
      </dataBar>
      <extLst>
        <ext xmlns:x14="http://schemas.microsoft.com/office/spreadsheetml/2009/9/main" uri="{B025F937-C7B1-47D3-B67F-A62EFF666E3E}">
          <x14:id>{086E2BE5-AF7D-45A1-A497-EB3FB49CEB4D}</x14:id>
        </ext>
      </extLst>
    </cfRule>
  </conditionalFormatting>
  <conditionalFormatting sqref="P13:P16">
    <cfRule type="dataBar" priority="287">
      <dataBar>
        <cfvo type="min"/>
        <cfvo type="max"/>
        <color rgb="FF63C384"/>
      </dataBar>
      <extLst>
        <ext xmlns:x14="http://schemas.microsoft.com/office/spreadsheetml/2009/9/main" uri="{B025F937-C7B1-47D3-B67F-A62EFF666E3E}">
          <x14:id>{FDECE846-FBCB-420D-871F-F2FA2119BDE7}</x14:id>
        </ext>
      </extLst>
    </cfRule>
    <cfRule type="dataBar" priority="288">
      <dataBar>
        <cfvo type="min"/>
        <cfvo type="max"/>
        <color rgb="FF63C384"/>
      </dataBar>
      <extLst>
        <ext xmlns:x14="http://schemas.microsoft.com/office/spreadsheetml/2009/9/main" uri="{B025F937-C7B1-47D3-B67F-A62EFF666E3E}">
          <x14:id>{E7F68FD2-5F61-4EBA-96FE-0329082BDDB9}</x14:id>
        </ext>
      </extLst>
    </cfRule>
    <cfRule type="dataBar" priority="289">
      <dataBar>
        <cfvo type="min"/>
        <cfvo type="max"/>
        <color rgb="FF63C384"/>
      </dataBar>
      <extLst>
        <ext xmlns:x14="http://schemas.microsoft.com/office/spreadsheetml/2009/9/main" uri="{B025F937-C7B1-47D3-B67F-A62EFF666E3E}">
          <x14:id>{38344BCA-2BFA-499B-B20F-E702E186EBA3}</x14:id>
        </ext>
      </extLst>
    </cfRule>
  </conditionalFormatting>
  <conditionalFormatting sqref="P18">
    <cfRule type="dataBar" priority="106">
      <dataBar>
        <cfvo type="min"/>
        <cfvo type="max"/>
        <color rgb="FF63C384"/>
      </dataBar>
      <extLst>
        <ext xmlns:x14="http://schemas.microsoft.com/office/spreadsheetml/2009/9/main" uri="{B025F937-C7B1-47D3-B67F-A62EFF666E3E}">
          <x14:id>{A1AE97AD-5647-4F9F-A100-6C15C1895B18}</x14:id>
        </ext>
      </extLst>
    </cfRule>
    <cfRule type="dataBar" priority="69">
      <dataBar>
        <cfvo type="min"/>
        <cfvo type="max"/>
        <color rgb="FF63C384"/>
      </dataBar>
      <extLst>
        <ext xmlns:x14="http://schemas.microsoft.com/office/spreadsheetml/2009/9/main" uri="{B025F937-C7B1-47D3-B67F-A62EFF666E3E}">
          <x14:id>{E25FCA19-5187-42DE-ACC0-FA124C432602}</x14:id>
        </ext>
      </extLst>
    </cfRule>
    <cfRule type="dataBar" priority="68">
      <dataBar>
        <cfvo type="min"/>
        <cfvo type="max"/>
        <color rgb="FF63C384"/>
      </dataBar>
      <extLst>
        <ext xmlns:x14="http://schemas.microsoft.com/office/spreadsheetml/2009/9/main" uri="{B025F937-C7B1-47D3-B67F-A62EFF666E3E}">
          <x14:id>{CA13E27F-6DDD-451D-9981-58C3F52DF064}</x14:id>
        </ext>
      </extLst>
    </cfRule>
    <cfRule type="dataBar" priority="67">
      <dataBar>
        <cfvo type="min"/>
        <cfvo type="max"/>
        <color rgb="FF63C384"/>
      </dataBar>
      <extLst>
        <ext xmlns:x14="http://schemas.microsoft.com/office/spreadsheetml/2009/9/main" uri="{B025F937-C7B1-47D3-B67F-A62EFF666E3E}">
          <x14:id>{ECB61C77-2C43-48F4-8A50-733EB85A1CEE}</x14:id>
        </ext>
      </extLst>
    </cfRule>
    <cfRule type="dataBar" priority="66">
      <dataBar>
        <cfvo type="min"/>
        <cfvo type="max"/>
        <color rgb="FF63C384"/>
      </dataBar>
      <extLst>
        <ext xmlns:x14="http://schemas.microsoft.com/office/spreadsheetml/2009/9/main" uri="{B025F937-C7B1-47D3-B67F-A62EFF666E3E}">
          <x14:id>{657DE2C6-03A4-4EDE-99AD-798EB4DDA82C}</x14:id>
        </ext>
      </extLst>
    </cfRule>
    <cfRule type="dataBar" priority="65">
      <dataBar>
        <cfvo type="min"/>
        <cfvo type="max"/>
        <color rgb="FF63C384"/>
      </dataBar>
      <extLst>
        <ext xmlns:x14="http://schemas.microsoft.com/office/spreadsheetml/2009/9/main" uri="{B025F937-C7B1-47D3-B67F-A62EFF666E3E}">
          <x14:id>{44059659-321E-4F16-A91E-71EB67462F51}</x14:id>
        </ext>
      </extLst>
    </cfRule>
  </conditionalFormatting>
  <hyperlinks>
    <hyperlink ref="B32" r:id="rId1" display="Heavy Duty Trucks - Market Share, Analysis &amp; Industry Statistics (mordorintelligence.com)" xr:uid="{BDBA74C7-92A8-48F3-B819-8A95ADB0041F}"/>
    <hyperlink ref="B31:C31" r:id="rId2" display="The Brainy Insights" xr:uid="{F4C0BE42-3876-4E53-8FF3-5B227D98E940}"/>
    <hyperlink ref="B33:C33" r:id="rId3" display="Zion" xr:uid="{038330FE-E1E9-49EB-8016-6AD3946B3401}"/>
  </hyperlinks>
  <pageMargins left="0.75" right="0.75" top="1" bottom="1" header="0" footer="0"/>
  <pageSetup orientation="landscape" r:id="rId4"/>
  <headerFooter alignWithMargins="0"/>
  <drawing r:id="rId5"/>
  <legacyDrawing r:id="rId6"/>
  <extLst>
    <ext xmlns:x14="http://schemas.microsoft.com/office/spreadsheetml/2009/9/main" uri="{78C0D931-6437-407d-A8EE-F0AAD7539E65}">
      <x14:conditionalFormattings>
        <x14:conditionalFormatting xmlns:xm="http://schemas.microsoft.com/office/excel/2006/main">
          <x14:cfRule type="dataBar" id="{6E381EE6-DF6C-4880-BDC6-793A4FBC9886}">
            <x14:dataBar minLength="0" maxLength="100" border="1" negativeBarBorderColorSameAsPositive="0">
              <x14:cfvo type="autoMin"/>
              <x14:cfvo type="autoMax"/>
              <x14:borderColor rgb="FF638EC6"/>
              <x14:negativeFillColor rgb="FFFF0000"/>
              <x14:negativeBorderColor rgb="FFFF0000"/>
              <x14:axisColor rgb="FF000000"/>
            </x14:dataBar>
          </x14:cfRule>
          <xm:sqref>B5:B7</xm:sqref>
        </x14:conditionalFormatting>
        <x14:conditionalFormatting xmlns:xm="http://schemas.microsoft.com/office/excel/2006/main">
          <x14:cfRule type="dataBar" id="{070902CC-8EB6-43DB-B9AD-5811F17D394B}">
            <x14:dataBar minLength="0" maxLength="100" border="1" negativeBarBorderColorSameAsPositive="0">
              <x14:cfvo type="autoMin"/>
              <x14:cfvo type="autoMax"/>
              <x14:borderColor rgb="FF638EC6"/>
              <x14:negativeFillColor rgb="FFFF0000"/>
              <x14:negativeBorderColor rgb="FFFF0000"/>
              <x14:axisColor rgb="FF000000"/>
            </x14:dataBar>
          </x14:cfRule>
          <xm:sqref>B13:B16 B18</xm:sqref>
        </x14:conditionalFormatting>
        <x14:conditionalFormatting xmlns:xm="http://schemas.microsoft.com/office/excel/2006/main">
          <x14:cfRule type="dataBar" id="{FAF8AA30-91EF-4E1F-9B41-DA4B997C9E2E}">
            <x14:dataBar minLength="0" maxLength="100" gradient="0">
              <x14:cfvo type="autoMin"/>
              <x14:cfvo type="autoMax"/>
              <x14:negativeFillColor rgb="FFFF0000"/>
              <x14:axisColor rgb="FF000000"/>
            </x14:dataBar>
          </x14:cfRule>
          <xm:sqref>D5:I7</xm:sqref>
        </x14:conditionalFormatting>
        <x14:conditionalFormatting xmlns:xm="http://schemas.microsoft.com/office/excel/2006/main">
          <x14:cfRule type="dataBar" id="{CCA55538-3F1E-4BAF-9F51-D0882FAFEB2D}">
            <x14:dataBar minLength="0" maxLength="100" gradient="0">
              <x14:cfvo type="autoMin"/>
              <x14:cfvo type="autoMax"/>
              <x14:negativeFillColor rgb="FFFF0000"/>
              <x14:axisColor rgb="FF000000"/>
            </x14:dataBar>
          </x14:cfRule>
          <xm:sqref>D13:I16</xm:sqref>
        </x14:conditionalFormatting>
        <x14:conditionalFormatting xmlns:xm="http://schemas.microsoft.com/office/excel/2006/main">
          <x14:cfRule type="dataBar" id="{3F107DCC-63A1-497B-B919-528218A545C1}">
            <x14:dataBar minLength="0" maxLength="100" gradient="0">
              <x14:cfvo type="autoMin"/>
              <x14:cfvo type="autoMax"/>
              <x14:negativeFillColor rgb="FFFF0000"/>
              <x14:axisColor rgb="FF000000"/>
            </x14:dataBar>
          </x14:cfRule>
          <x14:cfRule type="dataBar" id="{5BBC426E-7FA9-4F5C-AC78-B3996BA8F931}">
            <x14:dataBar minLength="0" maxLength="100" gradient="0">
              <x14:cfvo type="autoMin"/>
              <x14:cfvo type="autoMax"/>
              <x14:negativeFillColor rgb="FFFF0000"/>
              <x14:axisColor rgb="FF000000"/>
            </x14:dataBar>
          </x14:cfRule>
          <xm:sqref>D18:I18</xm:sqref>
        </x14:conditionalFormatting>
        <x14:conditionalFormatting xmlns:xm="http://schemas.microsoft.com/office/excel/2006/main">
          <x14:cfRule type="dataBar" id="{5AA7A103-2149-42E1-9BBB-48A01258D43D}">
            <x14:dataBar minLength="0" maxLength="100" gradient="0">
              <x14:cfvo type="autoMin"/>
              <x14:cfvo type="autoMax"/>
              <x14:negativeFillColor rgb="FFFF0000"/>
              <x14:axisColor rgb="FF000000"/>
            </x14:dataBar>
          </x14:cfRule>
          <xm:sqref>E18</xm:sqref>
        </x14:conditionalFormatting>
        <x14:conditionalFormatting xmlns:xm="http://schemas.microsoft.com/office/excel/2006/main">
          <x14:cfRule type="dataBar" id="{5EE1521A-2483-44CA-9CCA-E5FC63E6246F}">
            <x14:dataBar minLength="0" maxLength="100" gradient="0">
              <x14:cfvo type="autoMin"/>
              <x14:cfvo type="autoMax"/>
              <x14:negativeFillColor rgb="FFFF0000"/>
              <x14:axisColor rgb="FF000000"/>
            </x14:dataBar>
          </x14:cfRule>
          <xm:sqref>F18</xm:sqref>
        </x14:conditionalFormatting>
        <x14:conditionalFormatting xmlns:xm="http://schemas.microsoft.com/office/excel/2006/main">
          <x14:cfRule type="dataBar" id="{00DC50B7-1706-4DFB-A90F-9F95CB19CA6D}">
            <x14:dataBar minLength="0" maxLength="100" gradient="0">
              <x14:cfvo type="autoMin"/>
              <x14:cfvo type="autoMax"/>
              <x14:negativeFillColor rgb="FFFF0000"/>
              <x14:axisColor rgb="FF000000"/>
            </x14:dataBar>
          </x14:cfRule>
          <xm:sqref>G18</xm:sqref>
        </x14:conditionalFormatting>
        <x14:conditionalFormatting xmlns:xm="http://schemas.microsoft.com/office/excel/2006/main">
          <x14:cfRule type="dataBar" id="{EED505F4-1AE5-4E85-A25F-1DAC1EADC97D}">
            <x14:dataBar minLength="0" maxLength="100" gradient="0">
              <x14:cfvo type="autoMin"/>
              <x14:cfvo type="autoMax"/>
              <x14:negativeFillColor rgb="FFFF0000"/>
              <x14:axisColor rgb="FF000000"/>
            </x14:dataBar>
          </x14:cfRule>
          <xm:sqref>H18</xm:sqref>
        </x14:conditionalFormatting>
        <x14:conditionalFormatting xmlns:xm="http://schemas.microsoft.com/office/excel/2006/main">
          <x14:cfRule type="dataBar" id="{A192D211-7CF8-4DE2-A7D7-7E84CEAE76AC}">
            <x14:dataBar minLength="0" maxLength="100" gradient="0">
              <x14:cfvo type="autoMin"/>
              <x14:cfvo type="autoMax"/>
              <x14:negativeFillColor rgb="FFFF0000"/>
              <x14:axisColor rgb="FF000000"/>
            </x14:dataBar>
          </x14:cfRule>
          <xm:sqref>I18</xm:sqref>
        </x14:conditionalFormatting>
        <x14:conditionalFormatting xmlns:xm="http://schemas.microsoft.com/office/excel/2006/main">
          <x14:cfRule type="dataBar" id="{F3088F69-B26C-44FB-8FF7-526786056297}">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62471153-2A82-42AF-9AE9-7FFF5548A22F}">
            <x14:dataBar minLength="0" maxLength="100" gradient="0">
              <x14:cfvo type="autoMin"/>
              <x14:cfvo type="autoMax"/>
              <x14:negativeFillColor rgb="FFFF0000"/>
              <x14:axisColor rgb="FF000000"/>
            </x14:dataBar>
          </x14:cfRule>
          <x14:cfRule type="dataBar" id="{840280E2-3BF7-493D-BD03-2843D346D4A6}">
            <x14:dataBar minLength="0" maxLength="100" gradient="0">
              <x14:cfvo type="autoMin"/>
              <x14:cfvo type="autoMax"/>
              <x14:negativeFillColor rgb="FFFF0000"/>
              <x14:axisColor rgb="FF000000"/>
            </x14:dataBar>
          </x14:cfRule>
          <xm:sqref>K13:O16</xm:sqref>
        </x14:conditionalFormatting>
        <x14:conditionalFormatting xmlns:xm="http://schemas.microsoft.com/office/excel/2006/main">
          <x14:cfRule type="dataBar" id="{589E11FE-E342-4D21-9EB3-CB0F15AE87A6}">
            <x14:dataBar minLength="0" maxLength="100" gradient="0">
              <x14:cfvo type="autoMin"/>
              <x14:cfvo type="autoMax"/>
              <x14:negativeFillColor rgb="FFFF0000"/>
              <x14:axisColor rgb="FF000000"/>
            </x14:dataBar>
          </x14:cfRule>
          <x14:cfRule type="dataBar" id="{CBC457F7-3DB8-46A0-988B-11CCF8FF31E5}">
            <x14:dataBar minLength="0" maxLength="100" gradient="0">
              <x14:cfvo type="autoMin"/>
              <x14:cfvo type="autoMax"/>
              <x14:negativeFillColor rgb="FFFF0000"/>
              <x14:axisColor rgb="FF000000"/>
            </x14:dataBar>
          </x14:cfRule>
          <xm:sqref>K18:O18</xm:sqref>
        </x14:conditionalFormatting>
        <x14:conditionalFormatting xmlns:xm="http://schemas.microsoft.com/office/excel/2006/main">
          <x14:cfRule type="dataBar" id="{5832A442-CC22-41FC-AD17-86122538435B}">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642E512-5328-4DB9-81F4-5A67EFFA2D7A}">
            <x14:dataBar minLength="0" maxLength="100" gradient="0">
              <x14:cfvo type="autoMin"/>
              <x14:cfvo type="autoMax"/>
              <x14:negativeFillColor rgb="FFFF0000"/>
              <x14:axisColor rgb="FF000000"/>
            </x14:dataBar>
          </x14:cfRule>
          <x14:cfRule type="dataBar" id="{5A27FB5F-AC6D-40FD-B152-7630C251B9C8}">
            <x14:dataBar minLength="0" maxLength="100" gradient="0">
              <x14:cfvo type="autoMin"/>
              <x14:cfvo type="autoMax"/>
              <x14:negativeFillColor rgb="FFFF0000"/>
              <x14:axisColor rgb="FF000000"/>
            </x14:dataBar>
          </x14:cfRule>
          <xm:sqref>K5:P7</xm:sqref>
        </x14:conditionalFormatting>
        <x14:conditionalFormatting xmlns:xm="http://schemas.microsoft.com/office/excel/2006/main">
          <x14:cfRule type="dataBar" id="{624EF9E9-FC69-4C57-8B92-4F6320D43BF6}">
            <x14:dataBar minLength="0" maxLength="100" gradient="0">
              <x14:cfvo type="autoMin"/>
              <x14:cfvo type="autoMax"/>
              <x14:negativeFillColor rgb="FFFF0000"/>
              <x14:axisColor rgb="FF000000"/>
            </x14:dataBar>
          </x14:cfRule>
          <x14:cfRule type="dataBar" id="{EC7F1560-4E75-4756-AE37-09B82982D1AB}">
            <x14:dataBar minLength="0" maxLength="100" gradient="0">
              <x14:cfvo type="autoMin"/>
              <x14:cfvo type="autoMax"/>
              <x14:negativeFillColor rgb="FFFF0000"/>
              <x14:axisColor rgb="FF000000"/>
            </x14:dataBar>
          </x14:cfRule>
          <x14:cfRule type="dataBar" id="{FE2287FA-B40E-40F5-8AA8-262EA0BD463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904D660B-3592-4479-B026-ACD9350A3616}">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1C8C07B2-BD7C-4727-B188-3301C366D456}">
            <x14:dataBar minLength="0" maxLength="100" gradient="0">
              <x14:cfvo type="autoMin"/>
              <x14:cfvo type="autoMax"/>
              <x14:negativeFillColor rgb="FFFF0000"/>
              <x14:axisColor rgb="FF000000"/>
            </x14:dataBar>
          </x14:cfRule>
          <xm:sqref>K18:P18</xm:sqref>
        </x14:conditionalFormatting>
        <x14:conditionalFormatting xmlns:xm="http://schemas.microsoft.com/office/excel/2006/main">
          <x14:cfRule type="dataBar" id="{086E2BE5-AF7D-45A1-A497-EB3FB49CEB4D}">
            <x14:dataBar minLength="0" maxLength="100" gradient="0">
              <x14:cfvo type="autoMin"/>
              <x14:cfvo type="autoMax"/>
              <x14:negativeFillColor rgb="FFFF0000"/>
              <x14:axisColor rgb="FF000000"/>
            </x14:dataBar>
          </x14:cfRule>
          <xm:sqref>L5:L7</xm:sqref>
        </x14:conditionalFormatting>
        <x14:conditionalFormatting xmlns:xm="http://schemas.microsoft.com/office/excel/2006/main">
          <x14:cfRule type="dataBar" id="{FDECE846-FBCB-420D-871F-F2FA2119BDE7}">
            <x14:dataBar minLength="0" maxLength="100" gradient="0">
              <x14:cfvo type="autoMin"/>
              <x14:cfvo type="autoMax"/>
              <x14:negativeFillColor rgb="FFFF0000"/>
              <x14:axisColor rgb="FF000000"/>
            </x14:dataBar>
          </x14:cfRule>
          <x14:cfRule type="dataBar" id="{E7F68FD2-5F61-4EBA-96FE-0329082BDDB9}">
            <x14:dataBar minLength="0" maxLength="100" gradient="0">
              <x14:cfvo type="autoMin"/>
              <x14:cfvo type="autoMax"/>
              <x14:negativeFillColor rgb="FFFF0000"/>
              <x14:axisColor rgb="FF000000"/>
            </x14:dataBar>
          </x14:cfRule>
          <x14:cfRule type="dataBar" id="{38344BCA-2BFA-499B-B20F-E702E186EBA3}">
            <x14:dataBar minLength="0" maxLength="100" border="1" negativeBarBorderColorSameAsPositive="0">
              <x14:cfvo type="autoMin"/>
              <x14:cfvo type="autoMax"/>
              <x14:borderColor rgb="FF63C384"/>
              <x14:negativeFillColor rgb="FFFF0000"/>
              <x14:negativeBorderColor rgb="FFFF0000"/>
              <x14:axisColor rgb="FF000000"/>
            </x14:dataBar>
          </x14:cfRule>
          <xm:sqref>P13:P16</xm:sqref>
        </x14:conditionalFormatting>
        <x14:conditionalFormatting xmlns:xm="http://schemas.microsoft.com/office/excel/2006/main">
          <x14:cfRule type="dataBar" id="{A1AE97AD-5647-4F9F-A100-6C15C1895B18}">
            <x14:dataBar minLength="0" maxLength="100" gradient="0">
              <x14:cfvo type="autoMin"/>
              <x14:cfvo type="autoMax"/>
              <x14:negativeFillColor rgb="FFFF0000"/>
              <x14:axisColor rgb="FF000000"/>
            </x14:dataBar>
          </x14:cfRule>
          <x14:cfRule type="dataBar" id="{E25FCA19-5187-42DE-ACC0-FA124C432602}">
            <x14:dataBar minLength="0" maxLength="100" border="1" negativeBarBorderColorSameAsPositive="0">
              <x14:cfvo type="autoMin"/>
              <x14:cfvo type="autoMax"/>
              <x14:borderColor rgb="FF63C384"/>
              <x14:negativeFillColor rgb="FFFF0000"/>
              <x14:negativeBorderColor rgb="FFFF0000"/>
              <x14:axisColor rgb="FF000000"/>
            </x14:dataBar>
          </x14:cfRule>
          <x14:cfRule type="dataBar" id="{CA13E27F-6DDD-451D-9981-58C3F52DF064}">
            <x14:dataBar minLength="0" maxLength="100" gradient="0">
              <x14:cfvo type="autoMin"/>
              <x14:cfvo type="autoMax"/>
              <x14:negativeFillColor rgb="FFFF0000"/>
              <x14:axisColor rgb="FF000000"/>
            </x14:dataBar>
          </x14:cfRule>
          <x14:cfRule type="dataBar" id="{ECB61C77-2C43-48F4-8A50-733EB85A1CEE}">
            <x14:dataBar minLength="0" maxLength="100" gradient="0">
              <x14:cfvo type="autoMin"/>
              <x14:cfvo type="autoMax"/>
              <x14:negativeFillColor rgb="FFFF0000"/>
              <x14:axisColor rgb="FF000000"/>
            </x14:dataBar>
          </x14:cfRule>
          <x14:cfRule type="dataBar" id="{657DE2C6-03A4-4EDE-99AD-798EB4DDA82C}">
            <x14:dataBar minLength="0" maxLength="100" gradient="0">
              <x14:cfvo type="autoMin"/>
              <x14:cfvo type="autoMax"/>
              <x14:negativeFillColor rgb="FFFF0000"/>
              <x14:axisColor rgb="FF000000"/>
            </x14:dataBar>
          </x14:cfRule>
          <x14:cfRule type="dataBar" id="{44059659-321E-4F16-A91E-71EB67462F51}">
            <x14:dataBar minLength="0" maxLength="100" gradient="0">
              <x14:cfvo type="autoMin"/>
              <x14:cfvo type="autoMax"/>
              <x14:negativeFillColor rgb="FFFF0000"/>
              <x14:axisColor rgb="FF000000"/>
            </x14:dataBar>
          </x14:cfRule>
          <xm:sqref>P18</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sheetPr>
  <dimension ref="A1:P92"/>
  <sheetViews>
    <sheetView showGridLines="0" topLeftCell="A5" zoomScaleNormal="100" workbookViewId="0">
      <pane xSplit="2" topLeftCell="I4" activePane="topRight" state="frozen"/>
      <selection pane="topRight" activeCell="I4" sqref="I4"/>
      <selection activeCell="A50" sqref="A50"/>
    </sheetView>
  </sheetViews>
  <sheetFormatPr defaultColWidth="11.42578125" defaultRowHeight="12.75"/>
  <cols>
    <col min="1" max="1" width="0.42578125" customWidth="1"/>
    <col min="2" max="2" width="32.28515625" customWidth="1"/>
    <col min="3" max="4" width="32.140625" customWidth="1"/>
    <col min="5" max="5" width="33.42578125" customWidth="1"/>
    <col min="6" max="7" width="33.7109375" customWidth="1"/>
    <col min="8" max="8" width="17.140625" bestFit="1" customWidth="1"/>
    <col min="9" max="9" width="19.7109375" bestFit="1" customWidth="1"/>
    <col min="11" max="11" width="14.7109375" customWidth="1"/>
    <col min="12" max="12" width="21" customWidth="1"/>
    <col min="13" max="13" width="18.42578125" bestFit="1" customWidth="1"/>
  </cols>
  <sheetData>
    <row r="1" spans="2:14" ht="13.5">
      <c r="B1" s="166" t="s">
        <v>239</v>
      </c>
      <c r="C1" s="167" t="s">
        <v>240</v>
      </c>
      <c r="D1" s="1419" t="s">
        <v>210</v>
      </c>
      <c r="E1" s="1419"/>
      <c r="F1" s="1419"/>
      <c r="G1" s="166" t="s">
        <v>241</v>
      </c>
      <c r="H1" s="166" t="s">
        <v>242</v>
      </c>
      <c r="I1" s="754" t="s">
        <v>243</v>
      </c>
    </row>
    <row r="2" spans="2:14" ht="144.6" customHeight="1">
      <c r="B2" s="761" t="e" vm="8">
        <v>#VALUE!</v>
      </c>
      <c r="C2" s="692" t="e" vm="4">
        <v>#VALUE!</v>
      </c>
      <c r="D2" s="1416" t="str" cm="1">
        <f t="array" aca="1" ref="D2" ca="1">_FV(C2,"Description")</f>
        <v>Volvo Car AB is a Sweden-based automotive brand. Volvo Car Group is focused on the design, engineering, manufacturing, distribution and sale of passenger cars, with particular focus on sustainability, fully electric cars and direct consumer relations, including subscription and other new mobility services. Volvo Car Group’s addressable market is the global premium passenger car market. Moreover, the Company’s intention is to be a pure electric car company and as a result it is undergoing a shift in its business model to a direct sales model in most of its markets. Volvo Cars’ commitment to electrification also results in the launch of Polestar, a progressive stand-alone electric performance car brand, in which Volvo Cars owns shares. Volvo Cars also holds shares in the automotive brand LYNK&amp;CO, which focuses on young open-minded urban people through a flexible customer offering.</v>
      </c>
      <c r="E2" s="1417"/>
      <c r="F2" s="1418"/>
      <c r="G2" s="752" t="str" cm="1">
        <f t="array" aca="1" ref="G2" ca="1">_FV(C2,"Currency")</f>
        <v>SEK</v>
      </c>
      <c r="H2" s="786">
        <v>45291</v>
      </c>
      <c r="I2" s="786">
        <v>45399</v>
      </c>
    </row>
    <row r="3" spans="2:14" ht="144.6" customHeight="1">
      <c r="B3" s="761" t="e" vm="9">
        <v>#VALUE!</v>
      </c>
      <c r="C3" s="295" t="e" vm="5">
        <v>#VALUE!</v>
      </c>
      <c r="D3" s="1416" t="str" cm="1">
        <f t="array" aca="1" ref="D3" ca="1">_FV(C3,"Description")</f>
        <v>Tesla, Inc. designs, develops, manufactures, sells and leases high-performance fully electric vehicles and energy generation and storage systems, and offer services related to its products. The Company's segments include automotive, and energy generation and storage. The automotive segment includes the design, development, manufacturing, sales and leasing of high-performance fully electric vehicles, and sales of automotive regulatory credits. This segment also includes sales of used vehicles, non-warranty after-sales vehicle services, body shop and parts, paid supercharging, vehicle insurance and retail merchandise. Its consumer vehicles include the Model 3, Y, S, X and Cybertruck. The energy generation and storage segment includes the design, manufacture, installation, sales and leasing of solar energy generation and energy storage products and related services and sales of solar energy systems incentives. Its lithium-ion battery energy storage products include Powerwall and Megapack.</v>
      </c>
      <c r="E3" s="1417"/>
      <c r="F3" s="1418"/>
      <c r="G3" s="752" t="str" cm="1">
        <f t="array" aca="1" ref="G3" ca="1">_FV(C3,"Currency")</f>
        <v>USD</v>
      </c>
      <c r="H3" s="786">
        <v>45291</v>
      </c>
      <c r="I3" s="786">
        <v>45405</v>
      </c>
    </row>
    <row r="4" spans="2:14" ht="143.1" customHeight="1">
      <c r="B4" s="761" t="e" vm="10">
        <v>#VALUE!</v>
      </c>
      <c r="C4" s="296" t="e" vm="6">
        <v>#VALUE!</v>
      </c>
      <c r="D4" s="1416" t="str" cm="1">
        <f t="array" aca="1" ref="D4" ca="1">_FV(C4,"Description")</f>
        <v>Daimler Truck Holding AG is a Germany-based company, which is now operating as an independent entity. It manufactures commercial vehicles, develops new solutions, and invents new technologies. The Company is engaged in the manufacturing of Medium Duty Truck (MDT) and Heavy-Duty Trucks (HDT). The Company produces buses and trucks under brands, such as Bharat Benz, Freightliner, FUSO, Mercedes-Benz, Setra, Thomas Built Buses, and Western Star. The Company also offers tailored financial services to support the purchase and use of its trucks and buses. The Company has operations in France, Germany, India, Mexico, Brazil, and the United States of America, The Company's truck product range includes light, medium, and heavy trucks for long-distance distribution and construction site haulage, special vehicles which are used in municipal application as well as industrial engines.</v>
      </c>
      <c r="E4" s="1417"/>
      <c r="F4" s="1418"/>
      <c r="G4" s="752" t="str" cm="1">
        <f t="array" aca="1" ref="G4" ca="1">_FV(C4,"Currency")</f>
        <v>EUR</v>
      </c>
      <c r="H4" s="786">
        <v>45291</v>
      </c>
      <c r="I4" s="786">
        <v>45415</v>
      </c>
    </row>
    <row r="5" spans="2:14" ht="134.1" customHeight="1">
      <c r="B5" s="761" t="e" vm="11">
        <v>#VALUE!</v>
      </c>
      <c r="C5" s="691" t="e" vm="7">
        <v>#VALUE!</v>
      </c>
      <c r="D5" s="1416" t="str" cm="1">
        <f t="array" aca="1" ref="D5" ca="1">_FV(C5,"Description")</f>
        <v>Renault SA is a France-based company that designs, manufactures and sells passenger cars and light commercial vehicles and related services. Its brand portfolio consists of Renault, Dacia (both operating globally), Alpine (active in Europe, Japan and Australia), Renault Samsung Motors (operates only in South Korea) and Lada (operates only in Russia). The Group operating segments are three: Automotive excluding AVTOVAZ, Sales Financing and AVTOVAZ. Automotive excluding AVTOVAZ consists of the Group’s automotive activities comprising the production, sales, and distribution of passenger and light commercial vehicles, automobile service for the Renault, Dacia and Samsung brands and investments in Nissan, among others. Sales Financing, carried out by RCI Banque, covers the financing operations for sales of vehicles to dealers and end-users. AVTOVAZ, consists of the Russian automotive group AVTOVAZ and its parent company, the joint venture lliance Rostec Auto b.v.</v>
      </c>
      <c r="E5" s="1417"/>
      <c r="F5" s="1418"/>
      <c r="G5" s="752" t="str" cm="1">
        <f t="array" aca="1" ref="G5" ca="1">_FV(C5,"Currency")</f>
        <v>EUR</v>
      </c>
      <c r="H5" s="786">
        <v>45291</v>
      </c>
      <c r="I5" s="786">
        <v>45404</v>
      </c>
    </row>
    <row r="6" spans="2:14" ht="128.1" hidden="1" customHeight="1">
      <c r="B6" s="546"/>
      <c r="C6" s="693"/>
      <c r="D6" s="1416" t="e" cm="1" vm="12">
        <f t="array" ref="D6">_FV(C6,"Descrição")</f>
        <v>#VALUE!</v>
      </c>
      <c r="E6" s="1417"/>
      <c r="F6" s="1418"/>
      <c r="G6" t="e" cm="1" vm="13">
        <f t="array" ref="G6">_FV(C6,"Moeda")</f>
        <v>#VALUE!</v>
      </c>
    </row>
    <row r="7" spans="2:14" ht="13.5" thickBot="1">
      <c r="B7" s="10"/>
    </row>
    <row r="8" spans="2:14" ht="47.1" customHeight="1" thickBot="1">
      <c r="B8" s="644" t="str" cm="1">
        <f t="array" aca="1" ref="B8" ca="1">"In Millions "&amp;_FV(OP!E2,"Moeda")</f>
        <v>In Millions USD</v>
      </c>
      <c r="C8" s="291" t="e" vm="1">
        <f>OP!E2</f>
        <v>#VALUE!</v>
      </c>
      <c r="D8" s="292" t="e" vm="4">
        <f>C2</f>
        <v>#VALUE!</v>
      </c>
      <c r="E8" s="293" t="e" vm="5">
        <f>C3</f>
        <v>#VALUE!</v>
      </c>
      <c r="F8" s="294" t="e" vm="6">
        <f>C4</f>
        <v>#VALUE!</v>
      </c>
      <c r="G8" s="691" t="e" vm="7">
        <f>C5</f>
        <v>#VALUE!</v>
      </c>
      <c r="H8" s="646" t="s">
        <v>235</v>
      </c>
      <c r="I8" s="434" t="s">
        <v>244</v>
      </c>
    </row>
    <row r="9" spans="2:14" ht="16.5" customHeight="1" thickBot="1">
      <c r="B9" s="162" t="s">
        <v>245</v>
      </c>
      <c r="C9" s="152"/>
      <c r="D9" s="153"/>
      <c r="E9" s="153"/>
      <c r="F9" s="153"/>
      <c r="G9" s="153"/>
      <c r="H9" s="154" t="str">
        <f>IFERROR(AVERAGE(C9:F9),"")</f>
        <v/>
      </c>
      <c r="I9" s="416"/>
      <c r="L9" s="688" t="s">
        <v>246</v>
      </c>
      <c r="M9" s="689"/>
      <c r="N9" s="690"/>
    </row>
    <row r="10" spans="2:14" s="91" customFormat="1" ht="13.5" customHeight="1" thickBot="1">
      <c r="B10" s="164" t="s">
        <v>247</v>
      </c>
      <c r="C10" s="917" cm="1">
        <f t="array" aca="1" ref="C10" ca="1">_FV(C8,"Capitalização de mercado",TRUE)/1000000</f>
        <v>59359.932095999997</v>
      </c>
      <c r="D10" s="763" cm="1">
        <f t="array" aca="1" ref="D10" ca="1">_FV(D8,"Market cap",TRUE)/1000000*0.099334</f>
        <v>11818.0043816</v>
      </c>
      <c r="E10" s="763" cm="1">
        <f t="array" aca="1" ref="E10" ca="1">_FV(E8,"Market cap",TRUE)/1000000</f>
        <v>549790.47033000004</v>
      </c>
      <c r="F10" s="763" cm="1">
        <f t="array" aca="1" ref="F10" ca="1">_FV(F8,"Market cap",TRUE)/1000000*1.103594</f>
        <v>42740.120863280004</v>
      </c>
      <c r="G10" s="763" cm="1">
        <f t="array" aca="1" ref="G10" ca="1">_FV(G8,"Market cap",TRUE)/1000000*1.103594</f>
        <v>14828.043487159999</v>
      </c>
      <c r="H10" s="564">
        <f ca="1">IFERROR(AVERAGE(C10:G10),"")</f>
        <v>135707.314231608</v>
      </c>
      <c r="I10" s="559">
        <f ca="1">SQRT((C10-H10)^2)</f>
        <v>76347.382135608001</v>
      </c>
      <c r="K10" s="560"/>
      <c r="L10" s="1404"/>
      <c r="M10" s="1410" t="s">
        <v>248</v>
      </c>
      <c r="N10" s="1411"/>
    </row>
    <row r="11" spans="2:14" ht="14.1" customHeight="1" thickBot="1">
      <c r="B11" s="364" t="s">
        <v>249</v>
      </c>
      <c r="C11" s="864">
        <f>C60</f>
        <v>35127</v>
      </c>
      <c r="D11" s="718">
        <f>D60</f>
        <v>60424</v>
      </c>
      <c r="E11" s="718">
        <f>E60</f>
        <v>96773</v>
      </c>
      <c r="F11" s="718">
        <f>F60</f>
        <v>60424</v>
      </c>
      <c r="G11" s="718">
        <f>G60</f>
        <v>56625</v>
      </c>
      <c r="H11" s="386">
        <f>IFERROR(AVERAGE(C11:G11),"")</f>
        <v>61874.6</v>
      </c>
      <c r="I11" s="417">
        <f>SQRT((C11-H11)^2)</f>
        <v>26747.599999999999</v>
      </c>
      <c r="L11" s="1405"/>
      <c r="M11" s="1412"/>
      <c r="N11" s="1413"/>
    </row>
    <row r="12" spans="2:14" ht="16.5" customHeight="1" thickBot="1">
      <c r="B12" s="162" t="s">
        <v>250</v>
      </c>
      <c r="C12" s="165"/>
      <c r="D12" s="165"/>
      <c r="E12" s="165"/>
      <c r="F12" s="165"/>
      <c r="G12" s="165"/>
      <c r="H12" s="387" t="str">
        <f>IFERROR(AVERAGE(C12:F12),"")</f>
        <v/>
      </c>
      <c r="I12" s="418"/>
      <c r="L12" s="1406"/>
      <c r="M12" s="1410" t="s">
        <v>251</v>
      </c>
      <c r="N12" s="1411"/>
    </row>
    <row r="13" spans="2:14" ht="14.1" customHeight="1" thickBot="1">
      <c r="B13" s="161" t="s">
        <v>252</v>
      </c>
      <c r="C13" s="916">
        <f>C60/C59-1</f>
        <v>0.21884108258154056</v>
      </c>
      <c r="D13" s="561">
        <f>D60/D59-1</f>
        <v>0.12836601307189532</v>
      </c>
      <c r="E13" s="561">
        <f>E60/E59-1</f>
        <v>0.79798599111903834</v>
      </c>
      <c r="F13" s="374">
        <f t="shared" ref="F13" si="0">F60/F59-1</f>
        <v>0.12836601307189532</v>
      </c>
      <c r="G13" s="374">
        <f t="shared" ref="G13" si="1">G60/G59-1</f>
        <v>0.16120498728570265</v>
      </c>
      <c r="H13" s="388">
        <f t="shared" ref="H13:H18" si="2">IFERROR(AVERAGE(C13:G13),"")</f>
        <v>0.28695281742601442</v>
      </c>
      <c r="I13" s="419">
        <f t="shared" ref="I13:I18" si="3">SQRT((C13-H13)^2)</f>
        <v>6.8111734844473859E-2</v>
      </c>
      <c r="L13" s="1407"/>
      <c r="M13" s="1412"/>
      <c r="N13" s="1413"/>
    </row>
    <row r="14" spans="2:14" ht="14.1" customHeight="1" thickBot="1">
      <c r="B14" s="365" t="s">
        <v>253</v>
      </c>
      <c r="C14" s="914">
        <f>C60/C58-1</f>
        <v>0.87554060547813561</v>
      </c>
      <c r="D14" s="366">
        <f t="shared" ref="D14:F14" si="4">D60/D58-1</f>
        <v>0.4721044681576767</v>
      </c>
      <c r="E14" s="366">
        <f t="shared" si="4"/>
        <v>2.0686516996448505</v>
      </c>
      <c r="F14" s="366">
        <f t="shared" si="4"/>
        <v>0.4721044681576767</v>
      </c>
      <c r="G14" s="366">
        <f t="shared" ref="G14" si="5">G60/G58-1</f>
        <v>0.14280812932652531</v>
      </c>
      <c r="H14" s="388">
        <f t="shared" si="2"/>
        <v>0.80624187415297288</v>
      </c>
      <c r="I14" s="420">
        <f t="shared" si="3"/>
        <v>6.9298731325162732E-2</v>
      </c>
      <c r="L14" s="1408"/>
      <c r="M14" s="1410" t="s">
        <v>254</v>
      </c>
      <c r="N14" s="1411"/>
    </row>
    <row r="15" spans="2:14" ht="14.1" customHeight="1" thickBot="1">
      <c r="B15" s="375" t="s">
        <v>135</v>
      </c>
      <c r="C15" s="861">
        <f>C63/C60</f>
        <v>0.16645315569220259</v>
      </c>
      <c r="D15" s="577">
        <f t="shared" ref="D15:G15" si="6">D63/D60</f>
        <v>9.7064080497815439E-2</v>
      </c>
      <c r="E15" s="577">
        <f t="shared" si="6"/>
        <v>9.1874799789197395E-2</v>
      </c>
      <c r="F15" s="577">
        <f t="shared" si="6"/>
        <v>9.7064080497815439E-2</v>
      </c>
      <c r="G15" s="577">
        <f t="shared" si="6"/>
        <v>3.8463576158940395E-2</v>
      </c>
      <c r="H15" s="388">
        <f t="shared" si="2"/>
        <v>9.8183938527194259E-2</v>
      </c>
      <c r="I15" s="421">
        <f t="shared" si="3"/>
        <v>6.8269217165008333E-2</v>
      </c>
      <c r="L15" s="1409"/>
      <c r="M15" s="1414"/>
      <c r="N15" s="1415"/>
    </row>
    <row r="16" spans="2:14" ht="15.75" thickBot="1">
      <c r="B16" s="365" t="s">
        <v>255</v>
      </c>
      <c r="C16" s="915">
        <f>C66/C60</f>
        <v>0.13098186580123553</v>
      </c>
      <c r="D16" s="367">
        <f>D66/D60</f>
        <v>6.7555938037865748E-2</v>
      </c>
      <c r="E16" s="368">
        <f>E66/E60</f>
        <v>0.15499157822946483</v>
      </c>
      <c r="F16" s="366">
        <f>F66/F60</f>
        <v>6.7555938037865748E-2</v>
      </c>
      <c r="G16" s="366">
        <f>G66/G60</f>
        <v>4.196026490066225E-2</v>
      </c>
      <c r="H16" s="388">
        <f t="shared" si="2"/>
        <v>9.2609117001418814E-2</v>
      </c>
      <c r="I16" s="420">
        <f t="shared" si="3"/>
        <v>3.8372748799816711E-2</v>
      </c>
    </row>
    <row r="17" spans="1:11" ht="15.75" thickBot="1">
      <c r="B17" s="375" t="s">
        <v>256</v>
      </c>
      <c r="C17" s="914">
        <f>C66/C79</f>
        <v>0.28977201158836124</v>
      </c>
      <c r="D17" s="577">
        <f>D66/D79</f>
        <v>0.3251812315781088</v>
      </c>
      <c r="E17" s="376">
        <f>E66/E79</f>
        <v>0.23947057508701344</v>
      </c>
      <c r="F17" s="376">
        <f>F66/F79</f>
        <v>0.17121046892039257</v>
      </c>
      <c r="G17" s="376">
        <f t="shared" ref="G17" si="7">G66/G79</f>
        <v>7.2364012913443382E-2</v>
      </c>
      <c r="H17" s="388">
        <f t="shared" si="2"/>
        <v>0.21959966001746384</v>
      </c>
      <c r="I17" s="421">
        <f t="shared" si="3"/>
        <v>7.0172351570897407E-2</v>
      </c>
    </row>
    <row r="18" spans="1:11" ht="15.75" thickBot="1">
      <c r="B18" s="364" t="s">
        <v>257</v>
      </c>
      <c r="C18" s="921">
        <f>(C66+C65)/(C78+C79)</f>
        <v>0.11568601407889494</v>
      </c>
      <c r="D18" s="367">
        <f t="shared" ref="D18:G18" si="8">(D66+D65)/(D78+D79)</f>
        <v>0.29231911864826393</v>
      </c>
      <c r="E18" s="368">
        <f t="shared" si="8"/>
        <v>0.14732405988447483</v>
      </c>
      <c r="F18" s="368">
        <f t="shared" si="8"/>
        <v>0.11085574963028098</v>
      </c>
      <c r="G18" s="368">
        <f t="shared" si="8"/>
        <v>2.7912759576325878E-2</v>
      </c>
      <c r="H18" s="388">
        <f t="shared" si="2"/>
        <v>0.13881954036364813</v>
      </c>
      <c r="I18" s="422">
        <f t="shared" si="3"/>
        <v>2.3133526284753195E-2</v>
      </c>
    </row>
    <row r="19" spans="1:11" ht="15" thickBot="1">
      <c r="B19" s="162" t="s">
        <v>258</v>
      </c>
      <c r="C19" s="165"/>
      <c r="D19" s="165"/>
      <c r="E19" s="165"/>
      <c r="F19" s="165"/>
      <c r="G19" s="165"/>
      <c r="H19" s="389" t="str">
        <f>IFERROR(AVERAGE(C19:F19),"")</f>
        <v/>
      </c>
      <c r="I19" s="418"/>
    </row>
    <row r="20" spans="1:11" ht="13.5" thickBot="1">
      <c r="B20" s="164" t="s">
        <v>79</v>
      </c>
      <c r="C20" s="377">
        <f>C78/C74</f>
        <v>0.3487739754550131</v>
      </c>
      <c r="D20" s="377">
        <f>D78/D74</f>
        <v>0.10181078561541286</v>
      </c>
      <c r="E20" s="377">
        <f t="shared" ref="E20:F20" si="9">E78/E74</f>
        <v>4.9053630719015549E-2</v>
      </c>
      <c r="F20" s="377">
        <f t="shared" si="9"/>
        <v>0.33332909185763909</v>
      </c>
      <c r="G20" s="377">
        <f t="shared" ref="G20" si="10">G78/G74</f>
        <v>0.5390881657772294</v>
      </c>
      <c r="H20" s="390">
        <f t="shared" ref="H20:H25" si="11">IFERROR(AVERAGE(C20:G20),"")</f>
        <v>0.27441112988486199</v>
      </c>
      <c r="I20" s="423">
        <f t="shared" ref="I20:I25" si="12">SQRT((C20-H20)^2)</f>
        <v>7.4362845570151104E-2</v>
      </c>
    </row>
    <row r="21" spans="1:11" ht="13.5" thickBot="1">
      <c r="B21" s="695" t="s">
        <v>259</v>
      </c>
      <c r="C21" s="694">
        <f>(C78-C69)/C62</f>
        <v>1.0421066623344017</v>
      </c>
      <c r="D21" s="694">
        <f>(D78-D69)/D62</f>
        <v>0.69337732736271507</v>
      </c>
      <c r="E21" s="694">
        <f>(E78-E69)/E62</f>
        <v>-0.54012391208142796</v>
      </c>
      <c r="F21" s="694">
        <f>(F78-F69)/F62</f>
        <v>2.4067242281527994</v>
      </c>
      <c r="G21" s="694">
        <f>(G78-G69)/G62</f>
        <v>7.9151254117050929</v>
      </c>
      <c r="H21" s="390">
        <f t="shared" si="11"/>
        <v>2.303441943494716</v>
      </c>
      <c r="I21" s="424">
        <f t="shared" si="12"/>
        <v>1.2613352811603142</v>
      </c>
    </row>
    <row r="22" spans="1:11" ht="13.5" hidden="1" thickBot="1">
      <c r="B22" s="164" t="s">
        <v>260</v>
      </c>
      <c r="C22" s="377">
        <f>(C78-C77)/C74</f>
        <v>0.3443157043823335</v>
      </c>
      <c r="D22" s="377">
        <f>(D78-D77)/D74</f>
        <v>0.10181078561541286</v>
      </c>
      <c r="E22" s="377">
        <f t="shared" ref="E22:F22" si="13">(E78-E77)/E74</f>
        <v>4.9053630719015549E-2</v>
      </c>
      <c r="F22" s="377">
        <f t="shared" si="13"/>
        <v>0.33332909185763909</v>
      </c>
      <c r="G22" s="377">
        <f t="shared" ref="G22" si="14">(G78-G77)/G74</f>
        <v>0.5390881657772294</v>
      </c>
      <c r="H22" s="390">
        <f t="shared" si="11"/>
        <v>0.27351947567032608</v>
      </c>
      <c r="I22" s="424">
        <f t="shared" si="12"/>
        <v>7.0796228712007414E-2</v>
      </c>
    </row>
    <row r="23" spans="1:11" ht="13.5" hidden="1" thickBot="1">
      <c r="B23" s="695" t="s">
        <v>261</v>
      </c>
      <c r="C23" s="372">
        <f t="shared" ref="C23:G23" si="15">((C78-C77)-C69)/C62</f>
        <v>1.0152269269964111</v>
      </c>
      <c r="D23" s="372">
        <f t="shared" si="15"/>
        <v>0.69337732736271507</v>
      </c>
      <c r="E23" s="372">
        <f>((E78-E77)-E69)/E64</f>
        <v>-8.0472527472527471</v>
      </c>
      <c r="F23" s="372">
        <f t="shared" si="15"/>
        <v>2.4067242281527994</v>
      </c>
      <c r="G23" s="372">
        <f t="shared" si="15"/>
        <v>7.9151254117050929</v>
      </c>
      <c r="H23" s="390">
        <f t="shared" si="11"/>
        <v>0.79664022939285428</v>
      </c>
      <c r="I23" s="424">
        <f t="shared" si="12"/>
        <v>0.21858669760355687</v>
      </c>
    </row>
    <row r="24" spans="1:11" ht="13.5" hidden="1" thickBot="1">
      <c r="B24" s="164" t="s">
        <v>262</v>
      </c>
      <c r="C24" s="658">
        <f>C77/C78</f>
        <v>1.2782694198623401E-2</v>
      </c>
      <c r="D24" s="658">
        <f>D77/D78</f>
        <v>0</v>
      </c>
      <c r="E24" s="658">
        <f>E77/E78</f>
        <v>0</v>
      </c>
      <c r="F24" s="658">
        <f>F77/F78</f>
        <v>0</v>
      </c>
      <c r="G24" s="658">
        <f t="shared" ref="G24" si="16">G77/G78</f>
        <v>0</v>
      </c>
      <c r="H24" s="390">
        <f t="shared" si="11"/>
        <v>2.5565388397246801E-3</v>
      </c>
      <c r="I24" s="433">
        <f t="shared" si="12"/>
        <v>1.022615535889872E-2</v>
      </c>
      <c r="K24" s="325"/>
    </row>
    <row r="25" spans="1:11" ht="13.5" thickBot="1">
      <c r="B25" s="695" t="s">
        <v>263</v>
      </c>
      <c r="C25" s="762">
        <f>-C62/C64</f>
        <v>52.487596899224805</v>
      </c>
      <c r="D25" s="372">
        <f>-D62/D64</f>
        <v>-23.971751412429377</v>
      </c>
      <c r="E25" s="372">
        <f>-E62/E64</f>
        <v>-14.898901098901099</v>
      </c>
      <c r="F25" s="372">
        <f>-F62/F64</f>
        <v>-35.719626168224302</v>
      </c>
      <c r="G25" s="372">
        <f t="shared" ref="G25" si="17">-G62/G64</f>
        <v>-82.229166666666671</v>
      </c>
      <c r="H25" s="390">
        <f t="shared" si="11"/>
        <v>-20.866369689399328</v>
      </c>
      <c r="I25" s="425">
        <f t="shared" si="12"/>
        <v>73.353966588624132</v>
      </c>
    </row>
    <row r="26" spans="1:11" ht="15" thickBot="1">
      <c r="B26" s="162" t="s">
        <v>264</v>
      </c>
      <c r="C26" s="165"/>
      <c r="D26" s="165"/>
      <c r="E26" s="165"/>
      <c r="F26" s="165"/>
      <c r="G26" s="165"/>
      <c r="H26" s="391"/>
      <c r="I26" s="418"/>
    </row>
    <row r="27" spans="1:11" ht="13.5" thickBot="1">
      <c r="B27" s="370" t="s">
        <v>265</v>
      </c>
      <c r="C27" s="862">
        <f>C72/C76</f>
        <v>0.90777949510561562</v>
      </c>
      <c r="D27" s="371">
        <f t="shared" ref="D27:F27" si="18">D72/D76</f>
        <v>0.97492496248124061</v>
      </c>
      <c r="E27" s="371">
        <f t="shared" si="18"/>
        <v>1.7258939752330598</v>
      </c>
      <c r="F27" s="371">
        <f t="shared" si="18"/>
        <v>1.6458440887971089</v>
      </c>
      <c r="G27" s="371">
        <f t="shared" ref="G27" si="19">G72/G76</f>
        <v>1.1077948050136037</v>
      </c>
      <c r="H27" s="392">
        <f>IFERROR(AVERAGE(C27:G27),"")</f>
        <v>1.2724474653261257</v>
      </c>
      <c r="I27" s="426">
        <f>SQRT((C27-H27)^2)</f>
        <v>0.36466797022051012</v>
      </c>
    </row>
    <row r="28" spans="1:11" ht="13.5" thickBot="1">
      <c r="B28" s="378" t="s">
        <v>266</v>
      </c>
      <c r="C28" s="863">
        <f>(C69+C70)/C76</f>
        <v>0.96651210716125713</v>
      </c>
      <c r="D28" s="379">
        <f t="shared" ref="D28:F28" si="20">(D69+D70)/D76</f>
        <v>0.1612056028014007</v>
      </c>
      <c r="E28" s="379">
        <f t="shared" si="20"/>
        <v>0.55868234311952136</v>
      </c>
      <c r="F28" s="379">
        <f t="shared" si="20"/>
        <v>0.53957348794726179</v>
      </c>
      <c r="G28" s="379">
        <f t="shared" ref="G28" si="21">(G69+G70)/G76</f>
        <v>0.76405134525498219</v>
      </c>
      <c r="H28" s="392">
        <f>IFERROR(AVERAGE(C28:G28),"")</f>
        <v>0.59800497725688462</v>
      </c>
      <c r="I28" s="427">
        <f>SQRT((C28-H28)^2)</f>
        <v>0.36850712990437251</v>
      </c>
    </row>
    <row r="29" spans="1:11" ht="15" thickBot="1">
      <c r="B29" s="162" t="s">
        <v>267</v>
      </c>
      <c r="C29" s="165"/>
      <c r="D29" s="165"/>
      <c r="E29" s="165"/>
      <c r="F29" s="165"/>
      <c r="G29" s="165"/>
      <c r="H29" s="391" t="str">
        <f>IFERROR(AVERAGE(C29:F29),"")</f>
        <v/>
      </c>
      <c r="I29" s="418"/>
    </row>
    <row r="30" spans="1:11" ht="13.5" thickBot="1">
      <c r="B30" s="365" t="s">
        <v>268</v>
      </c>
      <c r="C30" s="863">
        <f>C61/C71</f>
        <v>10.43616608459449</v>
      </c>
      <c r="D30" s="369">
        <f t="shared" ref="D30:G30" si="22">D61/D71</f>
        <v>8.3865561044460133</v>
      </c>
      <c r="E30" s="369">
        <f t="shared" si="22"/>
        <v>5.806032584764421</v>
      </c>
      <c r="F30" s="369">
        <f t="shared" si="22"/>
        <v>4.7050381074928236</v>
      </c>
      <c r="G30" s="369">
        <f t="shared" si="22"/>
        <v>8.2396025027603983</v>
      </c>
      <c r="H30" s="392">
        <f>IFERROR(AVERAGE(C30:G30),"")</f>
        <v>7.5146790768116292</v>
      </c>
      <c r="I30" s="427">
        <f>SQRT((C30-H30)^2)</f>
        <v>2.9214870077828605</v>
      </c>
    </row>
    <row r="31" spans="1:11" ht="13.5" thickBot="1">
      <c r="B31" s="375" t="s">
        <v>269</v>
      </c>
      <c r="C31" s="379">
        <f>C60/C70</f>
        <v>15.981346678798909</v>
      </c>
      <c r="D31" s="379">
        <f t="shared" ref="D31:G31" si="23">D60/D70</f>
        <v>31.53653444676409</v>
      </c>
      <c r="E31" s="379">
        <f t="shared" si="23"/>
        <v>27.5863740022805</v>
      </c>
      <c r="F31" s="379">
        <f t="shared" si="23"/>
        <v>10.439530062197651</v>
      </c>
      <c r="G31" s="379">
        <f t="shared" si="23"/>
        <v>1.0172460253300997</v>
      </c>
      <c r="H31" s="392">
        <f>IFERROR(AVERAGE(C31:G31),"")</f>
        <v>17.31220624307425</v>
      </c>
      <c r="I31" s="427">
        <f>SQRT((C31-H31)^2)</f>
        <v>1.3308595642753414</v>
      </c>
    </row>
    <row r="32" spans="1:11" ht="13.5" thickBot="1">
      <c r="A32" s="10" t="s">
        <v>270</v>
      </c>
      <c r="B32" s="365" t="s">
        <v>271</v>
      </c>
      <c r="C32" s="863">
        <f t="shared" ref="C32:G32" si="24">C61/C75</f>
        <v>16.152552552552553</v>
      </c>
      <c r="D32" s="369">
        <f t="shared" si="24"/>
        <v>7.6805622879301989</v>
      </c>
      <c r="E32" s="369">
        <f t="shared" si="24"/>
        <v>5.4821564687131872</v>
      </c>
      <c r="F32" s="369">
        <f t="shared" si="24"/>
        <v>8.5142396560988711</v>
      </c>
      <c r="G32" s="369">
        <f t="shared" si="24"/>
        <v>5.0937428896473262</v>
      </c>
      <c r="H32" s="392">
        <f>IFERROR(AVERAGE(C32:G32),"")</f>
        <v>8.5846507709884268</v>
      </c>
      <c r="I32" s="427">
        <f>SQRT((C32-H32)^2)</f>
        <v>7.5679017815641263</v>
      </c>
    </row>
    <row r="33" spans="2:9" ht="13.5" thickBot="1">
      <c r="B33" s="375" t="s">
        <v>272</v>
      </c>
      <c r="C33" s="863">
        <f>C60/C73</f>
        <v>9.1153726385717242</v>
      </c>
      <c r="D33" s="379">
        <f>D60/D74</f>
        <v>1.7069408740359897</v>
      </c>
      <c r="E33" s="379">
        <f>E59/E72</f>
        <v>1.0847911963882619</v>
      </c>
      <c r="F33" s="379">
        <f>F60/F73</f>
        <v>4.3769648678015214</v>
      </c>
      <c r="G33" s="379">
        <f>G60/G73</f>
        <v>4.1882396449704142</v>
      </c>
      <c r="H33" s="392">
        <f>IFERROR(AVERAGE(C33:G33),"")</f>
        <v>4.0944618443535816</v>
      </c>
      <c r="I33" s="427">
        <f>SQRT((C33-H33)^2)</f>
        <v>5.0209107942181426</v>
      </c>
    </row>
    <row r="34" spans="2:9" ht="13.5" thickBot="1">
      <c r="B34" s="364" t="s">
        <v>273</v>
      </c>
      <c r="C34" s="380">
        <f t="shared" ref="C34:G34" si="25">C60/C74</f>
        <v>0.86047081302207085</v>
      </c>
      <c r="D34" s="380">
        <f t="shared" si="25"/>
        <v>1.7069408740359897</v>
      </c>
      <c r="E34" s="380">
        <f t="shared" si="25"/>
        <v>0.90766099532911892</v>
      </c>
      <c r="F34" s="380">
        <f t="shared" si="25"/>
        <v>0.76886078204328845</v>
      </c>
      <c r="G34" s="380">
        <f t="shared" si="25"/>
        <v>0.4208722926669739</v>
      </c>
      <c r="H34" s="392">
        <f>IFERROR(AVERAGE(C34:G34),"")</f>
        <v>0.93296115141948843</v>
      </c>
      <c r="I34" s="427">
        <f>SQRT((C34-H34)^2)</f>
        <v>7.2490338397417586E-2</v>
      </c>
    </row>
    <row r="35" spans="2:9" ht="15" thickBot="1">
      <c r="B35" s="163" t="s">
        <v>120</v>
      </c>
      <c r="C35" s="165"/>
      <c r="D35" s="165"/>
      <c r="E35" s="165"/>
      <c r="F35" s="165"/>
      <c r="G35" s="165"/>
      <c r="H35" s="393" t="str">
        <f>IFERROR(AVERAGE(C35:F35),"")</f>
        <v/>
      </c>
      <c r="I35" s="418"/>
    </row>
    <row r="36" spans="2:9" ht="15.75" thickBot="1">
      <c r="B36" s="161" t="s">
        <v>274</v>
      </c>
      <c r="C36" s="918">
        <f ca="1">C10/C66</f>
        <v>12.90152838426429</v>
      </c>
      <c r="D36" s="384">
        <f ca="1">D10/D66</f>
        <v>2.895150509946105</v>
      </c>
      <c r="E36" s="384">
        <f ca="1">E10/E66</f>
        <v>36.655141698113212</v>
      </c>
      <c r="F36" s="384">
        <f ca="1">F10/F66</f>
        <v>10.470387276648703</v>
      </c>
      <c r="G36" s="384">
        <f ca="1">G10/G66</f>
        <v>6.2407590434175084</v>
      </c>
      <c r="H36" s="392">
        <f ca="1">IFERROR(AVERAGE(C36:G36),"")</f>
        <v>13.832593382477963</v>
      </c>
      <c r="I36" s="428">
        <f ca="1">SQRT((C36-H36)^2)</f>
        <v>0.93106499821367272</v>
      </c>
    </row>
    <row r="37" spans="2:9" ht="15.75" thickBot="1">
      <c r="B37" s="365" t="s">
        <v>270</v>
      </c>
      <c r="C37" s="919">
        <f t="shared" ref="C37" ca="1" si="26">C10/C60</f>
        <v>1.6898662594585361</v>
      </c>
      <c r="D37" s="373">
        <f ca="1">D10/D60</f>
        <v>0.19558460846021447</v>
      </c>
      <c r="E37" s="373">
        <f ca="1">E10/E60</f>
        <v>5.6812382620152322</v>
      </c>
      <c r="F37" s="373">
        <f ca="1">F10/F60</f>
        <v>0.70733683409373771</v>
      </c>
      <c r="G37" s="373">
        <f ca="1">G10/G60</f>
        <v>0.26186390264300219</v>
      </c>
      <c r="H37" s="392">
        <f ca="1">IFERROR(AVERAGE(C37:G37),"")</f>
        <v>1.7071779733341443</v>
      </c>
      <c r="I37" s="429">
        <f ca="1">SQRT((C37-H37)^2)</f>
        <v>1.7311713875608259E-2</v>
      </c>
    </row>
    <row r="38" spans="2:9" ht="15.75" thickBot="1">
      <c r="B38" s="375" t="s">
        <v>275</v>
      </c>
      <c r="C38" s="919">
        <f t="shared" ref="C38" ca="1" si="27">C10/C79</f>
        <v>3.7385018324726036</v>
      </c>
      <c r="D38" s="385">
        <f ca="1">D10/D79</f>
        <v>0.94144860842826417</v>
      </c>
      <c r="E38" s="385">
        <f ca="1">E10/E79</f>
        <v>8.7778278623431376</v>
      </c>
      <c r="F38" s="385">
        <f ca="1">F10/F79</f>
        <v>1.7926399154131367</v>
      </c>
      <c r="G38" s="385">
        <f ca="1">G10/G79</f>
        <v>0.45160636800755311</v>
      </c>
      <c r="H38" s="392">
        <f ca="1">IFERROR(AVERAGE(C38:G38),"")</f>
        <v>3.1404049173329391</v>
      </c>
      <c r="I38" s="430">
        <f ca="1">SQRT((C38-H38)^2)</f>
        <v>0.59809691513966445</v>
      </c>
    </row>
    <row r="39" spans="2:9" ht="15.75" thickBot="1">
      <c r="B39" s="365" t="s">
        <v>276</v>
      </c>
      <c r="C39" s="919">
        <f t="shared" ref="C39" ca="1" si="28">(C78+C10-C69)/C60</f>
        <v>1.8907373842343498</v>
      </c>
      <c r="D39" s="373">
        <f ca="1">(D78+D10-D69)/D60</f>
        <v>0.24427387100489872</v>
      </c>
      <c r="E39" s="373">
        <f ca="1">(E78+E10-E69)/E60</f>
        <v>5.605566328728055</v>
      </c>
      <c r="F39" s="373">
        <f ca="1">(F78+F10-F69)/F60</f>
        <v>1.0118019472937905</v>
      </c>
      <c r="G39" s="373">
        <f ca="1">(G78+G10-G69)/G60</f>
        <v>1.3652987812301987</v>
      </c>
      <c r="H39" s="392">
        <f ca="1">IFERROR(AVERAGE(C39:G39),"")</f>
        <v>2.0235356624982583</v>
      </c>
      <c r="I39" s="429">
        <f ca="1">SQRT((C39-H39)^2)</f>
        <v>0.13279827826390855</v>
      </c>
    </row>
    <row r="40" spans="2:9" ht="15.75" thickBot="1">
      <c r="B40" s="375" t="s">
        <v>277</v>
      </c>
      <c r="C40" s="920">
        <f t="shared" ref="C40" ca="1" si="29">(C78+C10-C69-C77)/C62</f>
        <v>9.782145962279758</v>
      </c>
      <c r="D40" s="383">
        <f ca="1">(D78+D10-D69-D77)/D62</f>
        <v>3.4786717844921045</v>
      </c>
      <c r="E40" s="383">
        <f ca="1">(E78+E10-E69-E77)/E62</f>
        <v>40.010876997344745</v>
      </c>
      <c r="F40" s="383">
        <f ca="1">(F78+F10-F69-F77)/F62</f>
        <v>7.9980534881318679</v>
      </c>
      <c r="G40" s="383">
        <f ca="1">(G78+G10-G69-G77)/G62</f>
        <v>9.7935195702001518</v>
      </c>
      <c r="H40" s="392">
        <f ca="1">IFERROR(AVERAGE(C40:G40),"")</f>
        <v>14.212653560489724</v>
      </c>
      <c r="I40" s="431">
        <f ca="1">SQRT((C40-H40)^2)</f>
        <v>4.4305075982099655</v>
      </c>
    </row>
    <row r="41" spans="2:9" ht="15" thickBot="1">
      <c r="B41" s="163" t="s">
        <v>278</v>
      </c>
      <c r="C41" s="165"/>
      <c r="D41" s="165"/>
      <c r="E41" s="165"/>
      <c r="F41" s="165"/>
      <c r="G41" s="165"/>
      <c r="H41" s="394" t="str">
        <f>IFERROR(AVERAGE(C41:F41),"")</f>
        <v/>
      </c>
      <c r="I41" s="418"/>
    </row>
    <row r="42" spans="2:9" s="91" customFormat="1" ht="13.5" thickBot="1">
      <c r="B42" s="164" t="s">
        <v>56</v>
      </c>
      <c r="C42" s="727">
        <f>OP!M19</f>
        <v>0.98140000000000005</v>
      </c>
      <c r="D42" s="789">
        <f>1.73/2.03</f>
        <v>0.85221674876847298</v>
      </c>
      <c r="E42" s="788">
        <f>2.77/3.18</f>
        <v>0.87106918238993702</v>
      </c>
      <c r="F42" s="788">
        <f>864.32/1070</f>
        <v>0.80777570093457951</v>
      </c>
      <c r="G42" s="788">
        <f>187.53/295.72</f>
        <v>0.63414716623833356</v>
      </c>
      <c r="H42" s="388">
        <f>IFERROR(AVERAGE(C42:G42),"")</f>
        <v>0.82932175966626465</v>
      </c>
      <c r="I42" s="563">
        <f>SQRT((C42-H42)^2)</f>
        <v>0.1520782403337354</v>
      </c>
    </row>
    <row r="43" spans="2:9" ht="13.5" thickBot="1">
      <c r="B43" s="877" t="s">
        <v>279</v>
      </c>
      <c r="C43" s="790">
        <f ca="1">OP!M21</f>
        <v>0.94179999999999997</v>
      </c>
      <c r="D43" s="790" cm="1">
        <f t="array" aca="1" ref="D43" ca="1">_FV(D8,"Beta")</f>
        <v>1.24</v>
      </c>
      <c r="E43" s="790" cm="1">
        <f t="array" aca="1" ref="E43" ca="1">_FV(E8,"Beta")</f>
        <v>2.3988</v>
      </c>
      <c r="F43" s="790">
        <v>1.17</v>
      </c>
      <c r="G43" s="790" cm="1">
        <f t="array" aca="1" ref="G43" ca="1">_FV(G8,"Beta")</f>
        <v>1.9100999999999999</v>
      </c>
      <c r="H43" s="388">
        <f ca="1">IFERROR(AVERAGE(C43:G43),"")</f>
        <v>1.5321400000000001</v>
      </c>
      <c r="I43" s="432">
        <f ca="1">SQRT((C43-H43)^2)</f>
        <v>0.59034000000000009</v>
      </c>
    </row>
    <row r="44" spans="2:9" ht="13.5" thickBot="1">
      <c r="B44" s="164" t="s">
        <v>280</v>
      </c>
      <c r="C44" s="726">
        <f ca="1">OP!M31</f>
        <v>2.7360578036950058E-2</v>
      </c>
      <c r="D44" s="787">
        <v>0</v>
      </c>
      <c r="E44" s="788">
        <v>0</v>
      </c>
      <c r="F44" s="788">
        <v>4.0800000000000003E-2</v>
      </c>
      <c r="G44" s="789">
        <v>3.9899999999999998E-2</v>
      </c>
      <c r="H44" s="388">
        <f ca="1">IFERROR(AVERAGE(C44:G44),"")</f>
        <v>2.1612115607390008E-2</v>
      </c>
      <c r="I44" s="729">
        <f ca="1">SQRT((C44-H44)^2)</f>
        <v>5.74846242956005E-3</v>
      </c>
    </row>
    <row r="45" spans="2:9" ht="15" thickBot="1">
      <c r="B45" s="163" t="s">
        <v>281</v>
      </c>
      <c r="C45" s="535"/>
      <c r="D45" s="535"/>
      <c r="E45" s="165"/>
      <c r="F45" s="165"/>
      <c r="G45" s="165"/>
      <c r="H45" s="395"/>
      <c r="I45" s="418"/>
    </row>
    <row r="46" spans="2:9" s="91" customFormat="1" ht="13.5" thickBot="1">
      <c r="B46" s="164" t="s">
        <v>282</v>
      </c>
      <c r="C46" s="875">
        <v>0.63680000000000003</v>
      </c>
      <c r="D46" s="547">
        <v>0.34620000000000001</v>
      </c>
      <c r="E46" s="547">
        <v>-5.2600000000000001E-2</v>
      </c>
      <c r="F46" s="547">
        <v>0.51160000000000005</v>
      </c>
      <c r="G46" s="547">
        <v>0.3548</v>
      </c>
      <c r="H46" s="388">
        <f>IFERROR(AVERAGE(C46:G46),"")</f>
        <v>0.35936000000000001</v>
      </c>
      <c r="I46" s="537">
        <f>SQRT((C46-H46)^2)</f>
        <v>0.27744000000000002</v>
      </c>
    </row>
    <row r="47" spans="2:9" s="91" customFormat="1" ht="13.5" thickBot="1">
      <c r="B47" s="696" t="s">
        <v>283</v>
      </c>
      <c r="C47" s="876">
        <v>0.89949999999999997</v>
      </c>
      <c r="D47" s="697">
        <v>0.3407</v>
      </c>
      <c r="E47" s="697">
        <v>-0.24199999999999999</v>
      </c>
      <c r="F47" s="697">
        <v>0.48399999999999999</v>
      </c>
      <c r="G47" s="697">
        <v>0.3866</v>
      </c>
      <c r="H47" s="388">
        <f>IFERROR(AVERAGE(C47:G47),"")</f>
        <v>0.37375999999999998</v>
      </c>
      <c r="I47" s="537">
        <f>SQRT((C47-H47)^2)</f>
        <v>0.52573999999999999</v>
      </c>
    </row>
    <row r="48" spans="2:9" s="91" customFormat="1" ht="13.5" thickBot="1">
      <c r="B48" s="536" t="s">
        <v>284</v>
      </c>
      <c r="C48" s="714">
        <f>OP!C19</f>
        <v>105.92</v>
      </c>
      <c r="D48" s="714">
        <v>26.89</v>
      </c>
      <c r="E48" s="714" cm="1">
        <f t="array" aca="1" ref="E48" ca="1">_FV(E8,"Price")</f>
        <v>172.63</v>
      </c>
      <c r="F48" s="714" cm="1">
        <f t="array" aca="1" ref="F48" ca="1">_FV(F8,"Price")*1.103594</f>
        <v>51.449552279999999</v>
      </c>
      <c r="G48" s="714" cm="1">
        <f t="array" aca="1" ref="G48" ca="1">_FV(G8,"Price")*1.103594</f>
        <v>50.31285046</v>
      </c>
      <c r="H48" s="642" t="s">
        <v>285</v>
      </c>
      <c r="I48" s="643" t="s">
        <v>285</v>
      </c>
    </row>
    <row r="49" spans="2:15" s="91" customFormat="1" ht="13.5" thickBot="1">
      <c r="B49" s="696" t="s">
        <v>286</v>
      </c>
      <c r="C49" s="730">
        <v>116.5</v>
      </c>
      <c r="D49" s="731">
        <v>27.51</v>
      </c>
      <c r="E49" s="730">
        <v>196.72</v>
      </c>
      <c r="F49" s="730">
        <v>54.22</v>
      </c>
      <c r="G49" s="730">
        <v>47.92</v>
      </c>
      <c r="H49" s="642" t="s">
        <v>285</v>
      </c>
      <c r="I49" s="643" t="s">
        <v>285</v>
      </c>
    </row>
    <row r="50" spans="2:15" ht="13.5" thickBot="1">
      <c r="B50" s="381" t="s">
        <v>287</v>
      </c>
      <c r="C50" s="382">
        <f>C49/C48-1</f>
        <v>9.9886706948640436E-2</v>
      </c>
      <c r="D50" s="382">
        <f>D49/D48-1</f>
        <v>2.3056898475269705E-2</v>
      </c>
      <c r="E50" s="382">
        <f ca="1">E49/E48-1</f>
        <v>0.13954700805190301</v>
      </c>
      <c r="F50" s="382">
        <f ca="1">F49/F48-1</f>
        <v>5.3847848955470123E-2</v>
      </c>
      <c r="G50" s="382">
        <f t="shared" ref="G50" ca="1" si="30">G49/G48-1</f>
        <v>-4.7559429412618481E-2</v>
      </c>
      <c r="H50" s="396">
        <f ca="1">IFERROR(AVERAGE(C50:G50),"")</f>
        <v>5.3755806603732956E-2</v>
      </c>
      <c r="I50" s="433">
        <f ca="1">SQRT((C50-H50)^2)</f>
        <v>4.613090034490748E-2</v>
      </c>
    </row>
    <row r="51" spans="2:15" ht="15" thickBot="1">
      <c r="B51" s="637" t="s">
        <v>288</v>
      </c>
      <c r="C51" s="637"/>
      <c r="D51" s="637"/>
      <c r="E51" s="637"/>
      <c r="F51" s="637"/>
      <c r="G51" s="637"/>
      <c r="H51" s="163" t="str">
        <f>IFERROR(AVERAGE(C51:F51),"")</f>
        <v/>
      </c>
      <c r="I51" s="413"/>
      <c r="K51" s="415"/>
    </row>
    <row r="52" spans="2:15" ht="13.5" thickBot="1">
      <c r="B52" s="536" t="s">
        <v>289</v>
      </c>
      <c r="C52" s="547">
        <f>(Inputs!B59/Inputs!E59)-1</f>
        <v>0.40265131226566697</v>
      </c>
      <c r="D52" s="740">
        <f>26.6/30.61-1</f>
        <v>-0.13100294021561576</v>
      </c>
      <c r="E52" s="547">
        <f>(13256/2405)-1</f>
        <v>4.5118503118503117</v>
      </c>
      <c r="F52" s="547">
        <f>(386/1270)-1</f>
        <v>-0.69606299212598421</v>
      </c>
      <c r="G52" s="547">
        <f>4.46/5.75-1</f>
        <v>-0.22434782608695658</v>
      </c>
      <c r="H52" s="396">
        <f>IFERROR(AVERAGE(C52:G52),"")</f>
        <v>0.77261757313748436</v>
      </c>
      <c r="I52" s="414">
        <f>SQRT((C52-H52)^2)</f>
        <v>0.36996626087181739</v>
      </c>
      <c r="K52" s="325"/>
    </row>
    <row r="53" spans="2:15" ht="13.5" thickBot="1">
      <c r="B53" s="724" t="s">
        <v>290</v>
      </c>
      <c r="C53" s="725">
        <f>C67/C60</f>
        <v>1.1700401400631992E-2</v>
      </c>
      <c r="D53" s="725">
        <f t="shared" ref="D53:G53" si="31">D67/D60</f>
        <v>3.1444459155302529E-2</v>
      </c>
      <c r="E53" s="725">
        <f t="shared" si="31"/>
        <v>4.1013505833238609E-2</v>
      </c>
      <c r="F53" s="725">
        <f t="shared" si="31"/>
        <v>3.1444459155302529E-2</v>
      </c>
      <c r="G53" s="725">
        <f t="shared" si="31"/>
        <v>2.4176600441501103E-2</v>
      </c>
      <c r="H53" s="396">
        <f>IFERROR(AVERAGE(C53:G53),"")</f>
        <v>2.795588519719535E-2</v>
      </c>
      <c r="I53" s="414">
        <f>SQRT((C53-H53)^2)</f>
        <v>1.6255483796563358E-2</v>
      </c>
      <c r="K53" s="325"/>
    </row>
    <row r="56" spans="2:15" ht="44.25" customHeight="1">
      <c r="B56" s="361" t="s">
        <v>291</v>
      </c>
      <c r="C56" s="360" t="e" vm="1">
        <f>OP!E2</f>
        <v>#VALUE!</v>
      </c>
      <c r="D56" s="292" t="e" vm="4">
        <f>D8</f>
        <v>#VALUE!</v>
      </c>
      <c r="E56" s="293" t="e" vm="5">
        <f>E8</f>
        <v>#VALUE!</v>
      </c>
      <c r="F56" s="294" t="e" vm="6">
        <f>F8</f>
        <v>#VALUE!</v>
      </c>
      <c r="G56" s="794" t="e" vm="7">
        <f t="shared" ref="G56" si="32">G8</f>
        <v>#VALUE!</v>
      </c>
    </row>
    <row r="57" spans="2:15">
      <c r="B57" s="157" t="s">
        <v>292</v>
      </c>
      <c r="C57" s="158"/>
      <c r="D57" s="158"/>
      <c r="E57" s="158"/>
      <c r="F57" s="158"/>
      <c r="G57" s="795"/>
    </row>
    <row r="58" spans="2:15">
      <c r="B58" s="155" t="str">
        <f>"Net Sales ("&amp;OP!J19-3&amp;")"</f>
        <v>Net Sales (2020)</v>
      </c>
      <c r="C58" s="712">
        <f>'Fin. Data'!E5</f>
        <v>18729</v>
      </c>
      <c r="D58" s="713">
        <v>41046</v>
      </c>
      <c r="E58" s="713">
        <v>31536</v>
      </c>
      <c r="F58" s="713">
        <v>41046</v>
      </c>
      <c r="G58" s="796">
        <v>49549</v>
      </c>
    </row>
    <row r="59" spans="2:15">
      <c r="B59" s="155" t="str">
        <f>"Net Sales ("&amp;OP!J19-1&amp;")"</f>
        <v>Net Sales (2022)</v>
      </c>
      <c r="C59" s="712">
        <f>'Fin. Data'!C5</f>
        <v>28820</v>
      </c>
      <c r="D59" s="713">
        <v>53550</v>
      </c>
      <c r="E59" s="713">
        <v>53823</v>
      </c>
      <c r="F59" s="713">
        <v>53550</v>
      </c>
      <c r="G59" s="796">
        <v>48764</v>
      </c>
    </row>
    <row r="60" spans="2:15">
      <c r="B60" s="155" t="str">
        <f>"Net Sales ("&amp;OP!J19&amp;")"</f>
        <v>Net Sales (2023)</v>
      </c>
      <c r="C60" s="712">
        <f>'Fin. Data'!B5</f>
        <v>35127</v>
      </c>
      <c r="D60" s="713">
        <v>60424</v>
      </c>
      <c r="E60" s="713">
        <v>96773</v>
      </c>
      <c r="F60" s="713">
        <v>60424</v>
      </c>
      <c r="G60" s="796">
        <v>56625</v>
      </c>
    </row>
    <row r="61" spans="2:15">
      <c r="B61" s="155" t="s">
        <v>293</v>
      </c>
      <c r="C61" s="712">
        <f>'Fin. Data'!B5-'Fin. Data'!B7</f>
        <v>26894</v>
      </c>
      <c r="D61" s="713">
        <v>47535</v>
      </c>
      <c r="E61" s="713">
        <v>79113</v>
      </c>
      <c r="F61" s="713">
        <v>47535</v>
      </c>
      <c r="G61" s="796">
        <v>44774</v>
      </c>
    </row>
    <row r="62" spans="2:15">
      <c r="B62" s="155" t="s">
        <v>63</v>
      </c>
      <c r="C62" s="712">
        <f>'Fin. Data'!B19</f>
        <v>6770.9</v>
      </c>
      <c r="D62" s="713">
        <v>4243</v>
      </c>
      <c r="E62" s="713">
        <v>13558</v>
      </c>
      <c r="F62" s="713">
        <v>7644</v>
      </c>
      <c r="G62" s="796">
        <v>7894</v>
      </c>
    </row>
    <row r="63" spans="2:15" ht="14.25">
      <c r="B63" s="155" t="s">
        <v>294</v>
      </c>
      <c r="C63" s="712">
        <f>'Fin. Data'!B11</f>
        <v>5847</v>
      </c>
      <c r="D63" s="713">
        <v>5865</v>
      </c>
      <c r="E63" s="713">
        <v>8891</v>
      </c>
      <c r="F63" s="713">
        <v>5865</v>
      </c>
      <c r="G63" s="796">
        <v>2178</v>
      </c>
      <c r="M63" s="498"/>
      <c r="N63" s="534"/>
      <c r="O63" s="10"/>
    </row>
    <row r="64" spans="2:15" ht="14.25">
      <c r="B64" s="155" t="s">
        <v>295</v>
      </c>
      <c r="C64" s="712">
        <f>'Fin. Data'!B14</f>
        <v>-129</v>
      </c>
      <c r="D64" s="713">
        <f>263-86</f>
        <v>177</v>
      </c>
      <c r="E64" s="713">
        <f>1066-156</f>
        <v>910</v>
      </c>
      <c r="F64" s="713">
        <f>415-201</f>
        <v>214</v>
      </c>
      <c r="G64" s="796">
        <f>448-352</f>
        <v>96</v>
      </c>
      <c r="L64" s="10"/>
      <c r="M64" s="728"/>
      <c r="N64" s="534"/>
      <c r="O64" s="10"/>
    </row>
    <row r="65" spans="2:16" ht="14.25">
      <c r="B65" s="155" t="s">
        <v>296</v>
      </c>
      <c r="C65" s="712">
        <f>'Fin. Data'!B21</f>
        <v>-1117</v>
      </c>
      <c r="D65" s="713">
        <v>641</v>
      </c>
      <c r="E65" s="713">
        <v>-5001</v>
      </c>
      <c r="F65" s="713">
        <v>1465</v>
      </c>
      <c r="G65" s="796">
        <v>565</v>
      </c>
      <c r="M65" s="498"/>
      <c r="N65" s="534"/>
      <c r="O65" s="10"/>
      <c r="P65" s="10"/>
    </row>
    <row r="66" spans="2:16">
      <c r="B66" s="155" t="s">
        <v>75</v>
      </c>
      <c r="C66" s="712">
        <f>'Fin. Data'!B23</f>
        <v>4601</v>
      </c>
      <c r="D66" s="713">
        <v>4082</v>
      </c>
      <c r="E66" s="713">
        <v>14999</v>
      </c>
      <c r="F66" s="713">
        <v>4082</v>
      </c>
      <c r="G66" s="796">
        <v>2376</v>
      </c>
    </row>
    <row r="67" spans="2:16">
      <c r="B67" s="155" t="s">
        <v>297</v>
      </c>
      <c r="C67" s="715">
        <v>411</v>
      </c>
      <c r="D67" s="713">
        <v>1900</v>
      </c>
      <c r="E67" s="713">
        <v>3969</v>
      </c>
      <c r="F67" s="713">
        <v>1900</v>
      </c>
      <c r="G67" s="796">
        <v>1369</v>
      </c>
    </row>
    <row r="68" spans="2:16">
      <c r="B68" s="159" t="s">
        <v>298</v>
      </c>
      <c r="C68" s="529"/>
      <c r="D68" s="533"/>
      <c r="E68" s="529"/>
      <c r="F68" s="160"/>
      <c r="G68" s="797"/>
    </row>
    <row r="69" spans="2:16">
      <c r="B69" s="155" t="s">
        <v>299</v>
      </c>
      <c r="C69" s="712">
        <f>'Fin. Data'!B39</f>
        <v>7182</v>
      </c>
      <c r="D69" s="713">
        <v>662</v>
      </c>
      <c r="E69" s="713">
        <v>12553</v>
      </c>
      <c r="F69" s="713">
        <v>7799</v>
      </c>
      <c r="G69" s="796">
        <v>10048</v>
      </c>
    </row>
    <row r="70" spans="2:16">
      <c r="B70" s="155" t="s">
        <v>300</v>
      </c>
      <c r="C70" s="712">
        <f>'Fin. Data'!B40</f>
        <v>2198</v>
      </c>
      <c r="D70" s="713">
        <v>1916</v>
      </c>
      <c r="E70" s="713">
        <v>3508</v>
      </c>
      <c r="F70" s="713">
        <v>5788</v>
      </c>
      <c r="G70" s="796">
        <v>55665</v>
      </c>
    </row>
    <row r="71" spans="2:16">
      <c r="B71" s="155" t="s">
        <v>301</v>
      </c>
      <c r="C71" s="712">
        <f>'Fin. Data'!B41</f>
        <v>2577</v>
      </c>
      <c r="D71" s="713">
        <v>5668</v>
      </c>
      <c r="E71" s="713">
        <v>13626</v>
      </c>
      <c r="F71" s="713">
        <v>10103</v>
      </c>
      <c r="G71" s="796">
        <v>5434</v>
      </c>
    </row>
    <row r="72" spans="2:16">
      <c r="B72" s="155" t="s">
        <v>302</v>
      </c>
      <c r="C72" s="712">
        <f>Inputs!C27</f>
        <v>8810</v>
      </c>
      <c r="D72" s="713">
        <v>15591</v>
      </c>
      <c r="E72" s="713">
        <v>49616</v>
      </c>
      <c r="F72" s="713">
        <v>41444</v>
      </c>
      <c r="G72" s="796">
        <v>95277</v>
      </c>
    </row>
    <row r="73" spans="2:16">
      <c r="B73" s="155" t="s">
        <v>303</v>
      </c>
      <c r="C73" s="712">
        <f>'Fin. Data'!B42</f>
        <v>3853.6000000000004</v>
      </c>
      <c r="D73" s="713">
        <v>8355</v>
      </c>
      <c r="E73" s="713">
        <v>45123</v>
      </c>
      <c r="F73" s="713">
        <v>13805</v>
      </c>
      <c r="G73" s="796">
        <v>13520</v>
      </c>
    </row>
    <row r="74" spans="2:16">
      <c r="B74" s="155" t="s">
        <v>52</v>
      </c>
      <c r="C74" s="712">
        <f>'Fin. Data'!B44</f>
        <v>40823</v>
      </c>
      <c r="D74" s="713">
        <v>35399</v>
      </c>
      <c r="E74" s="713">
        <v>106618</v>
      </c>
      <c r="F74" s="713">
        <v>78589</v>
      </c>
      <c r="G74" s="796">
        <v>134542</v>
      </c>
    </row>
    <row r="75" spans="2:16">
      <c r="B75" s="155" t="s">
        <v>304</v>
      </c>
      <c r="C75" s="712">
        <f>Inputs!C43</f>
        <v>1665</v>
      </c>
      <c r="D75" s="713">
        <v>6189</v>
      </c>
      <c r="E75" s="713">
        <v>14431</v>
      </c>
      <c r="F75" s="713">
        <v>5583</v>
      </c>
      <c r="G75" s="796">
        <v>8790</v>
      </c>
    </row>
    <row r="76" spans="2:16" ht="13.5" thickBot="1">
      <c r="B76" s="155" t="s">
        <v>305</v>
      </c>
      <c r="C76" s="712">
        <f>Inputs!C42</f>
        <v>9705</v>
      </c>
      <c r="D76" s="713">
        <v>15992</v>
      </c>
      <c r="E76" s="713">
        <v>28748</v>
      </c>
      <c r="F76" s="713">
        <v>25181</v>
      </c>
      <c r="G76" s="796">
        <v>86006</v>
      </c>
    </row>
    <row r="77" spans="2:16" hidden="1">
      <c r="B77" s="155" t="s">
        <v>306</v>
      </c>
      <c r="C77" s="712">
        <f>'Fin. Data'!B50+'Fin. Data'!B54</f>
        <v>182</v>
      </c>
      <c r="D77" s="713"/>
      <c r="E77" s="713"/>
      <c r="F77" s="713"/>
      <c r="G77" s="796"/>
    </row>
    <row r="78" spans="2:16" ht="13.5" thickBot="1">
      <c r="B78" s="155" t="s">
        <v>307</v>
      </c>
      <c r="C78" s="712">
        <f>'Fin. Data'!B58</f>
        <v>14238</v>
      </c>
      <c r="D78" s="713">
        <v>3604</v>
      </c>
      <c r="E78" s="713">
        <v>5230</v>
      </c>
      <c r="F78" s="713">
        <v>26196</v>
      </c>
      <c r="G78" s="796">
        <v>72530</v>
      </c>
    </row>
    <row r="79" spans="2:16" ht="13.5" thickBot="1">
      <c r="B79" s="156" t="s">
        <v>308</v>
      </c>
      <c r="C79" s="716">
        <f>'Fin. Data'!B64</f>
        <v>15878</v>
      </c>
      <c r="D79" s="717">
        <v>12553</v>
      </c>
      <c r="E79" s="717">
        <v>62634</v>
      </c>
      <c r="F79" s="717">
        <v>23842</v>
      </c>
      <c r="G79" s="798">
        <v>32834</v>
      </c>
    </row>
    <row r="80" spans="2:16">
      <c r="C80" s="645"/>
      <c r="D80" s="501"/>
      <c r="F80" s="501"/>
    </row>
    <row r="82" spans="3:9">
      <c r="C82" s="698"/>
    </row>
    <row r="83" spans="3:9">
      <c r="C83" s="698"/>
    </row>
    <row r="84" spans="3:9">
      <c r="C84" s="698"/>
    </row>
    <row r="85" spans="3:9">
      <c r="C85" s="698"/>
      <c r="D85" s="10"/>
    </row>
    <row r="86" spans="3:9">
      <c r="C86" s="698"/>
    </row>
    <row r="87" spans="3:9">
      <c r="C87" s="698"/>
    </row>
    <row r="88" spans="3:9">
      <c r="C88" s="698"/>
    </row>
    <row r="89" spans="3:9">
      <c r="C89" s="698"/>
      <c r="E89" t="s">
        <v>309</v>
      </c>
    </row>
    <row r="92" spans="3:9">
      <c r="C92" s="259"/>
      <c r="D92" s="259"/>
      <c r="E92" s="259"/>
      <c r="F92" s="259"/>
      <c r="G92" s="259"/>
      <c r="I92" s="259"/>
    </row>
  </sheetData>
  <mergeCells count="12">
    <mergeCell ref="D6:F6"/>
    <mergeCell ref="D4:F4"/>
    <mergeCell ref="D1:F1"/>
    <mergeCell ref="D2:F2"/>
    <mergeCell ref="D3:F3"/>
    <mergeCell ref="D5:F5"/>
    <mergeCell ref="L10:L11"/>
    <mergeCell ref="L12:L13"/>
    <mergeCell ref="L14:L15"/>
    <mergeCell ref="M10:N11"/>
    <mergeCell ref="M12:N13"/>
    <mergeCell ref="M14:N15"/>
  </mergeCells>
  <pageMargins left="0.7" right="0.7" top="0.75" bottom="0.75" header="0.3" footer="0.3"/>
  <pageSetup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74F75-56E5-4EBB-ADC2-DFE62BF08BD2}">
  <sheetPr>
    <tabColor rgb="FF00B0F0"/>
  </sheetPr>
  <dimension ref="A1:AZ327"/>
  <sheetViews>
    <sheetView showGridLines="0" topLeftCell="Z2" zoomScale="75" zoomScaleNormal="110" workbookViewId="0">
      <pane ySplit="2" topLeftCell="Z4" activePane="bottomLeft" state="frozen"/>
      <selection pane="bottomLeft" activeCell="A2" sqref="A2"/>
      <selection activeCell="A2" sqref="A2"/>
    </sheetView>
  </sheetViews>
  <sheetFormatPr defaultColWidth="8.7109375" defaultRowHeight="12.75" customHeight="1"/>
  <cols>
    <col min="1" max="1" width="12.42578125" style="678" customWidth="1"/>
    <col min="2" max="2" width="13.28515625" style="487" bestFit="1" customWidth="1"/>
    <col min="3" max="3" width="38.42578125" style="468" bestFit="1" customWidth="1"/>
    <col min="4" max="4" width="16.28515625" style="468" bestFit="1" customWidth="1"/>
    <col min="5" max="5" width="21.42578125" style="468" bestFit="1" customWidth="1"/>
    <col min="6" max="6" width="11.42578125" style="468" bestFit="1" customWidth="1"/>
    <col min="7" max="7" width="9.7109375" style="468" customWidth="1"/>
    <col min="8" max="8" width="17.140625" style="468" customWidth="1"/>
    <col min="9" max="9" width="11.28515625" style="468" customWidth="1"/>
    <col min="10" max="10" width="13.7109375" style="468" bestFit="1" customWidth="1"/>
    <col min="11" max="11" width="8.7109375" style="468"/>
    <col min="12" max="12" width="10" style="468" customWidth="1"/>
    <col min="13" max="16" width="8.7109375" style="468"/>
    <col min="17" max="17" width="10.28515625" style="468" customWidth="1"/>
    <col min="18" max="24" width="8.7109375" style="468"/>
    <col min="25" max="25" width="11.42578125" style="468" bestFit="1" customWidth="1"/>
    <col min="26" max="26" width="11.28515625" style="468" hidden="1" customWidth="1"/>
    <col min="27" max="27" width="8.28515625" style="468" hidden="1" customWidth="1"/>
    <col min="28" max="28" width="12.140625" style="468" hidden="1" customWidth="1"/>
    <col min="29" max="30" width="8.7109375" style="468"/>
    <col min="31" max="31" width="17.140625" style="468" customWidth="1"/>
    <col min="32" max="32" width="12.140625" style="468" customWidth="1"/>
    <col min="33" max="33" width="12.7109375" style="468" bestFit="1" customWidth="1"/>
    <col min="34" max="34" width="24.42578125" style="468" bestFit="1" customWidth="1"/>
    <col min="35" max="35" width="26" style="468" customWidth="1"/>
    <col min="36" max="38" width="15" style="468" customWidth="1"/>
    <col min="39" max="40" width="20.28515625" style="468" customWidth="1"/>
    <col min="41" max="44" width="8.7109375" style="468"/>
    <col min="45" max="45" width="17" style="468" bestFit="1" customWidth="1"/>
    <col min="46" max="47" width="17.140625" style="468" bestFit="1" customWidth="1"/>
    <col min="48" max="48" width="17" style="468" bestFit="1" customWidth="1"/>
    <col min="49" max="49" width="17.140625" style="468" bestFit="1" customWidth="1"/>
    <col min="50" max="50" width="18.140625" style="468" bestFit="1" customWidth="1"/>
    <col min="51" max="51" width="12.7109375" style="468" bestFit="1" customWidth="1"/>
    <col min="52" max="52" width="13.140625" style="468" bestFit="1" customWidth="1"/>
    <col min="53" max="16384" width="8.7109375" style="468"/>
  </cols>
  <sheetData>
    <row r="1" spans="1:52" ht="18.75">
      <c r="A1" s="468"/>
      <c r="B1" s="475"/>
      <c r="C1" s="687" t="s">
        <v>310</v>
      </c>
      <c r="D1" s="289"/>
      <c r="E1" s="289"/>
      <c r="F1" s="1437" t="s">
        <v>311</v>
      </c>
      <c r="G1" s="1438"/>
      <c r="H1" s="1438"/>
      <c r="I1" s="1438"/>
      <c r="J1" s="1439"/>
      <c r="K1" s="1440" t="s">
        <v>312</v>
      </c>
      <c r="L1" s="1441"/>
      <c r="M1" s="1441"/>
      <c r="N1" s="1441"/>
      <c r="O1" s="1442"/>
      <c r="P1" s="1437" t="s">
        <v>313</v>
      </c>
      <c r="Q1" s="1438"/>
      <c r="R1" s="1438"/>
      <c r="S1" s="1438"/>
      <c r="T1" s="1439"/>
      <c r="U1" s="1443" t="s">
        <v>314</v>
      </c>
      <c r="V1" s="1444"/>
      <c r="W1" s="1444"/>
      <c r="X1" s="476"/>
      <c r="Y1" s="1444" t="s">
        <v>315</v>
      </c>
      <c r="Z1" s="1444"/>
      <c r="AA1" s="1444"/>
      <c r="AB1" s="1444"/>
      <c r="AD1" s="1428" t="e">
        <f>#REF!</f>
        <v>#REF!</v>
      </c>
      <c r="AE1" s="1428" t="s">
        <v>316</v>
      </c>
      <c r="AF1" s="1428"/>
      <c r="AG1" s="1428"/>
      <c r="AH1" s="1428"/>
      <c r="AI1" s="1428"/>
      <c r="AJ1" s="1429" t="s">
        <v>317</v>
      </c>
      <c r="AK1" s="1429"/>
      <c r="AL1" s="1429"/>
      <c r="AM1" s="1429" t="s">
        <v>318</v>
      </c>
      <c r="AN1" s="1429"/>
      <c r="AO1" s="467"/>
    </row>
    <row r="2" spans="1:52" ht="68.25">
      <c r="A2" s="468"/>
      <c r="B2" s="460" t="s">
        <v>319</v>
      </c>
      <c r="C2" s="460" t="s">
        <v>320</v>
      </c>
      <c r="D2" s="460" t="s">
        <v>321</v>
      </c>
      <c r="E2" s="460" t="s">
        <v>322</v>
      </c>
      <c r="F2" s="461" t="s">
        <v>323</v>
      </c>
      <c r="G2" s="462" t="s">
        <v>324</v>
      </c>
      <c r="H2" s="463" t="s">
        <v>247</v>
      </c>
      <c r="I2" s="461" t="s">
        <v>325</v>
      </c>
      <c r="J2" s="461" t="s">
        <v>326</v>
      </c>
      <c r="K2" s="490" t="s">
        <v>323</v>
      </c>
      <c r="L2" s="491" t="s">
        <v>324</v>
      </c>
      <c r="M2" s="490" t="s">
        <v>247</v>
      </c>
      <c r="N2" s="490" t="s">
        <v>327</v>
      </c>
      <c r="O2" s="490" t="s">
        <v>326</v>
      </c>
      <c r="P2" s="461" t="s">
        <v>323</v>
      </c>
      <c r="Q2" s="462" t="s">
        <v>324</v>
      </c>
      <c r="R2" s="461" t="s">
        <v>247</v>
      </c>
      <c r="S2" s="461" t="s">
        <v>327</v>
      </c>
      <c r="T2" s="461" t="s">
        <v>326</v>
      </c>
      <c r="U2" s="464" t="s">
        <v>328</v>
      </c>
      <c r="V2" s="490" t="s">
        <v>329</v>
      </c>
      <c r="W2" s="464" t="s">
        <v>330</v>
      </c>
      <c r="X2" s="466"/>
      <c r="Y2" s="465" t="s">
        <v>331</v>
      </c>
      <c r="Z2" s="464" t="s">
        <v>332</v>
      </c>
      <c r="AA2" s="464" t="s">
        <v>333</v>
      </c>
      <c r="AB2" s="464" t="s">
        <v>334</v>
      </c>
      <c r="AD2" s="1428"/>
      <c r="AE2" s="492" t="s">
        <v>330</v>
      </c>
      <c r="AF2" s="473" t="s">
        <v>328</v>
      </c>
      <c r="AG2" s="473" t="s">
        <v>319</v>
      </c>
      <c r="AH2" s="473" t="s">
        <v>320</v>
      </c>
      <c r="AI2" s="473" t="s">
        <v>322</v>
      </c>
      <c r="AJ2" s="473" t="s">
        <v>335</v>
      </c>
      <c r="AK2" s="473" t="s">
        <v>336</v>
      </c>
      <c r="AL2" s="473" t="s">
        <v>337</v>
      </c>
      <c r="AM2" s="473" t="s">
        <v>338</v>
      </c>
      <c r="AN2" s="473" t="s">
        <v>339</v>
      </c>
      <c r="AO2" s="467"/>
      <c r="AS2" s="702" t="s">
        <v>340</v>
      </c>
      <c r="AT2" s="702" t="s">
        <v>308</v>
      </c>
      <c r="AU2" s="702" t="s">
        <v>307</v>
      </c>
      <c r="AV2" s="702" t="s">
        <v>294</v>
      </c>
      <c r="AW2" s="702" t="s">
        <v>341</v>
      </c>
      <c r="AX2" s="702" t="s">
        <v>342</v>
      </c>
      <c r="AY2" s="702" t="s">
        <v>343</v>
      </c>
      <c r="AZ2" s="702" t="s">
        <v>344</v>
      </c>
    </row>
    <row r="3" spans="1:52" ht="15">
      <c r="A3" s="477" t="s">
        <v>345</v>
      </c>
      <c r="B3" s="764" t="s">
        <v>346</v>
      </c>
      <c r="C3" s="764" t="s">
        <v>347</v>
      </c>
      <c r="E3" s="764" t="s">
        <v>348</v>
      </c>
      <c r="F3" s="530">
        <f>AS3/AT3</f>
        <v>0.28974481698868931</v>
      </c>
      <c r="G3" s="530">
        <f>AU3/AV3</f>
        <v>2.4349067898067385</v>
      </c>
      <c r="H3" s="766">
        <f>AX3</f>
        <v>64458563587.599998</v>
      </c>
      <c r="I3" s="767">
        <f>(AY3/AZ3)-1</f>
        <v>-9.7023153252480787E-2</v>
      </c>
      <c r="J3" s="530">
        <f>AV3/AX3</f>
        <v>9.0709436800493592E-2</v>
      </c>
      <c r="K3" s="459">
        <f>IFERROR(_xlfn.RANK.EQ(F3,F$3:F$62),"N/A")</f>
        <v>8</v>
      </c>
      <c r="L3" s="459">
        <f t="shared" ref="L3" si="0">IFERROR(_xlfn.RANK.EQ(G3,G$3:G$62),"N/A")</f>
        <v>33</v>
      </c>
      <c r="M3" s="459">
        <f t="shared" ref="M3" si="1">IFERROR(_xlfn.RANK.EQ(H3,H$3:H$62),"N/A")</f>
        <v>3</v>
      </c>
      <c r="N3" s="459">
        <f t="shared" ref="N3" si="2">IFERROR(_xlfn.RANK.EQ(I3,I$3:I$326),"N/A")</f>
        <v>76</v>
      </c>
      <c r="O3" s="459">
        <f t="shared" ref="O3" si="3">IFERROR(_xlfn.RANK.EQ(J3,J$3:J$62),"N/A")</f>
        <v>35</v>
      </c>
      <c r="P3" s="478" t="s">
        <v>78</v>
      </c>
      <c r="Q3" s="478" t="s">
        <v>78</v>
      </c>
      <c r="R3" s="478" t="s">
        <v>78</v>
      </c>
      <c r="S3" s="478" t="s">
        <v>78</v>
      </c>
      <c r="T3" s="478" t="s">
        <v>78</v>
      </c>
      <c r="U3" s="478" t="s">
        <v>78</v>
      </c>
      <c r="V3" s="478" t="s">
        <v>78</v>
      </c>
      <c r="W3" s="478" t="s">
        <v>78</v>
      </c>
      <c r="X3" s="466"/>
      <c r="Y3" s="479" t="str">
        <f>IF(OR(Z3="Y",AA3="Y"),"Not suitable","")</f>
        <v/>
      </c>
      <c r="Z3" s="488"/>
      <c r="AA3"/>
      <c r="AB3" s="478"/>
      <c r="AD3" s="1428"/>
      <c r="AE3" s="267">
        <v>1</v>
      </c>
      <c r="AF3" s="565">
        <f t="shared" ref="AF3:AF8" si="4">_xlfn.XLOOKUP(AE3,$W$4:$W$102,$U$4:$U$102,"N/A",0,1)</f>
        <v>16</v>
      </c>
      <c r="AG3" s="565" t="str">
        <f t="shared" ref="AG3" si="5">_xlfn.XLOOKUP(AE3,$W$4:$W$102,$B$4:$B$102,"N/A",0,1)</f>
        <v>DE.N</v>
      </c>
      <c r="AH3" s="565" t="str">
        <f t="shared" ref="AH3" si="6">_xlfn.XLOOKUP(AE3,$W$4:$W$102,$C$4:$C$102,"N/A",0,1)</f>
        <v>Deere &amp; Co</v>
      </c>
      <c r="AI3" s="565" t="str">
        <f t="shared" ref="AI3" si="7">_xlfn.XLOOKUP(AE3,$W$4:$W$102,$E$4:$E$102,"N/A",0,1)</f>
        <v>United States of America</v>
      </c>
      <c r="AJ3" s="772">
        <v>12.978082141465199</v>
      </c>
      <c r="AK3" s="772">
        <v>3.6370669012499999</v>
      </c>
      <c r="AL3" s="772">
        <v>1.16982611514498</v>
      </c>
      <c r="AM3" s="772">
        <v>1.4478307944005</v>
      </c>
      <c r="AN3" s="772">
        <v>7.9540111634813204</v>
      </c>
      <c r="AO3" s="467"/>
      <c r="AS3" s="783">
        <v>4600800000</v>
      </c>
      <c r="AT3" s="783">
        <v>15878800000</v>
      </c>
      <c r="AU3" s="783">
        <v>14236900000</v>
      </c>
      <c r="AV3" s="783">
        <v>5847000000</v>
      </c>
      <c r="AW3" s="783">
        <v>35127400000</v>
      </c>
      <c r="AX3" s="783">
        <v>64458563587.599998</v>
      </c>
      <c r="AY3" s="780">
        <v>8.19</v>
      </c>
      <c r="AZ3" s="780">
        <v>9.07</v>
      </c>
    </row>
    <row r="4" spans="1:52" ht="15">
      <c r="A4" s="480" t="s">
        <v>349</v>
      </c>
      <c r="B4" s="677" t="s">
        <v>350</v>
      </c>
      <c r="C4" s="677" t="s">
        <v>351</v>
      </c>
      <c r="E4" s="677" t="s">
        <v>352</v>
      </c>
      <c r="F4" s="530">
        <f t="shared" ref="F4:F33" si="8">AS4/AT4</f>
        <v>0.12272754726097722</v>
      </c>
      <c r="G4" s="530">
        <f t="shared" ref="G4:G33" si="9">AU4/AV4</f>
        <v>2.6998632634457613</v>
      </c>
      <c r="H4" s="770">
        <f t="shared" ref="H4:H62" si="10">AX4</f>
        <v>603421315.88630605</v>
      </c>
      <c r="I4" s="771">
        <f t="shared" ref="I4:I35" si="11">IFERROR((AY4/AZ4)-1,"-")</f>
        <v>-0.16285864660433547</v>
      </c>
      <c r="J4" s="530">
        <f t="shared" ref="J4:J33" si="12">AV4/AX4</f>
        <v>0.38444572296191665</v>
      </c>
      <c r="K4" s="757">
        <f t="shared" ref="K4:K35" si="13">IFERROR(_xlfn.RANK.EQ(F4,F$3:F$102),"N/A")</f>
        <v>58</v>
      </c>
      <c r="L4" s="756">
        <f t="shared" ref="L4:L35" si="14">IFERROR(_xlfn.RANK.EQ(G4,G$3:G$102),"N/A")</f>
        <v>49</v>
      </c>
      <c r="M4" s="756">
        <f t="shared" ref="M4:M35" si="15">IFERROR(_xlfn.RANK.EQ(H4,H$3:H$102),"N/A")</f>
        <v>78</v>
      </c>
      <c r="N4" s="756">
        <f t="shared" ref="N4:N35" si="16">IFERROR(_xlfn.RANK.EQ(I4,I$3:I$102),"N/A")</f>
        <v>80</v>
      </c>
      <c r="O4" s="756">
        <f t="shared" ref="O4:O35" si="17">IFERROR(_xlfn.RANK.EQ(J4,J$3:J$102),"N/A")</f>
        <v>2</v>
      </c>
      <c r="P4" s="482">
        <f t="shared" ref="P4:P28" si="18">IFERROR(ABS(K$3-K4),"N/A")</f>
        <v>50</v>
      </c>
      <c r="Q4" s="478">
        <f t="shared" ref="Q4:Q28" si="19">IFERROR(ABS(L$3-L4),"N/A")</f>
        <v>16</v>
      </c>
      <c r="R4" s="478">
        <f t="shared" ref="R4:R28" si="20">IFERROR(ABS(M$3-M4),"N/A")</f>
        <v>75</v>
      </c>
      <c r="S4" s="478">
        <f t="shared" ref="S4:S28" si="21">IFERROR(ABS(N$3-N4),"N/A")</f>
        <v>4</v>
      </c>
      <c r="T4" s="478">
        <f t="shared" ref="T4:T28" si="22">IFERROR(ABS(O$3-O4),"N/A")</f>
        <v>33</v>
      </c>
      <c r="U4" s="481">
        <f t="shared" ref="U4:U28" si="23">SUM(P4:T4)</f>
        <v>178</v>
      </c>
      <c r="V4" s="757">
        <f t="shared" ref="V4:V35" si="24">_xlfn.RANK.EQ(U4,$U$4:$U$102,1)</f>
        <v>54</v>
      </c>
      <c r="W4" s="482">
        <f t="shared" ref="W4:W33" si="25">IF(Y4="Not suitable","-",V4)</f>
        <v>54</v>
      </c>
      <c r="X4" s="466"/>
      <c r="Y4" s="483" t="str">
        <f>IF(OR(Z4="Y",AA4="Y"),"Not suitable","")</f>
        <v/>
      </c>
      <c r="Z4" s="485" t="str">
        <f>IF(OR(N4="N/A",O4="N/A"),"Y","")</f>
        <v/>
      </c>
      <c r="AA4"/>
      <c r="AB4" s="478"/>
      <c r="AD4" s="1428"/>
      <c r="AE4" s="84">
        <v>2</v>
      </c>
      <c r="AF4" s="565">
        <f t="shared" si="4"/>
        <v>34</v>
      </c>
      <c r="AG4" s="565" t="str">
        <f>_xlfn.XLOOKUP(AE4,$W$4:$W$102,$B$4:$B$102,"N/A",0,1)</f>
        <v>VOLVb.ST</v>
      </c>
      <c r="AH4" s="565" t="str">
        <f>_xlfn.XLOOKUP(AE4,$W$4:$W$102,$C$4:$C$102,"N/A",0,1)</f>
        <v>Volvo AB</v>
      </c>
      <c r="AI4" s="565" t="str">
        <f>_xlfn.XLOOKUP(AE4,$W$4:$W$102,$E$4:$E$102,"N/A",0,1)</f>
        <v>Sweden</v>
      </c>
      <c r="AJ4" s="772">
        <v>17.695393358678899</v>
      </c>
      <c r="AK4" s="772">
        <v>9.12963297709355</v>
      </c>
      <c r="AL4" s="772">
        <v>2.6539377408128599</v>
      </c>
      <c r="AM4" s="772">
        <v>3.1148533387848198</v>
      </c>
      <c r="AN4" s="772">
        <v>12.345275703245299</v>
      </c>
      <c r="AO4" s="467"/>
      <c r="AS4" s="784">
        <v>107426831.331416</v>
      </c>
      <c r="AT4" s="784">
        <v>875327778.71764505</v>
      </c>
      <c r="AU4" s="784">
        <v>626321688.37760103</v>
      </c>
      <c r="AV4" s="784">
        <v>231982744.036542</v>
      </c>
      <c r="AW4" s="784">
        <v>2380519370.6648598</v>
      </c>
      <c r="AX4" s="784">
        <v>603421315.88630605</v>
      </c>
      <c r="AY4" s="781">
        <v>0.49853840063341298</v>
      </c>
      <c r="AZ4" s="781">
        <v>0.59552475649567505</v>
      </c>
    </row>
    <row r="5" spans="1:52" ht="15">
      <c r="A5" s="484"/>
      <c r="B5" s="677" t="s">
        <v>353</v>
      </c>
      <c r="C5" s="677" t="s">
        <v>354</v>
      </c>
      <c r="E5" s="677" t="s">
        <v>348</v>
      </c>
      <c r="F5" s="530">
        <f t="shared" si="8"/>
        <v>0.15710150713644075</v>
      </c>
      <c r="G5" s="530">
        <f t="shared" si="9"/>
        <v>1.3318485523385302</v>
      </c>
      <c r="H5" s="770">
        <f t="shared" si="10"/>
        <v>5027606864.2799997</v>
      </c>
      <c r="I5" s="771">
        <f t="shared" si="11"/>
        <v>0.20904072743330837</v>
      </c>
      <c r="J5" s="530">
        <f t="shared" si="12"/>
        <v>4.4653451644165197E-2</v>
      </c>
      <c r="K5" s="757">
        <f t="shared" si="13"/>
        <v>45</v>
      </c>
      <c r="L5" s="756">
        <f t="shared" si="14"/>
        <v>70</v>
      </c>
      <c r="M5" s="756">
        <f t="shared" si="15"/>
        <v>30</v>
      </c>
      <c r="N5" s="756">
        <f t="shared" si="16"/>
        <v>36</v>
      </c>
      <c r="O5" s="756">
        <f t="shared" si="17"/>
        <v>82</v>
      </c>
      <c r="P5" s="485">
        <f t="shared" si="18"/>
        <v>37</v>
      </c>
      <c r="Q5" s="483">
        <f t="shared" si="19"/>
        <v>37</v>
      </c>
      <c r="R5" s="483">
        <f t="shared" si="20"/>
        <v>27</v>
      </c>
      <c r="S5" s="483">
        <f t="shared" si="21"/>
        <v>40</v>
      </c>
      <c r="T5" s="483">
        <f t="shared" si="22"/>
        <v>47</v>
      </c>
      <c r="U5" s="773">
        <f t="shared" si="23"/>
        <v>188</v>
      </c>
      <c r="V5" s="757">
        <f t="shared" si="24"/>
        <v>63</v>
      </c>
      <c r="W5" s="485">
        <f t="shared" si="25"/>
        <v>63</v>
      </c>
      <c r="Y5" s="483" t="str">
        <f>IF(OR(Z5="Y",AA5="Y"),"Not suitable","")</f>
        <v/>
      </c>
      <c r="Z5" s="485" t="str">
        <f t="shared" ref="Z5" si="26">IF(OR(N5="N/A",O5="N/A"),"Y","")</f>
        <v/>
      </c>
      <c r="AA5" s="472"/>
      <c r="AB5" s="483"/>
      <c r="AD5" s="1428"/>
      <c r="AE5" s="84">
        <v>3</v>
      </c>
      <c r="AF5" s="565">
        <f t="shared" si="4"/>
        <v>53</v>
      </c>
      <c r="AG5" s="565" t="str">
        <f>_xlfn.XLOOKUP(AE5,$W$4:$W$102,$B$4:$B$102,"N/A",0,1)</f>
        <v>DTGGe.DE</v>
      </c>
      <c r="AH5" s="565" t="str">
        <f>_xlfn.XLOOKUP(AE5,$W$4:$W$102,$C$4:$C$102,"N/A",0,1)</f>
        <v>Daimler Truck Holding AG</v>
      </c>
      <c r="AI5" s="565" t="str">
        <f>_xlfn.XLOOKUP(AE5,$W$4:$W$102,$E$4:$E$102,"N/A",0,1)</f>
        <v>Germany</v>
      </c>
      <c r="AJ5" s="772">
        <v>11.6074575264104</v>
      </c>
      <c r="AK5" s="772">
        <v>5.0834413257340598</v>
      </c>
      <c r="AL5" s="772">
        <v>1.82497842969812</v>
      </c>
      <c r="AM5" s="772">
        <v>2.78134924486633</v>
      </c>
      <c r="AN5" s="772">
        <v>9.6343921728516104</v>
      </c>
      <c r="AO5" s="467"/>
      <c r="AS5" s="784">
        <v>157400000</v>
      </c>
      <c r="AT5" s="784">
        <v>1001900000</v>
      </c>
      <c r="AU5" s="784">
        <v>299000000</v>
      </c>
      <c r="AV5" s="784">
        <v>224500000</v>
      </c>
      <c r="AW5" s="784">
        <v>1722700000</v>
      </c>
      <c r="AX5" s="784">
        <v>5027606864.2799997</v>
      </c>
      <c r="AY5" s="781">
        <v>3.01166</v>
      </c>
      <c r="AZ5" s="781">
        <v>2.4909500000000002</v>
      </c>
    </row>
    <row r="6" spans="1:52" ht="15">
      <c r="A6" s="480"/>
      <c r="B6" s="677" t="s">
        <v>355</v>
      </c>
      <c r="C6" s="677" t="s">
        <v>356</v>
      </c>
      <c r="E6" s="677" t="s">
        <v>357</v>
      </c>
      <c r="F6" s="530">
        <f t="shared" si="8"/>
        <v>0.28084661203322975</v>
      </c>
      <c r="G6" s="530">
        <f t="shared" si="9"/>
        <v>3.4965710349784347</v>
      </c>
      <c r="H6" s="770">
        <f t="shared" si="10"/>
        <v>61121148769.193001</v>
      </c>
      <c r="I6" s="771">
        <f t="shared" si="11"/>
        <v>-0.19102137822937226</v>
      </c>
      <c r="J6" s="530">
        <f t="shared" si="12"/>
        <v>0.10853775905259593</v>
      </c>
      <c r="K6" s="757">
        <f t="shared" si="13"/>
        <v>13</v>
      </c>
      <c r="L6" s="756">
        <f t="shared" si="14"/>
        <v>42</v>
      </c>
      <c r="M6" s="756">
        <f t="shared" si="15"/>
        <v>4</v>
      </c>
      <c r="N6" s="756">
        <f t="shared" si="16"/>
        <v>84</v>
      </c>
      <c r="O6" s="756">
        <f t="shared" si="17"/>
        <v>46</v>
      </c>
      <c r="P6" s="485">
        <f t="shared" si="18"/>
        <v>5</v>
      </c>
      <c r="Q6" s="483">
        <f t="shared" si="19"/>
        <v>9</v>
      </c>
      <c r="R6" s="483">
        <f t="shared" si="20"/>
        <v>1</v>
      </c>
      <c r="S6" s="483">
        <f t="shared" si="21"/>
        <v>8</v>
      </c>
      <c r="T6" s="483">
        <f t="shared" si="22"/>
        <v>11</v>
      </c>
      <c r="U6" s="773">
        <f t="shared" si="23"/>
        <v>34</v>
      </c>
      <c r="V6" s="757">
        <f t="shared" si="24"/>
        <v>2</v>
      </c>
      <c r="W6" s="485">
        <f t="shared" si="25"/>
        <v>2</v>
      </c>
      <c r="Y6" s="483" t="str">
        <f t="shared" ref="Y6:Y41" si="27">IF(OR(Z6="Y",AA6="Y"),"Not suitable","")</f>
        <v/>
      </c>
      <c r="Z6" s="485" t="str">
        <f>IF(OR(N6="N/A",O6="N/A"),"Y","")</f>
        <v/>
      </c>
      <c r="AA6" s="472"/>
      <c r="AB6" s="483"/>
      <c r="AD6" s="1428"/>
      <c r="AE6" s="566">
        <v>4</v>
      </c>
      <c r="AF6" s="565">
        <f t="shared" si="4"/>
        <v>61</v>
      </c>
      <c r="AG6" s="565" t="str">
        <f>_xlfn.XLOOKUP(AE6,$W$4:$W$102,$B$4:$B$102,"N/A",0,1)</f>
        <v>CNHI.N</v>
      </c>
      <c r="AH6" s="565" t="str">
        <f>_xlfn.XLOOKUP(AE6,$W$4:$W$102,$C$4:$C$102,"N/A",0,1)</f>
        <v>CNH Industrial NV</v>
      </c>
      <c r="AI6" s="565" t="str">
        <f>_xlfn.XLOOKUP(AE6,$W$4:$W$102,$E$4:$E$102,"N/A",0,1)</f>
        <v>United Kingdom</v>
      </c>
      <c r="AJ6" s="772">
        <v>32.628736994600303</v>
      </c>
      <c r="AK6" s="772">
        <v>5.9932603091763301</v>
      </c>
      <c r="AL6" s="772">
        <v>2.1133665494092502</v>
      </c>
      <c r="AM6" s="772">
        <v>2.33761568586511</v>
      </c>
      <c r="AN6" s="772">
        <v>15.5868873598146</v>
      </c>
      <c r="AO6" s="467"/>
      <c r="AS6" s="784">
        <v>4959968212.9730797</v>
      </c>
      <c r="AT6" s="784">
        <v>17660772822.091999</v>
      </c>
      <c r="AU6" s="784">
        <v>23196086222.310501</v>
      </c>
      <c r="AV6" s="784">
        <v>6633952518.12854</v>
      </c>
      <c r="AW6" s="784">
        <v>54908512963.146896</v>
      </c>
      <c r="AX6" s="784">
        <v>61121148769.193001</v>
      </c>
      <c r="AY6" s="781">
        <v>2.2238040378477399</v>
      </c>
      <c r="AZ6" s="781">
        <v>2.7489033430580099</v>
      </c>
    </row>
    <row r="7" spans="1:52" ht="15">
      <c r="A7" s="480"/>
      <c r="B7" s="677" t="s">
        <v>358</v>
      </c>
      <c r="C7" s="677" t="s">
        <v>359</v>
      </c>
      <c r="E7" s="677" t="s">
        <v>360</v>
      </c>
      <c r="F7" s="530">
        <f>AS7/AT7</f>
        <v>0.20723945902943525</v>
      </c>
      <c r="G7" s="530">
        <f t="shared" si="9"/>
        <v>2.9626373626373601</v>
      </c>
      <c r="H7" s="770">
        <f t="shared" si="10"/>
        <v>4030979605.7641301</v>
      </c>
      <c r="I7" s="771">
        <f t="shared" si="11"/>
        <v>7.9973492350045028E-3</v>
      </c>
      <c r="J7" s="530">
        <f t="shared" si="12"/>
        <v>0.17044286620722149</v>
      </c>
      <c r="K7" s="757">
        <f t="shared" si="13"/>
        <v>22</v>
      </c>
      <c r="L7" s="756">
        <f t="shared" si="14"/>
        <v>45</v>
      </c>
      <c r="M7" s="756">
        <f t="shared" si="15"/>
        <v>35</v>
      </c>
      <c r="N7" s="756">
        <f t="shared" si="16"/>
        <v>64</v>
      </c>
      <c r="O7" s="756">
        <f t="shared" si="17"/>
        <v>25</v>
      </c>
      <c r="P7" s="485">
        <f t="shared" si="18"/>
        <v>14</v>
      </c>
      <c r="Q7" s="483">
        <f t="shared" si="19"/>
        <v>12</v>
      </c>
      <c r="R7" s="483">
        <f t="shared" si="20"/>
        <v>32</v>
      </c>
      <c r="S7" s="483">
        <f t="shared" si="21"/>
        <v>12</v>
      </c>
      <c r="T7" s="483">
        <f t="shared" si="22"/>
        <v>10</v>
      </c>
      <c r="U7" s="773">
        <f t="shared" si="23"/>
        <v>80</v>
      </c>
      <c r="V7" s="757">
        <f t="shared" si="24"/>
        <v>7</v>
      </c>
      <c r="W7" s="485">
        <f t="shared" si="25"/>
        <v>7</v>
      </c>
      <c r="Y7" s="483" t="str">
        <f t="shared" si="27"/>
        <v/>
      </c>
      <c r="Z7" s="485" t="str">
        <f>IF(OR(N7="N/A",O7="N/A"),"Y","")</f>
        <v/>
      </c>
      <c r="AA7" s="472"/>
      <c r="AB7" s="483"/>
      <c r="AD7" s="1428"/>
      <c r="AE7" s="84">
        <v>5</v>
      </c>
      <c r="AF7" s="565">
        <f t="shared" si="4"/>
        <v>68</v>
      </c>
      <c r="AG7" s="565" t="str">
        <f>_xlfn.XLOOKUP(AE7,$W$4:$W$102,$B$4:$B$102,"N/A",0,1)</f>
        <v>CAT.N</v>
      </c>
      <c r="AH7" s="565" t="str">
        <f>_xlfn.XLOOKUP(AE7,$W$4:$W$102,$C$4:$C$102,"N/A",0,1)</f>
        <v>Caterpillar Inc</v>
      </c>
      <c r="AI7" s="565" t="str">
        <f>_xlfn.XLOOKUP(AE7,$W$4:$W$102,$E$4:$E$102,"N/A",0,1)</f>
        <v>United States of America</v>
      </c>
      <c r="AJ7" s="772">
        <v>10.1821140111168</v>
      </c>
      <c r="AK7" s="772">
        <v>1.7541489965566901</v>
      </c>
      <c r="AL7" s="772">
        <v>0.69293461382930799</v>
      </c>
      <c r="AM7" s="772">
        <v>0.95883191209375795</v>
      </c>
      <c r="AN7" s="772">
        <v>7.5926771843185197</v>
      </c>
      <c r="AO7" s="467"/>
      <c r="AS7" s="784">
        <v>393355983.38995802</v>
      </c>
      <c r="AT7" s="784">
        <v>1898074745.1868601</v>
      </c>
      <c r="AU7" s="784">
        <v>2035485088.7127199</v>
      </c>
      <c r="AV7" s="784">
        <v>687051717.62929404</v>
      </c>
      <c r="AW7" s="784">
        <v>7947904869.7621698</v>
      </c>
      <c r="AX7" s="784">
        <v>4030979605.7641301</v>
      </c>
      <c r="AY7" s="781">
        <v>2.9298185603807299</v>
      </c>
      <c r="AZ7" s="781">
        <v>2.90657367561953</v>
      </c>
    </row>
    <row r="8" spans="1:52" ht="15">
      <c r="A8" s="480"/>
      <c r="B8" s="677" t="s">
        <v>361</v>
      </c>
      <c r="C8" s="677" t="s">
        <v>362</v>
      </c>
      <c r="E8" s="677" t="s">
        <v>363</v>
      </c>
      <c r="F8" s="530">
        <f t="shared" si="8"/>
        <v>0.14383745963401504</v>
      </c>
      <c r="G8" s="530">
        <f t="shared" si="9"/>
        <v>2.0526315789473677</v>
      </c>
      <c r="H8" s="770">
        <f t="shared" si="10"/>
        <v>809906409.89868295</v>
      </c>
      <c r="I8" s="771">
        <f t="shared" si="11"/>
        <v>0.12527417310576516</v>
      </c>
      <c r="J8" s="530">
        <f t="shared" si="12"/>
        <v>0.16828352954944265</v>
      </c>
      <c r="K8" s="757">
        <f t="shared" si="13"/>
        <v>50</v>
      </c>
      <c r="L8" s="756">
        <f t="shared" si="14"/>
        <v>60</v>
      </c>
      <c r="M8" s="756">
        <f t="shared" si="15"/>
        <v>72</v>
      </c>
      <c r="N8" s="756">
        <f t="shared" si="16"/>
        <v>46</v>
      </c>
      <c r="O8" s="756">
        <f t="shared" si="17"/>
        <v>26</v>
      </c>
      <c r="P8" s="485">
        <f t="shared" si="18"/>
        <v>42</v>
      </c>
      <c r="Q8" s="483">
        <f t="shared" si="19"/>
        <v>27</v>
      </c>
      <c r="R8" s="483">
        <f t="shared" si="20"/>
        <v>69</v>
      </c>
      <c r="S8" s="483">
        <f t="shared" si="21"/>
        <v>30</v>
      </c>
      <c r="T8" s="483">
        <f t="shared" si="22"/>
        <v>9</v>
      </c>
      <c r="U8" s="773">
        <f t="shared" si="23"/>
        <v>177</v>
      </c>
      <c r="V8" s="757">
        <f t="shared" si="24"/>
        <v>52</v>
      </c>
      <c r="W8" s="485">
        <f t="shared" si="25"/>
        <v>52</v>
      </c>
      <c r="Y8" s="483" t="str">
        <f t="shared" si="27"/>
        <v/>
      </c>
      <c r="Z8" s="485" t="str">
        <f t="shared" ref="Z8:Z41" si="28">IF(OR(N8="N/A",O8="N/A"),"Y","")</f>
        <v/>
      </c>
      <c r="AA8" s="472"/>
      <c r="AB8" s="483"/>
      <c r="AD8" s="1428"/>
      <c r="AE8" s="84">
        <v>6</v>
      </c>
      <c r="AF8" s="565">
        <f t="shared" si="4"/>
        <v>71</v>
      </c>
      <c r="AG8" s="565" t="str">
        <f>_xlfn.XLOOKUP(AE8,$W$4:$W$102,$B$4:$B$102,"N/A",0,1)</f>
        <v>ALSN.N</v>
      </c>
      <c r="AH8" s="565" t="str">
        <f>_xlfn.XLOOKUP(AE8,$W$4:$W$102,$C$4:$C$102,"N/A",0,1)</f>
        <v>Allison Transmission Holdings Inc</v>
      </c>
      <c r="AI8" s="565" t="str">
        <f>_xlfn.XLOOKUP(AE8,$W$4:$W$102,$E$4:$E$102,"N/A",0,1)</f>
        <v>United States of America</v>
      </c>
      <c r="AJ8" s="772">
        <v>14.4390752047224</v>
      </c>
      <c r="AK8" s="772">
        <v>2.4781742381526302</v>
      </c>
      <c r="AL8" s="772">
        <v>0.99669039391876502</v>
      </c>
      <c r="AM8" s="772">
        <v>1.0836227994352401</v>
      </c>
      <c r="AN8" s="772">
        <v>8.0335945970093405</v>
      </c>
      <c r="AO8" s="467"/>
      <c r="AS8" s="784">
        <v>117974242.10654099</v>
      </c>
      <c r="AT8" s="784">
        <v>820191363.27017105</v>
      </c>
      <c r="AU8" s="784">
        <v>279761182.17032897</v>
      </c>
      <c r="AV8" s="784">
        <v>136293909.26246801</v>
      </c>
      <c r="AW8" s="784">
        <v>2276935980.4884501</v>
      </c>
      <c r="AX8" s="784">
        <v>809906409.89868295</v>
      </c>
      <c r="AY8" s="781">
        <v>0.85331831571651395</v>
      </c>
      <c r="AZ8" s="781">
        <v>0.75832035970518097</v>
      </c>
    </row>
    <row r="9" spans="1:52" ht="15">
      <c r="A9" s="480"/>
      <c r="B9" s="677" t="s">
        <v>364</v>
      </c>
      <c r="C9" s="677" t="s">
        <v>365</v>
      </c>
      <c r="E9" s="677" t="s">
        <v>348</v>
      </c>
      <c r="F9" s="530">
        <f t="shared" si="8"/>
        <v>9.1407420959672362E-3</v>
      </c>
      <c r="G9" s="530">
        <f t="shared" si="9"/>
        <v>58.551906779661017</v>
      </c>
      <c r="H9" s="770">
        <f t="shared" si="10"/>
        <v>297154296.39999998</v>
      </c>
      <c r="I9" s="771">
        <f t="shared" si="11"/>
        <v>5.2665064652706253</v>
      </c>
      <c r="J9" s="530">
        <f t="shared" si="12"/>
        <v>3.1768007780351246E-3</v>
      </c>
      <c r="K9" s="757">
        <f t="shared" si="13"/>
        <v>92</v>
      </c>
      <c r="L9" s="756">
        <f t="shared" si="14"/>
        <v>1</v>
      </c>
      <c r="M9" s="756">
        <f t="shared" si="15"/>
        <v>89</v>
      </c>
      <c r="N9" s="756">
        <f t="shared" si="16"/>
        <v>1</v>
      </c>
      <c r="O9" s="756">
        <f t="shared" si="17"/>
        <v>93</v>
      </c>
      <c r="P9" s="485">
        <f t="shared" si="18"/>
        <v>84</v>
      </c>
      <c r="Q9" s="483">
        <f t="shared" si="19"/>
        <v>32</v>
      </c>
      <c r="R9" s="483">
        <f t="shared" si="20"/>
        <v>86</v>
      </c>
      <c r="S9" s="483">
        <f t="shared" si="21"/>
        <v>75</v>
      </c>
      <c r="T9" s="483">
        <f t="shared" si="22"/>
        <v>58</v>
      </c>
      <c r="U9" s="773">
        <f t="shared" si="23"/>
        <v>335</v>
      </c>
      <c r="V9" s="757">
        <f t="shared" si="24"/>
        <v>97</v>
      </c>
      <c r="W9" s="485">
        <f t="shared" si="25"/>
        <v>97</v>
      </c>
      <c r="Y9" s="483" t="str">
        <f t="shared" si="27"/>
        <v/>
      </c>
      <c r="Z9" s="485" t="str">
        <f t="shared" si="28"/>
        <v/>
      </c>
      <c r="AA9" s="472"/>
      <c r="AB9" s="483"/>
      <c r="AD9" s="1428"/>
      <c r="AE9" s="1434" t="s">
        <v>366</v>
      </c>
      <c r="AF9" s="1435"/>
      <c r="AG9" s="1435"/>
      <c r="AH9" s="1435"/>
      <c r="AI9" s="1436"/>
      <c r="AJ9" s="471">
        <f>MEDIAN(AJ3:AJ8)</f>
        <v>13.7085786730938</v>
      </c>
      <c r="AK9" s="471">
        <f>MEDIAN(AK3:AK8)</f>
        <v>4.3602541134920294</v>
      </c>
      <c r="AL9" s="471">
        <f>MEDIAN(AL3:AL8)</f>
        <v>1.4974022724215499</v>
      </c>
      <c r="AM9" s="471">
        <f>MEDIAN(AM3:AM8)</f>
        <v>1.8927232401328049</v>
      </c>
      <c r="AN9" s="471">
        <f>MEDIAN(AN3:AN8)</f>
        <v>8.8339933849304764</v>
      </c>
      <c r="AO9" s="467"/>
      <c r="AS9" s="784">
        <v>1299000</v>
      </c>
      <c r="AT9" s="784">
        <v>142111000</v>
      </c>
      <c r="AU9" s="784">
        <v>55273000</v>
      </c>
      <c r="AV9" s="784">
        <v>944000</v>
      </c>
      <c r="AW9" s="784">
        <v>543744000</v>
      </c>
      <c r="AX9" s="784">
        <v>297154296.39999998</v>
      </c>
      <c r="AY9" s="781">
        <v>1.0952599999999999</v>
      </c>
      <c r="AZ9" s="781">
        <v>0.17477999999999999</v>
      </c>
    </row>
    <row r="10" spans="1:52" ht="18.75">
      <c r="A10" s="480"/>
      <c r="B10" s="677" t="s">
        <v>367</v>
      </c>
      <c r="C10" s="677" t="s">
        <v>368</v>
      </c>
      <c r="E10" s="677" t="s">
        <v>369</v>
      </c>
      <c r="F10" s="530">
        <f t="shared" si="8"/>
        <v>0.16038356868640052</v>
      </c>
      <c r="G10" s="530">
        <f t="shared" si="9"/>
        <v>2.2872539718467246</v>
      </c>
      <c r="H10" s="770">
        <f t="shared" si="10"/>
        <v>1085362816.00477</v>
      </c>
      <c r="I10" s="771">
        <f t="shared" si="11"/>
        <v>0.22217785335029427</v>
      </c>
      <c r="J10" s="530">
        <f t="shared" si="12"/>
        <v>0.21113702407759552</v>
      </c>
      <c r="K10" s="757">
        <f t="shared" si="13"/>
        <v>42</v>
      </c>
      <c r="L10" s="756">
        <f t="shared" si="14"/>
        <v>57</v>
      </c>
      <c r="M10" s="756">
        <f t="shared" si="15"/>
        <v>66</v>
      </c>
      <c r="N10" s="756">
        <f t="shared" si="16"/>
        <v>33</v>
      </c>
      <c r="O10" s="756">
        <f t="shared" si="17"/>
        <v>15</v>
      </c>
      <c r="P10" s="485">
        <f t="shared" si="18"/>
        <v>34</v>
      </c>
      <c r="Q10" s="483">
        <f t="shared" si="19"/>
        <v>24</v>
      </c>
      <c r="R10" s="483">
        <f t="shared" si="20"/>
        <v>63</v>
      </c>
      <c r="S10" s="483">
        <f t="shared" si="21"/>
        <v>43</v>
      </c>
      <c r="T10" s="483">
        <f t="shared" si="22"/>
        <v>20</v>
      </c>
      <c r="U10" s="773">
        <f t="shared" si="23"/>
        <v>184</v>
      </c>
      <c r="V10" s="757">
        <f t="shared" si="24"/>
        <v>59</v>
      </c>
      <c r="W10" s="485">
        <f t="shared" si="25"/>
        <v>59</v>
      </c>
      <c r="Y10" s="483" t="str">
        <f t="shared" si="27"/>
        <v/>
      </c>
      <c r="Z10" s="485" t="str">
        <f t="shared" si="28"/>
        <v/>
      </c>
      <c r="AA10" s="472"/>
      <c r="AB10" s="483"/>
      <c r="AD10" s="1428"/>
      <c r="AE10" s="1428" t="s">
        <v>370</v>
      </c>
      <c r="AF10" s="1428"/>
      <c r="AG10" s="1428"/>
      <c r="AH10" s="1428"/>
      <c r="AI10" s="1428"/>
      <c r="AJ10" s="1429" t="s">
        <v>371</v>
      </c>
      <c r="AK10" s="1429"/>
      <c r="AL10" s="1429"/>
      <c r="AM10" s="1429"/>
      <c r="AN10" s="1429"/>
      <c r="AO10" s="467"/>
      <c r="AS10" s="784">
        <v>158370211.77976701</v>
      </c>
      <c r="AT10" s="784">
        <v>987446613.62056196</v>
      </c>
      <c r="AU10" s="784">
        <v>524147749.21920699</v>
      </c>
      <c r="AV10" s="784">
        <v>229160275.015726</v>
      </c>
      <c r="AW10" s="784">
        <v>3168763863.9047399</v>
      </c>
      <c r="AX10" s="784">
        <v>1085362816.00477</v>
      </c>
      <c r="AY10" s="781">
        <v>3.81979856240851</v>
      </c>
      <c r="AZ10" s="781">
        <v>3.1254031906546902</v>
      </c>
    </row>
    <row r="11" spans="1:52" ht="15">
      <c r="A11" s="480"/>
      <c r="B11" s="677" t="s">
        <v>372</v>
      </c>
      <c r="C11" s="677" t="s">
        <v>373</v>
      </c>
      <c r="E11" s="677" t="s">
        <v>348</v>
      </c>
      <c r="F11" s="530">
        <f t="shared" si="8"/>
        <v>5.157636975818794E-2</v>
      </c>
      <c r="G11" s="530">
        <f t="shared" si="9"/>
        <v>1.7098765432098766</v>
      </c>
      <c r="H11" s="770">
        <f t="shared" si="10"/>
        <v>961362630.33000004</v>
      </c>
      <c r="I11" s="771">
        <f t="shared" si="11"/>
        <v>0.14694791767158377</v>
      </c>
      <c r="J11" s="530">
        <f t="shared" si="12"/>
        <v>5.0553244391575138E-2</v>
      </c>
      <c r="K11" s="757">
        <f t="shared" si="13"/>
        <v>85</v>
      </c>
      <c r="L11" s="756">
        <f t="shared" si="14"/>
        <v>68</v>
      </c>
      <c r="M11" s="756">
        <f t="shared" si="15"/>
        <v>69</v>
      </c>
      <c r="N11" s="756">
        <f t="shared" si="16"/>
        <v>42</v>
      </c>
      <c r="O11" s="756">
        <f t="shared" si="17"/>
        <v>76</v>
      </c>
      <c r="P11" s="485">
        <f t="shared" si="18"/>
        <v>77</v>
      </c>
      <c r="Q11" s="483">
        <f t="shared" si="19"/>
        <v>35</v>
      </c>
      <c r="R11" s="483">
        <f t="shared" si="20"/>
        <v>66</v>
      </c>
      <c r="S11" s="483">
        <f t="shared" si="21"/>
        <v>34</v>
      </c>
      <c r="T11" s="483">
        <f t="shared" si="22"/>
        <v>41</v>
      </c>
      <c r="U11" s="773">
        <f t="shared" si="23"/>
        <v>253</v>
      </c>
      <c r="V11" s="757">
        <f t="shared" si="24"/>
        <v>84</v>
      </c>
      <c r="W11" s="485">
        <f t="shared" si="25"/>
        <v>84</v>
      </c>
      <c r="Y11" s="483" t="str">
        <f t="shared" si="27"/>
        <v/>
      </c>
      <c r="Z11" s="485" t="str">
        <f t="shared" si="28"/>
        <v/>
      </c>
      <c r="AA11" s="472"/>
      <c r="AB11" s="483"/>
      <c r="AD11" s="1428"/>
      <c r="AE11" s="473" t="s">
        <v>345</v>
      </c>
      <c r="AF11" s="474" t="s">
        <v>374</v>
      </c>
      <c r="AG11" s="473" t="s">
        <v>375</v>
      </c>
      <c r="AH11" s="1430" t="s">
        <v>376</v>
      </c>
      <c r="AI11" s="1431"/>
      <c r="AJ11" s="473" t="s">
        <v>335</v>
      </c>
      <c r="AK11" s="473" t="s">
        <v>336</v>
      </c>
      <c r="AL11" s="473" t="s">
        <v>337</v>
      </c>
      <c r="AM11" s="473" t="s">
        <v>338</v>
      </c>
      <c r="AN11" s="473" t="s">
        <v>339</v>
      </c>
      <c r="AO11" s="467"/>
      <c r="AS11" s="784">
        <v>33700000</v>
      </c>
      <c r="AT11" s="784">
        <v>653400000</v>
      </c>
      <c r="AU11" s="784">
        <v>83100000</v>
      </c>
      <c r="AV11" s="784">
        <v>48600000</v>
      </c>
      <c r="AW11" s="784">
        <v>1338200000</v>
      </c>
      <c r="AX11" s="784">
        <v>961362630.33000004</v>
      </c>
      <c r="AY11" s="781">
        <v>2.7344499999999998</v>
      </c>
      <c r="AZ11" s="781">
        <v>2.3841100000000002</v>
      </c>
    </row>
    <row r="12" spans="1:52" ht="15">
      <c r="A12" s="480"/>
      <c r="B12" s="677" t="s">
        <v>377</v>
      </c>
      <c r="C12" s="677" t="s">
        <v>378</v>
      </c>
      <c r="E12" s="677" t="s">
        <v>348</v>
      </c>
      <c r="F12" s="530">
        <f t="shared" si="8"/>
        <v>0.15862140102841868</v>
      </c>
      <c r="G12" s="530">
        <f t="shared" si="9"/>
        <v>1.1292374540045409</v>
      </c>
      <c r="H12" s="770">
        <f t="shared" si="10"/>
        <v>1294590648.96</v>
      </c>
      <c r="I12" s="771">
        <f t="shared" si="11"/>
        <v>1.8217495906989178E-3</v>
      </c>
      <c r="J12" s="530">
        <f t="shared" si="12"/>
        <v>7.8931514052020049E-2</v>
      </c>
      <c r="K12" s="757">
        <f t="shared" si="13"/>
        <v>44</v>
      </c>
      <c r="L12" s="756">
        <f t="shared" si="14"/>
        <v>73</v>
      </c>
      <c r="M12" s="756">
        <f t="shared" si="15"/>
        <v>58</v>
      </c>
      <c r="N12" s="756">
        <f t="shared" si="16"/>
        <v>66</v>
      </c>
      <c r="O12" s="756">
        <f t="shared" si="17"/>
        <v>60</v>
      </c>
      <c r="P12" s="485">
        <f t="shared" si="18"/>
        <v>36</v>
      </c>
      <c r="Q12" s="483">
        <f t="shared" si="19"/>
        <v>40</v>
      </c>
      <c r="R12" s="483">
        <f t="shared" si="20"/>
        <v>55</v>
      </c>
      <c r="S12" s="483">
        <f t="shared" si="21"/>
        <v>10</v>
      </c>
      <c r="T12" s="483">
        <f t="shared" si="22"/>
        <v>25</v>
      </c>
      <c r="U12" s="773">
        <f t="shared" si="23"/>
        <v>166</v>
      </c>
      <c r="V12" s="757">
        <f t="shared" si="24"/>
        <v>44</v>
      </c>
      <c r="W12" s="485">
        <f t="shared" si="25"/>
        <v>44</v>
      </c>
      <c r="Y12" s="483" t="str">
        <f t="shared" si="27"/>
        <v/>
      </c>
      <c r="Z12" s="485" t="str">
        <f t="shared" si="28"/>
        <v/>
      </c>
      <c r="AA12" s="472"/>
      <c r="AB12" s="483"/>
      <c r="AD12" s="1428"/>
      <c r="AE12" s="469" t="str">
        <f>C3</f>
        <v>Paccar Inc</v>
      </c>
      <c r="AF12" s="330">
        <v>1000000</v>
      </c>
      <c r="AG12" s="330">
        <f ca="1">OP!C20</f>
        <v>524010700</v>
      </c>
      <c r="AH12" s="1432">
        <f>-'Fin. Data'!B58*SARD!AF12+'Fin. Data'!B39*SARD!AF12</f>
        <v>-7056000000</v>
      </c>
      <c r="AI12" s="1433"/>
      <c r="AJ12" s="470">
        <f ca="1">AJ9*'Fin. Data'!B23*AF$12/AG$12</f>
        <v>120.36618808529019</v>
      </c>
      <c r="AK12" s="470">
        <f ca="1">AK9*'Fin. Data'!B64*AF$12/AG$12</f>
        <v>132.11965865205892</v>
      </c>
      <c r="AL12" s="489">
        <f ca="1">AL9*'Fin. Data'!B5*AF$12/AG$12</f>
        <v>100.37819766533734</v>
      </c>
      <c r="AM12" s="470">
        <f ca="1">(AM9*'Fin. Data'!B5*$AF12+$AH12)/$AG12</f>
        <v>113.4131216330984</v>
      </c>
      <c r="AN12" s="470">
        <f ca="1">(AN9*'Fin. Data'!B19*$AF12+$AH12)/$AG12</f>
        <v>100.68131396940132</v>
      </c>
      <c r="AO12" s="467"/>
      <c r="AS12" s="784">
        <v>72276000</v>
      </c>
      <c r="AT12" s="784">
        <v>455651000</v>
      </c>
      <c r="AU12" s="784">
        <v>115390000</v>
      </c>
      <c r="AV12" s="784">
        <v>102184000</v>
      </c>
      <c r="AW12" s="784">
        <v>674084000</v>
      </c>
      <c r="AX12" s="784">
        <v>1294590648.96</v>
      </c>
      <c r="AY12" s="781">
        <v>5.9171699999999996</v>
      </c>
      <c r="AZ12" s="781">
        <v>5.9064100000000002</v>
      </c>
    </row>
    <row r="13" spans="1:52" ht="18.75">
      <c r="A13" s="480"/>
      <c r="B13" s="677" t="s">
        <v>379</v>
      </c>
      <c r="C13" s="677" t="s">
        <v>380</v>
      </c>
      <c r="E13" s="677" t="s">
        <v>381</v>
      </c>
      <c r="F13" s="530">
        <f t="shared" si="8"/>
        <v>0.33766591435177207</v>
      </c>
      <c r="G13" s="530">
        <f t="shared" si="9"/>
        <v>0.65205101780453834</v>
      </c>
      <c r="H13" s="770">
        <f t="shared" si="10"/>
        <v>370195955.83606398</v>
      </c>
      <c r="I13" s="771">
        <f t="shared" si="11"/>
        <v>-0.2503269230268016</v>
      </c>
      <c r="J13" s="530">
        <f t="shared" si="12"/>
        <v>0.16800597365855943</v>
      </c>
      <c r="K13" s="757">
        <f t="shared" si="13"/>
        <v>7</v>
      </c>
      <c r="L13" s="756">
        <f t="shared" si="14"/>
        <v>82</v>
      </c>
      <c r="M13" s="756">
        <f t="shared" si="15"/>
        <v>87</v>
      </c>
      <c r="N13" s="756">
        <f t="shared" si="16"/>
        <v>89</v>
      </c>
      <c r="O13" s="756">
        <f t="shared" si="17"/>
        <v>27</v>
      </c>
      <c r="P13" s="485">
        <f t="shared" si="18"/>
        <v>1</v>
      </c>
      <c r="Q13" s="483">
        <f t="shared" si="19"/>
        <v>49</v>
      </c>
      <c r="R13" s="483">
        <f t="shared" si="20"/>
        <v>84</v>
      </c>
      <c r="S13" s="483">
        <f t="shared" si="21"/>
        <v>13</v>
      </c>
      <c r="T13" s="483">
        <f t="shared" si="22"/>
        <v>8</v>
      </c>
      <c r="U13" s="773">
        <f t="shared" si="23"/>
        <v>155</v>
      </c>
      <c r="V13" s="757">
        <f t="shared" si="24"/>
        <v>41</v>
      </c>
      <c r="W13" s="485">
        <f t="shared" si="25"/>
        <v>41</v>
      </c>
      <c r="Y13" s="483" t="str">
        <f t="shared" si="27"/>
        <v/>
      </c>
      <c r="Z13" s="485" t="str">
        <f t="shared" si="28"/>
        <v/>
      </c>
      <c r="AA13" s="472"/>
      <c r="AB13" s="483"/>
      <c r="AE13" s="1425" t="s">
        <v>382</v>
      </c>
      <c r="AF13" s="1425"/>
      <c r="AG13" s="1426"/>
      <c r="AH13" s="1426"/>
      <c r="AI13" s="1425"/>
      <c r="AJ13" s="1427">
        <f ca="1">AVERAGE(AJ12:AL12)</f>
        <v>117.62134813422881</v>
      </c>
      <c r="AK13" s="1427"/>
      <c r="AL13" s="1427"/>
      <c r="AM13" s="1427">
        <f ca="1">AVERAGE(AM12:AN12)</f>
        <v>107.04721780124986</v>
      </c>
      <c r="AN13" s="1427"/>
      <c r="AO13" s="467"/>
      <c r="AS13" s="784">
        <v>50537705.323468201</v>
      </c>
      <c r="AT13" s="784">
        <v>149667772.716968</v>
      </c>
      <c r="AU13" s="784">
        <v>40554399.126151599</v>
      </c>
      <c r="AV13" s="784">
        <v>62195132.004698999</v>
      </c>
      <c r="AW13" s="784">
        <v>311645266.99779499</v>
      </c>
      <c r="AX13" s="784">
        <v>370195955.83606398</v>
      </c>
      <c r="AY13" s="781">
        <v>0.28088985262819699</v>
      </c>
      <c r="AZ13" s="781">
        <v>0.37468312689351002</v>
      </c>
    </row>
    <row r="14" spans="1:52" ht="18.75" customHeight="1">
      <c r="A14" s="480"/>
      <c r="B14" s="677" t="s">
        <v>383</v>
      </c>
      <c r="C14" s="677" t="s">
        <v>384</v>
      </c>
      <c r="E14" s="677" t="s">
        <v>348</v>
      </c>
      <c r="F14" s="530">
        <f t="shared" si="8"/>
        <v>6.4975965522957063E-2</v>
      </c>
      <c r="G14" s="530">
        <f t="shared" si="9"/>
        <v>4.0270562770562774</v>
      </c>
      <c r="H14" s="770">
        <f t="shared" si="10"/>
        <v>479736974.07999998</v>
      </c>
      <c r="I14" s="771">
        <f t="shared" si="11"/>
        <v>-0.24282759240938934</v>
      </c>
      <c r="J14" s="530">
        <f t="shared" si="12"/>
        <v>0.19260554218735609</v>
      </c>
      <c r="K14" s="757">
        <f t="shared" si="13"/>
        <v>79</v>
      </c>
      <c r="L14" s="756">
        <f t="shared" si="14"/>
        <v>35</v>
      </c>
      <c r="M14" s="756">
        <f t="shared" si="15"/>
        <v>85</v>
      </c>
      <c r="N14" s="756">
        <f t="shared" si="16"/>
        <v>88</v>
      </c>
      <c r="O14" s="756">
        <f t="shared" si="17"/>
        <v>23</v>
      </c>
      <c r="P14" s="485">
        <f t="shared" si="18"/>
        <v>71</v>
      </c>
      <c r="Q14" s="483">
        <f t="shared" si="19"/>
        <v>2</v>
      </c>
      <c r="R14" s="483">
        <f t="shared" si="20"/>
        <v>82</v>
      </c>
      <c r="S14" s="483">
        <f t="shared" si="21"/>
        <v>12</v>
      </c>
      <c r="T14" s="483">
        <f t="shared" si="22"/>
        <v>12</v>
      </c>
      <c r="U14" s="773">
        <f t="shared" si="23"/>
        <v>179</v>
      </c>
      <c r="V14" s="757">
        <f t="shared" si="24"/>
        <v>56</v>
      </c>
      <c r="W14" s="485">
        <f t="shared" si="25"/>
        <v>56</v>
      </c>
      <c r="Y14" s="483" t="str">
        <f t="shared" si="27"/>
        <v/>
      </c>
      <c r="Z14" s="485" t="str">
        <f t="shared" si="28"/>
        <v/>
      </c>
      <c r="AA14" s="472"/>
      <c r="AB14" s="483"/>
      <c r="AD14" s="486"/>
      <c r="AE14" s="1420" t="s">
        <v>128</v>
      </c>
      <c r="AF14" s="1421"/>
      <c r="AG14" s="1421"/>
      <c r="AH14" s="1421"/>
      <c r="AI14" s="1422"/>
      <c r="AJ14" s="1423">
        <f ca="1">AJ13/OP!C19-1</f>
        <v>0.11047345292889732</v>
      </c>
      <c r="AK14" s="1424"/>
      <c r="AL14" s="1424"/>
      <c r="AM14" s="1424">
        <f ca="1">AM13/OP!C19-1</f>
        <v>1.0642162020863433E-2</v>
      </c>
      <c r="AN14" s="1424"/>
      <c r="AS14" s="784">
        <v>39200000</v>
      </c>
      <c r="AT14" s="784">
        <v>603300000</v>
      </c>
      <c r="AU14" s="784">
        <v>372100000</v>
      </c>
      <c r="AV14" s="784">
        <v>92400000</v>
      </c>
      <c r="AW14" s="784">
        <v>2227800000</v>
      </c>
      <c r="AX14" s="784">
        <v>479736974.07999998</v>
      </c>
      <c r="AY14" s="781">
        <v>1.26285</v>
      </c>
      <c r="AZ14" s="781">
        <v>1.6678500000000001</v>
      </c>
    </row>
    <row r="15" spans="1:52" ht="15">
      <c r="A15" s="480"/>
      <c r="B15" s="677" t="s">
        <v>385</v>
      </c>
      <c r="C15" s="677" t="s">
        <v>386</v>
      </c>
      <c r="E15" s="677" t="s">
        <v>348</v>
      </c>
      <c r="F15" s="530">
        <f t="shared" si="8"/>
        <v>0.52677746999076636</v>
      </c>
      <c r="G15" s="530">
        <f t="shared" si="9"/>
        <v>2.92133271633503</v>
      </c>
      <c r="H15" s="770">
        <f t="shared" si="10"/>
        <v>177973064898.91</v>
      </c>
      <c r="I15" s="771">
        <f t="shared" si="11"/>
        <v>2.6531403613016868E-2</v>
      </c>
      <c r="J15" s="530">
        <f t="shared" si="12"/>
        <v>7.2853720912008688E-2</v>
      </c>
      <c r="K15" s="757">
        <f t="shared" si="13"/>
        <v>3</v>
      </c>
      <c r="L15" s="756">
        <f t="shared" si="14"/>
        <v>46</v>
      </c>
      <c r="M15" s="756">
        <f t="shared" si="15"/>
        <v>1</v>
      </c>
      <c r="N15" s="756">
        <f t="shared" si="16"/>
        <v>59</v>
      </c>
      <c r="O15" s="756">
        <f t="shared" si="17"/>
        <v>66</v>
      </c>
      <c r="P15" s="485">
        <f t="shared" si="18"/>
        <v>5</v>
      </c>
      <c r="Q15" s="483">
        <f t="shared" si="19"/>
        <v>13</v>
      </c>
      <c r="R15" s="483">
        <f t="shared" si="20"/>
        <v>2</v>
      </c>
      <c r="S15" s="483">
        <f t="shared" si="21"/>
        <v>17</v>
      </c>
      <c r="T15" s="483">
        <f t="shared" si="22"/>
        <v>31</v>
      </c>
      <c r="U15" s="773">
        <f t="shared" si="23"/>
        <v>68</v>
      </c>
      <c r="V15" s="757">
        <f t="shared" si="24"/>
        <v>5</v>
      </c>
      <c r="W15" s="485">
        <f t="shared" si="25"/>
        <v>5</v>
      </c>
      <c r="Y15" s="483" t="str">
        <f t="shared" si="27"/>
        <v/>
      </c>
      <c r="Z15" s="485" t="str">
        <f t="shared" si="28"/>
        <v/>
      </c>
      <c r="AA15" s="472"/>
      <c r="AB15" s="483"/>
      <c r="AE15" s="486"/>
      <c r="AF15" s="486"/>
      <c r="AG15" s="486"/>
      <c r="AH15" s="486"/>
      <c r="AI15" s="486"/>
      <c r="AJ15" s="486"/>
      <c r="AK15" s="486"/>
      <c r="AL15" s="486"/>
      <c r="AM15" s="486"/>
      <c r="AN15" s="486"/>
      <c r="AS15" s="784">
        <v>10269000000</v>
      </c>
      <c r="AT15" s="784">
        <v>19494000000</v>
      </c>
      <c r="AU15" s="784">
        <v>37878000000</v>
      </c>
      <c r="AV15" s="784">
        <v>12966000000</v>
      </c>
      <c r="AW15" s="784">
        <v>67060000000</v>
      </c>
      <c r="AX15" s="784">
        <v>177973064898.91</v>
      </c>
      <c r="AY15" s="781">
        <v>21.284020000000002</v>
      </c>
      <c r="AZ15" s="781">
        <v>20.733920000000001</v>
      </c>
    </row>
    <row r="16" spans="1:52" ht="15">
      <c r="A16" s="480"/>
      <c r="B16" s="677" t="s">
        <v>387</v>
      </c>
      <c r="C16" s="677" t="s">
        <v>388</v>
      </c>
      <c r="E16" s="677" t="s">
        <v>389</v>
      </c>
      <c r="F16" s="530">
        <f t="shared" si="8"/>
        <v>0.11473169371749957</v>
      </c>
      <c r="G16" s="530">
        <f t="shared" si="9"/>
        <v>4.3452479183857236</v>
      </c>
      <c r="H16" s="770">
        <f t="shared" si="10"/>
        <v>6615976193.4542999</v>
      </c>
      <c r="I16" s="771">
        <f t="shared" si="11"/>
        <v>0.25087742474231378</v>
      </c>
      <c r="J16" s="530">
        <f t="shared" si="12"/>
        <v>0.15174116837363655</v>
      </c>
      <c r="K16" s="757">
        <f t="shared" si="13"/>
        <v>60</v>
      </c>
      <c r="L16" s="756">
        <f t="shared" si="14"/>
        <v>30</v>
      </c>
      <c r="M16" s="756">
        <f t="shared" si="15"/>
        <v>27</v>
      </c>
      <c r="N16" s="756">
        <f t="shared" si="16"/>
        <v>30</v>
      </c>
      <c r="O16" s="756">
        <f t="shared" si="17"/>
        <v>30</v>
      </c>
      <c r="P16" s="485">
        <f t="shared" si="18"/>
        <v>52</v>
      </c>
      <c r="Q16" s="483">
        <f t="shared" si="19"/>
        <v>3</v>
      </c>
      <c r="R16" s="483">
        <f t="shared" si="20"/>
        <v>24</v>
      </c>
      <c r="S16" s="483">
        <f t="shared" si="21"/>
        <v>46</v>
      </c>
      <c r="T16" s="483">
        <f t="shared" si="22"/>
        <v>5</v>
      </c>
      <c r="U16" s="773">
        <f t="shared" si="23"/>
        <v>130</v>
      </c>
      <c r="V16" s="757">
        <f t="shared" si="24"/>
        <v>26</v>
      </c>
      <c r="W16" s="485">
        <f t="shared" si="25"/>
        <v>26</v>
      </c>
      <c r="Y16" s="483" t="str">
        <f t="shared" si="27"/>
        <v/>
      </c>
      <c r="Z16" s="485" t="str">
        <f t="shared" si="28"/>
        <v/>
      </c>
      <c r="AA16" s="472"/>
      <c r="AB16" s="483"/>
      <c r="AE16" s="486"/>
      <c r="AF16" s="486"/>
      <c r="AG16" s="486"/>
      <c r="AH16" s="486"/>
      <c r="AI16" s="486"/>
      <c r="AJ16" s="486"/>
      <c r="AK16" s="486"/>
      <c r="AL16" s="486"/>
      <c r="AM16" s="486"/>
      <c r="AN16" s="486"/>
      <c r="AS16" s="784">
        <v>570238722.79539096</v>
      </c>
      <c r="AT16" s="784">
        <v>4970193538.6700802</v>
      </c>
      <c r="AU16" s="784">
        <v>4362263724.6780596</v>
      </c>
      <c r="AV16" s="784">
        <v>1003915957.52692</v>
      </c>
      <c r="AW16" s="784">
        <v>9635273740.4925098</v>
      </c>
      <c r="AX16" s="784">
        <v>6615976193.4542999</v>
      </c>
      <c r="AY16" s="781">
        <v>2.9053741999340099</v>
      </c>
      <c r="AZ16" s="781">
        <v>2.32266898615788</v>
      </c>
    </row>
    <row r="17" spans="1:52" ht="15">
      <c r="A17" s="480"/>
      <c r="B17" s="677" t="s">
        <v>390</v>
      </c>
      <c r="C17" s="677" t="s">
        <v>391</v>
      </c>
      <c r="E17" s="677" t="s">
        <v>389</v>
      </c>
      <c r="F17" s="530">
        <f t="shared" si="8"/>
        <v>0.13422645169140104</v>
      </c>
      <c r="G17" s="530">
        <f t="shared" si="9"/>
        <v>2.1466050923106086</v>
      </c>
      <c r="H17" s="770">
        <f t="shared" si="10"/>
        <v>28954078876.4104</v>
      </c>
      <c r="I17" s="771">
        <f t="shared" si="11"/>
        <v>0.11032005389641864</v>
      </c>
      <c r="J17" s="530">
        <f t="shared" si="12"/>
        <v>0.12767775976858334</v>
      </c>
      <c r="K17" s="757">
        <f t="shared" si="13"/>
        <v>52</v>
      </c>
      <c r="L17" s="756">
        <f t="shared" si="14"/>
        <v>58</v>
      </c>
      <c r="M17" s="756">
        <f t="shared" si="15"/>
        <v>7</v>
      </c>
      <c r="N17" s="756">
        <f t="shared" si="16"/>
        <v>49</v>
      </c>
      <c r="O17" s="756">
        <f t="shared" si="17"/>
        <v>40</v>
      </c>
      <c r="P17" s="485">
        <f t="shared" si="18"/>
        <v>44</v>
      </c>
      <c r="Q17" s="483">
        <f t="shared" si="19"/>
        <v>25</v>
      </c>
      <c r="R17" s="483">
        <f t="shared" si="20"/>
        <v>4</v>
      </c>
      <c r="S17" s="483">
        <f t="shared" si="21"/>
        <v>27</v>
      </c>
      <c r="T17" s="483">
        <f t="shared" si="22"/>
        <v>5</v>
      </c>
      <c r="U17" s="773">
        <f t="shared" si="23"/>
        <v>105</v>
      </c>
      <c r="V17" s="757">
        <f t="shared" si="24"/>
        <v>15</v>
      </c>
      <c r="W17" s="485">
        <f t="shared" si="25"/>
        <v>15</v>
      </c>
      <c r="Y17" s="483" t="str">
        <f t="shared" si="27"/>
        <v/>
      </c>
      <c r="Z17" s="485" t="str">
        <f t="shared" si="28"/>
        <v/>
      </c>
      <c r="AA17" s="472"/>
      <c r="AB17" s="483"/>
      <c r="AH17" s="486"/>
      <c r="AI17" s="486"/>
      <c r="AJ17" s="486"/>
      <c r="AK17" s="486"/>
      <c r="AL17" s="486"/>
      <c r="AM17" s="486"/>
      <c r="AN17" s="486"/>
      <c r="AS17" s="784">
        <v>2567113487.46141</v>
      </c>
      <c r="AT17" s="784">
        <v>19125242864.6735</v>
      </c>
      <c r="AU17" s="784">
        <v>7935552375.9319201</v>
      </c>
      <c r="AV17" s="784">
        <v>3696791927.1029401</v>
      </c>
      <c r="AW17" s="784">
        <v>26684803072.5205</v>
      </c>
      <c r="AX17" s="784">
        <v>28954078876.4104</v>
      </c>
      <c r="AY17" s="781">
        <v>2.7351510392609701</v>
      </c>
      <c r="AZ17" s="781">
        <v>2.4633897493453101</v>
      </c>
    </row>
    <row r="18" spans="1:52" ht="15">
      <c r="A18" s="480"/>
      <c r="B18" s="677" t="s">
        <v>392</v>
      </c>
      <c r="C18" s="677" t="s">
        <v>393</v>
      </c>
      <c r="E18" s="677" t="s">
        <v>348</v>
      </c>
      <c r="F18" s="530">
        <f t="shared" si="8"/>
        <v>0.46582510901996788</v>
      </c>
      <c r="G18" s="530">
        <f t="shared" si="9"/>
        <v>4.0749951802583384</v>
      </c>
      <c r="H18" s="770">
        <f t="shared" si="10"/>
        <v>110931313849.2</v>
      </c>
      <c r="I18" s="771">
        <f t="shared" si="11"/>
        <v>-0.19491144470118049</v>
      </c>
      <c r="J18" s="530">
        <f t="shared" si="12"/>
        <v>0.14027599115208911</v>
      </c>
      <c r="K18" s="757">
        <f t="shared" si="13"/>
        <v>4</v>
      </c>
      <c r="L18" s="756">
        <f t="shared" si="14"/>
        <v>33</v>
      </c>
      <c r="M18" s="756">
        <f t="shared" si="15"/>
        <v>2</v>
      </c>
      <c r="N18" s="756">
        <f t="shared" si="16"/>
        <v>85</v>
      </c>
      <c r="O18" s="756">
        <f t="shared" si="17"/>
        <v>33</v>
      </c>
      <c r="P18" s="485">
        <f t="shared" si="18"/>
        <v>4</v>
      </c>
      <c r="Q18" s="483">
        <f t="shared" si="19"/>
        <v>0</v>
      </c>
      <c r="R18" s="483">
        <f t="shared" si="20"/>
        <v>1</v>
      </c>
      <c r="S18" s="483">
        <f t="shared" si="21"/>
        <v>9</v>
      </c>
      <c r="T18" s="483">
        <f t="shared" si="22"/>
        <v>2</v>
      </c>
      <c r="U18" s="773">
        <f t="shared" si="23"/>
        <v>16</v>
      </c>
      <c r="V18" s="757">
        <f t="shared" si="24"/>
        <v>1</v>
      </c>
      <c r="W18" s="485">
        <f t="shared" si="25"/>
        <v>1</v>
      </c>
      <c r="Y18" s="483" t="str">
        <f t="shared" si="27"/>
        <v/>
      </c>
      <c r="Z18" s="485" t="str">
        <f t="shared" si="28"/>
        <v/>
      </c>
      <c r="AA18" s="472"/>
      <c r="AB18" s="483"/>
      <c r="AS18" s="784">
        <v>10148000000</v>
      </c>
      <c r="AT18" s="784">
        <v>21785000000</v>
      </c>
      <c r="AU18" s="784">
        <v>63411000000</v>
      </c>
      <c r="AV18" s="784">
        <v>15561000000</v>
      </c>
      <c r="AW18" s="784">
        <v>61218000000</v>
      </c>
      <c r="AX18" s="784">
        <v>110931313849.2</v>
      </c>
      <c r="AY18" s="781">
        <v>27.348189999999999</v>
      </c>
      <c r="AZ18" s="781">
        <v>33.969169999999998</v>
      </c>
    </row>
    <row r="19" spans="1:52" ht="15">
      <c r="A19" s="480"/>
      <c r="B19" s="677" t="s">
        <v>394</v>
      </c>
      <c r="C19" s="677" t="s">
        <v>395</v>
      </c>
      <c r="E19" s="677" t="s">
        <v>348</v>
      </c>
      <c r="F19" s="530">
        <f t="shared" si="8"/>
        <v>0.16398132404933474</v>
      </c>
      <c r="G19" s="530">
        <f t="shared" si="9"/>
        <v>0.99307545367717287</v>
      </c>
      <c r="H19" s="770">
        <f t="shared" si="10"/>
        <v>7893962679.46</v>
      </c>
      <c r="I19" s="771">
        <f t="shared" si="11"/>
        <v>8.3763981071299565E-2</v>
      </c>
      <c r="J19" s="530">
        <f t="shared" si="12"/>
        <v>0.10610640485790812</v>
      </c>
      <c r="K19" s="757">
        <f t="shared" si="13"/>
        <v>40</v>
      </c>
      <c r="L19" s="756">
        <f t="shared" si="14"/>
        <v>76</v>
      </c>
      <c r="M19" s="756">
        <f t="shared" si="15"/>
        <v>22</v>
      </c>
      <c r="N19" s="756">
        <f t="shared" si="16"/>
        <v>53</v>
      </c>
      <c r="O19" s="756">
        <f t="shared" si="17"/>
        <v>47</v>
      </c>
      <c r="P19" s="485">
        <f t="shared" si="18"/>
        <v>32</v>
      </c>
      <c r="Q19" s="483">
        <f t="shared" si="19"/>
        <v>43</v>
      </c>
      <c r="R19" s="483">
        <f t="shared" si="20"/>
        <v>19</v>
      </c>
      <c r="S19" s="483">
        <f t="shared" si="21"/>
        <v>23</v>
      </c>
      <c r="T19" s="483">
        <f t="shared" si="22"/>
        <v>12</v>
      </c>
      <c r="U19" s="773">
        <f t="shared" si="23"/>
        <v>129</v>
      </c>
      <c r="V19" s="757">
        <f t="shared" si="24"/>
        <v>24</v>
      </c>
      <c r="W19" s="485">
        <f t="shared" si="25"/>
        <v>24</v>
      </c>
      <c r="Y19" s="483" t="str">
        <f t="shared" si="27"/>
        <v/>
      </c>
      <c r="Z19" s="485" t="str">
        <f t="shared" si="28"/>
        <v/>
      </c>
      <c r="AA19" s="472"/>
      <c r="AB19" s="483"/>
      <c r="AS19" s="784">
        <v>607600000</v>
      </c>
      <c r="AT19" s="784">
        <v>3705300000</v>
      </c>
      <c r="AU19" s="784">
        <v>831800000</v>
      </c>
      <c r="AV19" s="784">
        <v>837600000</v>
      </c>
      <c r="AW19" s="784">
        <v>9657900000</v>
      </c>
      <c r="AX19" s="784">
        <v>7893962679.46</v>
      </c>
      <c r="AY19" s="781">
        <v>10.39981</v>
      </c>
      <c r="AZ19" s="781">
        <v>9.5960099999999997</v>
      </c>
    </row>
    <row r="20" spans="1:52" ht="15">
      <c r="A20" s="480"/>
      <c r="B20" s="677" t="s">
        <v>396</v>
      </c>
      <c r="C20" s="677" t="s">
        <v>397</v>
      </c>
      <c r="E20" s="677" t="s">
        <v>389</v>
      </c>
      <c r="F20" s="530">
        <f t="shared" si="8"/>
        <v>0.1013061001479542</v>
      </c>
      <c r="G20" s="530">
        <f t="shared" si="9"/>
        <v>4.9067575212821817</v>
      </c>
      <c r="H20" s="770">
        <f t="shared" si="10"/>
        <v>174982418.34378099</v>
      </c>
      <c r="I20" s="771">
        <f t="shared" si="11"/>
        <v>0.40887706553279446</v>
      </c>
      <c r="J20" s="530">
        <f t="shared" si="12"/>
        <v>8.3981886322483115E-2</v>
      </c>
      <c r="K20" s="757">
        <f t="shared" si="13"/>
        <v>65</v>
      </c>
      <c r="L20" s="756">
        <f t="shared" si="14"/>
        <v>25</v>
      </c>
      <c r="M20" s="756">
        <f t="shared" si="15"/>
        <v>97</v>
      </c>
      <c r="N20" s="756">
        <f t="shared" si="16"/>
        <v>18</v>
      </c>
      <c r="O20" s="756">
        <f t="shared" si="17"/>
        <v>57</v>
      </c>
      <c r="P20" s="485">
        <f t="shared" si="18"/>
        <v>57</v>
      </c>
      <c r="Q20" s="483">
        <f t="shared" si="19"/>
        <v>8</v>
      </c>
      <c r="R20" s="483">
        <f t="shared" si="20"/>
        <v>94</v>
      </c>
      <c r="S20" s="483">
        <f t="shared" si="21"/>
        <v>58</v>
      </c>
      <c r="T20" s="483">
        <f t="shared" si="22"/>
        <v>22</v>
      </c>
      <c r="U20" s="773">
        <f t="shared" si="23"/>
        <v>239</v>
      </c>
      <c r="V20" s="757">
        <f t="shared" si="24"/>
        <v>79</v>
      </c>
      <c r="W20" s="485">
        <f t="shared" si="25"/>
        <v>79</v>
      </c>
      <c r="Y20" s="483" t="str">
        <f t="shared" si="27"/>
        <v/>
      </c>
      <c r="Z20" s="485" t="str">
        <f t="shared" si="28"/>
        <v/>
      </c>
      <c r="AA20" s="472"/>
      <c r="AB20" s="483"/>
      <c r="AS20" s="784">
        <v>10650990.285413099</v>
      </c>
      <c r="AT20" s="784">
        <v>105136712.101815</v>
      </c>
      <c r="AU20" s="784">
        <v>72106536.636794895</v>
      </c>
      <c r="AV20" s="784">
        <v>14695353.565780601</v>
      </c>
      <c r="AW20" s="784">
        <v>177541162.73815799</v>
      </c>
      <c r="AX20" s="784">
        <v>174982418.34378099</v>
      </c>
      <c r="AY20" s="781">
        <v>1.8202836931741999</v>
      </c>
      <c r="AZ20" s="781">
        <v>1.2920103092783499</v>
      </c>
    </row>
    <row r="21" spans="1:52" ht="15">
      <c r="A21" s="480"/>
      <c r="B21" s="677" t="s">
        <v>398</v>
      </c>
      <c r="C21" s="677" t="s">
        <v>399</v>
      </c>
      <c r="E21" s="677" t="s">
        <v>348</v>
      </c>
      <c r="F21" s="530">
        <f t="shared" si="8"/>
        <v>0.30897566226155593</v>
      </c>
      <c r="G21" s="530">
        <f t="shared" si="9"/>
        <v>0.9791044776119403</v>
      </c>
      <c r="H21" s="770">
        <f t="shared" si="10"/>
        <v>3015000000</v>
      </c>
      <c r="I21" s="771">
        <f t="shared" si="11"/>
        <v>-1.6496840024008752E-2</v>
      </c>
      <c r="J21" s="530">
        <f t="shared" si="12"/>
        <v>0.21111111111111111</v>
      </c>
      <c r="K21" s="757">
        <f t="shared" si="13"/>
        <v>10</v>
      </c>
      <c r="L21" s="756">
        <f t="shared" si="14"/>
        <v>77</v>
      </c>
      <c r="M21" s="756">
        <f t="shared" si="15"/>
        <v>41</v>
      </c>
      <c r="N21" s="756">
        <f t="shared" si="16"/>
        <v>69</v>
      </c>
      <c r="O21" s="756">
        <f t="shared" si="17"/>
        <v>16</v>
      </c>
      <c r="P21" s="485">
        <f t="shared" si="18"/>
        <v>2</v>
      </c>
      <c r="Q21" s="483">
        <f t="shared" si="19"/>
        <v>44</v>
      </c>
      <c r="R21" s="483">
        <f t="shared" si="20"/>
        <v>38</v>
      </c>
      <c r="S21" s="483">
        <f t="shared" si="21"/>
        <v>7</v>
      </c>
      <c r="T21" s="483">
        <f t="shared" si="22"/>
        <v>19</v>
      </c>
      <c r="U21" s="773">
        <f t="shared" si="23"/>
        <v>110</v>
      </c>
      <c r="V21" s="757">
        <f t="shared" si="24"/>
        <v>18</v>
      </c>
      <c r="W21" s="485">
        <f t="shared" si="25"/>
        <v>18</v>
      </c>
      <c r="Y21" s="483" t="str">
        <f t="shared" si="27"/>
        <v/>
      </c>
      <c r="Z21" s="485" t="str">
        <f t="shared" si="28"/>
        <v/>
      </c>
      <c r="AA21" s="472"/>
      <c r="AB21" s="483"/>
      <c r="AS21" s="784">
        <v>516700000</v>
      </c>
      <c r="AT21" s="784">
        <v>1672300000</v>
      </c>
      <c r="AU21" s="784">
        <v>623200000</v>
      </c>
      <c r="AV21" s="784">
        <v>636500000</v>
      </c>
      <c r="AW21" s="784">
        <v>5151500000</v>
      </c>
      <c r="AX21" s="784">
        <v>3015000000</v>
      </c>
      <c r="AY21" s="781">
        <v>6.96394</v>
      </c>
      <c r="AZ21" s="781">
        <v>7.0807500000000001</v>
      </c>
    </row>
    <row r="22" spans="1:52" ht="15">
      <c r="A22" s="480"/>
      <c r="B22" s="677" t="s">
        <v>400</v>
      </c>
      <c r="C22" s="677" t="s">
        <v>401</v>
      </c>
      <c r="E22" s="677" t="s">
        <v>348</v>
      </c>
      <c r="F22" s="530">
        <f t="shared" si="8"/>
        <v>0.21821430935204184</v>
      </c>
      <c r="G22" s="530">
        <f t="shared" si="9"/>
        <v>2.3949384722544695</v>
      </c>
      <c r="H22" s="770">
        <f t="shared" si="10"/>
        <v>9312042492</v>
      </c>
      <c r="I22" s="771">
        <f t="shared" si="11"/>
        <v>5.1048259930206008E-2</v>
      </c>
      <c r="J22" s="530">
        <f t="shared" si="12"/>
        <v>4.6251936712060272E-2</v>
      </c>
      <c r="K22" s="757">
        <f t="shared" si="13"/>
        <v>21</v>
      </c>
      <c r="L22" s="756">
        <f t="shared" si="14"/>
        <v>54</v>
      </c>
      <c r="M22" s="756">
        <f t="shared" si="15"/>
        <v>19</v>
      </c>
      <c r="N22" s="756">
        <f t="shared" si="16"/>
        <v>56</v>
      </c>
      <c r="O22" s="756">
        <f t="shared" si="17"/>
        <v>80</v>
      </c>
      <c r="P22" s="485">
        <f t="shared" si="18"/>
        <v>13</v>
      </c>
      <c r="Q22" s="483">
        <f t="shared" si="19"/>
        <v>21</v>
      </c>
      <c r="R22" s="483">
        <f t="shared" si="20"/>
        <v>16</v>
      </c>
      <c r="S22" s="483">
        <f t="shared" si="21"/>
        <v>20</v>
      </c>
      <c r="T22" s="483">
        <f t="shared" si="22"/>
        <v>45</v>
      </c>
      <c r="U22" s="773">
        <f t="shared" si="23"/>
        <v>115</v>
      </c>
      <c r="V22" s="757">
        <f t="shared" si="24"/>
        <v>21</v>
      </c>
      <c r="W22" s="485">
        <f t="shared" si="25"/>
        <v>21</v>
      </c>
      <c r="Y22" s="483" t="str">
        <f t="shared" si="27"/>
        <v/>
      </c>
      <c r="Z22" s="485" t="str">
        <f t="shared" si="28"/>
        <v/>
      </c>
      <c r="AA22" s="472"/>
      <c r="AB22" s="483"/>
      <c r="AS22" s="784">
        <v>329700000</v>
      </c>
      <c r="AT22" s="784">
        <v>1510900000</v>
      </c>
      <c r="AU22" s="784">
        <v>1031500000</v>
      </c>
      <c r="AV22" s="784">
        <v>430700000</v>
      </c>
      <c r="AW22" s="784">
        <v>4553200000</v>
      </c>
      <c r="AX22" s="784">
        <v>9312042492</v>
      </c>
      <c r="AY22" s="781">
        <v>4.2858700000000001</v>
      </c>
      <c r="AZ22" s="781">
        <v>4.0777099999999997</v>
      </c>
    </row>
    <row r="23" spans="1:52" ht="15">
      <c r="A23" s="480"/>
      <c r="B23" s="677" t="s">
        <v>402</v>
      </c>
      <c r="C23" s="677" t="s">
        <v>403</v>
      </c>
      <c r="E23" s="677" t="s">
        <v>360</v>
      </c>
      <c r="F23" s="530">
        <f t="shared" si="8"/>
        <v>0.19714462645481232</v>
      </c>
      <c r="G23" s="530">
        <f t="shared" si="9"/>
        <v>0.96852439834826343</v>
      </c>
      <c r="H23" s="770">
        <f t="shared" si="10"/>
        <v>7787621274.3153696</v>
      </c>
      <c r="I23" s="771">
        <f t="shared" si="11"/>
        <v>2.8357978556793784E-2</v>
      </c>
      <c r="J23" s="530">
        <f t="shared" si="12"/>
        <v>6.8274181615286061E-2</v>
      </c>
      <c r="K23" s="757">
        <f t="shared" si="13"/>
        <v>27</v>
      </c>
      <c r="L23" s="756">
        <f t="shared" si="14"/>
        <v>78</v>
      </c>
      <c r="M23" s="756">
        <f t="shared" si="15"/>
        <v>23</v>
      </c>
      <c r="N23" s="756">
        <f t="shared" si="16"/>
        <v>58</v>
      </c>
      <c r="O23" s="756">
        <f t="shared" si="17"/>
        <v>69</v>
      </c>
      <c r="P23" s="485">
        <f t="shared" si="18"/>
        <v>19</v>
      </c>
      <c r="Q23" s="483">
        <f t="shared" si="19"/>
        <v>45</v>
      </c>
      <c r="R23" s="483">
        <f t="shared" si="20"/>
        <v>20</v>
      </c>
      <c r="S23" s="483">
        <f t="shared" si="21"/>
        <v>18</v>
      </c>
      <c r="T23" s="483">
        <f t="shared" si="22"/>
        <v>34</v>
      </c>
      <c r="U23" s="773">
        <f t="shared" si="23"/>
        <v>136</v>
      </c>
      <c r="V23" s="757">
        <f t="shared" si="24"/>
        <v>28</v>
      </c>
      <c r="W23" s="485">
        <f t="shared" si="25"/>
        <v>28</v>
      </c>
      <c r="Y23" s="483" t="str">
        <f t="shared" si="27"/>
        <v/>
      </c>
      <c r="Z23" s="485" t="str">
        <f t="shared" si="28"/>
        <v/>
      </c>
      <c r="AA23" s="472"/>
      <c r="AB23" s="483"/>
      <c r="AS23" s="784">
        <v>399476783.69195902</v>
      </c>
      <c r="AT23" s="784">
        <v>2026313325.7833099</v>
      </c>
      <c r="AU23" s="784">
        <v>514958097.395244</v>
      </c>
      <c r="AV23" s="784">
        <v>531693469.23367298</v>
      </c>
      <c r="AW23" s="784">
        <v>3489845979.6149502</v>
      </c>
      <c r="AX23" s="784">
        <v>7787621274.3153696</v>
      </c>
      <c r="AY23" s="781">
        <v>4.7987224244224898</v>
      </c>
      <c r="AZ23" s="781">
        <v>4.6663929531203303</v>
      </c>
    </row>
    <row r="24" spans="1:52" ht="15">
      <c r="A24" s="480"/>
      <c r="B24" s="677" t="s">
        <v>404</v>
      </c>
      <c r="C24" s="677" t="s">
        <v>405</v>
      </c>
      <c r="E24" s="677" t="s">
        <v>348</v>
      </c>
      <c r="F24" s="530">
        <f t="shared" si="8"/>
        <v>0.13499180406903866</v>
      </c>
      <c r="G24" s="530">
        <f t="shared" si="9"/>
        <v>13.79904076738609</v>
      </c>
      <c r="H24" s="770">
        <f t="shared" si="10"/>
        <v>2246207063.52</v>
      </c>
      <c r="I24" s="771">
        <f t="shared" si="11"/>
        <v>0.16952113191538909</v>
      </c>
      <c r="J24" s="530">
        <f t="shared" si="12"/>
        <v>0.18564628647660161</v>
      </c>
      <c r="K24" s="757">
        <f t="shared" si="13"/>
        <v>51</v>
      </c>
      <c r="L24" s="756">
        <f t="shared" si="14"/>
        <v>4</v>
      </c>
      <c r="M24" s="756">
        <f t="shared" si="15"/>
        <v>47</v>
      </c>
      <c r="N24" s="756">
        <f t="shared" si="16"/>
        <v>39</v>
      </c>
      <c r="O24" s="756">
        <f t="shared" si="17"/>
        <v>24</v>
      </c>
      <c r="P24" s="485">
        <f t="shared" si="18"/>
        <v>43</v>
      </c>
      <c r="Q24" s="483">
        <f t="shared" si="19"/>
        <v>29</v>
      </c>
      <c r="R24" s="483">
        <f t="shared" si="20"/>
        <v>44</v>
      </c>
      <c r="S24" s="483">
        <f t="shared" si="21"/>
        <v>37</v>
      </c>
      <c r="T24" s="483">
        <f t="shared" si="22"/>
        <v>11</v>
      </c>
      <c r="U24" s="773">
        <f t="shared" si="23"/>
        <v>164</v>
      </c>
      <c r="V24" s="757">
        <f t="shared" si="24"/>
        <v>43</v>
      </c>
      <c r="W24" s="485">
        <f t="shared" si="25"/>
        <v>43</v>
      </c>
      <c r="Y24" s="483" t="str">
        <f t="shared" si="27"/>
        <v/>
      </c>
      <c r="Z24" s="485" t="str">
        <f t="shared" si="28"/>
        <v/>
      </c>
      <c r="AA24" s="472"/>
      <c r="AB24" s="483"/>
      <c r="AS24" s="784">
        <v>140000000</v>
      </c>
      <c r="AT24" s="784">
        <v>1037100000</v>
      </c>
      <c r="AU24" s="784">
        <v>5754200000</v>
      </c>
      <c r="AV24" s="784">
        <v>417000000</v>
      </c>
      <c r="AW24" s="784">
        <v>2983300000</v>
      </c>
      <c r="AX24" s="784">
        <v>2246207063.52</v>
      </c>
      <c r="AY24" s="781">
        <v>1.40601</v>
      </c>
      <c r="AZ24" s="781">
        <v>1.20221</v>
      </c>
    </row>
    <row r="25" spans="1:52" ht="15">
      <c r="A25" s="480"/>
      <c r="B25" s="677" t="s">
        <v>406</v>
      </c>
      <c r="C25" s="677" t="s">
        <v>407</v>
      </c>
      <c r="E25" s="677" t="s">
        <v>408</v>
      </c>
      <c r="F25" s="530">
        <f t="shared" si="8"/>
        <v>8.0644994596701214E-2</v>
      </c>
      <c r="G25" s="530">
        <f t="shared" si="9"/>
        <v>15.951746085051779</v>
      </c>
      <c r="H25" s="770">
        <f t="shared" si="10"/>
        <v>10133848940.876499</v>
      </c>
      <c r="I25" s="771">
        <f t="shared" si="11"/>
        <v>-0.13201457638497416</v>
      </c>
      <c r="J25" s="530">
        <f t="shared" si="12"/>
        <v>7.1441489552600101E-2</v>
      </c>
      <c r="K25" s="757">
        <f t="shared" si="13"/>
        <v>73</v>
      </c>
      <c r="L25" s="756">
        <f t="shared" si="14"/>
        <v>3</v>
      </c>
      <c r="M25" s="756">
        <f t="shared" si="15"/>
        <v>16</v>
      </c>
      <c r="N25" s="756">
        <f t="shared" si="16"/>
        <v>78</v>
      </c>
      <c r="O25" s="756">
        <f t="shared" si="17"/>
        <v>67</v>
      </c>
      <c r="P25" s="485">
        <f t="shared" si="18"/>
        <v>65</v>
      </c>
      <c r="Q25" s="483">
        <f t="shared" si="19"/>
        <v>30</v>
      </c>
      <c r="R25" s="483">
        <f t="shared" si="20"/>
        <v>13</v>
      </c>
      <c r="S25" s="483">
        <f t="shared" si="21"/>
        <v>2</v>
      </c>
      <c r="T25" s="483">
        <f t="shared" si="22"/>
        <v>32</v>
      </c>
      <c r="U25" s="773">
        <f t="shared" si="23"/>
        <v>142</v>
      </c>
      <c r="V25" s="757">
        <f t="shared" si="24"/>
        <v>33</v>
      </c>
      <c r="W25" s="485">
        <f t="shared" si="25"/>
        <v>33</v>
      </c>
      <c r="Y25" s="483" t="str">
        <f t="shared" si="27"/>
        <v/>
      </c>
      <c r="Z25" s="485" t="str">
        <f t="shared" si="28"/>
        <v/>
      </c>
      <c r="AA25" s="472"/>
      <c r="AB25" s="483"/>
      <c r="AS25" s="784">
        <v>622668033.40486002</v>
      </c>
      <c r="AT25" s="784">
        <v>7721099573.7400703</v>
      </c>
      <c r="AU25" s="784">
        <v>11548701474.5114</v>
      </c>
      <c r="AV25" s="784">
        <v>723977263.23725605</v>
      </c>
      <c r="AW25" s="784">
        <v>13602204139.360901</v>
      </c>
      <c r="AX25" s="784">
        <v>10133848940.876499</v>
      </c>
      <c r="AY25" s="781">
        <v>7.1923729049114996E-2</v>
      </c>
      <c r="AZ25" s="781">
        <v>8.2862830518009994E-2</v>
      </c>
    </row>
    <row r="26" spans="1:52" ht="15">
      <c r="A26" s="480"/>
      <c r="B26" s="677" t="s">
        <v>409</v>
      </c>
      <c r="C26" s="677" t="s">
        <v>410</v>
      </c>
      <c r="E26" s="677" t="s">
        <v>348</v>
      </c>
      <c r="F26" s="530">
        <f t="shared" si="8"/>
        <v>0.42194119702418215</v>
      </c>
      <c r="G26" s="530">
        <f t="shared" si="9"/>
        <v>1.2709289018397238</v>
      </c>
      <c r="H26" s="770">
        <f t="shared" si="10"/>
        <v>1280887322.3099999</v>
      </c>
      <c r="I26" s="771">
        <f t="shared" si="11"/>
        <v>-0.52120621691390268</v>
      </c>
      <c r="J26" s="530">
        <f t="shared" si="12"/>
        <v>0.24354132839524054</v>
      </c>
      <c r="K26" s="757">
        <f t="shared" si="13"/>
        <v>5</v>
      </c>
      <c r="L26" s="756">
        <f t="shared" si="14"/>
        <v>71</v>
      </c>
      <c r="M26" s="756">
        <f t="shared" si="15"/>
        <v>59</v>
      </c>
      <c r="N26" s="756">
        <f t="shared" si="16"/>
        <v>97</v>
      </c>
      <c r="O26" s="756">
        <f t="shared" si="17"/>
        <v>9</v>
      </c>
      <c r="P26" s="485">
        <f t="shared" si="18"/>
        <v>3</v>
      </c>
      <c r="Q26" s="483">
        <f t="shared" si="19"/>
        <v>38</v>
      </c>
      <c r="R26" s="483">
        <f t="shared" si="20"/>
        <v>56</v>
      </c>
      <c r="S26" s="483">
        <f t="shared" si="21"/>
        <v>21</v>
      </c>
      <c r="T26" s="483">
        <f t="shared" si="22"/>
        <v>26</v>
      </c>
      <c r="U26" s="773">
        <f t="shared" si="23"/>
        <v>144</v>
      </c>
      <c r="V26" s="757">
        <f t="shared" si="24"/>
        <v>35</v>
      </c>
      <c r="W26" s="485">
        <f t="shared" si="25"/>
        <v>35</v>
      </c>
      <c r="Y26" s="483" t="str">
        <f t="shared" si="27"/>
        <v/>
      </c>
      <c r="Z26" s="485" t="str">
        <f t="shared" si="28"/>
        <v/>
      </c>
      <c r="AA26" s="472"/>
      <c r="AB26" s="483"/>
      <c r="AS26" s="784">
        <v>231855000</v>
      </c>
      <c r="AT26" s="784">
        <v>549496000</v>
      </c>
      <c r="AU26" s="784">
        <v>396465000</v>
      </c>
      <c r="AV26" s="784">
        <v>311949000</v>
      </c>
      <c r="AW26" s="784">
        <v>2536500000</v>
      </c>
      <c r="AX26" s="784">
        <v>1280887322.3099999</v>
      </c>
      <c r="AY26" s="781">
        <v>2.2312699999999999</v>
      </c>
      <c r="AZ26" s="781">
        <v>4.6601900000000001</v>
      </c>
    </row>
    <row r="27" spans="1:52" ht="15">
      <c r="A27" s="480"/>
      <c r="B27" s="677" t="s">
        <v>411</v>
      </c>
      <c r="C27" s="677" t="s">
        <v>412</v>
      </c>
      <c r="E27" s="677" t="s">
        <v>360</v>
      </c>
      <c r="F27" s="530">
        <f t="shared" si="8"/>
        <v>0.1632083057087643</v>
      </c>
      <c r="G27" s="530">
        <f t="shared" si="9"/>
        <v>3.696127989609693</v>
      </c>
      <c r="H27" s="770">
        <f t="shared" si="10"/>
        <v>518607387.58833897</v>
      </c>
      <c r="I27" s="771">
        <f t="shared" si="11"/>
        <v>1.0775991729998102E-2</v>
      </c>
      <c r="J27" s="530">
        <f t="shared" si="12"/>
        <v>0.19728037669001475</v>
      </c>
      <c r="K27" s="757">
        <f t="shared" si="13"/>
        <v>41</v>
      </c>
      <c r="L27" s="756">
        <f t="shared" si="14"/>
        <v>39</v>
      </c>
      <c r="M27" s="756">
        <f t="shared" si="15"/>
        <v>84</v>
      </c>
      <c r="N27" s="756">
        <f t="shared" si="16"/>
        <v>63</v>
      </c>
      <c r="O27" s="756">
        <f t="shared" si="17"/>
        <v>20</v>
      </c>
      <c r="P27" s="485">
        <f t="shared" si="18"/>
        <v>33</v>
      </c>
      <c r="Q27" s="483">
        <f t="shared" si="19"/>
        <v>6</v>
      </c>
      <c r="R27" s="483">
        <f t="shared" si="20"/>
        <v>81</v>
      </c>
      <c r="S27" s="483">
        <f t="shared" si="21"/>
        <v>13</v>
      </c>
      <c r="T27" s="483">
        <f t="shared" si="22"/>
        <v>15</v>
      </c>
      <c r="U27" s="773">
        <f t="shared" si="23"/>
        <v>148</v>
      </c>
      <c r="V27" s="757">
        <f t="shared" si="24"/>
        <v>36</v>
      </c>
      <c r="W27" s="485">
        <f t="shared" si="25"/>
        <v>36</v>
      </c>
      <c r="Y27" s="483" t="str">
        <f t="shared" si="27"/>
        <v/>
      </c>
      <c r="Z27" s="485" t="str">
        <f t="shared" si="28"/>
        <v/>
      </c>
      <c r="AA27" s="472"/>
      <c r="AB27" s="483"/>
      <c r="AS27" s="784">
        <v>61147602.8690072</v>
      </c>
      <c r="AT27" s="784">
        <v>374659871.64967901</v>
      </c>
      <c r="AU27" s="784">
        <v>378154775.38693798</v>
      </c>
      <c r="AV27" s="784">
        <v>102311060.777652</v>
      </c>
      <c r="AW27" s="784">
        <v>1626785956.96489</v>
      </c>
      <c r="AX27" s="784">
        <v>518607387.58833897</v>
      </c>
      <c r="AY27" s="781">
        <v>2.7926878204651899</v>
      </c>
      <c r="AZ27" s="781">
        <v>2.76291467477908</v>
      </c>
    </row>
    <row r="28" spans="1:52" ht="15">
      <c r="A28" s="480"/>
      <c r="B28" s="677" t="s">
        <v>413</v>
      </c>
      <c r="C28" s="677" t="s">
        <v>414</v>
      </c>
      <c r="E28" s="677" t="s">
        <v>415</v>
      </c>
      <c r="F28" s="530">
        <f t="shared" si="8"/>
        <v>0.10794317832366943</v>
      </c>
      <c r="G28" s="530">
        <f t="shared" si="9"/>
        <v>5.0560119450393861</v>
      </c>
      <c r="H28" s="770">
        <f t="shared" si="10"/>
        <v>1257412783.7676799</v>
      </c>
      <c r="I28" s="771">
        <f t="shared" si="11"/>
        <v>0.47888418868310967</v>
      </c>
      <c r="J28" s="530">
        <f t="shared" si="12"/>
        <v>0.15694420385251331</v>
      </c>
      <c r="K28" s="757">
        <f t="shared" si="13"/>
        <v>62</v>
      </c>
      <c r="L28" s="756">
        <f t="shared" si="14"/>
        <v>24</v>
      </c>
      <c r="M28" s="756">
        <f t="shared" si="15"/>
        <v>60</v>
      </c>
      <c r="N28" s="756">
        <f t="shared" si="16"/>
        <v>15</v>
      </c>
      <c r="O28" s="756">
        <f t="shared" si="17"/>
        <v>29</v>
      </c>
      <c r="P28" s="485">
        <f t="shared" si="18"/>
        <v>54</v>
      </c>
      <c r="Q28" s="483">
        <f t="shared" si="19"/>
        <v>9</v>
      </c>
      <c r="R28" s="483">
        <f t="shared" si="20"/>
        <v>57</v>
      </c>
      <c r="S28" s="483">
        <f t="shared" si="21"/>
        <v>61</v>
      </c>
      <c r="T28" s="483">
        <f t="shared" si="22"/>
        <v>6</v>
      </c>
      <c r="U28" s="773">
        <f t="shared" si="23"/>
        <v>187</v>
      </c>
      <c r="V28" s="757">
        <f t="shared" si="24"/>
        <v>62</v>
      </c>
      <c r="W28" s="485">
        <f t="shared" si="25"/>
        <v>62</v>
      </c>
      <c r="Y28" s="483" t="str">
        <f t="shared" si="27"/>
        <v/>
      </c>
      <c r="Z28" s="485" t="str">
        <f t="shared" si="28"/>
        <v/>
      </c>
      <c r="AA28" s="472"/>
      <c r="AB28" s="483"/>
      <c r="AS28" s="784">
        <v>101880524.8695</v>
      </c>
      <c r="AT28" s="784">
        <v>943834769.84538603</v>
      </c>
      <c r="AU28" s="784">
        <v>997771842.89230001</v>
      </c>
      <c r="AV28" s="784">
        <v>197343648.262391</v>
      </c>
      <c r="AW28" s="784">
        <v>4221563131.1180501</v>
      </c>
      <c r="AX28" s="784">
        <v>1257412783.7676799</v>
      </c>
      <c r="AY28" s="781">
        <v>3.8355697041471601</v>
      </c>
      <c r="AZ28" s="781">
        <v>2.5935565025971301</v>
      </c>
    </row>
    <row r="29" spans="1:52" ht="15">
      <c r="A29" s="480"/>
      <c r="B29" s="677" t="s">
        <v>416</v>
      </c>
      <c r="C29" s="677" t="s">
        <v>417</v>
      </c>
      <c r="E29" s="677" t="s">
        <v>381</v>
      </c>
      <c r="F29" s="530">
        <f t="shared" si="8"/>
        <v>0.22867683702596647</v>
      </c>
      <c r="G29" s="530">
        <f t="shared" si="9"/>
        <v>3.1081848773505016</v>
      </c>
      <c r="H29" s="770">
        <f t="shared" si="10"/>
        <v>1566004959.3294599</v>
      </c>
      <c r="I29" s="771">
        <f t="shared" si="11"/>
        <v>0.36368856224161727</v>
      </c>
      <c r="J29" s="530">
        <f t="shared" si="12"/>
        <v>0.10536068985582048</v>
      </c>
      <c r="K29" s="757">
        <f t="shared" si="13"/>
        <v>20</v>
      </c>
      <c r="L29" s="756">
        <f t="shared" si="14"/>
        <v>44</v>
      </c>
      <c r="M29" s="756">
        <f t="shared" si="15"/>
        <v>56</v>
      </c>
      <c r="N29" s="756">
        <f t="shared" si="16"/>
        <v>22</v>
      </c>
      <c r="O29" s="756">
        <f t="shared" si="17"/>
        <v>48</v>
      </c>
      <c r="P29" s="485">
        <f t="shared" ref="P29:P40" si="29">IFERROR(ABS(K$3-K29),"N/A")</f>
        <v>12</v>
      </c>
      <c r="Q29" s="483">
        <f t="shared" ref="Q29:Q40" si="30">IFERROR(ABS(L$3-L29),"N/A")</f>
        <v>11</v>
      </c>
      <c r="R29" s="483">
        <f t="shared" ref="R29:R40" si="31">IFERROR(ABS(M$3-M29),"N/A")</f>
        <v>53</v>
      </c>
      <c r="S29" s="483">
        <f t="shared" ref="S29:S40" si="32">IFERROR(ABS(N$3-N29),"N/A")</f>
        <v>54</v>
      </c>
      <c r="T29" s="483">
        <f t="shared" ref="T29:T40" si="33">IFERROR(ABS(O$3-O29),"N/A")</f>
        <v>13</v>
      </c>
      <c r="U29" s="773">
        <f t="shared" ref="U29:U40" si="34">SUM(P29:T29)</f>
        <v>143</v>
      </c>
      <c r="V29" s="757">
        <f t="shared" si="24"/>
        <v>34</v>
      </c>
      <c r="W29" s="485">
        <f t="shared" si="25"/>
        <v>34</v>
      </c>
      <c r="Y29" s="483" t="str">
        <f t="shared" si="27"/>
        <v/>
      </c>
      <c r="Z29" s="485" t="str">
        <f t="shared" si="28"/>
        <v/>
      </c>
      <c r="AA29" s="472"/>
      <c r="AB29" s="483"/>
      <c r="AS29" s="784">
        <v>167105170.95690501</v>
      </c>
      <c r="AT29" s="784">
        <v>730748129.67580998</v>
      </c>
      <c r="AU29" s="784">
        <v>512836091.58920902</v>
      </c>
      <c r="AV29" s="784">
        <v>164995362.83258799</v>
      </c>
      <c r="AW29" s="784">
        <v>1377386698.5429001</v>
      </c>
      <c r="AX29" s="784">
        <v>1566004959.3294599</v>
      </c>
      <c r="AY29" s="781">
        <v>0.195360697540512</v>
      </c>
      <c r="AZ29" s="781">
        <v>0.14325902772065499</v>
      </c>
    </row>
    <row r="30" spans="1:52" ht="15">
      <c r="A30" s="480"/>
      <c r="B30" s="677" t="s">
        <v>418</v>
      </c>
      <c r="C30" s="677" t="s">
        <v>419</v>
      </c>
      <c r="E30" s="677" t="s">
        <v>348</v>
      </c>
      <c r="F30" s="530">
        <f t="shared" si="8"/>
        <v>5.8082482906510816E-2</v>
      </c>
      <c r="G30" s="530">
        <f t="shared" si="9"/>
        <v>4.8199834425240953</v>
      </c>
      <c r="H30" s="770">
        <f t="shared" si="10"/>
        <v>1249734803.8800001</v>
      </c>
      <c r="I30" s="771">
        <f t="shared" si="11"/>
        <v>2.439371681200786E-2</v>
      </c>
      <c r="J30" s="530">
        <f t="shared" si="12"/>
        <v>7.8289409638138491E-2</v>
      </c>
      <c r="K30" s="757">
        <f t="shared" si="13"/>
        <v>81</v>
      </c>
      <c r="L30" s="756">
        <f t="shared" si="14"/>
        <v>27</v>
      </c>
      <c r="M30" s="756">
        <f t="shared" si="15"/>
        <v>62</v>
      </c>
      <c r="N30" s="756">
        <f t="shared" si="16"/>
        <v>60</v>
      </c>
      <c r="O30" s="756">
        <f t="shared" si="17"/>
        <v>61</v>
      </c>
      <c r="P30" s="485">
        <f t="shared" si="29"/>
        <v>73</v>
      </c>
      <c r="Q30" s="483">
        <f t="shared" si="30"/>
        <v>6</v>
      </c>
      <c r="R30" s="483">
        <f t="shared" si="31"/>
        <v>59</v>
      </c>
      <c r="S30" s="483">
        <f t="shared" si="32"/>
        <v>16</v>
      </c>
      <c r="T30" s="483">
        <f t="shared" si="33"/>
        <v>26</v>
      </c>
      <c r="U30" s="773">
        <f t="shared" si="34"/>
        <v>180</v>
      </c>
      <c r="V30" s="757">
        <f t="shared" si="24"/>
        <v>57</v>
      </c>
      <c r="W30" s="485">
        <f t="shared" si="25"/>
        <v>57</v>
      </c>
      <c r="Y30" s="483" t="str">
        <f t="shared" si="27"/>
        <v/>
      </c>
      <c r="Z30" s="485" t="str">
        <f t="shared" si="28"/>
        <v/>
      </c>
      <c r="AA30" s="472"/>
      <c r="AB30" s="483"/>
      <c r="AS30" s="784">
        <v>48429000</v>
      </c>
      <c r="AT30" s="784">
        <v>833797000</v>
      </c>
      <c r="AU30" s="784">
        <v>471592000</v>
      </c>
      <c r="AV30" s="784">
        <v>97841000</v>
      </c>
      <c r="AW30" s="784">
        <v>936240000</v>
      </c>
      <c r="AX30" s="784">
        <v>1249734803.8800001</v>
      </c>
      <c r="AY30" s="781">
        <v>2.9496699999999998</v>
      </c>
      <c r="AZ30" s="781">
        <v>2.8794300000000002</v>
      </c>
    </row>
    <row r="31" spans="1:52" ht="15">
      <c r="A31" s="480"/>
      <c r="B31" s="677" t="s">
        <v>420</v>
      </c>
      <c r="C31" s="677" t="s">
        <v>421</v>
      </c>
      <c r="E31" s="677" t="s">
        <v>363</v>
      </c>
      <c r="F31" s="530">
        <f t="shared" si="8"/>
        <v>0.13140692543622753</v>
      </c>
      <c r="G31" s="530">
        <f t="shared" si="9"/>
        <v>6.7407864062581089</v>
      </c>
      <c r="H31" s="770">
        <f t="shared" si="10"/>
        <v>1794441133.4453101</v>
      </c>
      <c r="I31" s="771">
        <f t="shared" si="11"/>
        <v>0.23062047758247628</v>
      </c>
      <c r="J31" s="530">
        <f t="shared" si="12"/>
        <v>0.23024635341700506</v>
      </c>
      <c r="K31" s="757">
        <f t="shared" si="13"/>
        <v>53</v>
      </c>
      <c r="L31" s="756">
        <f t="shared" si="14"/>
        <v>14</v>
      </c>
      <c r="M31" s="756">
        <f t="shared" si="15"/>
        <v>53</v>
      </c>
      <c r="N31" s="756">
        <f t="shared" si="16"/>
        <v>31</v>
      </c>
      <c r="O31" s="756">
        <f t="shared" si="17"/>
        <v>10</v>
      </c>
      <c r="P31" s="485">
        <f t="shared" si="29"/>
        <v>45</v>
      </c>
      <c r="Q31" s="483">
        <f t="shared" si="30"/>
        <v>19</v>
      </c>
      <c r="R31" s="483">
        <f t="shared" si="31"/>
        <v>50</v>
      </c>
      <c r="S31" s="483">
        <f t="shared" si="32"/>
        <v>45</v>
      </c>
      <c r="T31" s="483">
        <f t="shared" si="33"/>
        <v>25</v>
      </c>
      <c r="U31" s="773">
        <f t="shared" si="34"/>
        <v>184</v>
      </c>
      <c r="V31" s="757">
        <f t="shared" si="24"/>
        <v>59</v>
      </c>
      <c r="W31" s="485">
        <f t="shared" si="25"/>
        <v>59</v>
      </c>
      <c r="Y31" s="483" t="str">
        <f t="shared" si="27"/>
        <v/>
      </c>
      <c r="Z31" s="485" t="str">
        <f t="shared" si="28"/>
        <v/>
      </c>
      <c r="AA31" s="472"/>
      <c r="AB31" s="483"/>
      <c r="AS31" s="784">
        <v>288500642.12328798</v>
      </c>
      <c r="AT31" s="784">
        <v>2195475171.2328801</v>
      </c>
      <c r="AU31" s="784">
        <v>2785047089.0411</v>
      </c>
      <c r="AV31" s="784">
        <v>413163527.39726001</v>
      </c>
      <c r="AW31" s="784">
        <v>5097703339.0410995</v>
      </c>
      <c r="AX31" s="784">
        <v>1794441133.4453101</v>
      </c>
      <c r="AY31" s="781">
        <v>3.2683198271204801</v>
      </c>
      <c r="AZ31" s="781">
        <v>2.6558308484684199</v>
      </c>
    </row>
    <row r="32" spans="1:52" ht="15">
      <c r="A32" s="480"/>
      <c r="B32" s="677" t="s">
        <v>422</v>
      </c>
      <c r="C32" s="677" t="s">
        <v>423</v>
      </c>
      <c r="E32" s="677" t="s">
        <v>424</v>
      </c>
      <c r="F32" s="530">
        <f t="shared" si="8"/>
        <v>7.1315043386122268E-2</v>
      </c>
      <c r="G32" s="530">
        <f t="shared" si="9"/>
        <v>7.2240221362561714</v>
      </c>
      <c r="H32" s="770">
        <f t="shared" si="10"/>
        <v>204285702.17261699</v>
      </c>
      <c r="I32" s="771">
        <f t="shared" si="11"/>
        <v>0.37340711105094249</v>
      </c>
      <c r="J32" s="530">
        <f t="shared" si="12"/>
        <v>0.20109189125161397</v>
      </c>
      <c r="K32" s="757">
        <f t="shared" si="13"/>
        <v>77</v>
      </c>
      <c r="L32" s="756">
        <f t="shared" si="14"/>
        <v>13</v>
      </c>
      <c r="M32" s="756">
        <f t="shared" si="15"/>
        <v>93</v>
      </c>
      <c r="N32" s="756">
        <f t="shared" si="16"/>
        <v>21</v>
      </c>
      <c r="O32" s="756">
        <f t="shared" si="17"/>
        <v>17</v>
      </c>
      <c r="P32" s="485">
        <f t="shared" si="29"/>
        <v>69</v>
      </c>
      <c r="Q32" s="483">
        <f t="shared" si="30"/>
        <v>20</v>
      </c>
      <c r="R32" s="483">
        <f t="shared" si="31"/>
        <v>90</v>
      </c>
      <c r="S32" s="483">
        <f t="shared" si="32"/>
        <v>55</v>
      </c>
      <c r="T32" s="483">
        <f t="shared" si="33"/>
        <v>18</v>
      </c>
      <c r="U32" s="773">
        <f t="shared" si="34"/>
        <v>252</v>
      </c>
      <c r="V32" s="757">
        <f t="shared" si="24"/>
        <v>83</v>
      </c>
      <c r="W32" s="485">
        <f t="shared" si="25"/>
        <v>83</v>
      </c>
      <c r="Y32" s="483" t="str">
        <f t="shared" si="27"/>
        <v/>
      </c>
      <c r="Z32" s="485" t="str">
        <f t="shared" si="28"/>
        <v/>
      </c>
      <c r="AA32" s="472"/>
      <c r="AB32" s="483"/>
      <c r="AS32" s="784">
        <v>21985807.775926199</v>
      </c>
      <c r="AT32" s="784">
        <v>308291304.77966702</v>
      </c>
      <c r="AU32" s="784">
        <v>296764261.19872397</v>
      </c>
      <c r="AV32" s="784">
        <v>41080198.205555499</v>
      </c>
      <c r="AW32" s="784">
        <v>624984273.77970099</v>
      </c>
      <c r="AX32" s="784">
        <v>204285702.17261699</v>
      </c>
      <c r="AY32" s="781">
        <v>0.17492584665196301</v>
      </c>
      <c r="AZ32" s="781">
        <v>0.12736634698076399</v>
      </c>
    </row>
    <row r="33" spans="1:52" ht="15">
      <c r="A33" s="480"/>
      <c r="B33" s="677" t="s">
        <v>425</v>
      </c>
      <c r="C33" s="677" t="s">
        <v>426</v>
      </c>
      <c r="E33" s="677" t="s">
        <v>389</v>
      </c>
      <c r="F33" s="530">
        <f t="shared" si="8"/>
        <v>5.1784065110480539E-2</v>
      </c>
      <c r="G33" s="530">
        <f t="shared" si="9"/>
        <v>10.000582681985101</v>
      </c>
      <c r="H33" s="770">
        <f t="shared" si="10"/>
        <v>33938597838.3372</v>
      </c>
      <c r="I33" s="771">
        <f t="shared" si="11"/>
        <v>0.17214721291517199</v>
      </c>
      <c r="J33" s="530">
        <f t="shared" si="12"/>
        <v>3.7700259270911821E-2</v>
      </c>
      <c r="K33" s="757">
        <f t="shared" si="13"/>
        <v>84</v>
      </c>
      <c r="L33" s="756">
        <f t="shared" si="14"/>
        <v>9</v>
      </c>
      <c r="M33" s="756">
        <f t="shared" si="15"/>
        <v>6</v>
      </c>
      <c r="N33" s="756">
        <f t="shared" si="16"/>
        <v>38</v>
      </c>
      <c r="O33" s="756">
        <f t="shared" si="17"/>
        <v>86</v>
      </c>
      <c r="P33" s="485">
        <f t="shared" si="29"/>
        <v>76</v>
      </c>
      <c r="Q33" s="483">
        <f t="shared" si="30"/>
        <v>24</v>
      </c>
      <c r="R33" s="483">
        <f t="shared" si="31"/>
        <v>3</v>
      </c>
      <c r="S33" s="483">
        <f t="shared" si="32"/>
        <v>38</v>
      </c>
      <c r="T33" s="483">
        <f t="shared" si="33"/>
        <v>51</v>
      </c>
      <c r="U33" s="773">
        <f t="shared" si="34"/>
        <v>192</v>
      </c>
      <c r="V33" s="757">
        <f t="shared" si="24"/>
        <v>65</v>
      </c>
      <c r="W33" s="485">
        <f t="shared" si="25"/>
        <v>65</v>
      </c>
      <c r="Y33" s="483" t="str">
        <f t="shared" si="27"/>
        <v/>
      </c>
      <c r="Z33" s="485" t="str">
        <f t="shared" si="28"/>
        <v/>
      </c>
      <c r="AA33" s="472"/>
      <c r="AB33" s="483"/>
      <c r="AS33" s="784">
        <v>1496475638.22577</v>
      </c>
      <c r="AT33" s="784">
        <v>28898380902.176399</v>
      </c>
      <c r="AU33" s="784">
        <v>12795684916.032801</v>
      </c>
      <c r="AV33" s="784">
        <v>1279493937.79652</v>
      </c>
      <c r="AW33" s="784">
        <v>25452903080.051201</v>
      </c>
      <c r="AX33" s="784">
        <v>33938597838.3372</v>
      </c>
      <c r="AY33" s="781">
        <v>5.3372933025404201</v>
      </c>
      <c r="AZ33" s="781">
        <v>4.5534325754752096</v>
      </c>
    </row>
    <row r="34" spans="1:52" ht="15">
      <c r="A34" s="480"/>
      <c r="B34" s="677" t="s">
        <v>427</v>
      </c>
      <c r="C34" s="677" t="s">
        <v>428</v>
      </c>
      <c r="E34" s="677" t="s">
        <v>389</v>
      </c>
      <c r="F34" s="530">
        <f t="shared" ref="F34:F62" si="35">AS34/AT34</f>
        <v>4.4817014224554468E-2</v>
      </c>
      <c r="G34" s="530">
        <f t="shared" ref="G34:G62" si="36">AU34/AV34</f>
        <v>4.5111649046536959</v>
      </c>
      <c r="H34" s="770">
        <f t="shared" si="10"/>
        <v>1105730513.8238201</v>
      </c>
      <c r="I34" s="771">
        <f t="shared" si="11"/>
        <v>9.086595043264234E-2</v>
      </c>
      <c r="J34" s="530">
        <f t="shared" ref="J34:J62" si="37">AV34/AX34</f>
        <v>0.12977775180838885</v>
      </c>
      <c r="K34" s="757">
        <f t="shared" si="13"/>
        <v>86</v>
      </c>
      <c r="L34" s="756">
        <f t="shared" si="14"/>
        <v>28</v>
      </c>
      <c r="M34" s="756">
        <f t="shared" si="15"/>
        <v>65</v>
      </c>
      <c r="N34" s="756">
        <f t="shared" si="16"/>
        <v>52</v>
      </c>
      <c r="O34" s="756">
        <f t="shared" si="17"/>
        <v>39</v>
      </c>
      <c r="P34" s="485">
        <f t="shared" si="29"/>
        <v>78</v>
      </c>
      <c r="Q34" s="483">
        <f t="shared" si="30"/>
        <v>5</v>
      </c>
      <c r="R34" s="483">
        <f t="shared" si="31"/>
        <v>62</v>
      </c>
      <c r="S34" s="483">
        <f t="shared" si="32"/>
        <v>24</v>
      </c>
      <c r="T34" s="483">
        <f t="shared" si="33"/>
        <v>4</v>
      </c>
      <c r="U34" s="773">
        <f t="shared" si="34"/>
        <v>173</v>
      </c>
      <c r="V34" s="757">
        <f t="shared" si="24"/>
        <v>50</v>
      </c>
      <c r="W34" s="485">
        <f t="shared" ref="W34:W62" si="38">IF(Y34="Not suitable","-",V34)</f>
        <v>50</v>
      </c>
      <c r="Y34" s="483" t="str">
        <f t="shared" si="27"/>
        <v/>
      </c>
      <c r="Z34" s="485" t="str">
        <f t="shared" si="28"/>
        <v/>
      </c>
      <c r="AA34" s="472"/>
      <c r="AB34" s="483"/>
      <c r="AS34" s="784">
        <v>57514532.822912201</v>
      </c>
      <c r="AT34" s="784">
        <v>1283319154.9695201</v>
      </c>
      <c r="AU34" s="784">
        <v>647348645.96625602</v>
      </c>
      <c r="AV34" s="784">
        <v>143499220.18999001</v>
      </c>
      <c r="AW34" s="784">
        <v>1986856656.7418101</v>
      </c>
      <c r="AX34" s="784">
        <v>1105730513.8238201</v>
      </c>
      <c r="AY34" s="781">
        <v>0.62318706697459603</v>
      </c>
      <c r="AZ34" s="781">
        <v>0.57127740280777595</v>
      </c>
    </row>
    <row r="35" spans="1:52" ht="15">
      <c r="A35" s="480"/>
      <c r="B35" s="677" t="s">
        <v>429</v>
      </c>
      <c r="C35" s="677" t="s">
        <v>430</v>
      </c>
      <c r="E35" s="677" t="s">
        <v>389</v>
      </c>
      <c r="F35" s="530">
        <f t="shared" si="35"/>
        <v>2.1798502933441197E-2</v>
      </c>
      <c r="G35" s="530">
        <f t="shared" si="36"/>
        <v>0.5386666666666674</v>
      </c>
      <c r="H35" s="770">
        <f t="shared" si="10"/>
        <v>386782180.87759799</v>
      </c>
      <c r="I35" s="771">
        <f t="shared" si="11"/>
        <v>4.0538305084745758</v>
      </c>
      <c r="J35" s="530">
        <f t="shared" si="37"/>
        <v>2.6648469536288761E-2</v>
      </c>
      <c r="K35" s="757">
        <f t="shared" si="13"/>
        <v>91</v>
      </c>
      <c r="L35" s="756">
        <f t="shared" si="14"/>
        <v>84</v>
      </c>
      <c r="M35" s="756">
        <f t="shared" si="15"/>
        <v>86</v>
      </c>
      <c r="N35" s="756">
        <f t="shared" si="16"/>
        <v>2</v>
      </c>
      <c r="O35" s="756">
        <f t="shared" si="17"/>
        <v>89</v>
      </c>
      <c r="P35" s="485">
        <f t="shared" si="29"/>
        <v>83</v>
      </c>
      <c r="Q35" s="483">
        <f t="shared" si="30"/>
        <v>51</v>
      </c>
      <c r="R35" s="483">
        <f t="shared" si="31"/>
        <v>83</v>
      </c>
      <c r="S35" s="483">
        <f t="shared" si="32"/>
        <v>74</v>
      </c>
      <c r="T35" s="483">
        <f t="shared" si="33"/>
        <v>54</v>
      </c>
      <c r="U35" s="773">
        <f t="shared" si="34"/>
        <v>345</v>
      </c>
      <c r="V35" s="757">
        <f t="shared" si="24"/>
        <v>99</v>
      </c>
      <c r="W35" s="485">
        <f t="shared" si="38"/>
        <v>99</v>
      </c>
      <c r="Y35" s="483" t="str">
        <f t="shared" si="27"/>
        <v/>
      </c>
      <c r="Z35" s="485" t="str">
        <f t="shared" si="28"/>
        <v/>
      </c>
      <c r="AA35" s="472"/>
      <c r="AB35" s="483"/>
      <c r="AS35" s="784">
        <v>5923177.3517487803</v>
      </c>
      <c r="AT35" s="784">
        <v>271724043.15261501</v>
      </c>
      <c r="AU35" s="784">
        <v>5552119.8378341198</v>
      </c>
      <c r="AV35" s="784">
        <v>10307153.164295999</v>
      </c>
      <c r="AW35" s="784">
        <v>201140658.28351501</v>
      </c>
      <c r="AX35" s="784">
        <v>386782180.87759799</v>
      </c>
      <c r="AY35" s="781">
        <v>0.63172881355932198</v>
      </c>
      <c r="AZ35" s="781">
        <v>0.125</v>
      </c>
    </row>
    <row r="36" spans="1:52" ht="15">
      <c r="A36" s="480"/>
      <c r="B36" s="677" t="s">
        <v>431</v>
      </c>
      <c r="C36" s="677" t="s">
        <v>432</v>
      </c>
      <c r="E36" s="677" t="s">
        <v>348</v>
      </c>
      <c r="F36" s="530">
        <f t="shared" si="35"/>
        <v>0.23688448901582665</v>
      </c>
      <c r="G36" s="530">
        <f t="shared" si="36"/>
        <v>0.82221830157609976</v>
      </c>
      <c r="H36" s="770">
        <f t="shared" si="10"/>
        <v>8776554339.8799992</v>
      </c>
      <c r="I36" s="771">
        <f t="shared" ref="I36:I67" si="39">IFERROR((AY36/AZ36)-1,"-")</f>
        <v>-0.17287978223864964</v>
      </c>
      <c r="J36" s="530">
        <f t="shared" si="37"/>
        <v>0.19374345946603566</v>
      </c>
      <c r="K36" s="757">
        <f t="shared" ref="K36:K67" si="40">IFERROR(_xlfn.RANK.EQ(F36,F$3:F$102),"N/A")</f>
        <v>19</v>
      </c>
      <c r="L36" s="756">
        <f t="shared" ref="L36:L67" si="41">IFERROR(_xlfn.RANK.EQ(G36,G$3:G$102),"N/A")</f>
        <v>79</v>
      </c>
      <c r="M36" s="756">
        <f t="shared" ref="M36:M67" si="42">IFERROR(_xlfn.RANK.EQ(H36,H$3:H$102),"N/A")</f>
        <v>20</v>
      </c>
      <c r="N36" s="756">
        <f t="shared" ref="N36:N67" si="43">IFERROR(_xlfn.RANK.EQ(I36,I$3:I$102),"N/A")</f>
        <v>82</v>
      </c>
      <c r="O36" s="756">
        <f t="shared" ref="O36:O67" si="44">IFERROR(_xlfn.RANK.EQ(J36,J$3:J$102),"N/A")</f>
        <v>22</v>
      </c>
      <c r="P36" s="485">
        <f t="shared" si="29"/>
        <v>11</v>
      </c>
      <c r="Q36" s="483">
        <f t="shared" si="30"/>
        <v>46</v>
      </c>
      <c r="R36" s="483">
        <f t="shared" si="31"/>
        <v>17</v>
      </c>
      <c r="S36" s="483">
        <f t="shared" si="32"/>
        <v>6</v>
      </c>
      <c r="T36" s="483">
        <f t="shared" si="33"/>
        <v>13</v>
      </c>
      <c r="U36" s="773">
        <f t="shared" si="34"/>
        <v>93</v>
      </c>
      <c r="V36" s="757">
        <f t="shared" ref="V36:V67" si="45">_xlfn.RANK.EQ(U36,$U$4:$U$102,1)</f>
        <v>10</v>
      </c>
      <c r="W36" s="485">
        <f t="shared" si="38"/>
        <v>10</v>
      </c>
      <c r="Y36" s="483" t="str">
        <f t="shared" si="27"/>
        <v/>
      </c>
      <c r="Z36" s="485" t="str">
        <f t="shared" si="28"/>
        <v/>
      </c>
      <c r="AA36" s="472"/>
      <c r="AB36" s="483"/>
      <c r="AS36" s="784">
        <v>1103100000</v>
      </c>
      <c r="AT36" s="784">
        <v>4656700000</v>
      </c>
      <c r="AU36" s="784">
        <v>1398100000</v>
      </c>
      <c r="AV36" s="784">
        <v>1700400000</v>
      </c>
      <c r="AW36" s="784">
        <v>14412400000</v>
      </c>
      <c r="AX36" s="784">
        <v>8776554339.8799992</v>
      </c>
      <c r="AY36" s="781">
        <v>13.0418</v>
      </c>
      <c r="AZ36" s="781">
        <v>15.767720000000001</v>
      </c>
    </row>
    <row r="37" spans="1:52" ht="15">
      <c r="A37" s="480"/>
      <c r="B37" s="677" t="s">
        <v>433</v>
      </c>
      <c r="C37" s="677" t="s">
        <v>434</v>
      </c>
      <c r="E37" s="677" t="s">
        <v>348</v>
      </c>
      <c r="F37" s="530">
        <f t="shared" si="35"/>
        <v>7.8668828072852109E-2</v>
      </c>
      <c r="G37" s="530">
        <f t="shared" si="36"/>
        <v>3.2140600315955767</v>
      </c>
      <c r="H37" s="770">
        <f t="shared" si="10"/>
        <v>25476209571.150002</v>
      </c>
      <c r="I37" s="771">
        <f t="shared" si="39"/>
        <v>0.13610119012702393</v>
      </c>
      <c r="J37" s="530">
        <f t="shared" si="37"/>
        <v>4.9693420697624308E-2</v>
      </c>
      <c r="K37" s="757">
        <f t="shared" si="40"/>
        <v>74</v>
      </c>
      <c r="L37" s="756">
        <f t="shared" si="41"/>
        <v>43</v>
      </c>
      <c r="M37" s="756">
        <f t="shared" si="42"/>
        <v>8</v>
      </c>
      <c r="N37" s="756">
        <f t="shared" si="43"/>
        <v>43</v>
      </c>
      <c r="O37" s="756">
        <f t="shared" si="44"/>
        <v>77</v>
      </c>
      <c r="P37" s="485">
        <f t="shared" si="29"/>
        <v>66</v>
      </c>
      <c r="Q37" s="483">
        <f t="shared" si="30"/>
        <v>10</v>
      </c>
      <c r="R37" s="483">
        <f t="shared" si="31"/>
        <v>5</v>
      </c>
      <c r="S37" s="483">
        <f t="shared" si="32"/>
        <v>33</v>
      </c>
      <c r="T37" s="483">
        <f t="shared" si="33"/>
        <v>42</v>
      </c>
      <c r="U37" s="773">
        <f t="shared" si="34"/>
        <v>156</v>
      </c>
      <c r="V37" s="757">
        <f t="shared" si="45"/>
        <v>42</v>
      </c>
      <c r="W37" s="485">
        <f t="shared" si="38"/>
        <v>42</v>
      </c>
      <c r="Y37" s="483" t="str">
        <f t="shared" si="27"/>
        <v/>
      </c>
      <c r="Z37" s="485" t="str">
        <f t="shared" si="28"/>
        <v/>
      </c>
      <c r="AA37" s="472"/>
      <c r="AB37" s="483"/>
      <c r="AS37" s="784">
        <v>825000000</v>
      </c>
      <c r="AT37" s="784">
        <v>10487000000</v>
      </c>
      <c r="AU37" s="784">
        <v>4069000000</v>
      </c>
      <c r="AV37" s="784">
        <v>1266000000</v>
      </c>
      <c r="AW37" s="784">
        <v>9677000000</v>
      </c>
      <c r="AX37" s="784">
        <v>25476209571.150002</v>
      </c>
      <c r="AY37" s="781">
        <v>6.7786499999999998</v>
      </c>
      <c r="AZ37" s="781">
        <v>5.9665900000000001</v>
      </c>
    </row>
    <row r="38" spans="1:52" ht="15">
      <c r="A38" s="480"/>
      <c r="B38" s="677" t="s">
        <v>435</v>
      </c>
      <c r="C38" s="677" t="s">
        <v>436</v>
      </c>
      <c r="E38" s="677" t="s">
        <v>389</v>
      </c>
      <c r="F38" s="530">
        <f t="shared" si="35"/>
        <v>0.11852661100215847</v>
      </c>
      <c r="G38" s="530">
        <f t="shared" si="36"/>
        <v>6.0524071781989983</v>
      </c>
      <c r="H38" s="770">
        <f t="shared" si="10"/>
        <v>18397308423.602798</v>
      </c>
      <c r="I38" s="771">
        <f t="shared" si="39"/>
        <v>2.1809475742674778E-2</v>
      </c>
      <c r="J38" s="530">
        <f t="shared" si="37"/>
        <v>0.12671030696909458</v>
      </c>
      <c r="K38" s="757">
        <f t="shared" si="40"/>
        <v>59</v>
      </c>
      <c r="L38" s="756">
        <f t="shared" si="41"/>
        <v>17</v>
      </c>
      <c r="M38" s="756">
        <f t="shared" si="42"/>
        <v>12</v>
      </c>
      <c r="N38" s="756">
        <f t="shared" si="43"/>
        <v>61</v>
      </c>
      <c r="O38" s="756">
        <f t="shared" si="44"/>
        <v>41</v>
      </c>
      <c r="P38" s="485">
        <f t="shared" si="29"/>
        <v>51</v>
      </c>
      <c r="Q38" s="483">
        <f t="shared" si="30"/>
        <v>16</v>
      </c>
      <c r="R38" s="483">
        <f t="shared" si="31"/>
        <v>9</v>
      </c>
      <c r="S38" s="483">
        <f t="shared" si="32"/>
        <v>15</v>
      </c>
      <c r="T38" s="483">
        <f t="shared" si="33"/>
        <v>6</v>
      </c>
      <c r="U38" s="773">
        <f t="shared" si="34"/>
        <v>97</v>
      </c>
      <c r="V38" s="757">
        <f t="shared" si="45"/>
        <v>12</v>
      </c>
      <c r="W38" s="485">
        <f t="shared" si="38"/>
        <v>12</v>
      </c>
      <c r="Y38" s="483" t="str">
        <f t="shared" si="27"/>
        <v/>
      </c>
      <c r="Z38" s="485" t="str">
        <f t="shared" si="28"/>
        <v/>
      </c>
      <c r="AA38" s="483"/>
      <c r="AB38" s="703"/>
      <c r="AS38" s="784">
        <v>1828207854.81355</v>
      </c>
      <c r="AT38" s="784">
        <v>15424450588.4021</v>
      </c>
      <c r="AU38" s="784">
        <v>14108939458.386499</v>
      </c>
      <c r="AV38" s="784">
        <v>2331128597.75982</v>
      </c>
      <c r="AW38" s="784">
        <v>21414369771.728298</v>
      </c>
      <c r="AX38" s="784">
        <v>18397308423.602798</v>
      </c>
      <c r="AY38" s="781">
        <v>1.2365624748355899</v>
      </c>
      <c r="AZ38" s="781">
        <v>1.2101693164832199</v>
      </c>
    </row>
    <row r="39" spans="1:52" ht="15">
      <c r="A39" s="480"/>
      <c r="B39" s="677" t="s">
        <v>437</v>
      </c>
      <c r="C39" s="677" t="s">
        <v>438</v>
      </c>
      <c r="E39" s="677" t="s">
        <v>348</v>
      </c>
      <c r="F39" s="530">
        <f t="shared" si="35"/>
        <v>0.14597598746948581</v>
      </c>
      <c r="G39" s="530">
        <f t="shared" si="36"/>
        <v>1.188465754393409</v>
      </c>
      <c r="H39" s="770">
        <f t="shared" si="10"/>
        <v>2660900934.71</v>
      </c>
      <c r="I39" s="771">
        <f t="shared" si="39"/>
        <v>4.554918013402709E-2</v>
      </c>
      <c r="J39" s="530">
        <f t="shared" si="37"/>
        <v>7.4398485647334159E-2</v>
      </c>
      <c r="K39" s="757">
        <f t="shared" si="40"/>
        <v>48</v>
      </c>
      <c r="L39" s="756">
        <f t="shared" si="41"/>
        <v>72</v>
      </c>
      <c r="M39" s="756">
        <f t="shared" si="42"/>
        <v>45</v>
      </c>
      <c r="N39" s="756">
        <f t="shared" si="43"/>
        <v>57</v>
      </c>
      <c r="O39" s="756">
        <f t="shared" si="44"/>
        <v>65</v>
      </c>
      <c r="P39" s="485">
        <f t="shared" si="29"/>
        <v>40</v>
      </c>
      <c r="Q39" s="483">
        <f t="shared" si="30"/>
        <v>39</v>
      </c>
      <c r="R39" s="483">
        <f t="shared" si="31"/>
        <v>42</v>
      </c>
      <c r="S39" s="483">
        <f t="shared" si="32"/>
        <v>19</v>
      </c>
      <c r="T39" s="483">
        <f t="shared" si="33"/>
        <v>30</v>
      </c>
      <c r="U39" s="773">
        <f t="shared" si="34"/>
        <v>170</v>
      </c>
      <c r="V39" s="757">
        <f t="shared" si="45"/>
        <v>45</v>
      </c>
      <c r="W39" s="485">
        <f t="shared" si="38"/>
        <v>45</v>
      </c>
      <c r="Y39" s="483" t="str">
        <f t="shared" si="27"/>
        <v/>
      </c>
      <c r="Z39" s="485" t="str">
        <f t="shared" si="28"/>
        <v/>
      </c>
      <c r="AA39" s="483"/>
      <c r="AB39" s="483"/>
      <c r="AS39" s="784">
        <v>136161000</v>
      </c>
      <c r="AT39" s="784">
        <v>932763000</v>
      </c>
      <c r="AU39" s="784">
        <v>235277000</v>
      </c>
      <c r="AV39" s="784">
        <v>197967000</v>
      </c>
      <c r="AW39" s="784">
        <v>1689651000</v>
      </c>
      <c r="AX39" s="784">
        <v>2660900934.71</v>
      </c>
      <c r="AY39" s="781">
        <v>11.937150000000001</v>
      </c>
      <c r="AZ39" s="781">
        <v>11.417109999999999</v>
      </c>
    </row>
    <row r="40" spans="1:52" ht="15">
      <c r="A40" s="480"/>
      <c r="B40" s="677" t="s">
        <v>439</v>
      </c>
      <c r="C40" s="677" t="s">
        <v>440</v>
      </c>
      <c r="E40" s="677" t="s">
        <v>441</v>
      </c>
      <c r="F40" s="530">
        <f t="shared" si="35"/>
        <v>0.11202377143212025</v>
      </c>
      <c r="G40" s="530">
        <f t="shared" si="36"/>
        <v>1.8088238956719675E-2</v>
      </c>
      <c r="H40" s="770">
        <f t="shared" si="10"/>
        <v>345310450.94767702</v>
      </c>
      <c r="I40" s="771">
        <f t="shared" si="39"/>
        <v>0.32043226877045616</v>
      </c>
      <c r="J40" s="530">
        <f t="shared" si="37"/>
        <v>3.6796334080917502E-2</v>
      </c>
      <c r="K40" s="757">
        <f t="shared" si="40"/>
        <v>61</v>
      </c>
      <c r="L40" s="756">
        <f t="shared" si="41"/>
        <v>91</v>
      </c>
      <c r="M40" s="756">
        <f t="shared" si="42"/>
        <v>88</v>
      </c>
      <c r="N40" s="756">
        <f t="shared" si="43"/>
        <v>25</v>
      </c>
      <c r="O40" s="756">
        <f t="shared" si="44"/>
        <v>87</v>
      </c>
      <c r="P40" s="485">
        <f t="shared" si="29"/>
        <v>53</v>
      </c>
      <c r="Q40" s="483">
        <f t="shared" si="30"/>
        <v>58</v>
      </c>
      <c r="R40" s="483">
        <f t="shared" si="31"/>
        <v>85</v>
      </c>
      <c r="S40" s="483">
        <f t="shared" si="32"/>
        <v>51</v>
      </c>
      <c r="T40" s="483">
        <f t="shared" si="33"/>
        <v>52</v>
      </c>
      <c r="U40" s="773">
        <f t="shared" si="34"/>
        <v>299</v>
      </c>
      <c r="V40" s="757">
        <f t="shared" si="45"/>
        <v>91</v>
      </c>
      <c r="W40" s="485">
        <f t="shared" si="38"/>
        <v>91</v>
      </c>
      <c r="Y40" s="483" t="str">
        <f t="shared" si="27"/>
        <v/>
      </c>
      <c r="Z40" s="485" t="str">
        <f t="shared" si="28"/>
        <v/>
      </c>
      <c r="AA40" s="483"/>
      <c r="AB40" s="483"/>
      <c r="AS40" s="784">
        <v>11241260.9542356</v>
      </c>
      <c r="AT40" s="784">
        <v>100347103.21324199</v>
      </c>
      <c r="AU40" s="784">
        <v>229832.03505355399</v>
      </c>
      <c r="AV40" s="784">
        <v>12706158.714702999</v>
      </c>
      <c r="AW40" s="784">
        <v>122495946.932814</v>
      </c>
      <c r="AX40" s="784">
        <v>345310450.94767702</v>
      </c>
      <c r="AY40" s="781">
        <v>1.53107820704273</v>
      </c>
      <c r="AZ40" s="781">
        <v>1.15952801461632</v>
      </c>
    </row>
    <row r="41" spans="1:52" ht="15">
      <c r="A41" s="480"/>
      <c r="B41" s="677" t="s">
        <v>442</v>
      </c>
      <c r="C41" s="677" t="s">
        <v>443</v>
      </c>
      <c r="E41" s="677" t="s">
        <v>381</v>
      </c>
      <c r="F41" s="530">
        <f t="shared" si="35"/>
        <v>0.23876123876123903</v>
      </c>
      <c r="G41" s="530">
        <f t="shared" si="36"/>
        <v>3.8478163939456449</v>
      </c>
      <c r="H41" s="770">
        <f t="shared" si="10"/>
        <v>790771108.866153</v>
      </c>
      <c r="I41" s="771">
        <f t="shared" si="39"/>
        <v>0.10740565255054313</v>
      </c>
      <c r="J41" s="530">
        <f t="shared" si="37"/>
        <v>0.38052563547483398</v>
      </c>
      <c r="K41" s="757">
        <f t="shared" si="40"/>
        <v>17</v>
      </c>
      <c r="L41" s="756">
        <f t="shared" si="41"/>
        <v>36</v>
      </c>
      <c r="M41" s="756">
        <f t="shared" si="42"/>
        <v>74</v>
      </c>
      <c r="N41" s="756">
        <f t="shared" si="43"/>
        <v>50</v>
      </c>
      <c r="O41" s="756">
        <f t="shared" si="44"/>
        <v>3</v>
      </c>
      <c r="P41" s="485">
        <f t="shared" ref="P41:P54" si="46">IFERROR(ABS(K$3-K41),"N/A")</f>
        <v>9</v>
      </c>
      <c r="Q41" s="483">
        <f t="shared" ref="Q41:Q54" si="47">IFERROR(ABS(L$3-L41),"N/A")</f>
        <v>3</v>
      </c>
      <c r="R41" s="483">
        <f t="shared" ref="R41:R54" si="48">IFERROR(ABS(M$3-M41),"N/A")</f>
        <v>71</v>
      </c>
      <c r="S41" s="483">
        <f t="shared" ref="S41:S54" si="49">IFERROR(ABS(N$3-N41),"N/A")</f>
        <v>26</v>
      </c>
      <c r="T41" s="483">
        <f t="shared" ref="T41:T54" si="50">IFERROR(ABS(O$3-O41),"N/A")</f>
        <v>32</v>
      </c>
      <c r="U41" s="773">
        <f t="shared" ref="U41:U54" si="51">SUM(P41:T41)</f>
        <v>141</v>
      </c>
      <c r="V41" s="757">
        <f t="shared" si="45"/>
        <v>31</v>
      </c>
      <c r="W41" s="485">
        <f t="shared" si="38"/>
        <v>31</v>
      </c>
      <c r="Y41" s="483" t="str">
        <f t="shared" si="27"/>
        <v/>
      </c>
      <c r="Z41" s="485" t="str">
        <f t="shared" si="28"/>
        <v/>
      </c>
      <c r="AA41" s="483"/>
      <c r="AB41" s="483"/>
      <c r="AS41" s="784">
        <v>136688238.08248001</v>
      </c>
      <c r="AT41" s="784">
        <v>572489231.46678805</v>
      </c>
      <c r="AU41" s="784">
        <v>1157841347.04561</v>
      </c>
      <c r="AV41" s="784">
        <v>300908678.71643198</v>
      </c>
      <c r="AW41" s="784">
        <v>2243944477.64885</v>
      </c>
      <c r="AX41" s="784">
        <v>790771108.866153</v>
      </c>
      <c r="AY41" s="781">
        <v>0.324350837854612</v>
      </c>
      <c r="AZ41" s="781">
        <v>0.29289252507206998</v>
      </c>
    </row>
    <row r="42" spans="1:52" ht="15">
      <c r="A42" s="480"/>
      <c r="B42" s="677" t="s">
        <v>444</v>
      </c>
      <c r="C42" s="677" t="s">
        <v>445</v>
      </c>
      <c r="E42" s="677" t="s">
        <v>446</v>
      </c>
      <c r="F42" s="530">
        <f t="shared" si="35"/>
        <v>2.6261459384617145E-2</v>
      </c>
      <c r="G42" s="530">
        <f t="shared" si="36"/>
        <v>12.446952292150977</v>
      </c>
      <c r="H42" s="770">
        <f t="shared" si="10"/>
        <v>262347941.46951699</v>
      </c>
      <c r="I42" s="771">
        <f t="shared" si="39"/>
        <v>0.40632318501171061</v>
      </c>
      <c r="J42" s="530">
        <f t="shared" si="37"/>
        <v>0.19657254816547712</v>
      </c>
      <c r="K42" s="757">
        <f t="shared" si="40"/>
        <v>90</v>
      </c>
      <c r="L42" s="756">
        <f t="shared" si="41"/>
        <v>6</v>
      </c>
      <c r="M42" s="756">
        <f t="shared" si="42"/>
        <v>90</v>
      </c>
      <c r="N42" s="756">
        <f t="shared" si="43"/>
        <v>19</v>
      </c>
      <c r="O42" s="756">
        <f t="shared" si="44"/>
        <v>21</v>
      </c>
      <c r="P42" s="485">
        <f t="shared" si="46"/>
        <v>82</v>
      </c>
      <c r="Q42" s="483">
        <f t="shared" si="47"/>
        <v>27</v>
      </c>
      <c r="R42" s="483">
        <f t="shared" si="48"/>
        <v>87</v>
      </c>
      <c r="S42" s="483">
        <f t="shared" si="49"/>
        <v>57</v>
      </c>
      <c r="T42" s="483">
        <f t="shared" si="50"/>
        <v>14</v>
      </c>
      <c r="U42" s="773">
        <f>SUM(P42:T42)</f>
        <v>267</v>
      </c>
      <c r="V42" s="757">
        <f t="shared" si="45"/>
        <v>86</v>
      </c>
      <c r="W42" s="485" t="str">
        <f>IF(Y42="Not suitable","-",V42)</f>
        <v>-</v>
      </c>
      <c r="Y42" s="704" t="s">
        <v>447</v>
      </c>
      <c r="Z42" s="485" t="str">
        <f t="shared" ref="Z42:Z61" si="52">IF(OR(N42="N/A",O42="N/A"),"Y","")</f>
        <v/>
      </c>
      <c r="AA42" s="483"/>
      <c r="AB42" s="483"/>
      <c r="AS42" s="784">
        <v>9208521.0908529107</v>
      </c>
      <c r="AT42" s="784">
        <v>350647728.90142101</v>
      </c>
      <c r="AU42" s="784">
        <v>641894350.31674898</v>
      </c>
      <c r="AV42" s="784">
        <v>51570403.3606304</v>
      </c>
      <c r="AW42" s="784">
        <v>1107378536.21755</v>
      </c>
      <c r="AX42" s="784">
        <v>262347941.46951699</v>
      </c>
      <c r="AY42" s="781">
        <v>1.7968954553955501</v>
      </c>
      <c r="AZ42" s="781">
        <v>1.2777258275668599</v>
      </c>
    </row>
    <row r="43" spans="1:52" ht="15">
      <c r="A43" s="480"/>
      <c r="B43" s="677" t="s">
        <v>448</v>
      </c>
      <c r="C43" s="677" t="s">
        <v>449</v>
      </c>
      <c r="E43" s="677" t="s">
        <v>450</v>
      </c>
      <c r="F43" s="530">
        <f t="shared" si="35"/>
        <v>0.23701410417717703</v>
      </c>
      <c r="G43" s="530">
        <f t="shared" si="36"/>
        <v>6.4735961830544708</v>
      </c>
      <c r="H43" s="770">
        <f t="shared" si="10"/>
        <v>1651585260.2866001</v>
      </c>
      <c r="I43" s="771">
        <f t="shared" si="39"/>
        <v>1.9780839073262348</v>
      </c>
      <c r="J43" s="530">
        <f t="shared" si="37"/>
        <v>5.1189100002441777E-2</v>
      </c>
      <c r="K43" s="757">
        <f t="shared" si="40"/>
        <v>18</v>
      </c>
      <c r="L43" s="756">
        <f t="shared" si="41"/>
        <v>16</v>
      </c>
      <c r="M43" s="756">
        <f t="shared" si="42"/>
        <v>54</v>
      </c>
      <c r="N43" s="756">
        <f t="shared" si="43"/>
        <v>3</v>
      </c>
      <c r="O43" s="756">
        <f t="shared" si="44"/>
        <v>75</v>
      </c>
      <c r="P43" s="485">
        <f t="shared" si="46"/>
        <v>10</v>
      </c>
      <c r="Q43" s="483">
        <f t="shared" si="47"/>
        <v>17</v>
      </c>
      <c r="R43" s="483">
        <f t="shared" si="48"/>
        <v>51</v>
      </c>
      <c r="S43" s="483">
        <f t="shared" si="49"/>
        <v>73</v>
      </c>
      <c r="T43" s="483">
        <f t="shared" si="50"/>
        <v>40</v>
      </c>
      <c r="U43" s="773">
        <f t="shared" si="51"/>
        <v>191</v>
      </c>
      <c r="V43" s="757">
        <f t="shared" si="45"/>
        <v>64</v>
      </c>
      <c r="W43" s="485" t="str">
        <f t="shared" si="38"/>
        <v>-</v>
      </c>
      <c r="Y43" s="704" t="s">
        <v>447</v>
      </c>
      <c r="Z43" s="485" t="str">
        <f t="shared" si="52"/>
        <v/>
      </c>
      <c r="AA43" s="483"/>
      <c r="AB43" s="483"/>
      <c r="AS43" s="784">
        <v>66763534.4646262</v>
      </c>
      <c r="AT43" s="784">
        <v>281685913.57212198</v>
      </c>
      <c r="AU43" s="784">
        <v>547298297.63269806</v>
      </c>
      <c r="AV43" s="784">
        <v>84543163.051369607</v>
      </c>
      <c r="AW43" s="784">
        <v>924084901.243698</v>
      </c>
      <c r="AX43" s="784">
        <v>1651585260.2866001</v>
      </c>
      <c r="AY43" s="781">
        <v>1.5305646290247299</v>
      </c>
      <c r="AZ43" s="781">
        <v>0.51394274864434297</v>
      </c>
    </row>
    <row r="44" spans="1:52" ht="15">
      <c r="A44" s="480"/>
      <c r="B44" s="677" t="s">
        <v>451</v>
      </c>
      <c r="C44" s="677" t="s">
        <v>452</v>
      </c>
      <c r="E44" s="677" t="s">
        <v>446</v>
      </c>
      <c r="F44" s="530">
        <f t="shared" si="35"/>
        <v>0.29266245247752176</v>
      </c>
      <c r="G44" s="530">
        <f t="shared" si="36"/>
        <v>1.726951503902163</v>
      </c>
      <c r="H44" s="770">
        <f t="shared" si="10"/>
        <v>186190086.90212899</v>
      </c>
      <c r="I44" s="771">
        <f t="shared" si="39"/>
        <v>0.25965661303844145</v>
      </c>
      <c r="J44" s="530">
        <f t="shared" si="37"/>
        <v>0.51972239105274631</v>
      </c>
      <c r="K44" s="757">
        <f t="shared" si="40"/>
        <v>11</v>
      </c>
      <c r="L44" s="756">
        <f t="shared" si="41"/>
        <v>67</v>
      </c>
      <c r="M44" s="756">
        <f t="shared" si="42"/>
        <v>95</v>
      </c>
      <c r="N44" s="756">
        <f t="shared" si="43"/>
        <v>29</v>
      </c>
      <c r="O44" s="756">
        <f t="shared" si="44"/>
        <v>1</v>
      </c>
      <c r="P44" s="485">
        <f t="shared" si="46"/>
        <v>3</v>
      </c>
      <c r="Q44" s="483">
        <f t="shared" si="47"/>
        <v>34</v>
      </c>
      <c r="R44" s="483">
        <f t="shared" si="48"/>
        <v>92</v>
      </c>
      <c r="S44" s="483">
        <f t="shared" si="49"/>
        <v>47</v>
      </c>
      <c r="T44" s="483">
        <f t="shared" si="50"/>
        <v>34</v>
      </c>
      <c r="U44" s="773">
        <f t="shared" si="51"/>
        <v>210</v>
      </c>
      <c r="V44" s="757">
        <f t="shared" si="45"/>
        <v>72</v>
      </c>
      <c r="W44" s="485" t="str">
        <f t="shared" si="38"/>
        <v>-</v>
      </c>
      <c r="Y44" s="704" t="s">
        <v>447</v>
      </c>
      <c r="Z44" s="485" t="str">
        <f t="shared" si="52"/>
        <v/>
      </c>
      <c r="AA44" s="483"/>
      <c r="AB44" s="483"/>
      <c r="AS44" s="784">
        <v>77868627.8907464</v>
      </c>
      <c r="AT44" s="784">
        <v>266069757.94657901</v>
      </c>
      <c r="AU44" s="784">
        <v>167112187.57732499</v>
      </c>
      <c r="AV44" s="784">
        <v>96767157.155093104</v>
      </c>
      <c r="AW44" s="784">
        <v>924831683.89747202</v>
      </c>
      <c r="AX44" s="784">
        <v>186190086.90212899</v>
      </c>
      <c r="AY44" s="781">
        <v>1.42937577418265</v>
      </c>
      <c r="AZ44" s="781">
        <v>1.13473446603422</v>
      </c>
    </row>
    <row r="45" spans="1:52" ht="15">
      <c r="A45" s="480"/>
      <c r="B45" s="677" t="s">
        <v>453</v>
      </c>
      <c r="C45" s="677" t="s">
        <v>454</v>
      </c>
      <c r="E45" s="677" t="s">
        <v>455</v>
      </c>
      <c r="F45" s="530">
        <f t="shared" si="35"/>
        <v>9.3303583914182295E-2</v>
      </c>
      <c r="G45" s="530">
        <f t="shared" si="36"/>
        <v>2.5333064704260519</v>
      </c>
      <c r="H45" s="770">
        <f t="shared" si="10"/>
        <v>699355258.16763306</v>
      </c>
      <c r="I45" s="771">
        <f t="shared" si="39"/>
        <v>0.34366498159639369</v>
      </c>
      <c r="J45" s="530">
        <f t="shared" si="37"/>
        <v>7.4408230244580251E-2</v>
      </c>
      <c r="K45" s="757">
        <f t="shared" si="40"/>
        <v>69</v>
      </c>
      <c r="L45" s="756">
        <f t="shared" si="41"/>
        <v>52</v>
      </c>
      <c r="M45" s="756">
        <f t="shared" si="42"/>
        <v>76</v>
      </c>
      <c r="N45" s="756">
        <f t="shared" si="43"/>
        <v>23</v>
      </c>
      <c r="O45" s="756">
        <f t="shared" si="44"/>
        <v>64</v>
      </c>
      <c r="P45" s="485">
        <f t="shared" si="46"/>
        <v>61</v>
      </c>
      <c r="Q45" s="483">
        <f t="shared" si="47"/>
        <v>19</v>
      </c>
      <c r="R45" s="483">
        <f t="shared" si="48"/>
        <v>73</v>
      </c>
      <c r="S45" s="483">
        <f t="shared" si="49"/>
        <v>53</v>
      </c>
      <c r="T45" s="483">
        <f t="shared" si="50"/>
        <v>29</v>
      </c>
      <c r="U45" s="773">
        <f t="shared" si="51"/>
        <v>235</v>
      </c>
      <c r="V45" s="757">
        <f t="shared" si="45"/>
        <v>76</v>
      </c>
      <c r="W45" s="485">
        <f t="shared" si="38"/>
        <v>76</v>
      </c>
      <c r="Y45" s="483" t="str">
        <f t="shared" ref="Y45:Y60" si="53">IF(OR(Z45="Y",AA45="Y"),"Not suitable","")</f>
        <v/>
      </c>
      <c r="Z45" s="485" t="str">
        <f t="shared" si="52"/>
        <v/>
      </c>
      <c r="AA45" s="483"/>
      <c r="AB45" s="483"/>
      <c r="AS45" s="784">
        <v>33135422.069680899</v>
      </c>
      <c r="AT45" s="784">
        <v>355135576.57289797</v>
      </c>
      <c r="AU45" s="784">
        <v>131827662.697405</v>
      </c>
      <c r="AV45" s="784">
        <v>52037787.072495103</v>
      </c>
      <c r="AW45" s="784">
        <v>906933883.659078</v>
      </c>
      <c r="AX45" s="784">
        <v>699355258.16763306</v>
      </c>
      <c r="AY45" s="781">
        <v>1.33943465420439</v>
      </c>
      <c r="AZ45" s="781">
        <v>0.99685165018814603</v>
      </c>
    </row>
    <row r="46" spans="1:52" ht="15">
      <c r="A46" s="480"/>
      <c r="B46" s="677" t="s">
        <v>456</v>
      </c>
      <c r="C46" s="677" t="s">
        <v>457</v>
      </c>
      <c r="E46" s="677" t="s">
        <v>408</v>
      </c>
      <c r="F46" s="530">
        <f t="shared" si="35"/>
        <v>0.17190173541714285</v>
      </c>
      <c r="G46" s="530">
        <f t="shared" si="36"/>
        <v>0.72237881733622467</v>
      </c>
      <c r="H46" s="770">
        <f t="shared" si="10"/>
        <v>620465878.67019498</v>
      </c>
      <c r="I46" s="771">
        <f t="shared" si="39"/>
        <v>-0.48821515709221275</v>
      </c>
      <c r="J46" s="530">
        <f t="shared" si="37"/>
        <v>0.11244909154721364</v>
      </c>
      <c r="K46" s="757">
        <f t="shared" si="40"/>
        <v>35</v>
      </c>
      <c r="L46" s="756">
        <f t="shared" si="41"/>
        <v>81</v>
      </c>
      <c r="M46" s="756">
        <f t="shared" si="42"/>
        <v>77</v>
      </c>
      <c r="N46" s="756">
        <f t="shared" si="43"/>
        <v>96</v>
      </c>
      <c r="O46" s="756">
        <f t="shared" si="44"/>
        <v>42</v>
      </c>
      <c r="P46" s="485">
        <f t="shared" si="46"/>
        <v>27</v>
      </c>
      <c r="Q46" s="483">
        <f t="shared" si="47"/>
        <v>48</v>
      </c>
      <c r="R46" s="483">
        <f t="shared" si="48"/>
        <v>74</v>
      </c>
      <c r="S46" s="483">
        <f t="shared" si="49"/>
        <v>20</v>
      </c>
      <c r="T46" s="483">
        <f t="shared" si="50"/>
        <v>7</v>
      </c>
      <c r="U46" s="773">
        <f t="shared" si="51"/>
        <v>176</v>
      </c>
      <c r="V46" s="757">
        <f t="shared" si="45"/>
        <v>51</v>
      </c>
      <c r="W46" s="485">
        <f t="shared" si="38"/>
        <v>51</v>
      </c>
      <c r="Y46" s="483" t="str">
        <f t="shared" si="53"/>
        <v/>
      </c>
      <c r="Z46" s="485" t="str">
        <f t="shared" si="52"/>
        <v/>
      </c>
      <c r="AA46" s="483"/>
      <c r="AB46" s="483"/>
      <c r="AS46" s="784">
        <v>60559192.135939203</v>
      </c>
      <c r="AT46" s="784">
        <v>352289591.428406</v>
      </c>
      <c r="AU46" s="784">
        <v>50400965.609232701</v>
      </c>
      <c r="AV46" s="784">
        <v>69770824.392507106</v>
      </c>
      <c r="AW46" s="784">
        <v>519816840.16702402</v>
      </c>
      <c r="AX46" s="784">
        <v>620465878.67019498</v>
      </c>
      <c r="AY46" s="781">
        <v>6.1815985051771001E-2</v>
      </c>
      <c r="AZ46" s="781">
        <v>0.120785103170609</v>
      </c>
    </row>
    <row r="47" spans="1:52" ht="15">
      <c r="A47" s="480"/>
      <c r="B47" s="677" t="s">
        <v>458</v>
      </c>
      <c r="C47" s="677" t="s">
        <v>459</v>
      </c>
      <c r="E47" s="677" t="s">
        <v>441</v>
      </c>
      <c r="F47" s="530">
        <f t="shared" si="35"/>
        <v>0.15918531014399176</v>
      </c>
      <c r="G47" s="530">
        <f t="shared" si="36"/>
        <v>7.4638745838223626</v>
      </c>
      <c r="H47" s="770">
        <f t="shared" si="10"/>
        <v>5956611046.1534796</v>
      </c>
      <c r="I47" s="771">
        <f t="shared" si="39"/>
        <v>1.1102108101244395</v>
      </c>
      <c r="J47" s="530">
        <f t="shared" si="37"/>
        <v>8.5307340793870784E-2</v>
      </c>
      <c r="K47" s="757">
        <f t="shared" si="40"/>
        <v>43</v>
      </c>
      <c r="L47" s="756">
        <f t="shared" si="41"/>
        <v>11</v>
      </c>
      <c r="M47" s="756">
        <f t="shared" si="42"/>
        <v>28</v>
      </c>
      <c r="N47" s="756">
        <f t="shared" si="43"/>
        <v>6</v>
      </c>
      <c r="O47" s="756">
        <f t="shared" si="44"/>
        <v>55</v>
      </c>
      <c r="P47" s="485">
        <f t="shared" si="46"/>
        <v>35</v>
      </c>
      <c r="Q47" s="483">
        <f t="shared" si="47"/>
        <v>22</v>
      </c>
      <c r="R47" s="483">
        <f t="shared" si="48"/>
        <v>25</v>
      </c>
      <c r="S47" s="483">
        <f t="shared" si="49"/>
        <v>70</v>
      </c>
      <c r="T47" s="483">
        <f t="shared" si="50"/>
        <v>20</v>
      </c>
      <c r="U47" s="773">
        <f t="shared" si="51"/>
        <v>172</v>
      </c>
      <c r="V47" s="757">
        <f t="shared" si="45"/>
        <v>49</v>
      </c>
      <c r="W47" s="485">
        <f t="shared" si="38"/>
        <v>49</v>
      </c>
      <c r="Y47" s="483" t="str">
        <f t="shared" si="53"/>
        <v/>
      </c>
      <c r="Z47" s="485" t="str">
        <f t="shared" si="52"/>
        <v/>
      </c>
      <c r="AA47" s="483"/>
      <c r="AB47" s="483"/>
      <c r="AS47" s="784">
        <v>165732716.65043801</v>
      </c>
      <c r="AT47" s="784">
        <v>1041130720.54528</v>
      </c>
      <c r="AU47" s="784">
        <v>3792712999.0262899</v>
      </c>
      <c r="AV47" s="784">
        <v>508142648.49075001</v>
      </c>
      <c r="AW47" s="784">
        <v>5072127555.9883204</v>
      </c>
      <c r="AX47" s="784">
        <v>5956611046.1534796</v>
      </c>
      <c r="AY47" s="781">
        <v>0.10218838984470301</v>
      </c>
      <c r="AZ47" s="781">
        <v>4.8425678303997001E-2</v>
      </c>
    </row>
    <row r="48" spans="1:52" ht="15">
      <c r="A48" s="480"/>
      <c r="B48" s="677" t="s">
        <v>460</v>
      </c>
      <c r="C48" s="677" t="s">
        <v>461</v>
      </c>
      <c r="E48" s="677" t="s">
        <v>441</v>
      </c>
      <c r="F48" s="530">
        <f t="shared" si="35"/>
        <v>7.7766282181731122E-2</v>
      </c>
      <c r="G48" s="530">
        <f t="shared" si="36"/>
        <v>8.9444600543223729E-2</v>
      </c>
      <c r="H48" s="770">
        <f t="shared" si="10"/>
        <v>3641737650.7904301</v>
      </c>
      <c r="I48" s="771">
        <f t="shared" si="39"/>
        <v>0.56086657766879688</v>
      </c>
      <c r="J48" s="530">
        <f t="shared" si="37"/>
        <v>2.1410726621889944E-2</v>
      </c>
      <c r="K48" s="757">
        <f t="shared" si="40"/>
        <v>75</v>
      </c>
      <c r="L48" s="756">
        <f t="shared" si="41"/>
        <v>87</v>
      </c>
      <c r="M48" s="756">
        <f t="shared" si="42"/>
        <v>38</v>
      </c>
      <c r="N48" s="756">
        <f t="shared" si="43"/>
        <v>12</v>
      </c>
      <c r="O48" s="756">
        <f t="shared" si="44"/>
        <v>90</v>
      </c>
      <c r="P48" s="485">
        <f t="shared" si="46"/>
        <v>67</v>
      </c>
      <c r="Q48" s="483">
        <f t="shared" si="47"/>
        <v>54</v>
      </c>
      <c r="R48" s="483">
        <f t="shared" si="48"/>
        <v>35</v>
      </c>
      <c r="S48" s="483">
        <f t="shared" si="49"/>
        <v>64</v>
      </c>
      <c r="T48" s="483">
        <f t="shared" si="50"/>
        <v>55</v>
      </c>
      <c r="U48" s="773">
        <f t="shared" si="51"/>
        <v>275</v>
      </c>
      <c r="V48" s="757">
        <f t="shared" si="45"/>
        <v>87</v>
      </c>
      <c r="W48" s="485">
        <f t="shared" si="38"/>
        <v>87</v>
      </c>
      <c r="Y48" s="483" t="str">
        <f t="shared" si="53"/>
        <v/>
      </c>
      <c r="Z48" s="485" t="str">
        <f t="shared" si="52"/>
        <v/>
      </c>
      <c r="AA48" s="483"/>
      <c r="AB48" s="483"/>
      <c r="AS48" s="784">
        <v>77489045.764362201</v>
      </c>
      <c r="AT48" s="784">
        <v>996435004.86854899</v>
      </c>
      <c r="AU48" s="784">
        <v>6974196.6893865597</v>
      </c>
      <c r="AV48" s="784">
        <v>77972249.269717604</v>
      </c>
      <c r="AW48" s="784">
        <v>1025887293.08666</v>
      </c>
      <c r="AX48" s="784">
        <v>3641737650.7904301</v>
      </c>
      <c r="AY48" s="781">
        <v>1.07800874561816</v>
      </c>
      <c r="AZ48" s="781">
        <v>0.69064759348502403</v>
      </c>
    </row>
    <row r="49" spans="1:52" ht="15">
      <c r="A49" s="480"/>
      <c r="B49" s="677" t="s">
        <v>462</v>
      </c>
      <c r="C49" s="677" t="s">
        <v>463</v>
      </c>
      <c r="E49" s="677" t="s">
        <v>348</v>
      </c>
      <c r="F49" s="530">
        <f t="shared" si="35"/>
        <v>5.292523513470429E-2</v>
      </c>
      <c r="G49" s="530">
        <f t="shared" si="36"/>
        <v>9.1201814058956909</v>
      </c>
      <c r="H49" s="770">
        <f t="shared" si="10"/>
        <v>1586874074.72</v>
      </c>
      <c r="I49" s="771">
        <f t="shared" si="39"/>
        <v>0.31013126694876414</v>
      </c>
      <c r="J49" s="530">
        <f t="shared" si="37"/>
        <v>0.11116193957048882</v>
      </c>
      <c r="K49" s="757">
        <f t="shared" si="40"/>
        <v>83</v>
      </c>
      <c r="L49" s="756">
        <f t="shared" si="41"/>
        <v>10</v>
      </c>
      <c r="M49" s="756">
        <f t="shared" si="42"/>
        <v>55</v>
      </c>
      <c r="N49" s="756">
        <f t="shared" si="43"/>
        <v>28</v>
      </c>
      <c r="O49" s="756">
        <f t="shared" si="44"/>
        <v>44</v>
      </c>
      <c r="P49" s="485">
        <f t="shared" si="46"/>
        <v>75</v>
      </c>
      <c r="Q49" s="483">
        <f t="shared" si="47"/>
        <v>23</v>
      </c>
      <c r="R49" s="483">
        <f t="shared" si="48"/>
        <v>52</v>
      </c>
      <c r="S49" s="483">
        <f t="shared" si="49"/>
        <v>48</v>
      </c>
      <c r="T49" s="483">
        <f t="shared" si="50"/>
        <v>9</v>
      </c>
      <c r="U49" s="773">
        <f t="shared" si="51"/>
        <v>207</v>
      </c>
      <c r="V49" s="757">
        <f t="shared" si="45"/>
        <v>71</v>
      </c>
      <c r="W49" s="485">
        <f t="shared" si="38"/>
        <v>71</v>
      </c>
      <c r="Y49" s="483" t="str">
        <f t="shared" si="53"/>
        <v/>
      </c>
      <c r="Z49" s="485" t="str">
        <f t="shared" si="52"/>
        <v/>
      </c>
      <c r="AA49" s="483"/>
      <c r="AB49" s="483"/>
      <c r="AS49" s="784">
        <v>66400000</v>
      </c>
      <c r="AT49" s="784">
        <v>1254600000</v>
      </c>
      <c r="AU49" s="784">
        <v>1608800000</v>
      </c>
      <c r="AV49" s="784">
        <v>176400000</v>
      </c>
      <c r="AW49" s="784">
        <v>3944000000</v>
      </c>
      <c r="AX49" s="784">
        <v>1586874074.72</v>
      </c>
      <c r="AY49" s="781">
        <v>4.0002500000000003</v>
      </c>
      <c r="AZ49" s="781">
        <v>3.0533199999999998</v>
      </c>
    </row>
    <row r="50" spans="1:52" ht="15">
      <c r="A50" s="480"/>
      <c r="B50" s="677" t="s">
        <v>464</v>
      </c>
      <c r="C50" s="677" t="s">
        <v>465</v>
      </c>
      <c r="E50" s="677" t="s">
        <v>455</v>
      </c>
      <c r="F50" s="530">
        <f t="shared" si="35"/>
        <v>0.17281163782292427</v>
      </c>
      <c r="G50" s="530">
        <f t="shared" si="36"/>
        <v>2.3724223602484527</v>
      </c>
      <c r="H50" s="770">
        <f t="shared" si="10"/>
        <v>4283657267.5949502</v>
      </c>
      <c r="I50" s="771">
        <f t="shared" si="39"/>
        <v>6.986712523341021E-2</v>
      </c>
      <c r="J50" s="530">
        <f t="shared" si="37"/>
        <v>0.10369567896366048</v>
      </c>
      <c r="K50" s="757">
        <f t="shared" si="40"/>
        <v>34</v>
      </c>
      <c r="L50" s="756">
        <f t="shared" si="41"/>
        <v>55</v>
      </c>
      <c r="M50" s="756">
        <f t="shared" si="42"/>
        <v>32</v>
      </c>
      <c r="N50" s="756">
        <f t="shared" si="43"/>
        <v>54</v>
      </c>
      <c r="O50" s="756">
        <f t="shared" si="44"/>
        <v>49</v>
      </c>
      <c r="P50" s="485">
        <f t="shared" si="46"/>
        <v>26</v>
      </c>
      <c r="Q50" s="483">
        <f t="shared" si="47"/>
        <v>22</v>
      </c>
      <c r="R50" s="483">
        <f t="shared" si="48"/>
        <v>29</v>
      </c>
      <c r="S50" s="483">
        <f t="shared" si="49"/>
        <v>22</v>
      </c>
      <c r="T50" s="483">
        <f t="shared" si="50"/>
        <v>14</v>
      </c>
      <c r="U50" s="773">
        <f t="shared" si="51"/>
        <v>113</v>
      </c>
      <c r="V50" s="757">
        <f t="shared" si="45"/>
        <v>20</v>
      </c>
      <c r="W50" s="485">
        <f t="shared" si="38"/>
        <v>20</v>
      </c>
      <c r="Y50" s="483" t="str">
        <f t="shared" si="53"/>
        <v/>
      </c>
      <c r="Z50" s="485" t="str">
        <f t="shared" si="52"/>
        <v/>
      </c>
      <c r="AA50" s="483"/>
      <c r="AB50" s="483"/>
      <c r="AS50" s="784">
        <v>304150618.56466502</v>
      </c>
      <c r="AT50" s="784">
        <v>1760012360.25736</v>
      </c>
      <c r="AU50" s="784">
        <v>1053822299.22859</v>
      </c>
      <c r="AV50" s="784">
        <v>444196748.81087703</v>
      </c>
      <c r="AW50" s="784">
        <v>4377186496.4188404</v>
      </c>
      <c r="AX50" s="784">
        <v>4283657267.5949502</v>
      </c>
      <c r="AY50" s="781">
        <v>4.0945477329933997</v>
      </c>
      <c r="AZ50" s="781">
        <v>3.8271553881984199</v>
      </c>
    </row>
    <row r="51" spans="1:52" ht="15">
      <c r="A51" s="480"/>
      <c r="B51" s="677" t="s">
        <v>466</v>
      </c>
      <c r="C51" s="677" t="s">
        <v>467</v>
      </c>
      <c r="E51" s="677" t="s">
        <v>369</v>
      </c>
      <c r="F51" s="530">
        <f t="shared" si="35"/>
        <v>-2.4008002667555831E-2</v>
      </c>
      <c r="G51" s="530">
        <f t="shared" si="36"/>
        <v>-46.810126582278464</v>
      </c>
      <c r="H51" s="770">
        <f t="shared" si="10"/>
        <v>5663280625.0203199</v>
      </c>
      <c r="I51" s="771">
        <f t="shared" si="39"/>
        <v>-5.8142945800615964E-2</v>
      </c>
      <c r="J51" s="530">
        <f t="shared" si="37"/>
        <v>-1.5119946906749894E-2</v>
      </c>
      <c r="K51" s="757">
        <f t="shared" si="40"/>
        <v>94</v>
      </c>
      <c r="L51" s="756">
        <f t="shared" si="41"/>
        <v>99</v>
      </c>
      <c r="M51" s="756">
        <f t="shared" si="42"/>
        <v>29</v>
      </c>
      <c r="N51" s="756">
        <f t="shared" si="43"/>
        <v>71</v>
      </c>
      <c r="O51" s="756">
        <f t="shared" si="44"/>
        <v>95</v>
      </c>
      <c r="P51" s="485">
        <f t="shared" si="46"/>
        <v>86</v>
      </c>
      <c r="Q51" s="483">
        <f t="shared" si="47"/>
        <v>66</v>
      </c>
      <c r="R51" s="483">
        <f t="shared" si="48"/>
        <v>26</v>
      </c>
      <c r="S51" s="483">
        <f t="shared" si="49"/>
        <v>5</v>
      </c>
      <c r="T51" s="483">
        <f t="shared" si="50"/>
        <v>60</v>
      </c>
      <c r="U51" s="773">
        <f t="shared" si="51"/>
        <v>243</v>
      </c>
      <c r="V51" s="757">
        <f t="shared" si="45"/>
        <v>80</v>
      </c>
      <c r="W51" s="485">
        <f t="shared" si="38"/>
        <v>80</v>
      </c>
      <c r="Y51" s="483" t="str">
        <f t="shared" si="53"/>
        <v/>
      </c>
      <c r="Z51" s="485" t="str">
        <f t="shared" si="52"/>
        <v/>
      </c>
      <c r="AA51" s="483"/>
      <c r="AB51" s="483"/>
      <c r="AS51" s="784">
        <v>-234123500.14632699</v>
      </c>
      <c r="AT51" s="784">
        <v>9751894124.1504898</v>
      </c>
      <c r="AU51" s="784">
        <v>4008281034.91258</v>
      </c>
      <c r="AV51" s="784">
        <v>-85628502.368332595</v>
      </c>
      <c r="AW51" s="784">
        <v>17892021374.608398</v>
      </c>
      <c r="AX51" s="784">
        <v>5663280625.0203199</v>
      </c>
      <c r="AY51" s="781">
        <v>1.4250771839805201</v>
      </c>
      <c r="AZ51" s="781">
        <v>1.5130503908492701</v>
      </c>
    </row>
    <row r="52" spans="1:52" ht="15">
      <c r="A52" s="480"/>
      <c r="B52" s="677" t="s">
        <v>468</v>
      </c>
      <c r="C52" s="677" t="s">
        <v>469</v>
      </c>
      <c r="E52" s="677" t="s">
        <v>470</v>
      </c>
      <c r="F52" s="530">
        <f t="shared" si="35"/>
        <v>0.19216286974936136</v>
      </c>
      <c r="G52" s="530">
        <f t="shared" si="36"/>
        <v>3.5907400184552674</v>
      </c>
      <c r="H52" s="770">
        <f t="shared" si="10"/>
        <v>945076215.63634396</v>
      </c>
      <c r="I52" s="771">
        <f t="shared" si="39"/>
        <v>-0.34469719295360779</v>
      </c>
      <c r="J52" s="530">
        <f t="shared" si="37"/>
        <v>0.24550134380345581</v>
      </c>
      <c r="K52" s="757">
        <f t="shared" si="40"/>
        <v>28</v>
      </c>
      <c r="L52" s="756">
        <f t="shared" si="41"/>
        <v>41</v>
      </c>
      <c r="M52" s="756">
        <f t="shared" si="42"/>
        <v>70</v>
      </c>
      <c r="N52" s="756">
        <f t="shared" si="43"/>
        <v>91</v>
      </c>
      <c r="O52" s="756">
        <f t="shared" si="44"/>
        <v>8</v>
      </c>
      <c r="P52" s="485">
        <f t="shared" si="46"/>
        <v>20</v>
      </c>
      <c r="Q52" s="483">
        <f t="shared" si="47"/>
        <v>8</v>
      </c>
      <c r="R52" s="483">
        <f t="shared" si="48"/>
        <v>67</v>
      </c>
      <c r="S52" s="483">
        <f t="shared" si="49"/>
        <v>15</v>
      </c>
      <c r="T52" s="483">
        <f t="shared" si="50"/>
        <v>27</v>
      </c>
      <c r="U52" s="773">
        <f t="shared" si="51"/>
        <v>137</v>
      </c>
      <c r="V52" s="757">
        <f t="shared" si="45"/>
        <v>29</v>
      </c>
      <c r="W52" s="485">
        <f t="shared" si="38"/>
        <v>29</v>
      </c>
      <c r="Y52" s="483" t="str">
        <f t="shared" si="53"/>
        <v/>
      </c>
      <c r="Z52" s="485" t="str">
        <f t="shared" si="52"/>
        <v/>
      </c>
      <c r="AA52" s="483"/>
      <c r="AB52" s="483"/>
      <c r="AS52" s="784">
        <v>138999922.74839199</v>
      </c>
      <c r="AT52" s="784">
        <v>723344332.49092305</v>
      </c>
      <c r="AU52" s="784">
        <v>833114453.77594805</v>
      </c>
      <c r="AV52" s="784">
        <v>232017480.93540701</v>
      </c>
      <c r="AW52" s="784">
        <v>2699228587.5095201</v>
      </c>
      <c r="AX52" s="784">
        <v>945076215.63634396</v>
      </c>
      <c r="AY52" s="781">
        <v>2.47134007599099</v>
      </c>
      <c r="AZ52" s="781">
        <v>3.7712948112185201</v>
      </c>
    </row>
    <row r="53" spans="1:52" ht="15">
      <c r="A53" s="480"/>
      <c r="B53" s="677" t="s">
        <v>471</v>
      </c>
      <c r="C53" s="677" t="s">
        <v>472</v>
      </c>
      <c r="E53" s="677" t="s">
        <v>408</v>
      </c>
      <c r="F53" s="530">
        <f t="shared" si="35"/>
        <v>9.71905867680362E-2</v>
      </c>
      <c r="G53" s="530">
        <f t="shared" si="36"/>
        <v>4.0359128473612165</v>
      </c>
      <c r="H53" s="770">
        <f t="shared" si="10"/>
        <v>2534459645.2006202</v>
      </c>
      <c r="I53" s="771">
        <f t="shared" si="39"/>
        <v>0.4092211768786238</v>
      </c>
      <c r="J53" s="530">
        <f t="shared" si="37"/>
        <v>9.8696587208812109E-2</v>
      </c>
      <c r="K53" s="757">
        <f t="shared" si="40"/>
        <v>67</v>
      </c>
      <c r="L53" s="756">
        <f t="shared" si="41"/>
        <v>34</v>
      </c>
      <c r="M53" s="756">
        <f t="shared" si="42"/>
        <v>46</v>
      </c>
      <c r="N53" s="756">
        <f t="shared" si="43"/>
        <v>17</v>
      </c>
      <c r="O53" s="756">
        <f t="shared" si="44"/>
        <v>51</v>
      </c>
      <c r="P53" s="485">
        <f t="shared" si="46"/>
        <v>59</v>
      </c>
      <c r="Q53" s="483">
        <f t="shared" si="47"/>
        <v>1</v>
      </c>
      <c r="R53" s="483">
        <f t="shared" si="48"/>
        <v>43</v>
      </c>
      <c r="S53" s="483">
        <f t="shared" si="49"/>
        <v>59</v>
      </c>
      <c r="T53" s="483">
        <f t="shared" si="50"/>
        <v>16</v>
      </c>
      <c r="U53" s="773">
        <f t="shared" si="51"/>
        <v>178</v>
      </c>
      <c r="V53" s="757">
        <f t="shared" si="45"/>
        <v>54</v>
      </c>
      <c r="W53" s="485">
        <f t="shared" si="38"/>
        <v>54</v>
      </c>
      <c r="Y53" s="483" t="str">
        <f t="shared" si="53"/>
        <v/>
      </c>
      <c r="Z53" s="485" t="str">
        <f t="shared" si="52"/>
        <v/>
      </c>
      <c r="AA53" s="483"/>
      <c r="AB53" s="483"/>
      <c r="AS53" s="784">
        <v>201631068.781876</v>
      </c>
      <c r="AT53" s="784">
        <v>2074594623.6862099</v>
      </c>
      <c r="AU53" s="784">
        <v>1009553399.64496</v>
      </c>
      <c r="AV53" s="784">
        <v>250142517.39975801</v>
      </c>
      <c r="AW53" s="784">
        <v>5927182077.5451498</v>
      </c>
      <c r="AX53" s="784">
        <v>2534459645.2006202</v>
      </c>
      <c r="AY53" s="781">
        <v>0.17006345599645301</v>
      </c>
      <c r="AZ53" s="781">
        <v>0.12067903802945799</v>
      </c>
    </row>
    <row r="54" spans="1:52" ht="15">
      <c r="A54" s="480"/>
      <c r="B54" s="677" t="s">
        <v>473</v>
      </c>
      <c r="C54" s="677" t="s">
        <v>474</v>
      </c>
      <c r="E54" s="677" t="s">
        <v>408</v>
      </c>
      <c r="F54" s="530">
        <f t="shared" si="35"/>
        <v>4.3562116243196544E-2</v>
      </c>
      <c r="G54" s="530">
        <f t="shared" si="36"/>
        <v>13.074568593414053</v>
      </c>
      <c r="H54" s="770">
        <f t="shared" si="10"/>
        <v>8755142150.8145008</v>
      </c>
      <c r="I54" s="771">
        <f t="shared" si="39"/>
        <v>0.31421263793692145</v>
      </c>
      <c r="J54" s="530">
        <f t="shared" si="37"/>
        <v>3.9517583150190987E-2</v>
      </c>
      <c r="K54" s="757">
        <f t="shared" si="40"/>
        <v>88</v>
      </c>
      <c r="L54" s="756">
        <f t="shared" si="41"/>
        <v>5</v>
      </c>
      <c r="M54" s="756">
        <f t="shared" si="42"/>
        <v>21</v>
      </c>
      <c r="N54" s="756">
        <f t="shared" si="43"/>
        <v>27</v>
      </c>
      <c r="O54" s="756">
        <f t="shared" si="44"/>
        <v>85</v>
      </c>
      <c r="P54" s="485">
        <f t="shared" si="46"/>
        <v>80</v>
      </c>
      <c r="Q54" s="483">
        <f t="shared" si="47"/>
        <v>28</v>
      </c>
      <c r="R54" s="483">
        <f t="shared" si="48"/>
        <v>18</v>
      </c>
      <c r="S54" s="483">
        <f t="shared" si="49"/>
        <v>49</v>
      </c>
      <c r="T54" s="483">
        <f t="shared" si="50"/>
        <v>50</v>
      </c>
      <c r="U54" s="773">
        <f t="shared" si="51"/>
        <v>225</v>
      </c>
      <c r="V54" s="757">
        <f t="shared" si="45"/>
        <v>75</v>
      </c>
      <c r="W54" s="485">
        <f t="shared" si="38"/>
        <v>75</v>
      </c>
      <c r="Y54" s="483" t="str">
        <f t="shared" si="53"/>
        <v/>
      </c>
      <c r="Z54" s="485" t="str">
        <f t="shared" si="52"/>
        <v/>
      </c>
      <c r="AA54" s="483"/>
      <c r="AB54" s="483"/>
      <c r="AS54" s="784">
        <v>345740020.58806503</v>
      </c>
      <c r="AT54" s="784">
        <v>7936713144.4644203</v>
      </c>
      <c r="AU54" s="784">
        <v>4523566148.5820303</v>
      </c>
      <c r="AV54" s="784">
        <v>345982057.93655401</v>
      </c>
      <c r="AW54" s="784">
        <v>6035999786.8700304</v>
      </c>
      <c r="AX54" s="784">
        <v>8755142150.8145008</v>
      </c>
      <c r="AY54" s="781">
        <v>5.7758608714978003E-2</v>
      </c>
      <c r="AZ54" s="781">
        <v>4.3949211145654997E-2</v>
      </c>
    </row>
    <row r="55" spans="1:52" ht="15">
      <c r="A55" s="480"/>
      <c r="B55" s="677" t="s">
        <v>475</v>
      </c>
      <c r="C55" s="677" t="s">
        <v>476</v>
      </c>
      <c r="E55" s="677" t="s">
        <v>446</v>
      </c>
      <c r="F55" s="530">
        <f t="shared" si="35"/>
        <v>0.12710383582230778</v>
      </c>
      <c r="G55" s="530">
        <f t="shared" si="36"/>
        <v>1.5652701777381448</v>
      </c>
      <c r="H55" s="770">
        <f t="shared" si="10"/>
        <v>1254498241.34516</v>
      </c>
      <c r="I55" s="771">
        <f t="shared" si="39"/>
        <v>-0.17363610241677596</v>
      </c>
      <c r="J55" s="530">
        <f t="shared" si="37"/>
        <v>0.2580395097253525</v>
      </c>
      <c r="K55" s="757">
        <f t="shared" si="40"/>
        <v>55</v>
      </c>
      <c r="L55" s="756">
        <f t="shared" si="41"/>
        <v>69</v>
      </c>
      <c r="M55" s="756">
        <f t="shared" si="42"/>
        <v>61</v>
      </c>
      <c r="N55" s="756">
        <f t="shared" si="43"/>
        <v>83</v>
      </c>
      <c r="O55" s="756">
        <f t="shared" si="44"/>
        <v>6</v>
      </c>
      <c r="P55" s="485">
        <f t="shared" ref="P55:P61" si="54">IFERROR(ABS(K$3-K55),"N/A")</f>
        <v>47</v>
      </c>
      <c r="Q55" s="483">
        <f t="shared" ref="Q55:Q61" si="55">IFERROR(ABS(L$3-L55),"N/A")</f>
        <v>36</v>
      </c>
      <c r="R55" s="483">
        <f t="shared" ref="R55:R61" si="56">IFERROR(ABS(M$3-M55),"N/A")</f>
        <v>58</v>
      </c>
      <c r="S55" s="483">
        <f t="shared" ref="S55:S61" si="57">IFERROR(ABS(N$3-N55),"N/A")</f>
        <v>7</v>
      </c>
      <c r="T55" s="483">
        <f t="shared" ref="T55:T61" si="58">IFERROR(ABS(O$3-O55),"N/A")</f>
        <v>29</v>
      </c>
      <c r="U55" s="773">
        <f t="shared" ref="U55:U61" si="59">SUM(P55:T55)</f>
        <v>177</v>
      </c>
      <c r="V55" s="757">
        <f t="shared" si="45"/>
        <v>52</v>
      </c>
      <c r="W55" s="485">
        <f t="shared" si="38"/>
        <v>52</v>
      </c>
      <c r="Y55" s="483" t="str">
        <f t="shared" si="53"/>
        <v/>
      </c>
      <c r="Z55" s="485" t="str">
        <f t="shared" si="52"/>
        <v/>
      </c>
      <c r="AA55" s="483"/>
      <c r="AB55" s="483"/>
      <c r="AS55" s="784">
        <v>178238909.53337499</v>
      </c>
      <c r="AT55" s="784">
        <v>1402309445.50371</v>
      </c>
      <c r="AU55" s="784">
        <v>506693783.21229899</v>
      </c>
      <c r="AV55" s="784">
        <v>323710111.148022</v>
      </c>
      <c r="AW55" s="784">
        <v>3599818136.6424599</v>
      </c>
      <c r="AX55" s="784">
        <v>1254498241.34516</v>
      </c>
      <c r="AY55" s="781">
        <v>0.99669348060183705</v>
      </c>
      <c r="AZ55" s="781">
        <v>1.2061193422374299</v>
      </c>
    </row>
    <row r="56" spans="1:52" ht="15">
      <c r="A56" s="480"/>
      <c r="B56" s="677" t="s">
        <v>477</v>
      </c>
      <c r="C56" s="677" t="s">
        <v>478</v>
      </c>
      <c r="E56" s="677" t="s">
        <v>479</v>
      </c>
      <c r="F56" s="530">
        <f t="shared" si="35"/>
        <v>0.19800712536183457</v>
      </c>
      <c r="G56" s="530">
        <f t="shared" si="36"/>
        <v>0.31503298774740746</v>
      </c>
      <c r="H56" s="770">
        <f t="shared" si="10"/>
        <v>4529971085.4092503</v>
      </c>
      <c r="I56" s="771">
        <f t="shared" si="39"/>
        <v>-0.17003663146702297</v>
      </c>
      <c r="J56" s="530">
        <f t="shared" si="37"/>
        <v>0.11133349044924946</v>
      </c>
      <c r="K56" s="757">
        <f t="shared" si="40"/>
        <v>26</v>
      </c>
      <c r="L56" s="756">
        <f t="shared" si="41"/>
        <v>86</v>
      </c>
      <c r="M56" s="756">
        <f t="shared" si="42"/>
        <v>31</v>
      </c>
      <c r="N56" s="756">
        <f t="shared" si="43"/>
        <v>81</v>
      </c>
      <c r="O56" s="756">
        <f t="shared" si="44"/>
        <v>43</v>
      </c>
      <c r="P56" s="485">
        <f t="shared" si="54"/>
        <v>18</v>
      </c>
      <c r="Q56" s="483">
        <f t="shared" si="55"/>
        <v>53</v>
      </c>
      <c r="R56" s="483">
        <f t="shared" si="56"/>
        <v>28</v>
      </c>
      <c r="S56" s="483">
        <f t="shared" si="57"/>
        <v>5</v>
      </c>
      <c r="T56" s="483">
        <f t="shared" si="58"/>
        <v>8</v>
      </c>
      <c r="U56" s="773">
        <f t="shared" si="59"/>
        <v>112</v>
      </c>
      <c r="V56" s="757">
        <f t="shared" si="45"/>
        <v>19</v>
      </c>
      <c r="W56" s="485" t="str">
        <f t="shared" si="38"/>
        <v>-</v>
      </c>
      <c r="Y56" s="703" t="s">
        <v>447</v>
      </c>
      <c r="Z56" s="485" t="str">
        <f t="shared" si="52"/>
        <v/>
      </c>
      <c r="AA56" s="483"/>
      <c r="AB56" s="483"/>
      <c r="AS56" s="784">
        <v>422697563.87403399</v>
      </c>
      <c r="AT56" s="784">
        <v>2134759358.28877</v>
      </c>
      <c r="AU56" s="784">
        <v>158882947.11824101</v>
      </c>
      <c r="AV56" s="784">
        <v>504337492.57278699</v>
      </c>
      <c r="AW56" s="784">
        <v>4248128342.2459898</v>
      </c>
      <c r="AX56" s="784">
        <v>4529971085.4092503</v>
      </c>
      <c r="AY56" s="781">
        <v>29.504233983286898</v>
      </c>
      <c r="AZ56" s="781">
        <v>35.548838782412602</v>
      </c>
    </row>
    <row r="57" spans="1:52" ht="15">
      <c r="A57" s="480"/>
      <c r="B57" s="677" t="s">
        <v>480</v>
      </c>
      <c r="C57" s="677" t="s">
        <v>481</v>
      </c>
      <c r="E57" s="677" t="s">
        <v>389</v>
      </c>
      <c r="F57" s="530">
        <f t="shared" si="35"/>
        <v>0.13119653207664952</v>
      </c>
      <c r="G57" s="530">
        <f t="shared" si="36"/>
        <v>1.9118631106012803E-3</v>
      </c>
      <c r="H57" s="770">
        <f t="shared" si="10"/>
        <v>1914048696.7997401</v>
      </c>
      <c r="I57" s="771">
        <f t="shared" si="39"/>
        <v>0.47877685321484709</v>
      </c>
      <c r="J57" s="530">
        <f t="shared" si="37"/>
        <v>8.025518632759944E-2</v>
      </c>
      <c r="K57" s="757">
        <f t="shared" si="40"/>
        <v>54</v>
      </c>
      <c r="L57" s="756">
        <f t="shared" si="41"/>
        <v>93</v>
      </c>
      <c r="M57" s="756">
        <f t="shared" si="42"/>
        <v>51</v>
      </c>
      <c r="N57" s="756">
        <f t="shared" si="43"/>
        <v>16</v>
      </c>
      <c r="O57" s="756">
        <f t="shared" si="44"/>
        <v>59</v>
      </c>
      <c r="P57" s="485">
        <f t="shared" si="54"/>
        <v>46</v>
      </c>
      <c r="Q57" s="483">
        <f t="shared" si="55"/>
        <v>60</v>
      </c>
      <c r="R57" s="483">
        <f t="shared" si="56"/>
        <v>48</v>
      </c>
      <c r="S57" s="483">
        <f t="shared" si="57"/>
        <v>60</v>
      </c>
      <c r="T57" s="483">
        <f t="shared" si="58"/>
        <v>24</v>
      </c>
      <c r="U57" s="773">
        <f t="shared" si="59"/>
        <v>238</v>
      </c>
      <c r="V57" s="757">
        <f t="shared" si="45"/>
        <v>78</v>
      </c>
      <c r="W57" s="485" t="str">
        <f t="shared" si="38"/>
        <v>-</v>
      </c>
      <c r="Y57" s="703" t="s">
        <v>447</v>
      </c>
      <c r="Z57" s="485" t="str">
        <f t="shared" si="52"/>
        <v/>
      </c>
      <c r="AA57" s="483"/>
      <c r="AB57" s="483"/>
      <c r="AS57" s="784">
        <v>117327459.618209</v>
      </c>
      <c r="AT57" s="784">
        <v>894287812.041116</v>
      </c>
      <c r="AU57" s="784">
        <v>293685.75624082203</v>
      </c>
      <c r="AV57" s="784">
        <v>153612334.80176201</v>
      </c>
      <c r="AW57" s="784">
        <v>1313994126.2848699</v>
      </c>
      <c r="AX57" s="784">
        <v>1914048696.7997401</v>
      </c>
      <c r="AY57" s="781">
        <v>3.4788037071609601</v>
      </c>
      <c r="AZ57" s="781">
        <v>2.3524872597228401</v>
      </c>
    </row>
    <row r="58" spans="1:52" ht="15">
      <c r="A58" s="480"/>
      <c r="B58" s="677" t="s">
        <v>482</v>
      </c>
      <c r="C58" s="677" t="s">
        <v>483</v>
      </c>
      <c r="E58" s="677" t="s">
        <v>408</v>
      </c>
      <c r="F58" s="530">
        <f t="shared" si="35"/>
        <v>6.7798662622725242E-2</v>
      </c>
      <c r="G58" s="530">
        <f t="shared" si="36"/>
        <v>10.683806215701964</v>
      </c>
      <c r="H58" s="770">
        <f t="shared" si="10"/>
        <v>17141721992.8314</v>
      </c>
      <c r="I58" s="771">
        <f t="shared" si="39"/>
        <v>0.11602700393577914</v>
      </c>
      <c r="J58" s="530">
        <f t="shared" si="37"/>
        <v>4.1434422463860442E-2</v>
      </c>
      <c r="K58" s="757">
        <f t="shared" si="40"/>
        <v>78</v>
      </c>
      <c r="L58" s="756">
        <f t="shared" si="41"/>
        <v>7</v>
      </c>
      <c r="M58" s="756">
        <f t="shared" si="42"/>
        <v>13</v>
      </c>
      <c r="N58" s="756">
        <f t="shared" si="43"/>
        <v>47</v>
      </c>
      <c r="O58" s="756">
        <f t="shared" si="44"/>
        <v>84</v>
      </c>
      <c r="P58" s="485">
        <f t="shared" si="54"/>
        <v>70</v>
      </c>
      <c r="Q58" s="483">
        <f t="shared" si="55"/>
        <v>26</v>
      </c>
      <c r="R58" s="483">
        <f t="shared" si="56"/>
        <v>10</v>
      </c>
      <c r="S58" s="483">
        <f t="shared" si="57"/>
        <v>29</v>
      </c>
      <c r="T58" s="483">
        <f t="shared" si="58"/>
        <v>49</v>
      </c>
      <c r="U58" s="773">
        <f t="shared" si="59"/>
        <v>184</v>
      </c>
      <c r="V58" s="757">
        <f t="shared" si="45"/>
        <v>59</v>
      </c>
      <c r="W58" s="485">
        <f t="shared" si="38"/>
        <v>59</v>
      </c>
      <c r="Y58" s="483" t="str">
        <f t="shared" si="53"/>
        <v/>
      </c>
      <c r="Z58" s="485" t="str">
        <f t="shared" si="52"/>
        <v/>
      </c>
      <c r="AA58" s="483"/>
      <c r="AB58" s="483"/>
      <c r="AS58" s="784">
        <v>638604796.14916205</v>
      </c>
      <c r="AT58" s="784">
        <v>9419135591.2544193</v>
      </c>
      <c r="AU58" s="784">
        <v>7588251899.3214598</v>
      </c>
      <c r="AV58" s="784">
        <v>710257350.80902398</v>
      </c>
      <c r="AW58" s="784">
        <v>11718107782.868401</v>
      </c>
      <c r="AX58" s="784">
        <v>17141721992.8314</v>
      </c>
      <c r="AY58" s="781">
        <v>8.2126080551463004E-2</v>
      </c>
      <c r="AZ58" s="781">
        <v>7.3587897301622004E-2</v>
      </c>
    </row>
    <row r="59" spans="1:52" ht="15">
      <c r="A59" s="480"/>
      <c r="B59" s="677" t="s">
        <v>484</v>
      </c>
      <c r="C59" s="677" t="s">
        <v>485</v>
      </c>
      <c r="E59" s="677" t="s">
        <v>486</v>
      </c>
      <c r="F59" s="530">
        <f t="shared" si="35"/>
        <v>6.2304068372475846E-2</v>
      </c>
      <c r="G59" s="530">
        <f t="shared" si="36"/>
        <v>4.148559764118847</v>
      </c>
      <c r="H59" s="770">
        <f t="shared" si="10"/>
        <v>189604244.57515699</v>
      </c>
      <c r="I59" s="771">
        <f t="shared" si="39"/>
        <v>0.81165986715811411</v>
      </c>
      <c r="J59" s="530">
        <f t="shared" si="37"/>
        <v>4.6502747382726306E-2</v>
      </c>
      <c r="K59" s="757">
        <f t="shared" si="40"/>
        <v>80</v>
      </c>
      <c r="L59" s="756">
        <f t="shared" si="41"/>
        <v>31</v>
      </c>
      <c r="M59" s="756">
        <f t="shared" si="42"/>
        <v>94</v>
      </c>
      <c r="N59" s="756">
        <f t="shared" si="43"/>
        <v>8</v>
      </c>
      <c r="O59" s="756">
        <f t="shared" si="44"/>
        <v>79</v>
      </c>
      <c r="P59" s="485">
        <f t="shared" si="54"/>
        <v>72</v>
      </c>
      <c r="Q59" s="483">
        <f t="shared" si="55"/>
        <v>2</v>
      </c>
      <c r="R59" s="483">
        <f t="shared" si="56"/>
        <v>91</v>
      </c>
      <c r="S59" s="483">
        <f t="shared" si="57"/>
        <v>68</v>
      </c>
      <c r="T59" s="483">
        <f t="shared" si="58"/>
        <v>44</v>
      </c>
      <c r="U59" s="773">
        <f t="shared" si="59"/>
        <v>277</v>
      </c>
      <c r="V59" s="757">
        <f t="shared" si="45"/>
        <v>89</v>
      </c>
      <c r="W59" s="485" t="str">
        <f t="shared" si="38"/>
        <v>-</v>
      </c>
      <c r="Y59" s="703" t="s">
        <v>447</v>
      </c>
      <c r="Z59" s="485" t="str">
        <f t="shared" si="52"/>
        <v/>
      </c>
      <c r="AA59" s="483"/>
      <c r="AB59" s="483"/>
      <c r="AS59" s="784">
        <v>4742859.0474285902</v>
      </c>
      <c r="AT59" s="784">
        <v>76124387.561243907</v>
      </c>
      <c r="AU59" s="784">
        <v>36578342.165783398</v>
      </c>
      <c r="AV59" s="784">
        <v>8817118.2881711796</v>
      </c>
      <c r="AW59" s="784">
        <v>172181448.52181399</v>
      </c>
      <c r="AX59" s="784">
        <v>189604244.57515699</v>
      </c>
      <c r="AY59" s="781">
        <v>3.6376277367475E-2</v>
      </c>
      <c r="AZ59" s="781">
        <v>2.0078977310755999E-2</v>
      </c>
    </row>
    <row r="60" spans="1:52" ht="15">
      <c r="A60" s="480"/>
      <c r="B60" s="677" t="s">
        <v>487</v>
      </c>
      <c r="C60" s="677" t="s">
        <v>488</v>
      </c>
      <c r="E60" s="677" t="s">
        <v>450</v>
      </c>
      <c r="F60" s="530">
        <f t="shared" si="35"/>
        <v>0.60669987939049475</v>
      </c>
      <c r="G60" s="530">
        <f t="shared" si="36"/>
        <v>0.51197250000165706</v>
      </c>
      <c r="H60" s="770">
        <f t="shared" si="10"/>
        <v>2835497133.7024298</v>
      </c>
      <c r="I60" s="771">
        <f t="shared" si="39"/>
        <v>0.13094867434443613</v>
      </c>
      <c r="J60" s="530">
        <f t="shared" si="37"/>
        <v>0.13528467765633956</v>
      </c>
      <c r="K60" s="757">
        <f t="shared" si="40"/>
        <v>1</v>
      </c>
      <c r="L60" s="756">
        <f t="shared" si="41"/>
        <v>85</v>
      </c>
      <c r="M60" s="756">
        <f t="shared" si="42"/>
        <v>42</v>
      </c>
      <c r="N60" s="756">
        <f t="shared" si="43"/>
        <v>45</v>
      </c>
      <c r="O60" s="756">
        <f t="shared" si="44"/>
        <v>35</v>
      </c>
      <c r="P60" s="485">
        <f t="shared" si="54"/>
        <v>7</v>
      </c>
      <c r="Q60" s="483">
        <f t="shared" si="55"/>
        <v>52</v>
      </c>
      <c r="R60" s="483">
        <f t="shared" si="56"/>
        <v>39</v>
      </c>
      <c r="S60" s="483">
        <f t="shared" si="57"/>
        <v>31</v>
      </c>
      <c r="T60" s="483">
        <f t="shared" si="58"/>
        <v>0</v>
      </c>
      <c r="U60" s="773">
        <f t="shared" si="59"/>
        <v>129</v>
      </c>
      <c r="V60" s="757">
        <f t="shared" si="45"/>
        <v>24</v>
      </c>
      <c r="W60" s="485">
        <f t="shared" si="38"/>
        <v>24</v>
      </c>
      <c r="Y60" s="483" t="str">
        <f t="shared" si="53"/>
        <v/>
      </c>
      <c r="Z60" s="485" t="str">
        <f t="shared" si="52"/>
        <v/>
      </c>
      <c r="AA60" s="483"/>
      <c r="AB60" s="483"/>
      <c r="AS60" s="784">
        <v>316927965.57269198</v>
      </c>
      <c r="AT60" s="784">
        <v>522380136.10796398</v>
      </c>
      <c r="AU60" s="784">
        <v>196392300.672398</v>
      </c>
      <c r="AV60" s="784">
        <v>383599315.72840798</v>
      </c>
      <c r="AW60" s="784">
        <v>1982441460.34482</v>
      </c>
      <c r="AX60" s="784">
        <v>2835497133.7024298</v>
      </c>
      <c r="AY60" s="781">
        <v>3.2360171476030199</v>
      </c>
      <c r="AZ60" s="781">
        <v>2.8613298030335499</v>
      </c>
    </row>
    <row r="61" spans="1:52" ht="15">
      <c r="A61" s="480"/>
      <c r="B61" s="677" t="s">
        <v>489</v>
      </c>
      <c r="C61" s="677" t="s">
        <v>490</v>
      </c>
      <c r="E61" s="677" t="s">
        <v>491</v>
      </c>
      <c r="F61" s="530">
        <f t="shared" si="35"/>
        <v>0.18446565220149613</v>
      </c>
      <c r="G61" s="530">
        <f t="shared" si="36"/>
        <v>6.9077008756194547E-2</v>
      </c>
      <c r="H61" s="770">
        <f t="shared" si="10"/>
        <v>537187070.49421799</v>
      </c>
      <c r="I61" s="771">
        <f t="shared" si="39"/>
        <v>0.22058823529409133</v>
      </c>
      <c r="J61" s="530">
        <f t="shared" si="37"/>
        <v>3.1323196212009186E-2</v>
      </c>
      <c r="K61" s="757">
        <f t="shared" si="40"/>
        <v>30</v>
      </c>
      <c r="L61" s="756">
        <f t="shared" si="41"/>
        <v>88</v>
      </c>
      <c r="M61" s="756">
        <f t="shared" si="42"/>
        <v>82</v>
      </c>
      <c r="N61" s="756">
        <f t="shared" si="43"/>
        <v>34</v>
      </c>
      <c r="O61" s="756">
        <f t="shared" si="44"/>
        <v>88</v>
      </c>
      <c r="P61" s="485">
        <f t="shared" si="54"/>
        <v>22</v>
      </c>
      <c r="Q61" s="483">
        <f t="shared" si="55"/>
        <v>55</v>
      </c>
      <c r="R61" s="483">
        <f t="shared" si="56"/>
        <v>79</v>
      </c>
      <c r="S61" s="483">
        <f t="shared" si="57"/>
        <v>42</v>
      </c>
      <c r="T61" s="483">
        <f t="shared" si="58"/>
        <v>53</v>
      </c>
      <c r="U61" s="773">
        <f t="shared" si="59"/>
        <v>251</v>
      </c>
      <c r="V61" s="757">
        <f t="shared" si="45"/>
        <v>82</v>
      </c>
      <c r="W61" s="485" t="str">
        <f t="shared" si="38"/>
        <v>-</v>
      </c>
      <c r="Y61" s="703" t="s">
        <v>447</v>
      </c>
      <c r="Z61" s="485" t="str">
        <f t="shared" si="52"/>
        <v/>
      </c>
      <c r="AA61" s="483"/>
      <c r="AB61" s="483"/>
      <c r="AS61" s="784">
        <v>22225692.576419201</v>
      </c>
      <c r="AT61" s="784">
        <v>120486889.08296899</v>
      </c>
      <c r="AU61" s="784">
        <v>1162318.4861717599</v>
      </c>
      <c r="AV61" s="784">
        <v>16826416.011644799</v>
      </c>
      <c r="AW61" s="784">
        <v>270723295.19650698</v>
      </c>
      <c r="AX61" s="784">
        <v>537187070.49421799</v>
      </c>
      <c r="AY61" s="781">
        <v>2.3314606741572999E-2</v>
      </c>
      <c r="AZ61" s="781">
        <v>1.9101123595506E-2</v>
      </c>
    </row>
    <row r="62" spans="1:52" ht="15">
      <c r="A62" s="480"/>
      <c r="B62" s="677" t="s">
        <v>492</v>
      </c>
      <c r="C62" s="677" t="s">
        <v>493</v>
      </c>
      <c r="E62" s="677" t="s">
        <v>455</v>
      </c>
      <c r="F62" s="530">
        <f t="shared" si="35"/>
        <v>0.19899560577526629</v>
      </c>
      <c r="G62" s="530">
        <f t="shared" si="36"/>
        <v>1.7914427449359251</v>
      </c>
      <c r="H62" s="770">
        <f t="shared" si="10"/>
        <v>3868754956.1683898</v>
      </c>
      <c r="I62" s="771">
        <f t="shared" si="39"/>
        <v>-0.22968317172122299</v>
      </c>
      <c r="J62" s="530">
        <f t="shared" si="37"/>
        <v>0.13800795867087734</v>
      </c>
      <c r="K62" s="757">
        <f t="shared" si="40"/>
        <v>25</v>
      </c>
      <c r="L62" s="756">
        <f t="shared" si="41"/>
        <v>65</v>
      </c>
      <c r="M62" s="756">
        <f t="shared" si="42"/>
        <v>37</v>
      </c>
      <c r="N62" s="756">
        <f t="shared" si="43"/>
        <v>87</v>
      </c>
      <c r="O62" s="756">
        <f t="shared" si="44"/>
        <v>34</v>
      </c>
      <c r="P62" s="756">
        <f t="shared" ref="P62" si="60">IFERROR(ABS(K$3-K62),"N/A")</f>
        <v>17</v>
      </c>
      <c r="Q62" s="289">
        <f t="shared" ref="Q62" si="61">IFERROR(ABS(L$3-L62),"N/A")</f>
        <v>32</v>
      </c>
      <c r="R62" s="757">
        <f t="shared" ref="R62" si="62">IFERROR(ABS(M$3-M62),"N/A")</f>
        <v>34</v>
      </c>
      <c r="S62" s="289">
        <f t="shared" ref="S62" si="63">IFERROR(ABS(N$3-N62),"N/A")</f>
        <v>11</v>
      </c>
      <c r="T62" s="757">
        <f t="shared" ref="T62" si="64">IFERROR(ABS(O$3-O62),"N/A")</f>
        <v>1</v>
      </c>
      <c r="U62" s="289">
        <f t="shared" ref="U62" si="65">SUM(P62:T62)</f>
        <v>95</v>
      </c>
      <c r="V62" s="757">
        <f t="shared" si="45"/>
        <v>11</v>
      </c>
      <c r="W62" s="756">
        <f t="shared" si="38"/>
        <v>11</v>
      </c>
      <c r="Y62" s="757" t="str">
        <f t="shared" ref="Y62" si="66">IF(OR(Z62="Y",AA62="Y"),"Not suitable","")</f>
        <v/>
      </c>
      <c r="Z62" s="756" t="str">
        <f t="shared" ref="Z62" si="67">IF(OR(N62="N/A",O62="N/A"),"Y","")</f>
        <v/>
      </c>
      <c r="AA62" s="756"/>
      <c r="AB62" s="756"/>
      <c r="AS62" s="784">
        <v>384823369.71516198</v>
      </c>
      <c r="AT62" s="784">
        <v>1933828479.35727</v>
      </c>
      <c r="AU62" s="784">
        <v>956485272.53263903</v>
      </c>
      <c r="AV62" s="784">
        <v>533918974.09863901</v>
      </c>
      <c r="AW62" s="784">
        <v>5042102126.62642</v>
      </c>
      <c r="AX62" s="784">
        <v>3868754956.1683898</v>
      </c>
      <c r="AY62" s="781">
        <v>4.9195165126356102</v>
      </c>
      <c r="AZ62" s="781">
        <v>6.3863547205997699</v>
      </c>
    </row>
    <row r="63" spans="1:52" ht="12.75" customHeight="1">
      <c r="A63" s="480"/>
      <c r="B63" s="677" t="s">
        <v>494</v>
      </c>
      <c r="C63" s="677" t="s">
        <v>495</v>
      </c>
      <c r="E63" s="677" t="s">
        <v>348</v>
      </c>
      <c r="F63" s="530">
        <f t="shared" ref="F63:F101" si="68">AS63/AT63</f>
        <v>-0.63322774616127997</v>
      </c>
      <c r="G63" s="530">
        <f t="shared" ref="G63:G101" si="69">AU63/AV63</f>
        <v>-17.684907975460124</v>
      </c>
      <c r="H63" s="770">
        <f t="shared" ref="H63:H101" si="70">AX63</f>
        <v>71363948.319999993</v>
      </c>
      <c r="I63" s="771">
        <f t="shared" si="39"/>
        <v>-1.3125</v>
      </c>
      <c r="J63" s="530">
        <f t="shared" ref="J63:J101" si="71">AV63/AX63</f>
        <v>-5.710166121593313E-2</v>
      </c>
      <c r="K63" s="757">
        <f t="shared" si="40"/>
        <v>98</v>
      </c>
      <c r="L63" s="756">
        <f t="shared" si="41"/>
        <v>98</v>
      </c>
      <c r="M63" s="756">
        <f t="shared" si="42"/>
        <v>98</v>
      </c>
      <c r="N63" s="756">
        <f t="shared" si="43"/>
        <v>100</v>
      </c>
      <c r="O63" s="756">
        <f t="shared" si="44"/>
        <v>96</v>
      </c>
      <c r="P63" s="756">
        <f t="shared" ref="P63:P101" si="72">IFERROR(ABS(K$3-K63),"N/A")</f>
        <v>90</v>
      </c>
      <c r="Q63" s="289">
        <f t="shared" ref="Q63:Q101" si="73">IFERROR(ABS(L$3-L63),"N/A")</f>
        <v>65</v>
      </c>
      <c r="R63" s="757">
        <f t="shared" ref="R63:R101" si="74">IFERROR(ABS(M$3-M63),"N/A")</f>
        <v>95</v>
      </c>
      <c r="S63" s="289">
        <f t="shared" ref="S63:S101" si="75">IFERROR(ABS(N$3-N63),"N/A")</f>
        <v>24</v>
      </c>
      <c r="T63" s="757">
        <f t="shared" ref="T63:T101" si="76">IFERROR(ABS(O$3-O63),"N/A")</f>
        <v>61</v>
      </c>
      <c r="U63" s="289">
        <f t="shared" ref="U63:U101" si="77">SUM(P63:T63)</f>
        <v>335</v>
      </c>
      <c r="V63" s="757">
        <f t="shared" si="45"/>
        <v>97</v>
      </c>
      <c r="W63" s="756">
        <f t="shared" ref="W63:W101" si="78">IF(Y63="Not suitable","-",V63)</f>
        <v>97</v>
      </c>
      <c r="Y63" s="757" t="str">
        <f t="shared" ref="Y63:Y101" si="79">IF(OR(Z63="Y",AA63="Y"),"Not suitable","")</f>
        <v/>
      </c>
      <c r="Z63" s="756" t="str">
        <f t="shared" ref="Z63:Z101" si="80">IF(OR(N63="N/A",O63="N/A"),"Y","")</f>
        <v/>
      </c>
      <c r="AA63" s="756"/>
      <c r="AB63" s="756"/>
      <c r="AS63" s="784">
        <v>-23589000</v>
      </c>
      <c r="AT63" s="784">
        <v>37252000</v>
      </c>
      <c r="AU63" s="784">
        <v>72066000</v>
      </c>
      <c r="AV63" s="784">
        <v>-4075000</v>
      </c>
      <c r="AW63" s="784">
        <v>358093000</v>
      </c>
      <c r="AX63" s="784">
        <v>71363948.319999993</v>
      </c>
      <c r="AY63" s="781">
        <v>0.1</v>
      </c>
      <c r="AZ63" s="781">
        <v>-0.32</v>
      </c>
    </row>
    <row r="64" spans="1:52" ht="12.75" customHeight="1">
      <c r="A64" s="480"/>
      <c r="B64" s="677" t="s">
        <v>496</v>
      </c>
      <c r="C64" s="677" t="s">
        <v>497</v>
      </c>
      <c r="E64" s="677" t="s">
        <v>408</v>
      </c>
      <c r="F64" s="530">
        <f t="shared" si="68"/>
        <v>4.1065798725887372E-2</v>
      </c>
      <c r="G64" s="530">
        <f t="shared" si="69"/>
        <v>2.0771387758813398</v>
      </c>
      <c r="H64" s="770">
        <f t="shared" si="70"/>
        <v>793249357.72077203</v>
      </c>
      <c r="I64" s="771">
        <f t="shared" si="39"/>
        <v>0.5333174592926726</v>
      </c>
      <c r="J64" s="530">
        <f t="shared" si="71"/>
        <v>6.2313758046100232E-2</v>
      </c>
      <c r="K64" s="757">
        <f t="shared" si="40"/>
        <v>89</v>
      </c>
      <c r="L64" s="756">
        <f t="shared" si="41"/>
        <v>59</v>
      </c>
      <c r="M64" s="756">
        <f t="shared" si="42"/>
        <v>73</v>
      </c>
      <c r="N64" s="756">
        <f t="shared" si="43"/>
        <v>13</v>
      </c>
      <c r="O64" s="756">
        <f t="shared" si="44"/>
        <v>70</v>
      </c>
      <c r="P64" s="756">
        <f t="shared" si="72"/>
        <v>81</v>
      </c>
      <c r="Q64" s="289">
        <f t="shared" si="73"/>
        <v>26</v>
      </c>
      <c r="R64" s="757">
        <f t="shared" si="74"/>
        <v>70</v>
      </c>
      <c r="S64" s="289">
        <f t="shared" si="75"/>
        <v>63</v>
      </c>
      <c r="T64" s="757">
        <f t="shared" si="76"/>
        <v>35</v>
      </c>
      <c r="U64" s="289">
        <f t="shared" si="77"/>
        <v>275</v>
      </c>
      <c r="V64" s="757">
        <f t="shared" si="45"/>
        <v>87</v>
      </c>
      <c r="W64" s="756">
        <f t="shared" si="78"/>
        <v>87</v>
      </c>
      <c r="Y64" s="757" t="str">
        <f t="shared" si="79"/>
        <v/>
      </c>
      <c r="Z64" s="756" t="str">
        <f t="shared" si="80"/>
        <v/>
      </c>
      <c r="AA64" s="756"/>
      <c r="AB64" s="756"/>
      <c r="AS64" s="784">
        <v>58043843.878675401</v>
      </c>
      <c r="AT64" s="784">
        <v>1413435162.0947599</v>
      </c>
      <c r="AU64" s="784">
        <v>102673693.672795</v>
      </c>
      <c r="AV64" s="784">
        <v>49430348.547236599</v>
      </c>
      <c r="AW64" s="784">
        <v>1616631966.59514</v>
      </c>
      <c r="AX64" s="784">
        <v>793249357.72077203</v>
      </c>
      <c r="AY64" s="781">
        <v>1.9595017744068001E-2</v>
      </c>
      <c r="AZ64" s="781">
        <v>1.2779491699721E-2</v>
      </c>
    </row>
    <row r="65" spans="1:52" ht="12.75" customHeight="1">
      <c r="A65" s="480"/>
      <c r="B65" s="677" t="s">
        <v>498</v>
      </c>
      <c r="C65" s="677" t="s">
        <v>499</v>
      </c>
      <c r="E65" s="677" t="s">
        <v>363</v>
      </c>
      <c r="F65" s="530">
        <f t="shared" si="68"/>
        <v>0.12395812495832517</v>
      </c>
      <c r="G65" s="530">
        <f t="shared" si="69"/>
        <v>1.8729868228404067</v>
      </c>
      <c r="H65" s="770">
        <f t="shared" si="70"/>
        <v>1319423958.38977</v>
      </c>
      <c r="I65" s="771">
        <f t="shared" si="39"/>
        <v>-0.26049775524293972</v>
      </c>
      <c r="J65" s="530">
        <f t="shared" si="71"/>
        <v>0.22851032078867145</v>
      </c>
      <c r="K65" s="757">
        <f t="shared" si="40"/>
        <v>56</v>
      </c>
      <c r="L65" s="756">
        <f t="shared" si="41"/>
        <v>63</v>
      </c>
      <c r="M65" s="756">
        <f t="shared" si="42"/>
        <v>57</v>
      </c>
      <c r="N65" s="756">
        <f t="shared" si="43"/>
        <v>90</v>
      </c>
      <c r="O65" s="756">
        <f t="shared" si="44"/>
        <v>11</v>
      </c>
      <c r="P65" s="756">
        <f t="shared" si="72"/>
        <v>48</v>
      </c>
      <c r="Q65" s="289">
        <f t="shared" si="73"/>
        <v>30</v>
      </c>
      <c r="R65" s="757">
        <f t="shared" si="74"/>
        <v>54</v>
      </c>
      <c r="S65" s="289">
        <f t="shared" si="75"/>
        <v>14</v>
      </c>
      <c r="T65" s="757">
        <f t="shared" si="76"/>
        <v>24</v>
      </c>
      <c r="U65" s="289">
        <f t="shared" si="77"/>
        <v>170</v>
      </c>
      <c r="V65" s="757">
        <f t="shared" si="45"/>
        <v>45</v>
      </c>
      <c r="W65" s="756">
        <f t="shared" si="78"/>
        <v>45</v>
      </c>
      <c r="Y65" s="757" t="str">
        <f t="shared" si="79"/>
        <v/>
      </c>
      <c r="Z65" s="756" t="str">
        <f t="shared" si="80"/>
        <v/>
      </c>
      <c r="AA65" s="756"/>
      <c r="AB65" s="756"/>
      <c r="AS65" s="784">
        <v>205158200.258241</v>
      </c>
      <c r="AT65" s="784">
        <v>1655060532.1532199</v>
      </c>
      <c r="AU65" s="784">
        <v>564709258.05348003</v>
      </c>
      <c r="AV65" s="784">
        <v>301501991.98790503</v>
      </c>
      <c r="AW65" s="784">
        <v>2929932791.1006198</v>
      </c>
      <c r="AX65" s="784">
        <v>1319423958.38977</v>
      </c>
      <c r="AY65" s="781">
        <v>2.19847742748233</v>
      </c>
      <c r="AZ65" s="781">
        <v>2.9729151507911502</v>
      </c>
    </row>
    <row r="66" spans="1:52" ht="12.75" customHeight="1">
      <c r="A66" s="480"/>
      <c r="B66" s="677" t="s">
        <v>500</v>
      </c>
      <c r="C66" s="677" t="s">
        <v>501</v>
      </c>
      <c r="E66" s="677" t="s">
        <v>455</v>
      </c>
      <c r="F66" s="530">
        <f t="shared" si="68"/>
        <v>0.20590490797545988</v>
      </c>
      <c r="G66" s="530">
        <f t="shared" si="69"/>
        <v>1.898136645962736</v>
      </c>
      <c r="H66" s="770">
        <f t="shared" si="70"/>
        <v>9818138125.5892105</v>
      </c>
      <c r="I66" s="771">
        <f t="shared" si="39"/>
        <v>5.306484922014354E-3</v>
      </c>
      <c r="J66" s="530">
        <f t="shared" si="71"/>
        <v>9.0484925579353614E-2</v>
      </c>
      <c r="K66" s="757">
        <f t="shared" si="40"/>
        <v>23</v>
      </c>
      <c r="L66" s="756">
        <f t="shared" si="41"/>
        <v>62</v>
      </c>
      <c r="M66" s="756">
        <f t="shared" si="42"/>
        <v>17</v>
      </c>
      <c r="N66" s="756">
        <f t="shared" si="43"/>
        <v>65</v>
      </c>
      <c r="O66" s="756">
        <f t="shared" si="44"/>
        <v>54</v>
      </c>
      <c r="P66" s="756">
        <f t="shared" si="72"/>
        <v>15</v>
      </c>
      <c r="Q66" s="289">
        <f t="shared" si="73"/>
        <v>29</v>
      </c>
      <c r="R66" s="757">
        <f t="shared" si="74"/>
        <v>14</v>
      </c>
      <c r="S66" s="289">
        <f t="shared" si="75"/>
        <v>11</v>
      </c>
      <c r="T66" s="757">
        <f t="shared" si="76"/>
        <v>19</v>
      </c>
      <c r="U66" s="289">
        <f t="shared" si="77"/>
        <v>88</v>
      </c>
      <c r="V66" s="757">
        <f t="shared" si="45"/>
        <v>8</v>
      </c>
      <c r="W66" s="756">
        <f t="shared" si="78"/>
        <v>8</v>
      </c>
      <c r="Y66" s="757" t="str">
        <f t="shared" si="79"/>
        <v/>
      </c>
      <c r="Z66" s="756" t="str">
        <f t="shared" si="80"/>
        <v/>
      </c>
      <c r="AA66" s="756"/>
      <c r="AB66" s="756"/>
      <c r="AS66" s="784">
        <v>592630196.55016398</v>
      </c>
      <c r="AT66" s="784">
        <v>2878174213.4130902</v>
      </c>
      <c r="AU66" s="784">
        <v>1686292253.8708601</v>
      </c>
      <c r="AV66" s="784">
        <v>888393497.62175405</v>
      </c>
      <c r="AW66" s="784">
        <v>5948373853.6413097</v>
      </c>
      <c r="AX66" s="784">
        <v>9818138125.5892105</v>
      </c>
      <c r="AY66" s="781">
        <v>0.75294577600156398</v>
      </c>
      <c r="AZ66" s="781">
        <v>0.74897137071583997</v>
      </c>
    </row>
    <row r="67" spans="1:52" ht="12.75" customHeight="1">
      <c r="A67" s="480"/>
      <c r="B67" s="677" t="s">
        <v>502</v>
      </c>
      <c r="C67" s="677" t="s">
        <v>503</v>
      </c>
      <c r="E67" s="677" t="s">
        <v>441</v>
      </c>
      <c r="F67" s="530">
        <f t="shared" si="68"/>
        <v>0.18832009574998401</v>
      </c>
      <c r="G67" s="530">
        <f t="shared" si="69"/>
        <v>3.5954355414320752E-2</v>
      </c>
      <c r="H67" s="770">
        <f t="shared" si="70"/>
        <v>2012727981.8062899</v>
      </c>
      <c r="I67" s="771">
        <f t="shared" si="39"/>
        <v>0.66776416035430031</v>
      </c>
      <c r="J67" s="530">
        <f t="shared" si="71"/>
        <v>1.2527208555594548E-2</v>
      </c>
      <c r="K67" s="757">
        <f t="shared" si="40"/>
        <v>29</v>
      </c>
      <c r="L67" s="756">
        <f t="shared" si="41"/>
        <v>89</v>
      </c>
      <c r="M67" s="756">
        <f t="shared" si="42"/>
        <v>49</v>
      </c>
      <c r="N67" s="756">
        <f t="shared" si="43"/>
        <v>9</v>
      </c>
      <c r="O67" s="756">
        <f t="shared" si="44"/>
        <v>91</v>
      </c>
      <c r="P67" s="756">
        <f t="shared" si="72"/>
        <v>21</v>
      </c>
      <c r="Q67" s="289">
        <f t="shared" si="73"/>
        <v>56</v>
      </c>
      <c r="R67" s="757">
        <f t="shared" si="74"/>
        <v>46</v>
      </c>
      <c r="S67" s="289">
        <f t="shared" si="75"/>
        <v>67</v>
      </c>
      <c r="T67" s="757">
        <f t="shared" si="76"/>
        <v>56</v>
      </c>
      <c r="U67" s="289">
        <f t="shared" si="77"/>
        <v>246</v>
      </c>
      <c r="V67" s="757">
        <f t="shared" si="45"/>
        <v>81</v>
      </c>
      <c r="W67" s="756">
        <f t="shared" si="78"/>
        <v>81</v>
      </c>
      <c r="Y67" s="757" t="str">
        <f t="shared" si="79"/>
        <v/>
      </c>
      <c r="Z67" s="756" t="str">
        <f t="shared" si="80"/>
        <v/>
      </c>
      <c r="AA67" s="756"/>
      <c r="AB67" s="756"/>
      <c r="AS67" s="784">
        <v>21054418.208373901</v>
      </c>
      <c r="AT67" s="784">
        <v>111801229.30866601</v>
      </c>
      <c r="AU67" s="784">
        <v>906548.19863680599</v>
      </c>
      <c r="AV67" s="784">
        <v>25213863.1937683</v>
      </c>
      <c r="AW67" s="784">
        <v>262862134.858812</v>
      </c>
      <c r="AX67" s="784">
        <v>2012727981.8062899</v>
      </c>
      <c r="AY67" s="781">
        <v>0.31231158808633802</v>
      </c>
      <c r="AZ67" s="781">
        <v>0.18726364045381</v>
      </c>
    </row>
    <row r="68" spans="1:52" ht="12.75" customHeight="1">
      <c r="A68" s="480"/>
      <c r="B68" s="677" t="s">
        <v>504</v>
      </c>
      <c r="C68" s="677" t="s">
        <v>505</v>
      </c>
      <c r="E68" s="677" t="s">
        <v>348</v>
      </c>
      <c r="F68" s="530">
        <f t="shared" si="68"/>
        <v>0.3361326365110831</v>
      </c>
      <c r="G68" s="530">
        <f t="shared" si="69"/>
        <v>9.1977972912635816E-3</v>
      </c>
      <c r="H68" s="770">
        <f t="shared" si="70"/>
        <v>232569759.77173999</v>
      </c>
      <c r="I68" s="771">
        <f t="shared" ref="I68:I102" si="81">IFERROR((AY68/AZ68)-1,"-")</f>
        <v>-8.5106382978723416E-2</v>
      </c>
      <c r="J68" s="530">
        <f t="shared" si="71"/>
        <v>0.14445128220011255</v>
      </c>
      <c r="K68" s="757">
        <f t="shared" ref="K68:K102" si="82">IFERROR(_xlfn.RANK.EQ(F68,F$3:F$102),"N/A")</f>
        <v>8</v>
      </c>
      <c r="L68" s="756">
        <f t="shared" ref="L68:L102" si="83">IFERROR(_xlfn.RANK.EQ(G68,G$3:G$102),"N/A")</f>
        <v>92</v>
      </c>
      <c r="M68" s="756">
        <f t="shared" ref="M68:M102" si="84">IFERROR(_xlfn.RANK.EQ(H68,H$3:H$102),"N/A")</f>
        <v>91</v>
      </c>
      <c r="N68" s="756">
        <f t="shared" ref="N68:N102" si="85">IFERROR(_xlfn.RANK.EQ(I68,I$3:I$102),"N/A")</f>
        <v>74</v>
      </c>
      <c r="O68" s="756">
        <f t="shared" ref="O68:O102" si="86">IFERROR(_xlfn.RANK.EQ(J68,J$3:J$102),"N/A")</f>
        <v>31</v>
      </c>
      <c r="P68" s="756">
        <f t="shared" si="72"/>
        <v>0</v>
      </c>
      <c r="Q68" s="289">
        <f t="shared" si="73"/>
        <v>59</v>
      </c>
      <c r="R68" s="757">
        <f t="shared" si="74"/>
        <v>88</v>
      </c>
      <c r="S68" s="289">
        <f t="shared" si="75"/>
        <v>2</v>
      </c>
      <c r="T68" s="757">
        <f t="shared" si="76"/>
        <v>4</v>
      </c>
      <c r="U68" s="289">
        <f t="shared" si="77"/>
        <v>153</v>
      </c>
      <c r="V68" s="757">
        <f t="shared" ref="V68:V99" si="87">_xlfn.RANK.EQ(U68,$U$4:$U$102,1)</f>
        <v>39</v>
      </c>
      <c r="W68" s="756">
        <f t="shared" si="78"/>
        <v>39</v>
      </c>
      <c r="Y68" s="757" t="str">
        <f t="shared" si="79"/>
        <v/>
      </c>
      <c r="Z68" s="756" t="str">
        <f t="shared" si="80"/>
        <v/>
      </c>
      <c r="AA68" s="756"/>
      <c r="AB68" s="756"/>
      <c r="AS68" s="784">
        <v>27978000</v>
      </c>
      <c r="AT68" s="784">
        <v>83235000</v>
      </c>
      <c r="AU68" s="784">
        <v>309000</v>
      </c>
      <c r="AV68" s="784">
        <v>33595000</v>
      </c>
      <c r="AW68" s="784">
        <v>120699000</v>
      </c>
      <c r="AX68" s="784">
        <v>232569759.77173999</v>
      </c>
      <c r="AY68" s="781">
        <v>0.43</v>
      </c>
      <c r="AZ68" s="781">
        <v>0.47</v>
      </c>
    </row>
    <row r="69" spans="1:52" ht="12.75" customHeight="1">
      <c r="A69" s="480"/>
      <c r="B69" s="677" t="s">
        <v>506</v>
      </c>
      <c r="C69" s="677" t="s">
        <v>507</v>
      </c>
      <c r="E69" s="677" t="s">
        <v>408</v>
      </c>
      <c r="F69" s="530">
        <f t="shared" si="68"/>
        <v>7.774067453966077E-2</v>
      </c>
      <c r="G69" s="530">
        <f t="shared" si="69"/>
        <v>4.8909443545741311</v>
      </c>
      <c r="H69" s="770">
        <f t="shared" si="70"/>
        <v>752150961.37220097</v>
      </c>
      <c r="I69" s="771">
        <f t="shared" si="81"/>
        <v>1.0678058041768064</v>
      </c>
      <c r="J69" s="530">
        <f t="shared" si="71"/>
        <v>5.1784894249804876E-2</v>
      </c>
      <c r="K69" s="757">
        <f t="shared" si="82"/>
        <v>76</v>
      </c>
      <c r="L69" s="756">
        <f t="shared" si="83"/>
        <v>26</v>
      </c>
      <c r="M69" s="756">
        <f t="shared" si="84"/>
        <v>75</v>
      </c>
      <c r="N69" s="756">
        <f t="shared" si="85"/>
        <v>7</v>
      </c>
      <c r="O69" s="756">
        <f t="shared" si="86"/>
        <v>74</v>
      </c>
      <c r="P69" s="756">
        <f t="shared" si="72"/>
        <v>68</v>
      </c>
      <c r="Q69" s="289">
        <f t="shared" si="73"/>
        <v>7</v>
      </c>
      <c r="R69" s="757">
        <f t="shared" si="74"/>
        <v>72</v>
      </c>
      <c r="S69" s="289">
        <f t="shared" si="75"/>
        <v>69</v>
      </c>
      <c r="T69" s="757">
        <f t="shared" si="76"/>
        <v>39</v>
      </c>
      <c r="U69" s="289">
        <f t="shared" si="77"/>
        <v>255</v>
      </c>
      <c r="V69" s="757">
        <f t="shared" si="87"/>
        <v>85</v>
      </c>
      <c r="W69" s="756">
        <f t="shared" si="78"/>
        <v>85</v>
      </c>
      <c r="Y69" s="757" t="str">
        <f t="shared" si="79"/>
        <v/>
      </c>
      <c r="Z69" s="756" t="str">
        <f t="shared" si="80"/>
        <v/>
      </c>
      <c r="AA69" s="756"/>
      <c r="AB69" s="756"/>
      <c r="AS69" s="784">
        <v>34074275.068143599</v>
      </c>
      <c r="AT69" s="784">
        <v>438306912.95018297</v>
      </c>
      <c r="AU69" s="784">
        <v>190502566.25877199</v>
      </c>
      <c r="AV69" s="784">
        <v>38950057.9945485</v>
      </c>
      <c r="AW69" s="784">
        <v>340122984.689439</v>
      </c>
      <c r="AX69" s="784">
        <v>752150961.37220097</v>
      </c>
      <c r="AY69" s="781">
        <v>8.4765266698168001E-2</v>
      </c>
      <c r="AZ69" s="781">
        <v>4.0992856547238998E-2</v>
      </c>
    </row>
    <row r="70" spans="1:52" ht="12.75" customHeight="1">
      <c r="A70" s="480"/>
      <c r="B70" s="677" t="s">
        <v>508</v>
      </c>
      <c r="C70" s="677" t="s">
        <v>509</v>
      </c>
      <c r="E70" s="677" t="s">
        <v>348</v>
      </c>
      <c r="F70" s="530">
        <f t="shared" si="68"/>
        <v>0.17097600214098249</v>
      </c>
      <c r="G70" s="530">
        <f t="shared" si="69"/>
        <v>6.0052651840445375</v>
      </c>
      <c r="H70" s="770">
        <f t="shared" si="70"/>
        <v>534675655.80000001</v>
      </c>
      <c r="I70" s="771">
        <f t="shared" si="81"/>
        <v>-0.34863864620196361</v>
      </c>
      <c r="J70" s="530">
        <f t="shared" si="71"/>
        <v>0.31578957853872802</v>
      </c>
      <c r="K70" s="757">
        <f t="shared" si="82"/>
        <v>37</v>
      </c>
      <c r="L70" s="756">
        <f t="shared" si="83"/>
        <v>18</v>
      </c>
      <c r="M70" s="756">
        <f t="shared" si="84"/>
        <v>83</v>
      </c>
      <c r="N70" s="756">
        <f t="shared" si="85"/>
        <v>92</v>
      </c>
      <c r="O70" s="756">
        <f t="shared" si="86"/>
        <v>4</v>
      </c>
      <c r="P70" s="756">
        <f t="shared" si="72"/>
        <v>29</v>
      </c>
      <c r="Q70" s="289">
        <f t="shared" si="73"/>
        <v>15</v>
      </c>
      <c r="R70" s="757">
        <f t="shared" si="74"/>
        <v>80</v>
      </c>
      <c r="S70" s="289">
        <f t="shared" si="75"/>
        <v>16</v>
      </c>
      <c r="T70" s="757">
        <f t="shared" si="76"/>
        <v>31</v>
      </c>
      <c r="U70" s="289">
        <f t="shared" si="77"/>
        <v>171</v>
      </c>
      <c r="V70" s="757">
        <f t="shared" si="87"/>
        <v>48</v>
      </c>
      <c r="W70" s="756">
        <f t="shared" si="78"/>
        <v>48</v>
      </c>
      <c r="Y70" s="757" t="str">
        <f t="shared" si="79"/>
        <v/>
      </c>
      <c r="Z70" s="756" t="str">
        <f t="shared" si="80"/>
        <v/>
      </c>
      <c r="AA70" s="756"/>
      <c r="AB70" s="756"/>
      <c r="AS70" s="784">
        <v>112441000</v>
      </c>
      <c r="AT70" s="784">
        <v>657642000</v>
      </c>
      <c r="AU70" s="784">
        <v>1013959000</v>
      </c>
      <c r="AV70" s="784">
        <v>168845000</v>
      </c>
      <c r="AW70" s="784">
        <v>2758445000</v>
      </c>
      <c r="AX70" s="784">
        <v>534675655.80000001</v>
      </c>
      <c r="AY70" s="781">
        <v>3.2155300000000002</v>
      </c>
      <c r="AZ70" s="781">
        <v>4.9366300000000001</v>
      </c>
    </row>
    <row r="71" spans="1:52" ht="12.75" customHeight="1">
      <c r="A71" s="480"/>
      <c r="B71" s="677" t="s">
        <v>510</v>
      </c>
      <c r="C71" s="677" t="s">
        <v>511</v>
      </c>
      <c r="E71" s="677" t="s">
        <v>408</v>
      </c>
      <c r="F71" s="530">
        <f t="shared" si="68"/>
        <v>0.14468682224427926</v>
      </c>
      <c r="G71" s="530">
        <f t="shared" si="69"/>
        <v>0.77871008945290099</v>
      </c>
      <c r="H71" s="770">
        <f t="shared" si="70"/>
        <v>6895689998.8573198</v>
      </c>
      <c r="I71" s="771">
        <f t="shared" si="81"/>
        <v>0.15016392304975601</v>
      </c>
      <c r="J71" s="530">
        <f t="shared" si="71"/>
        <v>0.13254067338012493</v>
      </c>
      <c r="K71" s="757">
        <f t="shared" si="82"/>
        <v>49</v>
      </c>
      <c r="L71" s="756">
        <f t="shared" si="83"/>
        <v>80</v>
      </c>
      <c r="M71" s="756">
        <f t="shared" si="84"/>
        <v>26</v>
      </c>
      <c r="N71" s="756">
        <f t="shared" si="85"/>
        <v>40</v>
      </c>
      <c r="O71" s="756">
        <f t="shared" si="86"/>
        <v>37</v>
      </c>
      <c r="P71" s="756">
        <f t="shared" si="72"/>
        <v>41</v>
      </c>
      <c r="Q71" s="289">
        <f t="shared" si="73"/>
        <v>47</v>
      </c>
      <c r="R71" s="757">
        <f t="shared" si="74"/>
        <v>23</v>
      </c>
      <c r="S71" s="289">
        <f t="shared" si="75"/>
        <v>36</v>
      </c>
      <c r="T71" s="757">
        <f t="shared" si="76"/>
        <v>2</v>
      </c>
      <c r="U71" s="289">
        <f t="shared" si="77"/>
        <v>149</v>
      </c>
      <c r="V71" s="757">
        <f t="shared" si="87"/>
        <v>38</v>
      </c>
      <c r="W71" s="756">
        <f t="shared" si="78"/>
        <v>38</v>
      </c>
      <c r="Y71" s="757" t="str">
        <f t="shared" si="79"/>
        <v/>
      </c>
      <c r="Z71" s="756" t="str">
        <f t="shared" si="80"/>
        <v/>
      </c>
      <c r="AA71" s="756"/>
      <c r="AB71" s="756"/>
      <c r="AS71" s="784">
        <v>820937614.47209001</v>
      </c>
      <c r="AT71" s="784">
        <v>5673893459.9453402</v>
      </c>
      <c r="AU71" s="784">
        <v>711709402.91357899</v>
      </c>
      <c r="AV71" s="784">
        <v>913959395.86914206</v>
      </c>
      <c r="AW71" s="784">
        <v>12045709233.847099</v>
      </c>
      <c r="AX71" s="784">
        <v>6895689998.8573198</v>
      </c>
      <c r="AY71" s="781">
        <v>0.30268648858346298</v>
      </c>
      <c r="AZ71" s="781">
        <v>0.263168129792199</v>
      </c>
    </row>
    <row r="72" spans="1:52" ht="12.75" customHeight="1">
      <c r="A72" s="480"/>
      <c r="B72" s="677" t="s">
        <v>512</v>
      </c>
      <c r="C72" s="677" t="s">
        <v>513</v>
      </c>
      <c r="E72" s="677" t="s">
        <v>408</v>
      </c>
      <c r="F72" s="530">
        <f t="shared" si="68"/>
        <v>9.2569998854886176E-2</v>
      </c>
      <c r="G72" s="530">
        <f t="shared" si="69"/>
        <v>3.6461150594869243</v>
      </c>
      <c r="H72" s="770">
        <f t="shared" si="70"/>
        <v>24435266146.519501</v>
      </c>
      <c r="I72" s="771">
        <f t="shared" si="81"/>
        <v>0.18121589295119289</v>
      </c>
      <c r="J72" s="530">
        <f t="shared" si="71"/>
        <v>9.5375606566450458E-2</v>
      </c>
      <c r="K72" s="757">
        <f t="shared" si="82"/>
        <v>70</v>
      </c>
      <c r="L72" s="756">
        <f t="shared" si="83"/>
        <v>40</v>
      </c>
      <c r="M72" s="756">
        <f t="shared" si="84"/>
        <v>9</v>
      </c>
      <c r="N72" s="756">
        <f t="shared" si="85"/>
        <v>37</v>
      </c>
      <c r="O72" s="756">
        <f t="shared" si="86"/>
        <v>52</v>
      </c>
      <c r="P72" s="756">
        <f t="shared" si="72"/>
        <v>62</v>
      </c>
      <c r="Q72" s="289">
        <f t="shared" si="73"/>
        <v>7</v>
      </c>
      <c r="R72" s="757">
        <f t="shared" si="74"/>
        <v>6</v>
      </c>
      <c r="S72" s="289">
        <f t="shared" si="75"/>
        <v>39</v>
      </c>
      <c r="T72" s="757">
        <f t="shared" si="76"/>
        <v>17</v>
      </c>
      <c r="U72" s="289">
        <f t="shared" si="77"/>
        <v>131</v>
      </c>
      <c r="V72" s="757">
        <f t="shared" si="87"/>
        <v>27</v>
      </c>
      <c r="W72" s="756">
        <f t="shared" si="78"/>
        <v>27</v>
      </c>
      <c r="Y72" s="757" t="str">
        <f t="shared" si="79"/>
        <v/>
      </c>
      <c r="Z72" s="756" t="str">
        <f t="shared" si="80"/>
        <v/>
      </c>
      <c r="AA72" s="756"/>
      <c r="AB72" s="756"/>
      <c r="AS72" s="784">
        <v>2080869773.2413199</v>
      </c>
      <c r="AT72" s="784">
        <v>22478878675.404499</v>
      </c>
      <c r="AU72" s="784">
        <v>8497374441.8024702</v>
      </c>
      <c r="AV72" s="784">
        <v>2330528330.3369498</v>
      </c>
      <c r="AW72" s="784">
        <v>32323063996.984299</v>
      </c>
      <c r="AX72" s="784">
        <v>24435266146.519501</v>
      </c>
      <c r="AY72" s="781">
        <v>5.9995555061673998E-2</v>
      </c>
      <c r="AZ72" s="781">
        <v>5.0791354416828E-2</v>
      </c>
    </row>
    <row r="73" spans="1:52" ht="12.75" customHeight="1">
      <c r="A73" s="480"/>
      <c r="B73" s="677" t="s">
        <v>514</v>
      </c>
      <c r="C73" s="677" t="s">
        <v>515</v>
      </c>
      <c r="E73" s="677" t="s">
        <v>348</v>
      </c>
      <c r="F73" s="530">
        <f t="shared" si="68"/>
        <v>0.10244639733983979</v>
      </c>
      <c r="G73" s="530">
        <f t="shared" si="69"/>
        <v>5.2384377296310314</v>
      </c>
      <c r="H73" s="770">
        <f t="shared" si="70"/>
        <v>540582856.79999995</v>
      </c>
      <c r="I73" s="771">
        <f t="shared" si="81"/>
        <v>0.11439237715992312</v>
      </c>
      <c r="J73" s="530">
        <f t="shared" si="71"/>
        <v>8.3075146455513726E-2</v>
      </c>
      <c r="K73" s="757">
        <f t="shared" si="82"/>
        <v>64</v>
      </c>
      <c r="L73" s="756">
        <f t="shared" si="83"/>
        <v>22</v>
      </c>
      <c r="M73" s="756">
        <f t="shared" si="84"/>
        <v>81</v>
      </c>
      <c r="N73" s="756">
        <f t="shared" si="85"/>
        <v>48</v>
      </c>
      <c r="O73" s="756">
        <f t="shared" si="86"/>
        <v>58</v>
      </c>
      <c r="P73" s="756">
        <f t="shared" si="72"/>
        <v>56</v>
      </c>
      <c r="Q73" s="289">
        <f t="shared" si="73"/>
        <v>11</v>
      </c>
      <c r="R73" s="757">
        <f t="shared" si="74"/>
        <v>78</v>
      </c>
      <c r="S73" s="289">
        <f t="shared" si="75"/>
        <v>28</v>
      </c>
      <c r="T73" s="757">
        <f t="shared" si="76"/>
        <v>23</v>
      </c>
      <c r="U73" s="289">
        <f t="shared" si="77"/>
        <v>196</v>
      </c>
      <c r="V73" s="757">
        <f t="shared" si="87"/>
        <v>66</v>
      </c>
      <c r="W73" s="756">
        <f t="shared" si="78"/>
        <v>66</v>
      </c>
      <c r="Y73" s="757" t="str">
        <f t="shared" si="79"/>
        <v/>
      </c>
      <c r="Z73" s="756" t="str">
        <f t="shared" si="80"/>
        <v/>
      </c>
      <c r="AA73" s="756"/>
      <c r="AB73" s="756"/>
      <c r="AS73" s="784">
        <v>23723000</v>
      </c>
      <c r="AT73" s="784">
        <v>231565000</v>
      </c>
      <c r="AU73" s="784">
        <v>235253000</v>
      </c>
      <c r="AV73" s="784">
        <v>44909000</v>
      </c>
      <c r="AW73" s="784">
        <v>568178000</v>
      </c>
      <c r="AX73" s="784">
        <v>540582856.79999995</v>
      </c>
      <c r="AY73" s="781">
        <v>1.56717</v>
      </c>
      <c r="AZ73" s="781">
        <v>1.4063000000000001</v>
      </c>
    </row>
    <row r="74" spans="1:52" ht="12.75" customHeight="1">
      <c r="A74" s="480"/>
      <c r="B74" s="677" t="s">
        <v>516</v>
      </c>
      <c r="C74" s="677" t="s">
        <v>517</v>
      </c>
      <c r="E74" s="677" t="s">
        <v>486</v>
      </c>
      <c r="F74" s="530">
        <f t="shared" si="68"/>
        <v>0.16786435823338347</v>
      </c>
      <c r="G74" s="530">
        <f t="shared" si="69"/>
        <v>5.151358457493429</v>
      </c>
      <c r="H74" s="770">
        <f t="shared" si="70"/>
        <v>9717221163.5225906</v>
      </c>
      <c r="I74" s="771">
        <f t="shared" si="81"/>
        <v>0.22911398008660755</v>
      </c>
      <c r="J74" s="530">
        <f t="shared" si="71"/>
        <v>7.8272439703346658E-2</v>
      </c>
      <c r="K74" s="757">
        <f t="shared" si="82"/>
        <v>38</v>
      </c>
      <c r="L74" s="756">
        <f t="shared" si="83"/>
        <v>23</v>
      </c>
      <c r="M74" s="756">
        <f t="shared" si="84"/>
        <v>18</v>
      </c>
      <c r="N74" s="756">
        <f t="shared" si="85"/>
        <v>32</v>
      </c>
      <c r="O74" s="756">
        <f t="shared" si="86"/>
        <v>62</v>
      </c>
      <c r="P74" s="756">
        <f t="shared" si="72"/>
        <v>30</v>
      </c>
      <c r="Q74" s="289">
        <f t="shared" si="73"/>
        <v>10</v>
      </c>
      <c r="R74" s="757">
        <f t="shared" si="74"/>
        <v>15</v>
      </c>
      <c r="S74" s="289">
        <f t="shared" si="75"/>
        <v>44</v>
      </c>
      <c r="T74" s="757">
        <f t="shared" si="76"/>
        <v>27</v>
      </c>
      <c r="U74" s="289">
        <f t="shared" si="77"/>
        <v>126</v>
      </c>
      <c r="V74" s="757">
        <f t="shared" si="87"/>
        <v>23</v>
      </c>
      <c r="W74" s="756">
        <f t="shared" si="78"/>
        <v>23</v>
      </c>
      <c r="Y74" s="757" t="str">
        <f t="shared" si="79"/>
        <v/>
      </c>
      <c r="Z74" s="756" t="str">
        <f t="shared" si="80"/>
        <v/>
      </c>
      <c r="AA74" s="756"/>
      <c r="AB74" s="756"/>
      <c r="AS74" s="784">
        <v>437556244.37556201</v>
      </c>
      <c r="AT74" s="784">
        <v>2606606006.0660601</v>
      </c>
      <c r="AU74" s="784">
        <v>3918074859.1807499</v>
      </c>
      <c r="AV74" s="784">
        <v>760590607.60590601</v>
      </c>
      <c r="AW74" s="784">
        <v>6417024964.1702499</v>
      </c>
      <c r="AX74" s="784">
        <v>9717221163.5225906</v>
      </c>
      <c r="AY74" s="781">
        <v>1.44680823148932</v>
      </c>
      <c r="AZ74" s="781">
        <v>1.17711477936926</v>
      </c>
    </row>
    <row r="75" spans="1:52" ht="12.75" customHeight="1">
      <c r="A75" s="480"/>
      <c r="B75" s="677" t="s">
        <v>518</v>
      </c>
      <c r="C75" s="677" t="s">
        <v>519</v>
      </c>
      <c r="E75" s="677" t="s">
        <v>446</v>
      </c>
      <c r="F75" s="530">
        <f t="shared" si="68"/>
        <v>-1.9024307873650409E-3</v>
      </c>
      <c r="G75" s="530">
        <f t="shared" si="69"/>
        <v>25.464186117336688</v>
      </c>
      <c r="H75" s="770">
        <f t="shared" si="70"/>
        <v>601514892.92496002</v>
      </c>
      <c r="I75" s="771">
        <f t="shared" si="81"/>
        <v>1.8776060078183621</v>
      </c>
      <c r="J75" s="530">
        <f t="shared" si="71"/>
        <v>1.1212503650303246E-2</v>
      </c>
      <c r="K75" s="757">
        <f t="shared" si="82"/>
        <v>93</v>
      </c>
      <c r="L75" s="756">
        <f t="shared" si="83"/>
        <v>2</v>
      </c>
      <c r="M75" s="756">
        <f t="shared" si="84"/>
        <v>79</v>
      </c>
      <c r="N75" s="756">
        <f t="shared" si="85"/>
        <v>4</v>
      </c>
      <c r="O75" s="756">
        <f t="shared" si="86"/>
        <v>92</v>
      </c>
      <c r="P75" s="756">
        <f t="shared" si="72"/>
        <v>85</v>
      </c>
      <c r="Q75" s="289">
        <f t="shared" si="73"/>
        <v>31</v>
      </c>
      <c r="R75" s="757">
        <f t="shared" si="74"/>
        <v>76</v>
      </c>
      <c r="S75" s="289">
        <f t="shared" si="75"/>
        <v>72</v>
      </c>
      <c r="T75" s="757">
        <f t="shared" si="76"/>
        <v>57</v>
      </c>
      <c r="U75" s="289">
        <f t="shared" si="77"/>
        <v>321</v>
      </c>
      <c r="V75" s="757">
        <f t="shared" si="87"/>
        <v>93</v>
      </c>
      <c r="W75" s="756">
        <f t="shared" si="78"/>
        <v>93</v>
      </c>
      <c r="Y75" s="757" t="str">
        <f t="shared" si="79"/>
        <v/>
      </c>
      <c r="Z75" s="756" t="str">
        <f t="shared" si="80"/>
        <v/>
      </c>
      <c r="AA75" s="756"/>
      <c r="AB75" s="756"/>
      <c r="AS75" s="784">
        <v>-329439.593634116</v>
      </c>
      <c r="AT75" s="784">
        <v>173167715.65204</v>
      </c>
      <c r="AU75" s="784">
        <v>171742895.98269501</v>
      </c>
      <c r="AV75" s="784">
        <v>6744487.9326328803</v>
      </c>
      <c r="AW75" s="784">
        <v>660062124.652349</v>
      </c>
      <c r="AX75" s="784">
        <v>601514892.92496002</v>
      </c>
      <c r="AY75" s="781">
        <v>0.26008768655317899</v>
      </c>
      <c r="AZ75" s="781">
        <v>9.0383355416457006E-2</v>
      </c>
    </row>
    <row r="76" spans="1:52" ht="12.75" customHeight="1">
      <c r="A76" s="480"/>
      <c r="B76" s="677" t="s">
        <v>520</v>
      </c>
      <c r="C76" s="677" t="s">
        <v>521</v>
      </c>
      <c r="E76" s="677" t="s">
        <v>348</v>
      </c>
      <c r="F76" s="530">
        <f t="shared" si="68"/>
        <v>0.54582319545823199</v>
      </c>
      <c r="G76" s="530">
        <f t="shared" si="69"/>
        <v>2.7236126224156694</v>
      </c>
      <c r="H76" s="770">
        <f t="shared" si="70"/>
        <v>6974519334.0900002</v>
      </c>
      <c r="I76" s="771">
        <f t="shared" si="81"/>
        <v>9.2809353723637633E-2</v>
      </c>
      <c r="J76" s="530">
        <f t="shared" si="71"/>
        <v>0.13176535270439629</v>
      </c>
      <c r="K76" s="757">
        <f t="shared" si="82"/>
        <v>2</v>
      </c>
      <c r="L76" s="756">
        <f t="shared" si="83"/>
        <v>48</v>
      </c>
      <c r="M76" s="756">
        <f t="shared" si="84"/>
        <v>25</v>
      </c>
      <c r="N76" s="756">
        <f t="shared" si="85"/>
        <v>51</v>
      </c>
      <c r="O76" s="756">
        <f t="shared" si="86"/>
        <v>38</v>
      </c>
      <c r="P76" s="756">
        <f t="shared" si="72"/>
        <v>6</v>
      </c>
      <c r="Q76" s="289">
        <f t="shared" si="73"/>
        <v>15</v>
      </c>
      <c r="R76" s="757">
        <f t="shared" si="74"/>
        <v>22</v>
      </c>
      <c r="S76" s="289">
        <f t="shared" si="75"/>
        <v>25</v>
      </c>
      <c r="T76" s="757">
        <f t="shared" si="76"/>
        <v>3</v>
      </c>
      <c r="U76" s="289">
        <f t="shared" si="77"/>
        <v>71</v>
      </c>
      <c r="V76" s="757">
        <f t="shared" si="87"/>
        <v>6</v>
      </c>
      <c r="W76" s="756">
        <f t="shared" si="78"/>
        <v>6</v>
      </c>
      <c r="Y76" s="757" t="str">
        <f t="shared" si="79"/>
        <v/>
      </c>
      <c r="Z76" s="756" t="str">
        <f t="shared" si="80"/>
        <v/>
      </c>
      <c r="AA76" s="756"/>
      <c r="AB76" s="756"/>
      <c r="AS76" s="784">
        <v>673000000</v>
      </c>
      <c r="AT76" s="784">
        <v>1233000000</v>
      </c>
      <c r="AU76" s="784">
        <v>2503000000</v>
      </c>
      <c r="AV76" s="784">
        <v>919000000</v>
      </c>
      <c r="AW76" s="784">
        <v>3035000000</v>
      </c>
      <c r="AX76" s="784">
        <v>6974519334.0900002</v>
      </c>
      <c r="AY76" s="781">
        <v>7.5968499999999999</v>
      </c>
      <c r="AZ76" s="781">
        <v>6.95167</v>
      </c>
    </row>
    <row r="77" spans="1:52" ht="12.75" customHeight="1">
      <c r="A77" s="480"/>
      <c r="B77" s="677" t="s">
        <v>522</v>
      </c>
      <c r="C77" s="677" t="s">
        <v>523</v>
      </c>
      <c r="E77" s="677" t="s">
        <v>360</v>
      </c>
      <c r="F77" s="530">
        <f t="shared" si="68"/>
        <v>-0.21407627971029131</v>
      </c>
      <c r="G77" s="530">
        <f t="shared" si="69"/>
        <v>-92.13457020173378</v>
      </c>
      <c r="H77" s="770">
        <f t="shared" si="70"/>
        <v>1121930259.58481</v>
      </c>
      <c r="I77" s="771">
        <f t="shared" si="81"/>
        <v>-1.1063883299798793</v>
      </c>
      <c r="J77" s="530">
        <f t="shared" si="71"/>
        <v>-1.100157509306126E-2</v>
      </c>
      <c r="K77" s="757">
        <f t="shared" si="82"/>
        <v>95</v>
      </c>
      <c r="L77" s="756">
        <f t="shared" si="83"/>
        <v>100</v>
      </c>
      <c r="M77" s="756">
        <f t="shared" si="84"/>
        <v>64</v>
      </c>
      <c r="N77" s="756">
        <f t="shared" si="85"/>
        <v>99</v>
      </c>
      <c r="O77" s="756">
        <f t="shared" si="86"/>
        <v>94</v>
      </c>
      <c r="P77" s="756">
        <f t="shared" si="72"/>
        <v>87</v>
      </c>
      <c r="Q77" s="289">
        <f t="shared" si="73"/>
        <v>67</v>
      </c>
      <c r="R77" s="757">
        <f t="shared" si="74"/>
        <v>61</v>
      </c>
      <c r="S77" s="289">
        <f t="shared" si="75"/>
        <v>23</v>
      </c>
      <c r="T77" s="757">
        <f t="shared" si="76"/>
        <v>59</v>
      </c>
      <c r="U77" s="289">
        <f t="shared" si="77"/>
        <v>297</v>
      </c>
      <c r="V77" s="757">
        <f t="shared" si="87"/>
        <v>90</v>
      </c>
      <c r="W77" s="756">
        <f t="shared" si="78"/>
        <v>90</v>
      </c>
      <c r="Y77" s="757" t="str">
        <f t="shared" si="79"/>
        <v/>
      </c>
      <c r="Z77" s="756" t="str">
        <f t="shared" si="80"/>
        <v/>
      </c>
      <c r="AA77" s="756"/>
      <c r="AB77" s="756"/>
      <c r="AS77" s="784">
        <v>-150477000</v>
      </c>
      <c r="AT77" s="784">
        <v>702913000</v>
      </c>
      <c r="AU77" s="784">
        <v>1137217000</v>
      </c>
      <c r="AV77" s="784">
        <v>-12343000</v>
      </c>
      <c r="AW77" s="784">
        <v>2685231000</v>
      </c>
      <c r="AX77" s="784">
        <v>1121930259.58481</v>
      </c>
      <c r="AY77" s="781">
        <v>0.16497000000000001</v>
      </c>
      <c r="AZ77" s="781">
        <v>-1.55064</v>
      </c>
    </row>
    <row r="78" spans="1:52" ht="12.75" customHeight="1">
      <c r="A78" s="480"/>
      <c r="B78" s="677" t="s">
        <v>524</v>
      </c>
      <c r="C78" s="677" t="s">
        <v>525</v>
      </c>
      <c r="E78" s="677" t="s">
        <v>446</v>
      </c>
      <c r="F78" s="530">
        <f t="shared" si="68"/>
        <v>9.3328897576415729E-2</v>
      </c>
      <c r="G78" s="530">
        <f t="shared" si="69"/>
        <v>2.8219293474992164</v>
      </c>
      <c r="H78" s="770">
        <f t="shared" si="70"/>
        <v>2787704614.5998602</v>
      </c>
      <c r="I78" s="771">
        <f t="shared" si="81"/>
        <v>0.52307218301434544</v>
      </c>
      <c r="J78" s="530">
        <f t="shared" si="71"/>
        <v>5.8425397531725695E-2</v>
      </c>
      <c r="K78" s="757">
        <f t="shared" si="82"/>
        <v>68</v>
      </c>
      <c r="L78" s="756">
        <f t="shared" si="83"/>
        <v>47</v>
      </c>
      <c r="M78" s="756">
        <f t="shared" si="84"/>
        <v>43</v>
      </c>
      <c r="N78" s="756">
        <f t="shared" si="85"/>
        <v>14</v>
      </c>
      <c r="O78" s="756">
        <f t="shared" si="86"/>
        <v>71</v>
      </c>
      <c r="P78" s="756">
        <f t="shared" si="72"/>
        <v>60</v>
      </c>
      <c r="Q78" s="289">
        <f t="shared" si="73"/>
        <v>14</v>
      </c>
      <c r="R78" s="757">
        <f t="shared" si="74"/>
        <v>40</v>
      </c>
      <c r="S78" s="289">
        <f t="shared" si="75"/>
        <v>62</v>
      </c>
      <c r="T78" s="757">
        <f t="shared" si="76"/>
        <v>36</v>
      </c>
      <c r="U78" s="289">
        <f t="shared" si="77"/>
        <v>212</v>
      </c>
      <c r="V78" s="757">
        <f t="shared" si="87"/>
        <v>73</v>
      </c>
      <c r="W78" s="756">
        <f t="shared" si="78"/>
        <v>73</v>
      </c>
      <c r="Y78" s="757" t="str">
        <f t="shared" si="79"/>
        <v/>
      </c>
      <c r="Z78" s="756" t="str">
        <f t="shared" si="80"/>
        <v/>
      </c>
      <c r="AA78" s="756"/>
      <c r="AB78" s="756"/>
      <c r="AS78" s="784">
        <v>121120965.698393</v>
      </c>
      <c r="AT78" s="784">
        <v>1297786311.03214</v>
      </c>
      <c r="AU78" s="784">
        <v>459615394.00494403</v>
      </c>
      <c r="AV78" s="784">
        <v>162872750.30902299</v>
      </c>
      <c r="AW78" s="784">
        <v>2771463576.1742902</v>
      </c>
      <c r="AX78" s="784">
        <v>2787704614.5998602</v>
      </c>
      <c r="AY78" s="781">
        <v>1.5379971656535001</v>
      </c>
      <c r="AZ78" s="781">
        <v>1.0097992615225999</v>
      </c>
    </row>
    <row r="79" spans="1:52" ht="12.75" customHeight="1">
      <c r="A79" s="480"/>
      <c r="B79" s="677" t="s">
        <v>526</v>
      </c>
      <c r="C79" s="677" t="s">
        <v>527</v>
      </c>
      <c r="E79" s="677" t="s">
        <v>408</v>
      </c>
      <c r="F79" s="530">
        <f t="shared" si="68"/>
        <v>0.10774571618016285</v>
      </c>
      <c r="G79" s="530">
        <f t="shared" si="69"/>
        <v>4.0792188303100367</v>
      </c>
      <c r="H79" s="770">
        <f t="shared" si="70"/>
        <v>1873368569.1410699</v>
      </c>
      <c r="I79" s="771">
        <f t="shared" si="81"/>
        <v>0.3170731707317016</v>
      </c>
      <c r="J79" s="530">
        <f t="shared" si="71"/>
        <v>4.5508413814198796E-2</v>
      </c>
      <c r="K79" s="757">
        <f t="shared" si="82"/>
        <v>63</v>
      </c>
      <c r="L79" s="756">
        <f t="shared" si="83"/>
        <v>32</v>
      </c>
      <c r="M79" s="756">
        <f t="shared" si="84"/>
        <v>52</v>
      </c>
      <c r="N79" s="756">
        <f t="shared" si="85"/>
        <v>26</v>
      </c>
      <c r="O79" s="756">
        <f t="shared" si="86"/>
        <v>81</v>
      </c>
      <c r="P79" s="756">
        <f t="shared" si="72"/>
        <v>55</v>
      </c>
      <c r="Q79" s="289">
        <f t="shared" si="73"/>
        <v>1</v>
      </c>
      <c r="R79" s="757">
        <f t="shared" si="74"/>
        <v>49</v>
      </c>
      <c r="S79" s="289">
        <f t="shared" si="75"/>
        <v>50</v>
      </c>
      <c r="T79" s="757">
        <f t="shared" si="76"/>
        <v>46</v>
      </c>
      <c r="U79" s="289">
        <f t="shared" si="77"/>
        <v>201</v>
      </c>
      <c r="V79" s="757">
        <f t="shared" si="87"/>
        <v>70</v>
      </c>
      <c r="W79" s="756">
        <f t="shared" si="78"/>
        <v>70</v>
      </c>
      <c r="Y79" s="757" t="str">
        <f t="shared" si="79"/>
        <v/>
      </c>
      <c r="Z79" s="756" t="str">
        <f t="shared" si="80"/>
        <v/>
      </c>
      <c r="AA79" s="756"/>
      <c r="AB79" s="756"/>
      <c r="AS79" s="784">
        <v>93075179.783100396</v>
      </c>
      <c r="AT79" s="784">
        <v>863841116.68503201</v>
      </c>
      <c r="AU79" s="784">
        <v>347769852.98381901</v>
      </c>
      <c r="AV79" s="784">
        <v>85254032.070985302</v>
      </c>
      <c r="AW79" s="784">
        <v>1821576921.0694201</v>
      </c>
      <c r="AX79" s="784">
        <v>1873368569.1410699</v>
      </c>
      <c r="AY79" s="781">
        <v>0.151472650771388</v>
      </c>
      <c r="AZ79" s="781">
        <v>0.11500701262272101</v>
      </c>
    </row>
    <row r="80" spans="1:52" ht="12.75" customHeight="1">
      <c r="A80" s="480"/>
      <c r="B80" s="677" t="s">
        <v>528</v>
      </c>
      <c r="C80" s="677" t="s">
        <v>529</v>
      </c>
      <c r="E80" s="677" t="s">
        <v>348</v>
      </c>
      <c r="F80" s="530">
        <f t="shared" si="68"/>
        <v>0.32854578096947934</v>
      </c>
      <c r="G80" s="530">
        <f t="shared" si="69"/>
        <v>2.3670340201245805</v>
      </c>
      <c r="H80" s="770">
        <f t="shared" si="70"/>
        <v>1056324184.4</v>
      </c>
      <c r="I80" s="771">
        <f t="shared" si="81"/>
        <v>-5.8215543953478499E-2</v>
      </c>
      <c r="J80" s="530">
        <f t="shared" si="71"/>
        <v>0.19757192259925693</v>
      </c>
      <c r="K80" s="757">
        <f t="shared" si="82"/>
        <v>9</v>
      </c>
      <c r="L80" s="756">
        <f t="shared" si="83"/>
        <v>56</v>
      </c>
      <c r="M80" s="756">
        <f t="shared" si="84"/>
        <v>67</v>
      </c>
      <c r="N80" s="756">
        <f t="shared" si="85"/>
        <v>72</v>
      </c>
      <c r="O80" s="756">
        <f t="shared" si="86"/>
        <v>19</v>
      </c>
      <c r="P80" s="756">
        <f t="shared" si="72"/>
        <v>1</v>
      </c>
      <c r="Q80" s="289">
        <f t="shared" si="73"/>
        <v>23</v>
      </c>
      <c r="R80" s="757">
        <f t="shared" si="74"/>
        <v>64</v>
      </c>
      <c r="S80" s="289">
        <f t="shared" si="75"/>
        <v>4</v>
      </c>
      <c r="T80" s="757">
        <f t="shared" si="76"/>
        <v>16</v>
      </c>
      <c r="U80" s="289">
        <f t="shared" si="77"/>
        <v>108</v>
      </c>
      <c r="V80" s="757">
        <f t="shared" si="87"/>
        <v>17</v>
      </c>
      <c r="W80" s="756">
        <f t="shared" si="78"/>
        <v>17</v>
      </c>
      <c r="Y80" s="757" t="str">
        <f t="shared" si="79"/>
        <v/>
      </c>
      <c r="Z80" s="756" t="str">
        <f t="shared" si="80"/>
        <v/>
      </c>
      <c r="AA80" s="756"/>
      <c r="AB80" s="756"/>
      <c r="AS80" s="784">
        <v>128100000</v>
      </c>
      <c r="AT80" s="784">
        <v>389900000</v>
      </c>
      <c r="AU80" s="784">
        <v>494000000</v>
      </c>
      <c r="AV80" s="784">
        <v>208700000</v>
      </c>
      <c r="AW80" s="784">
        <v>4118300000</v>
      </c>
      <c r="AX80" s="784">
        <v>1056324184.4</v>
      </c>
      <c r="AY80" s="781">
        <v>7.1</v>
      </c>
      <c r="AZ80" s="781">
        <v>7.5388799999999998</v>
      </c>
    </row>
    <row r="81" spans="1:52" ht="12.75" customHeight="1">
      <c r="A81" s="480"/>
      <c r="B81" s="677" t="s">
        <v>530</v>
      </c>
      <c r="C81" s="677" t="s">
        <v>531</v>
      </c>
      <c r="E81" s="677" t="s">
        <v>363</v>
      </c>
      <c r="F81" s="530">
        <f t="shared" si="68"/>
        <v>0.20318277507237573</v>
      </c>
      <c r="G81" s="530">
        <f t="shared" si="69"/>
        <v>2.6981108566968701</v>
      </c>
      <c r="H81" s="770">
        <f t="shared" si="70"/>
        <v>12339299948.0159</v>
      </c>
      <c r="I81" s="771">
        <f t="shared" si="81"/>
        <v>0.135202346471329</v>
      </c>
      <c r="J81" s="530">
        <f t="shared" si="71"/>
        <v>7.6089370325960998E-2</v>
      </c>
      <c r="K81" s="757">
        <f t="shared" si="82"/>
        <v>24</v>
      </c>
      <c r="L81" s="756">
        <f t="shared" si="83"/>
        <v>50</v>
      </c>
      <c r="M81" s="756">
        <f t="shared" si="84"/>
        <v>15</v>
      </c>
      <c r="N81" s="756">
        <f t="shared" si="85"/>
        <v>44</v>
      </c>
      <c r="O81" s="756">
        <f t="shared" si="86"/>
        <v>63</v>
      </c>
      <c r="P81" s="756">
        <f t="shared" si="72"/>
        <v>16</v>
      </c>
      <c r="Q81" s="289">
        <f t="shared" si="73"/>
        <v>17</v>
      </c>
      <c r="R81" s="757">
        <f t="shared" si="74"/>
        <v>12</v>
      </c>
      <c r="S81" s="289">
        <f t="shared" si="75"/>
        <v>32</v>
      </c>
      <c r="T81" s="757">
        <f t="shared" si="76"/>
        <v>28</v>
      </c>
      <c r="U81" s="289">
        <f t="shared" si="77"/>
        <v>105</v>
      </c>
      <c r="V81" s="757">
        <f t="shared" si="87"/>
        <v>15</v>
      </c>
      <c r="W81" s="756">
        <f t="shared" si="78"/>
        <v>15</v>
      </c>
      <c r="Y81" s="757" t="str">
        <f t="shared" si="79"/>
        <v/>
      </c>
      <c r="Z81" s="756" t="str">
        <f t="shared" si="80"/>
        <v/>
      </c>
      <c r="AA81" s="756"/>
      <c r="AB81" s="756"/>
      <c r="AS81" s="784">
        <v>635895511.68154705</v>
      </c>
      <c r="AT81" s="784">
        <v>3129672342.82057</v>
      </c>
      <c r="AU81" s="784">
        <v>2533228123.9998698</v>
      </c>
      <c r="AV81" s="784">
        <v>938889563.307693</v>
      </c>
      <c r="AW81" s="784">
        <v>8746662178.7160797</v>
      </c>
      <c r="AX81" s="784">
        <v>12339299948.0159</v>
      </c>
      <c r="AY81" s="781">
        <v>4.0683306320907597</v>
      </c>
      <c r="AZ81" s="781">
        <v>3.5837933604848402</v>
      </c>
    </row>
    <row r="82" spans="1:52" ht="12.75" customHeight="1">
      <c r="A82" s="480"/>
      <c r="B82" s="677" t="s">
        <v>532</v>
      </c>
      <c r="C82" s="677" t="s">
        <v>533</v>
      </c>
      <c r="E82" s="677" t="s">
        <v>363</v>
      </c>
      <c r="F82" s="530">
        <f t="shared" si="68"/>
        <v>5.4518970659637976E-2</v>
      </c>
      <c r="G82" s="530">
        <f t="shared" si="69"/>
        <v>10.042839842567371</v>
      </c>
      <c r="H82" s="770">
        <f t="shared" si="70"/>
        <v>7067471735.5960798</v>
      </c>
      <c r="I82" s="771">
        <f t="shared" si="81"/>
        <v>0.14784356145671285</v>
      </c>
      <c r="J82" s="530">
        <f t="shared" si="71"/>
        <v>0.10315350276980517</v>
      </c>
      <c r="K82" s="757">
        <f t="shared" si="82"/>
        <v>82</v>
      </c>
      <c r="L82" s="756">
        <f t="shared" si="83"/>
        <v>8</v>
      </c>
      <c r="M82" s="756">
        <f t="shared" si="84"/>
        <v>24</v>
      </c>
      <c r="N82" s="756">
        <f t="shared" si="85"/>
        <v>41</v>
      </c>
      <c r="O82" s="756">
        <f t="shared" si="86"/>
        <v>50</v>
      </c>
      <c r="P82" s="756">
        <f t="shared" si="72"/>
        <v>74</v>
      </c>
      <c r="Q82" s="289">
        <f t="shared" si="73"/>
        <v>25</v>
      </c>
      <c r="R82" s="757">
        <f t="shared" si="74"/>
        <v>21</v>
      </c>
      <c r="S82" s="289">
        <f t="shared" si="75"/>
        <v>35</v>
      </c>
      <c r="T82" s="757">
        <f t="shared" si="76"/>
        <v>15</v>
      </c>
      <c r="U82" s="289">
        <f t="shared" si="77"/>
        <v>170</v>
      </c>
      <c r="V82" s="757">
        <f t="shared" si="87"/>
        <v>45</v>
      </c>
      <c r="W82" s="756">
        <f t="shared" si="78"/>
        <v>45</v>
      </c>
      <c r="Y82" s="757" t="str">
        <f t="shared" si="79"/>
        <v/>
      </c>
      <c r="Z82" s="756" t="str">
        <f t="shared" si="80"/>
        <v/>
      </c>
      <c r="AA82" s="756"/>
      <c r="AB82" s="756"/>
      <c r="AS82" s="784">
        <v>346970081.55562699</v>
      </c>
      <c r="AT82" s="784">
        <v>6364208226.1927099</v>
      </c>
      <c r="AU82" s="784">
        <v>7321576374.2509403</v>
      </c>
      <c r="AV82" s="784">
        <v>729034465.25332999</v>
      </c>
      <c r="AW82" s="784">
        <v>12618167371.1278</v>
      </c>
      <c r="AX82" s="784">
        <v>7067471735.5960798</v>
      </c>
      <c r="AY82" s="781">
        <v>3.9174205319229798</v>
      </c>
      <c r="AZ82" s="781">
        <v>3.4128522940455701</v>
      </c>
    </row>
    <row r="83" spans="1:52" ht="12.75" customHeight="1">
      <c r="A83" s="480"/>
      <c r="B83" s="677" t="s">
        <v>534</v>
      </c>
      <c r="C83" s="677" t="s">
        <v>535</v>
      </c>
      <c r="E83" s="677" t="s">
        <v>536</v>
      </c>
      <c r="F83" s="530">
        <f t="shared" si="68"/>
        <v>0.25992112398323886</v>
      </c>
      <c r="G83" s="530">
        <f t="shared" si="69"/>
        <v>5.6284243048403706</v>
      </c>
      <c r="H83" s="770">
        <f t="shared" si="70"/>
        <v>15629173009.049999</v>
      </c>
      <c r="I83" s="771">
        <f t="shared" si="81"/>
        <v>-9.0633749493739924E-2</v>
      </c>
      <c r="J83" s="530">
        <f t="shared" si="71"/>
        <v>0.31063703736523585</v>
      </c>
      <c r="K83" s="757">
        <f t="shared" si="82"/>
        <v>14</v>
      </c>
      <c r="L83" s="756">
        <f t="shared" si="83"/>
        <v>20</v>
      </c>
      <c r="M83" s="756">
        <f t="shared" si="84"/>
        <v>14</v>
      </c>
      <c r="N83" s="756">
        <f t="shared" si="85"/>
        <v>75</v>
      </c>
      <c r="O83" s="756">
        <f t="shared" si="86"/>
        <v>5</v>
      </c>
      <c r="P83" s="756">
        <f t="shared" si="72"/>
        <v>6</v>
      </c>
      <c r="Q83" s="289">
        <f t="shared" si="73"/>
        <v>13</v>
      </c>
      <c r="R83" s="757">
        <f t="shared" si="74"/>
        <v>11</v>
      </c>
      <c r="S83" s="289">
        <f t="shared" si="75"/>
        <v>1</v>
      </c>
      <c r="T83" s="757">
        <f t="shared" si="76"/>
        <v>30</v>
      </c>
      <c r="U83" s="289">
        <f t="shared" si="77"/>
        <v>61</v>
      </c>
      <c r="V83" s="757">
        <f t="shared" si="87"/>
        <v>4</v>
      </c>
      <c r="W83" s="756">
        <f t="shared" si="78"/>
        <v>4</v>
      </c>
      <c r="Y83" s="757" t="str">
        <f t="shared" si="79"/>
        <v/>
      </c>
      <c r="Z83" s="756" t="str">
        <f t="shared" si="80"/>
        <v/>
      </c>
      <c r="AA83" s="756"/>
      <c r="AB83" s="756"/>
      <c r="AS83" s="784">
        <v>2109000000</v>
      </c>
      <c r="AT83" s="784">
        <v>8114000000</v>
      </c>
      <c r="AU83" s="784">
        <v>27326000000</v>
      </c>
      <c r="AV83" s="784">
        <v>4855000000</v>
      </c>
      <c r="AW83" s="784">
        <v>24687000000</v>
      </c>
      <c r="AX83" s="784">
        <v>15629173009.049999</v>
      </c>
      <c r="AY83" s="781">
        <v>1.5492600000000001</v>
      </c>
      <c r="AZ83" s="781">
        <v>1.70367</v>
      </c>
    </row>
    <row r="84" spans="1:52" ht="12.75" customHeight="1">
      <c r="A84" s="480"/>
      <c r="B84" s="677" t="s">
        <v>537</v>
      </c>
      <c r="C84" s="677" t="s">
        <v>538</v>
      </c>
      <c r="E84" s="677" t="s">
        <v>360</v>
      </c>
      <c r="F84" s="530">
        <f t="shared" si="68"/>
        <v>-0.4872936576889661</v>
      </c>
      <c r="G84" s="530">
        <f t="shared" si="69"/>
        <v>-0.632512247291796</v>
      </c>
      <c r="H84" s="770">
        <f t="shared" si="70"/>
        <v>33282559.584805701</v>
      </c>
      <c r="I84" s="771">
        <f t="shared" si="81"/>
        <v>-0.35893516047080065</v>
      </c>
      <c r="J84" s="530">
        <f t="shared" si="71"/>
        <v>-0.43545328787201831</v>
      </c>
      <c r="K84" s="757">
        <f t="shared" si="82"/>
        <v>97</v>
      </c>
      <c r="L84" s="756">
        <f t="shared" si="83"/>
        <v>96</v>
      </c>
      <c r="M84" s="756">
        <f t="shared" si="84"/>
        <v>100</v>
      </c>
      <c r="N84" s="756">
        <f t="shared" si="85"/>
        <v>93</v>
      </c>
      <c r="O84" s="756">
        <f t="shared" si="86"/>
        <v>97</v>
      </c>
      <c r="P84" s="756">
        <f t="shared" si="72"/>
        <v>89</v>
      </c>
      <c r="Q84" s="289">
        <f t="shared" si="73"/>
        <v>63</v>
      </c>
      <c r="R84" s="757">
        <f t="shared" si="74"/>
        <v>97</v>
      </c>
      <c r="S84" s="289">
        <f t="shared" si="75"/>
        <v>17</v>
      </c>
      <c r="T84" s="757">
        <f t="shared" si="76"/>
        <v>62</v>
      </c>
      <c r="U84" s="289">
        <f t="shared" si="77"/>
        <v>328</v>
      </c>
      <c r="V84" s="757">
        <f t="shared" si="87"/>
        <v>95</v>
      </c>
      <c r="W84" s="756">
        <f t="shared" si="78"/>
        <v>95</v>
      </c>
      <c r="Y84" s="757" t="str">
        <f t="shared" si="79"/>
        <v/>
      </c>
      <c r="Z84" s="756" t="str">
        <f t="shared" si="80"/>
        <v/>
      </c>
      <c r="AA84" s="756"/>
      <c r="AB84" s="756"/>
      <c r="AS84" s="784">
        <v>-17948000</v>
      </c>
      <c r="AT84" s="784">
        <v>36832000</v>
      </c>
      <c r="AU84" s="784">
        <v>9167000</v>
      </c>
      <c r="AV84" s="784">
        <v>-14493000</v>
      </c>
      <c r="AW84" s="784">
        <v>18475000</v>
      </c>
      <c r="AX84" s="784">
        <v>33282559.584805701</v>
      </c>
      <c r="AY84" s="781">
        <v>-0.22147189349112401</v>
      </c>
      <c r="AZ84" s="781">
        <v>-0.345475028163725</v>
      </c>
    </row>
    <row r="85" spans="1:52" ht="12.75" customHeight="1">
      <c r="A85" s="480"/>
      <c r="B85" s="677" t="s">
        <v>539</v>
      </c>
      <c r="C85" s="677" t="s">
        <v>540</v>
      </c>
      <c r="E85" s="677" t="s">
        <v>348</v>
      </c>
      <c r="F85" s="530">
        <f t="shared" si="68"/>
        <v>0.42132106605330266</v>
      </c>
      <c r="G85" s="530">
        <f t="shared" si="69"/>
        <v>2.5804773082942098</v>
      </c>
      <c r="H85" s="770">
        <f t="shared" si="70"/>
        <v>1180078396.8</v>
      </c>
      <c r="I85" s="771">
        <f t="shared" si="81"/>
        <v>1.747204700999196</v>
      </c>
      <c r="J85" s="530">
        <f t="shared" si="71"/>
        <v>4.3319155861696393E-2</v>
      </c>
      <c r="K85" s="757">
        <f t="shared" si="82"/>
        <v>6</v>
      </c>
      <c r="L85" s="756">
        <f t="shared" si="83"/>
        <v>51</v>
      </c>
      <c r="M85" s="756">
        <f t="shared" si="84"/>
        <v>63</v>
      </c>
      <c r="N85" s="756">
        <f t="shared" si="85"/>
        <v>5</v>
      </c>
      <c r="O85" s="756">
        <f t="shared" si="86"/>
        <v>83</v>
      </c>
      <c r="P85" s="756">
        <f t="shared" si="72"/>
        <v>2</v>
      </c>
      <c r="Q85" s="289">
        <f t="shared" si="73"/>
        <v>18</v>
      </c>
      <c r="R85" s="757">
        <f t="shared" si="74"/>
        <v>60</v>
      </c>
      <c r="S85" s="289">
        <f t="shared" si="75"/>
        <v>71</v>
      </c>
      <c r="T85" s="757">
        <f t="shared" si="76"/>
        <v>48</v>
      </c>
      <c r="U85" s="289">
        <f t="shared" si="77"/>
        <v>199</v>
      </c>
      <c r="V85" s="757">
        <f t="shared" si="87"/>
        <v>68</v>
      </c>
      <c r="W85" s="756">
        <f t="shared" si="78"/>
        <v>68</v>
      </c>
      <c r="Y85" s="757" t="str">
        <f t="shared" si="79"/>
        <v/>
      </c>
      <c r="Z85" s="756" t="str">
        <f t="shared" si="80"/>
        <v/>
      </c>
      <c r="AA85" s="756"/>
      <c r="AB85" s="756"/>
      <c r="AS85" s="784">
        <v>16852000</v>
      </c>
      <c r="AT85" s="784">
        <v>39998000</v>
      </c>
      <c r="AU85" s="784">
        <v>131914000</v>
      </c>
      <c r="AV85" s="784">
        <v>51120000</v>
      </c>
      <c r="AW85" s="784">
        <v>1132793000</v>
      </c>
      <c r="AX85" s="784">
        <v>1180078396.8</v>
      </c>
      <c r="AY85" s="781">
        <v>2.3562500000000002</v>
      </c>
      <c r="AZ85" s="781">
        <v>0.85768999999999995</v>
      </c>
    </row>
    <row r="86" spans="1:52" ht="12.75" customHeight="1">
      <c r="A86" s="480"/>
      <c r="B86" s="677" t="s">
        <v>541</v>
      </c>
      <c r="C86" s="677" t="s">
        <v>542</v>
      </c>
      <c r="E86" s="677" t="s">
        <v>408</v>
      </c>
      <c r="F86" s="530">
        <f t="shared" si="68"/>
        <v>0.17794868822839918</v>
      </c>
      <c r="G86" s="530">
        <f t="shared" si="69"/>
        <v>1.7924242669785648</v>
      </c>
      <c r="H86" s="770">
        <f t="shared" si="70"/>
        <v>3969347566.2020602</v>
      </c>
      <c r="I86" s="771">
        <f t="shared" si="81"/>
        <v>0.38900122726565622</v>
      </c>
      <c r="J86" s="530">
        <f t="shared" si="71"/>
        <v>5.3327453719015962E-2</v>
      </c>
      <c r="K86" s="757">
        <f t="shared" si="82"/>
        <v>32</v>
      </c>
      <c r="L86" s="756">
        <f t="shared" si="83"/>
        <v>64</v>
      </c>
      <c r="M86" s="756">
        <f t="shared" si="84"/>
        <v>36</v>
      </c>
      <c r="N86" s="756">
        <f t="shared" si="85"/>
        <v>20</v>
      </c>
      <c r="O86" s="756">
        <f t="shared" si="86"/>
        <v>73</v>
      </c>
      <c r="P86" s="756">
        <f t="shared" si="72"/>
        <v>24</v>
      </c>
      <c r="Q86" s="289">
        <f t="shared" si="73"/>
        <v>31</v>
      </c>
      <c r="R86" s="757">
        <f t="shared" si="74"/>
        <v>33</v>
      </c>
      <c r="S86" s="289">
        <f t="shared" si="75"/>
        <v>56</v>
      </c>
      <c r="T86" s="757">
        <f t="shared" si="76"/>
        <v>38</v>
      </c>
      <c r="U86" s="774">
        <f t="shared" si="77"/>
        <v>182</v>
      </c>
      <c r="V86" s="757">
        <f t="shared" si="87"/>
        <v>58</v>
      </c>
      <c r="W86" s="756">
        <f t="shared" si="78"/>
        <v>58</v>
      </c>
      <c r="Y86" s="757" t="str">
        <f t="shared" si="79"/>
        <v/>
      </c>
      <c r="Z86" s="756" t="str">
        <f t="shared" si="80"/>
        <v/>
      </c>
      <c r="AA86" s="756"/>
      <c r="AB86" s="756"/>
      <c r="AS86" s="784">
        <v>182282663.97958601</v>
      </c>
      <c r="AT86" s="784">
        <v>1024355199.21127</v>
      </c>
      <c r="AU86" s="784">
        <v>379411762.74430197</v>
      </c>
      <c r="AV86" s="784">
        <v>211675198.631329</v>
      </c>
      <c r="AW86" s="784">
        <v>789472920.89543605</v>
      </c>
      <c r="AX86" s="784">
        <v>3969347566.2020602</v>
      </c>
      <c r="AY86" s="781">
        <v>0.509446073051114</v>
      </c>
      <c r="AZ86" s="781">
        <v>0.36677150678548598</v>
      </c>
    </row>
    <row r="87" spans="1:52" ht="12.75" customHeight="1">
      <c r="A87" s="480"/>
      <c r="B87" s="677" t="s">
        <v>543</v>
      </c>
      <c r="C87" s="677" t="s">
        <v>544</v>
      </c>
      <c r="E87" s="677" t="s">
        <v>415</v>
      </c>
      <c r="F87" s="530">
        <f t="shared" si="68"/>
        <v>4.4022374503138409E-2</v>
      </c>
      <c r="G87" s="530">
        <f t="shared" si="69"/>
        <v>6.7212283587404444</v>
      </c>
      <c r="H87" s="770">
        <f t="shared" si="70"/>
        <v>597256273.82564902</v>
      </c>
      <c r="I87" s="771">
        <f t="shared" si="81"/>
        <v>0.34048572107080721</v>
      </c>
      <c r="J87" s="530">
        <f t="shared" si="71"/>
        <v>0.10896875565017405</v>
      </c>
      <c r="K87" s="757">
        <f t="shared" si="82"/>
        <v>87</v>
      </c>
      <c r="L87" s="756">
        <f t="shared" si="83"/>
        <v>15</v>
      </c>
      <c r="M87" s="756">
        <f t="shared" si="84"/>
        <v>80</v>
      </c>
      <c r="N87" s="756">
        <f t="shared" si="85"/>
        <v>24</v>
      </c>
      <c r="O87" s="756">
        <f t="shared" si="86"/>
        <v>45</v>
      </c>
      <c r="P87" s="756">
        <f t="shared" si="72"/>
        <v>79</v>
      </c>
      <c r="Q87" s="289">
        <f t="shared" si="73"/>
        <v>18</v>
      </c>
      <c r="R87" s="757">
        <f t="shared" si="74"/>
        <v>77</v>
      </c>
      <c r="S87" s="289">
        <f t="shared" si="75"/>
        <v>52</v>
      </c>
      <c r="T87" s="757">
        <f t="shared" si="76"/>
        <v>10</v>
      </c>
      <c r="U87" s="774">
        <f t="shared" si="77"/>
        <v>236</v>
      </c>
      <c r="V87" s="757">
        <f t="shared" si="87"/>
        <v>77</v>
      </c>
      <c r="W87" s="756">
        <f t="shared" si="78"/>
        <v>77</v>
      </c>
      <c r="Y87" s="757" t="str">
        <f t="shared" si="79"/>
        <v/>
      </c>
      <c r="Z87" s="756" t="str">
        <f t="shared" si="80"/>
        <v/>
      </c>
      <c r="AA87" s="756"/>
      <c r="AB87" s="756"/>
      <c r="AS87" s="784">
        <v>13505788.352664599</v>
      </c>
      <c r="AT87" s="784">
        <v>306793727.16939098</v>
      </c>
      <c r="AU87" s="784">
        <v>437432818.69047499</v>
      </c>
      <c r="AV87" s="784">
        <v>65082272.963040598</v>
      </c>
      <c r="AW87" s="784">
        <v>719539138.97564399</v>
      </c>
      <c r="AX87" s="784">
        <v>597256273.82564902</v>
      </c>
      <c r="AY87" s="781">
        <v>0.32802412550488302</v>
      </c>
      <c r="AZ87" s="781">
        <v>0.244705423078174</v>
      </c>
    </row>
    <row r="88" spans="1:52" ht="12.75" customHeight="1">
      <c r="A88" s="480"/>
      <c r="B88" s="677" t="s">
        <v>545</v>
      </c>
      <c r="C88" s="677" t="s">
        <v>546</v>
      </c>
      <c r="E88" s="677" t="s">
        <v>408</v>
      </c>
      <c r="F88" s="530">
        <f t="shared" si="68"/>
        <v>0.17098682518534825</v>
      </c>
      <c r="G88" s="530">
        <f t="shared" si="69"/>
        <v>2.010271486666821</v>
      </c>
      <c r="H88" s="770">
        <f t="shared" si="70"/>
        <v>3442834976.94524</v>
      </c>
      <c r="I88" s="771">
        <f t="shared" si="81"/>
        <v>0.57081738614790045</v>
      </c>
      <c r="J88" s="530">
        <f t="shared" si="71"/>
        <v>4.9674523046793179E-2</v>
      </c>
      <c r="K88" s="757">
        <f t="shared" si="82"/>
        <v>36</v>
      </c>
      <c r="L88" s="756">
        <f t="shared" si="83"/>
        <v>61</v>
      </c>
      <c r="M88" s="756">
        <f t="shared" si="84"/>
        <v>39</v>
      </c>
      <c r="N88" s="756">
        <f t="shared" si="85"/>
        <v>11</v>
      </c>
      <c r="O88" s="756">
        <f t="shared" si="86"/>
        <v>78</v>
      </c>
      <c r="P88" s="756">
        <f t="shared" si="72"/>
        <v>28</v>
      </c>
      <c r="Q88" s="289">
        <f t="shared" si="73"/>
        <v>28</v>
      </c>
      <c r="R88" s="757">
        <f t="shared" si="74"/>
        <v>36</v>
      </c>
      <c r="S88" s="289">
        <f t="shared" si="75"/>
        <v>65</v>
      </c>
      <c r="T88" s="757">
        <f t="shared" si="76"/>
        <v>43</v>
      </c>
      <c r="U88" s="774">
        <f t="shared" si="77"/>
        <v>200</v>
      </c>
      <c r="V88" s="757">
        <f t="shared" si="87"/>
        <v>69</v>
      </c>
      <c r="W88" s="756">
        <f t="shared" si="78"/>
        <v>69</v>
      </c>
      <c r="Y88" s="757" t="str">
        <f t="shared" si="79"/>
        <v/>
      </c>
      <c r="Z88" s="756" t="str">
        <f t="shared" si="80"/>
        <v/>
      </c>
      <c r="AA88" s="756"/>
      <c r="AB88" s="756"/>
      <c r="AS88" s="784">
        <v>155669831.23586401</v>
      </c>
      <c r="AT88" s="784">
        <v>910420034.216784</v>
      </c>
      <c r="AU88" s="784">
        <v>343799012.64281201</v>
      </c>
      <c r="AV88" s="784">
        <v>171021185.40857199</v>
      </c>
      <c r="AW88" s="784">
        <v>2089603958.1279399</v>
      </c>
      <c r="AX88" s="784">
        <v>3442834976.94524</v>
      </c>
      <c r="AY88" s="781">
        <v>0.25456037612496701</v>
      </c>
      <c r="AZ88" s="781">
        <v>0.16205599605007101</v>
      </c>
    </row>
    <row r="89" spans="1:52" ht="12.75" customHeight="1">
      <c r="A89" s="480"/>
      <c r="B89" s="677" t="s">
        <v>547</v>
      </c>
      <c r="C89" s="677" t="s">
        <v>548</v>
      </c>
      <c r="E89" s="677" t="s">
        <v>446</v>
      </c>
      <c r="F89" s="530">
        <f t="shared" si="68"/>
        <v>0.15284739662270067</v>
      </c>
      <c r="G89" s="530">
        <f t="shared" si="69"/>
        <v>1.0441446872084816</v>
      </c>
      <c r="H89" s="770">
        <f t="shared" si="70"/>
        <v>4187966410.2048602</v>
      </c>
      <c r="I89" s="771">
        <f t="shared" si="81"/>
        <v>-0.14416260075045084</v>
      </c>
      <c r="J89" s="530">
        <f t="shared" si="71"/>
        <v>0.25180311318409443</v>
      </c>
      <c r="K89" s="757">
        <f t="shared" si="82"/>
        <v>46</v>
      </c>
      <c r="L89" s="756">
        <f t="shared" si="83"/>
        <v>74</v>
      </c>
      <c r="M89" s="756">
        <f t="shared" si="84"/>
        <v>33</v>
      </c>
      <c r="N89" s="756">
        <f t="shared" si="85"/>
        <v>79</v>
      </c>
      <c r="O89" s="756">
        <f t="shared" si="86"/>
        <v>7</v>
      </c>
      <c r="P89" s="756">
        <f t="shared" si="72"/>
        <v>38</v>
      </c>
      <c r="Q89" s="289">
        <f t="shared" si="73"/>
        <v>41</v>
      </c>
      <c r="R89" s="757">
        <f t="shared" si="74"/>
        <v>30</v>
      </c>
      <c r="S89" s="289">
        <f t="shared" si="75"/>
        <v>3</v>
      </c>
      <c r="T89" s="757">
        <f t="shared" si="76"/>
        <v>28</v>
      </c>
      <c r="U89" s="774">
        <f t="shared" si="77"/>
        <v>140</v>
      </c>
      <c r="V89" s="757">
        <f t="shared" si="87"/>
        <v>30</v>
      </c>
      <c r="W89" s="756">
        <f t="shared" si="78"/>
        <v>30</v>
      </c>
      <c r="Y89" s="757" t="str">
        <f t="shared" si="79"/>
        <v/>
      </c>
      <c r="Z89" s="756" t="str">
        <f t="shared" si="80"/>
        <v/>
      </c>
      <c r="AA89" s="756"/>
      <c r="AB89" s="756"/>
      <c r="AS89" s="784">
        <v>705892350</v>
      </c>
      <c r="AT89" s="784">
        <v>4618281800</v>
      </c>
      <c r="AU89" s="784">
        <v>1101095450</v>
      </c>
      <c r="AV89" s="784">
        <v>1054542980</v>
      </c>
      <c r="AW89" s="784">
        <v>7475740780</v>
      </c>
      <c r="AX89" s="784">
        <v>4187966410.2048602</v>
      </c>
      <c r="AY89" s="781">
        <v>5.5888004527548798</v>
      </c>
      <c r="AZ89" s="781">
        <v>6.53021293256813</v>
      </c>
    </row>
    <row r="90" spans="1:52" ht="12.75" customHeight="1">
      <c r="A90" s="480"/>
      <c r="B90" s="677" t="s">
        <v>549</v>
      </c>
      <c r="C90" s="677" t="s">
        <v>550</v>
      </c>
      <c r="E90" s="677" t="s">
        <v>348</v>
      </c>
      <c r="F90" s="530">
        <f t="shared" si="68"/>
        <v>9.0963855421686751E-2</v>
      </c>
      <c r="G90" s="530">
        <f t="shared" si="69"/>
        <v>1.728110599078341</v>
      </c>
      <c r="H90" s="770">
        <f t="shared" si="70"/>
        <v>1023289435.4</v>
      </c>
      <c r="I90" s="771">
        <f t="shared" si="81"/>
        <v>0.21176891737551795</v>
      </c>
      <c r="J90" s="530">
        <f t="shared" si="71"/>
        <v>8.4824485621773485E-2</v>
      </c>
      <c r="K90" s="757">
        <f t="shared" si="82"/>
        <v>71</v>
      </c>
      <c r="L90" s="756">
        <f t="shared" si="83"/>
        <v>66</v>
      </c>
      <c r="M90" s="756">
        <f t="shared" si="84"/>
        <v>68</v>
      </c>
      <c r="N90" s="756">
        <f t="shared" si="85"/>
        <v>35</v>
      </c>
      <c r="O90" s="756">
        <f t="shared" si="86"/>
        <v>56</v>
      </c>
      <c r="P90" s="756">
        <f t="shared" si="72"/>
        <v>63</v>
      </c>
      <c r="Q90" s="289">
        <f t="shared" si="73"/>
        <v>33</v>
      </c>
      <c r="R90" s="757">
        <f t="shared" si="74"/>
        <v>65</v>
      </c>
      <c r="S90" s="289">
        <f t="shared" si="75"/>
        <v>41</v>
      </c>
      <c r="T90" s="757">
        <f t="shared" si="76"/>
        <v>21</v>
      </c>
      <c r="U90" s="774">
        <f t="shared" si="77"/>
        <v>223</v>
      </c>
      <c r="V90" s="757">
        <f t="shared" si="87"/>
        <v>74</v>
      </c>
      <c r="W90" s="756">
        <f t="shared" si="78"/>
        <v>74</v>
      </c>
      <c r="Y90" s="757" t="str">
        <f t="shared" si="79"/>
        <v/>
      </c>
      <c r="Z90" s="756" t="str">
        <f t="shared" si="80"/>
        <v/>
      </c>
      <c r="AA90" s="756"/>
      <c r="AB90" s="756"/>
      <c r="AS90" s="784">
        <v>45300000</v>
      </c>
      <c r="AT90" s="784">
        <v>498000000</v>
      </c>
      <c r="AU90" s="784">
        <v>150000000</v>
      </c>
      <c r="AV90" s="784">
        <v>86800000</v>
      </c>
      <c r="AW90" s="784">
        <v>2638000000</v>
      </c>
      <c r="AX90" s="784">
        <v>1023289435.4</v>
      </c>
      <c r="AY90" s="781">
        <v>1.4217200000000001</v>
      </c>
      <c r="AZ90" s="781">
        <v>1.17326</v>
      </c>
    </row>
    <row r="91" spans="1:52" ht="12.75" customHeight="1">
      <c r="A91" s="480"/>
      <c r="B91" s="677" t="s">
        <v>551</v>
      </c>
      <c r="C91" s="677" t="s">
        <v>552</v>
      </c>
      <c r="E91" s="677" t="s">
        <v>446</v>
      </c>
      <c r="F91" s="530">
        <f t="shared" si="68"/>
        <v>8.0846219712275402E-2</v>
      </c>
      <c r="G91" s="530">
        <f t="shared" si="69"/>
        <v>3.7620913729317325</v>
      </c>
      <c r="H91" s="770">
        <f t="shared" si="70"/>
        <v>836215327.39092505</v>
      </c>
      <c r="I91" s="771">
        <f t="shared" si="81"/>
        <v>-0.10974605774442447</v>
      </c>
      <c r="J91" s="530">
        <f t="shared" si="71"/>
        <v>0.20019864524868886</v>
      </c>
      <c r="K91" s="757">
        <f t="shared" si="82"/>
        <v>72</v>
      </c>
      <c r="L91" s="756">
        <f t="shared" si="83"/>
        <v>37</v>
      </c>
      <c r="M91" s="756">
        <f t="shared" si="84"/>
        <v>71</v>
      </c>
      <c r="N91" s="756">
        <f t="shared" si="85"/>
        <v>77</v>
      </c>
      <c r="O91" s="756">
        <f t="shared" si="86"/>
        <v>18</v>
      </c>
      <c r="P91" s="756">
        <f t="shared" si="72"/>
        <v>64</v>
      </c>
      <c r="Q91" s="289">
        <f t="shared" si="73"/>
        <v>4</v>
      </c>
      <c r="R91" s="757">
        <f t="shared" si="74"/>
        <v>68</v>
      </c>
      <c r="S91" s="289">
        <f t="shared" si="75"/>
        <v>1</v>
      </c>
      <c r="T91" s="757">
        <f t="shared" si="76"/>
        <v>17</v>
      </c>
      <c r="U91" s="774">
        <f t="shared" si="77"/>
        <v>154</v>
      </c>
      <c r="V91" s="757">
        <f t="shared" si="87"/>
        <v>40</v>
      </c>
      <c r="W91" s="756">
        <f t="shared" si="78"/>
        <v>40</v>
      </c>
      <c r="Y91" s="757" t="str">
        <f t="shared" si="79"/>
        <v/>
      </c>
      <c r="Z91" s="756" t="str">
        <f t="shared" si="80"/>
        <v/>
      </c>
      <c r="AA91" s="756"/>
      <c r="AB91" s="756"/>
      <c r="AS91" s="784">
        <v>98463908.374536499</v>
      </c>
      <c r="AT91" s="784">
        <v>1217916047.5896201</v>
      </c>
      <c r="AU91" s="784">
        <v>629808615.57478404</v>
      </c>
      <c r="AV91" s="784">
        <v>167409175.67985201</v>
      </c>
      <c r="AW91" s="784">
        <v>2955011492.5834398</v>
      </c>
      <c r="AX91" s="784">
        <v>836215327.39092505</v>
      </c>
      <c r="AY91" s="781">
        <v>6.5840122001146302</v>
      </c>
      <c r="AZ91" s="781">
        <v>7.3956563263659003</v>
      </c>
    </row>
    <row r="92" spans="1:52" ht="12.75" customHeight="1">
      <c r="A92" s="480"/>
      <c r="B92" s="677" t="s">
        <v>553</v>
      </c>
      <c r="C92" s="677" t="s">
        <v>554</v>
      </c>
      <c r="E92" s="677" t="s">
        <v>357</v>
      </c>
      <c r="F92" s="530">
        <f t="shared" si="68"/>
        <v>0.25685731356254438</v>
      </c>
      <c r="G92" s="530">
        <f t="shared" si="69"/>
        <v>1.0289008571645266</v>
      </c>
      <c r="H92" s="770">
        <f t="shared" si="70"/>
        <v>22631981730.7612</v>
      </c>
      <c r="I92" s="771">
        <f t="shared" si="81"/>
        <v>-9.6610596948804028E-3</v>
      </c>
      <c r="J92" s="530">
        <f t="shared" si="71"/>
        <v>5.7861754671270485E-2</v>
      </c>
      <c r="K92" s="757">
        <f t="shared" si="82"/>
        <v>15</v>
      </c>
      <c r="L92" s="756">
        <f t="shared" si="83"/>
        <v>75</v>
      </c>
      <c r="M92" s="756">
        <f t="shared" si="84"/>
        <v>10</v>
      </c>
      <c r="N92" s="756">
        <f t="shared" si="85"/>
        <v>67</v>
      </c>
      <c r="O92" s="756">
        <f t="shared" si="86"/>
        <v>72</v>
      </c>
      <c r="P92" s="756">
        <f t="shared" si="72"/>
        <v>7</v>
      </c>
      <c r="Q92" s="289">
        <f t="shared" si="73"/>
        <v>42</v>
      </c>
      <c r="R92" s="757">
        <f t="shared" si="74"/>
        <v>7</v>
      </c>
      <c r="S92" s="289">
        <f t="shared" si="75"/>
        <v>9</v>
      </c>
      <c r="T92" s="757">
        <f t="shared" si="76"/>
        <v>37</v>
      </c>
      <c r="U92" s="774">
        <f t="shared" si="77"/>
        <v>102</v>
      </c>
      <c r="V92" s="757">
        <f t="shared" si="87"/>
        <v>13</v>
      </c>
      <c r="W92" s="756">
        <f t="shared" si="78"/>
        <v>13</v>
      </c>
      <c r="Y92" s="757" t="str">
        <f t="shared" si="79"/>
        <v/>
      </c>
      <c r="Z92" s="756" t="str">
        <f t="shared" si="80"/>
        <v/>
      </c>
      <c r="AA92" s="756"/>
      <c r="AB92" s="756"/>
      <c r="AS92" s="784">
        <v>939505314.39356303</v>
      </c>
      <c r="AT92" s="784">
        <v>3657693453.8591399</v>
      </c>
      <c r="AU92" s="784">
        <v>1347372603.55617</v>
      </c>
      <c r="AV92" s="784">
        <v>1309526174.6299801</v>
      </c>
      <c r="AW92" s="784">
        <v>5994139266.9116898</v>
      </c>
      <c r="AX92" s="784">
        <v>22631981730.7612</v>
      </c>
      <c r="AY92" s="781">
        <v>0.76018264489764598</v>
      </c>
      <c r="AZ92" s="781">
        <v>0.76759845943595495</v>
      </c>
    </row>
    <row r="93" spans="1:52" ht="12.75" customHeight="1">
      <c r="A93" s="480"/>
      <c r="B93" s="677" t="s">
        <v>555</v>
      </c>
      <c r="C93" s="677" t="s">
        <v>556</v>
      </c>
      <c r="E93" s="677" t="s">
        <v>557</v>
      </c>
      <c r="F93" s="530">
        <f t="shared" si="68"/>
        <v>0.24664800212477542</v>
      </c>
      <c r="G93" s="530">
        <f t="shared" si="69"/>
        <v>2.1834095081356295E-2</v>
      </c>
      <c r="H93" s="770">
        <f t="shared" si="70"/>
        <v>2022436818.7323401</v>
      </c>
      <c r="I93" s="771">
        <f t="shared" si="81"/>
        <v>1.6486127799373973E-2</v>
      </c>
      <c r="J93" s="530">
        <f t="shared" si="71"/>
        <v>0.13331324014323762</v>
      </c>
      <c r="K93" s="757">
        <f t="shared" si="82"/>
        <v>16</v>
      </c>
      <c r="L93" s="756">
        <f t="shared" si="83"/>
        <v>90</v>
      </c>
      <c r="M93" s="756">
        <f t="shared" si="84"/>
        <v>48</v>
      </c>
      <c r="N93" s="756">
        <f t="shared" si="85"/>
        <v>62</v>
      </c>
      <c r="O93" s="756">
        <f t="shared" si="86"/>
        <v>36</v>
      </c>
      <c r="P93" s="756">
        <f t="shared" si="72"/>
        <v>8</v>
      </c>
      <c r="Q93" s="289">
        <f t="shared" si="73"/>
        <v>57</v>
      </c>
      <c r="R93" s="757">
        <f t="shared" si="74"/>
        <v>45</v>
      </c>
      <c r="S93" s="289">
        <f t="shared" si="75"/>
        <v>14</v>
      </c>
      <c r="T93" s="757">
        <f t="shared" si="76"/>
        <v>1</v>
      </c>
      <c r="U93" s="774">
        <f t="shared" si="77"/>
        <v>125</v>
      </c>
      <c r="V93" s="757">
        <f t="shared" si="87"/>
        <v>22</v>
      </c>
      <c r="W93" s="756">
        <f t="shared" si="78"/>
        <v>22</v>
      </c>
      <c r="Y93" s="757" t="str">
        <f t="shared" si="79"/>
        <v/>
      </c>
      <c r="Z93" s="756" t="str">
        <f t="shared" si="80"/>
        <v/>
      </c>
      <c r="AA93" s="756"/>
      <c r="AB93" s="756"/>
      <c r="AS93" s="784">
        <v>259564981.81079999</v>
      </c>
      <c r="AT93" s="784">
        <v>1052370096.5535901</v>
      </c>
      <c r="AU93" s="784">
        <v>5886856.4295135997</v>
      </c>
      <c r="AV93" s="784">
        <v>269617605.29018998</v>
      </c>
      <c r="AW93" s="784">
        <v>158390352.68837601</v>
      </c>
      <c r="AX93" s="784">
        <v>2022436818.7323401</v>
      </c>
      <c r="AY93" s="781">
        <v>0.204168629412951</v>
      </c>
      <c r="AZ93" s="781">
        <v>0.20085727077748</v>
      </c>
    </row>
    <row r="94" spans="1:52" ht="12.75" customHeight="1">
      <c r="A94" s="480"/>
      <c r="B94" s="677" t="s">
        <v>558</v>
      </c>
      <c r="C94" s="677" t="s">
        <v>559</v>
      </c>
      <c r="E94" s="677" t="s">
        <v>363</v>
      </c>
      <c r="F94" s="530">
        <f t="shared" si="68"/>
        <v>0.1487076811066618</v>
      </c>
      <c r="G94" s="530">
        <f t="shared" si="69"/>
        <v>5.7677385065107716</v>
      </c>
      <c r="H94" s="770">
        <f t="shared" si="70"/>
        <v>18714260959.972301</v>
      </c>
      <c r="I94" s="771">
        <f t="shared" si="81"/>
        <v>-2.4866413331814274E-2</v>
      </c>
      <c r="J94" s="530">
        <f t="shared" si="71"/>
        <v>0.22190701317896053</v>
      </c>
      <c r="K94" s="757">
        <f t="shared" si="82"/>
        <v>47</v>
      </c>
      <c r="L94" s="756">
        <f t="shared" si="83"/>
        <v>19</v>
      </c>
      <c r="M94" s="756">
        <f t="shared" si="84"/>
        <v>11</v>
      </c>
      <c r="N94" s="756">
        <f t="shared" si="85"/>
        <v>70</v>
      </c>
      <c r="O94" s="756">
        <f t="shared" si="86"/>
        <v>14</v>
      </c>
      <c r="P94" s="756">
        <f t="shared" si="72"/>
        <v>39</v>
      </c>
      <c r="Q94" s="289">
        <f t="shared" si="73"/>
        <v>14</v>
      </c>
      <c r="R94" s="757">
        <f t="shared" si="74"/>
        <v>8</v>
      </c>
      <c r="S94" s="289">
        <f t="shared" si="75"/>
        <v>6</v>
      </c>
      <c r="T94" s="757">
        <f t="shared" si="76"/>
        <v>21</v>
      </c>
      <c r="U94" s="774">
        <f t="shared" si="77"/>
        <v>88</v>
      </c>
      <c r="V94" s="757">
        <f t="shared" si="87"/>
        <v>8</v>
      </c>
      <c r="W94" s="756">
        <f t="shared" si="78"/>
        <v>8</v>
      </c>
      <c r="Y94" s="757" t="str">
        <f t="shared" si="79"/>
        <v/>
      </c>
      <c r="Z94" s="756" t="str">
        <f t="shared" si="80"/>
        <v/>
      </c>
      <c r="AA94" s="756"/>
      <c r="AB94" s="756"/>
      <c r="AS94" s="784">
        <v>2704909891.5166702</v>
      </c>
      <c r="AT94" s="784">
        <v>18189443015.902802</v>
      </c>
      <c r="AU94" s="784">
        <v>23952413009.170898</v>
      </c>
      <c r="AV94" s="784">
        <v>4152825753.4790802</v>
      </c>
      <c r="AW94" s="784">
        <v>51727677044.132698</v>
      </c>
      <c r="AX94" s="784">
        <v>18714260959.972301</v>
      </c>
      <c r="AY94" s="781">
        <v>5.5357715300641104</v>
      </c>
      <c r="AZ94" s="781">
        <v>5.6769365815596702</v>
      </c>
    </row>
    <row r="95" spans="1:52" ht="12.75" customHeight="1">
      <c r="A95" s="480"/>
      <c r="B95" s="677" t="s">
        <v>560</v>
      </c>
      <c r="C95" s="677" t="s">
        <v>561</v>
      </c>
      <c r="E95" s="677" t="s">
        <v>479</v>
      </c>
      <c r="F95" s="530">
        <f t="shared" si="68"/>
        <v>0.1753338369516671</v>
      </c>
      <c r="G95" s="530">
        <f t="shared" si="69"/>
        <v>3.7545137581640424</v>
      </c>
      <c r="H95" s="770">
        <f t="shared" si="70"/>
        <v>3153352511.61761</v>
      </c>
      <c r="I95" s="771">
        <f t="shared" si="81"/>
        <v>-7.4331116949875264E-2</v>
      </c>
      <c r="J95" s="530">
        <f t="shared" si="71"/>
        <v>6.9067199299496715E-2</v>
      </c>
      <c r="K95" s="757">
        <f t="shared" si="82"/>
        <v>33</v>
      </c>
      <c r="L95" s="756">
        <f t="shared" si="83"/>
        <v>38</v>
      </c>
      <c r="M95" s="756">
        <f t="shared" si="84"/>
        <v>40</v>
      </c>
      <c r="N95" s="756">
        <f t="shared" si="85"/>
        <v>73</v>
      </c>
      <c r="O95" s="756">
        <f t="shared" si="86"/>
        <v>68</v>
      </c>
      <c r="P95" s="756">
        <f t="shared" si="72"/>
        <v>25</v>
      </c>
      <c r="Q95" s="289">
        <f t="shared" si="73"/>
        <v>5</v>
      </c>
      <c r="R95" s="757">
        <f t="shared" si="74"/>
        <v>37</v>
      </c>
      <c r="S95" s="289">
        <f t="shared" si="75"/>
        <v>3</v>
      </c>
      <c r="T95" s="757">
        <f t="shared" si="76"/>
        <v>33</v>
      </c>
      <c r="U95" s="774">
        <f t="shared" si="77"/>
        <v>103</v>
      </c>
      <c r="V95" s="757">
        <f t="shared" si="87"/>
        <v>14</v>
      </c>
      <c r="W95" s="756">
        <f t="shared" si="78"/>
        <v>14</v>
      </c>
      <c r="Y95" s="757" t="str">
        <f t="shared" si="79"/>
        <v/>
      </c>
      <c r="Z95" s="756" t="str">
        <f t="shared" si="80"/>
        <v/>
      </c>
      <c r="AA95" s="756"/>
      <c r="AB95" s="756"/>
      <c r="AS95" s="784">
        <v>164661913.25014901</v>
      </c>
      <c r="AT95" s="784">
        <v>939133689.83957195</v>
      </c>
      <c r="AU95" s="784">
        <v>817707664.88413501</v>
      </c>
      <c r="AV95" s="784">
        <v>217793226.38146201</v>
      </c>
      <c r="AW95" s="784">
        <v>4288099821.7468801</v>
      </c>
      <c r="AX95" s="784">
        <v>3153352511.61761</v>
      </c>
      <c r="AY95" s="781">
        <v>1.4741770462633501</v>
      </c>
      <c r="AZ95" s="781">
        <v>1.5925533128064799</v>
      </c>
    </row>
    <row r="96" spans="1:52" ht="12.75" customHeight="1">
      <c r="A96" s="480"/>
      <c r="B96" s="677" t="s">
        <v>562</v>
      </c>
      <c r="C96" s="677" t="s">
        <v>563</v>
      </c>
      <c r="E96" s="677" t="s">
        <v>381</v>
      </c>
      <c r="F96" s="530">
        <f t="shared" si="68"/>
        <v>0.12395405143713378</v>
      </c>
      <c r="G96" s="530">
        <f t="shared" si="69"/>
        <v>5.6225211642166499</v>
      </c>
      <c r="H96" s="770">
        <f t="shared" si="70"/>
        <v>1917823616.8438799</v>
      </c>
      <c r="I96" s="771">
        <f t="shared" si="81"/>
        <v>0.60062508071341547</v>
      </c>
      <c r="J96" s="530">
        <f t="shared" si="71"/>
        <v>0.2239480175137763</v>
      </c>
      <c r="K96" s="757">
        <f t="shared" si="82"/>
        <v>57</v>
      </c>
      <c r="L96" s="756">
        <f t="shared" si="83"/>
        <v>21</v>
      </c>
      <c r="M96" s="756">
        <f t="shared" si="84"/>
        <v>50</v>
      </c>
      <c r="N96" s="756">
        <f t="shared" si="85"/>
        <v>10</v>
      </c>
      <c r="O96" s="756">
        <f t="shared" si="86"/>
        <v>13</v>
      </c>
      <c r="P96" s="756">
        <f t="shared" si="72"/>
        <v>49</v>
      </c>
      <c r="Q96" s="289">
        <f t="shared" si="73"/>
        <v>12</v>
      </c>
      <c r="R96" s="757">
        <f t="shared" si="74"/>
        <v>47</v>
      </c>
      <c r="S96" s="289">
        <f t="shared" si="75"/>
        <v>66</v>
      </c>
      <c r="T96" s="757">
        <f t="shared" si="76"/>
        <v>22</v>
      </c>
      <c r="U96" s="774">
        <f t="shared" si="77"/>
        <v>196</v>
      </c>
      <c r="V96" s="757">
        <f t="shared" si="87"/>
        <v>66</v>
      </c>
      <c r="W96" s="756">
        <f t="shared" si="78"/>
        <v>66</v>
      </c>
      <c r="Y96" s="757" t="str">
        <f t="shared" si="79"/>
        <v/>
      </c>
      <c r="Z96" s="756" t="str">
        <f t="shared" si="80"/>
        <v/>
      </c>
      <c r="AA96" s="756"/>
      <c r="AB96" s="756"/>
      <c r="AS96" s="784">
        <v>120970095.422601</v>
      </c>
      <c r="AT96" s="784">
        <v>975926918.24158597</v>
      </c>
      <c r="AU96" s="784">
        <v>2414832340.6360102</v>
      </c>
      <c r="AV96" s="784">
        <v>429492796.93328702</v>
      </c>
      <c r="AW96" s="784">
        <v>1254195502.97809</v>
      </c>
      <c r="AX96" s="784">
        <v>1917823616.8438799</v>
      </c>
      <c r="AY96" s="781">
        <v>0.154829289757385</v>
      </c>
      <c r="AZ96" s="781">
        <v>9.6730515860950994E-2</v>
      </c>
    </row>
    <row r="97" spans="1:52" ht="12.75" customHeight="1">
      <c r="A97" s="480"/>
      <c r="B97" s="677" t="s">
        <v>564</v>
      </c>
      <c r="C97" s="677" t="s">
        <v>565</v>
      </c>
      <c r="E97" s="677" t="s">
        <v>408</v>
      </c>
      <c r="F97" s="530">
        <f t="shared" si="68"/>
        <v>0.16529032253577194</v>
      </c>
      <c r="G97" s="530">
        <f t="shared" si="69"/>
        <v>0.5442418477840697</v>
      </c>
      <c r="H97" s="770">
        <f t="shared" si="70"/>
        <v>2747674685.7582202</v>
      </c>
      <c r="I97" s="771">
        <f t="shared" si="81"/>
        <v>-0.42402434171409964</v>
      </c>
      <c r="J97" s="530">
        <f t="shared" si="71"/>
        <v>0.16697148925619296</v>
      </c>
      <c r="K97" s="757">
        <f t="shared" si="82"/>
        <v>39</v>
      </c>
      <c r="L97" s="756">
        <f t="shared" si="83"/>
        <v>83</v>
      </c>
      <c r="M97" s="756">
        <f t="shared" si="84"/>
        <v>44</v>
      </c>
      <c r="N97" s="756">
        <f t="shared" si="85"/>
        <v>95</v>
      </c>
      <c r="O97" s="756">
        <f t="shared" si="86"/>
        <v>28</v>
      </c>
      <c r="P97" s="756">
        <f t="shared" si="72"/>
        <v>31</v>
      </c>
      <c r="Q97" s="289">
        <f t="shared" si="73"/>
        <v>50</v>
      </c>
      <c r="R97" s="757">
        <f t="shared" si="74"/>
        <v>41</v>
      </c>
      <c r="S97" s="289">
        <f t="shared" si="75"/>
        <v>19</v>
      </c>
      <c r="T97" s="757">
        <f t="shared" si="76"/>
        <v>7</v>
      </c>
      <c r="U97" s="774">
        <f t="shared" si="77"/>
        <v>148</v>
      </c>
      <c r="V97" s="757">
        <f t="shared" si="87"/>
        <v>36</v>
      </c>
      <c r="W97" s="756">
        <f t="shared" si="78"/>
        <v>36</v>
      </c>
      <c r="Y97" s="757" t="str">
        <f t="shared" si="79"/>
        <v/>
      </c>
      <c r="Z97" s="756" t="str">
        <f t="shared" si="80"/>
        <v/>
      </c>
      <c r="AA97" s="756"/>
      <c r="AB97" s="756"/>
      <c r="AS97" s="784">
        <v>344861920.59511399</v>
      </c>
      <c r="AT97" s="784">
        <v>2086401159.51422</v>
      </c>
      <c r="AU97" s="784">
        <v>249689089.577052</v>
      </c>
      <c r="AV97" s="784">
        <v>458783334.27259201</v>
      </c>
      <c r="AW97" s="784">
        <v>3534415876.7505398</v>
      </c>
      <c r="AX97" s="784">
        <v>2747674685.7582202</v>
      </c>
      <c r="AY97" s="781">
        <v>9.6828185301481004E-2</v>
      </c>
      <c r="AZ97" s="781">
        <v>0.16811159275314</v>
      </c>
    </row>
    <row r="98" spans="1:52" ht="12.75" customHeight="1">
      <c r="A98" s="480"/>
      <c r="B98" s="677" t="s">
        <v>566</v>
      </c>
      <c r="C98" s="677" t="s">
        <v>567</v>
      </c>
      <c r="E98" s="677" t="s">
        <v>348</v>
      </c>
      <c r="F98" s="530">
        <f t="shared" si="68"/>
        <v>-0.22302398403358453</v>
      </c>
      <c r="G98" s="530">
        <f t="shared" si="69"/>
        <v>-2.5740841221036557</v>
      </c>
      <c r="H98" s="770">
        <f t="shared" si="70"/>
        <v>44906273.994599998</v>
      </c>
      <c r="I98" s="771">
        <f t="shared" si="81"/>
        <v>-0.39797655873087956</v>
      </c>
      <c r="J98" s="530">
        <f t="shared" si="71"/>
        <v>-1.1081079674074894</v>
      </c>
      <c r="K98" s="757">
        <f t="shared" si="82"/>
        <v>96</v>
      </c>
      <c r="L98" s="756">
        <f t="shared" si="83"/>
        <v>97</v>
      </c>
      <c r="M98" s="756">
        <f t="shared" si="84"/>
        <v>99</v>
      </c>
      <c r="N98" s="756">
        <f t="shared" si="85"/>
        <v>94</v>
      </c>
      <c r="O98" s="756">
        <f t="shared" si="86"/>
        <v>100</v>
      </c>
      <c r="P98" s="756">
        <f t="shared" si="72"/>
        <v>88</v>
      </c>
      <c r="Q98" s="289">
        <f t="shared" si="73"/>
        <v>64</v>
      </c>
      <c r="R98" s="757">
        <f t="shared" si="74"/>
        <v>96</v>
      </c>
      <c r="S98" s="289">
        <f t="shared" si="75"/>
        <v>18</v>
      </c>
      <c r="T98" s="757">
        <f t="shared" si="76"/>
        <v>65</v>
      </c>
      <c r="U98" s="774">
        <f t="shared" si="77"/>
        <v>331</v>
      </c>
      <c r="V98" s="757">
        <f t="shared" si="87"/>
        <v>96</v>
      </c>
      <c r="W98" s="756">
        <f t="shared" si="78"/>
        <v>96</v>
      </c>
      <c r="Y98" s="757" t="str">
        <f t="shared" si="79"/>
        <v/>
      </c>
      <c r="Z98" s="756" t="str">
        <f t="shared" si="80"/>
        <v/>
      </c>
      <c r="AA98" s="756"/>
      <c r="AB98" s="756"/>
      <c r="AS98" s="784">
        <v>-64813000</v>
      </c>
      <c r="AT98" s="784">
        <v>290610000</v>
      </c>
      <c r="AU98" s="784">
        <v>128089000</v>
      </c>
      <c r="AV98" s="784">
        <v>-49761000</v>
      </c>
      <c r="AW98" s="784">
        <v>226581000</v>
      </c>
      <c r="AX98" s="784">
        <v>44906273.994599998</v>
      </c>
      <c r="AY98" s="781">
        <v>-0.42426999999999998</v>
      </c>
      <c r="AZ98" s="781">
        <v>-0.70474000000000003</v>
      </c>
    </row>
    <row r="99" spans="1:52" ht="12.75" customHeight="1">
      <c r="A99" s="480"/>
      <c r="B99" s="677" t="s">
        <v>568</v>
      </c>
      <c r="C99" s="677" t="s">
        <v>569</v>
      </c>
      <c r="E99" s="677" t="s">
        <v>348</v>
      </c>
      <c r="F99" s="530">
        <f t="shared" si="68"/>
        <v>-1.40815389559708</v>
      </c>
      <c r="G99" s="530">
        <f t="shared" si="69"/>
        <v>0</v>
      </c>
      <c r="H99" s="770">
        <f t="shared" si="70"/>
        <v>178715804.35499999</v>
      </c>
      <c r="I99" s="771">
        <f t="shared" si="81"/>
        <v>-0.20000000000000007</v>
      </c>
      <c r="J99" s="530">
        <f t="shared" si="71"/>
        <v>-1.0520558082625988</v>
      </c>
      <c r="K99" s="757">
        <f t="shared" si="82"/>
        <v>100</v>
      </c>
      <c r="L99" s="756">
        <f t="shared" si="83"/>
        <v>94</v>
      </c>
      <c r="M99" s="756">
        <f t="shared" si="84"/>
        <v>96</v>
      </c>
      <c r="N99" s="756">
        <f t="shared" si="85"/>
        <v>86</v>
      </c>
      <c r="O99" s="756">
        <f t="shared" si="86"/>
        <v>99</v>
      </c>
      <c r="P99" s="756">
        <f t="shared" si="72"/>
        <v>92</v>
      </c>
      <c r="Q99" s="289">
        <f t="shared" si="73"/>
        <v>61</v>
      </c>
      <c r="R99" s="757">
        <f t="shared" si="74"/>
        <v>93</v>
      </c>
      <c r="S99" s="289">
        <f t="shared" si="75"/>
        <v>10</v>
      </c>
      <c r="T99" s="757">
        <f t="shared" si="76"/>
        <v>64</v>
      </c>
      <c r="U99" s="774">
        <f t="shared" si="77"/>
        <v>320</v>
      </c>
      <c r="V99" s="757">
        <f t="shared" si="87"/>
        <v>92</v>
      </c>
      <c r="W99" s="756">
        <f t="shared" si="78"/>
        <v>92</v>
      </c>
      <c r="Y99" s="757" t="str">
        <f t="shared" si="79"/>
        <v/>
      </c>
      <c r="Z99" s="756" t="str">
        <f t="shared" si="80"/>
        <v/>
      </c>
      <c r="AA99" s="756"/>
      <c r="AB99" s="756"/>
      <c r="AS99" s="784">
        <v>-184026000</v>
      </c>
      <c r="AT99" s="784">
        <v>130686000</v>
      </c>
      <c r="AU99" s="784">
        <v>0</v>
      </c>
      <c r="AV99" s="784">
        <v>-188019000</v>
      </c>
      <c r="AW99" s="784">
        <v>295000</v>
      </c>
      <c r="AX99" s="784">
        <v>178715804.35499999</v>
      </c>
      <c r="AY99" s="781">
        <v>-0.6</v>
      </c>
      <c r="AZ99" s="781">
        <v>-0.75</v>
      </c>
    </row>
    <row r="100" spans="1:52" ht="12.75" customHeight="1">
      <c r="A100" s="480"/>
      <c r="B100" s="677" t="s">
        <v>570</v>
      </c>
      <c r="C100" s="677" t="s">
        <v>571</v>
      </c>
      <c r="E100" s="677" t="s">
        <v>363</v>
      </c>
      <c r="F100" s="530">
        <f t="shared" si="68"/>
        <v>0.18385484169598224</v>
      </c>
      <c r="G100" s="530">
        <f t="shared" si="69"/>
        <v>4.3754838709677424</v>
      </c>
      <c r="H100" s="770">
        <f t="shared" si="70"/>
        <v>41965775117.212997</v>
      </c>
      <c r="I100" s="771">
        <f t="shared" si="81"/>
        <v>6.5283678584260763E-2</v>
      </c>
      <c r="J100" s="530">
        <f t="shared" si="71"/>
        <v>0.14266386456972785</v>
      </c>
      <c r="K100" s="757">
        <f t="shared" si="82"/>
        <v>31</v>
      </c>
      <c r="L100" s="756">
        <f t="shared" si="83"/>
        <v>29</v>
      </c>
      <c r="M100" s="756">
        <f t="shared" si="84"/>
        <v>5</v>
      </c>
      <c r="N100" s="756">
        <f t="shared" si="85"/>
        <v>55</v>
      </c>
      <c r="O100" s="756">
        <f t="shared" si="86"/>
        <v>32</v>
      </c>
      <c r="P100" s="756">
        <f t="shared" si="72"/>
        <v>23</v>
      </c>
      <c r="Q100" s="289">
        <f t="shared" si="73"/>
        <v>4</v>
      </c>
      <c r="R100" s="757">
        <f t="shared" si="74"/>
        <v>2</v>
      </c>
      <c r="S100" s="289">
        <f t="shared" si="75"/>
        <v>21</v>
      </c>
      <c r="T100" s="757">
        <f t="shared" si="76"/>
        <v>3</v>
      </c>
      <c r="U100" s="774">
        <f t="shared" si="77"/>
        <v>53</v>
      </c>
      <c r="V100" s="757">
        <f t="shared" ref="V100:V102" si="88">_xlfn.RANK.EQ(U100,$U$4:$U$102,1)</f>
        <v>3</v>
      </c>
      <c r="W100" s="756">
        <f t="shared" si="78"/>
        <v>3</v>
      </c>
      <c r="Y100" s="757" t="str">
        <f t="shared" si="79"/>
        <v/>
      </c>
      <c r="Z100" s="756" t="str">
        <f t="shared" si="80"/>
        <v/>
      </c>
      <c r="AA100" s="756"/>
      <c r="AB100" s="756"/>
      <c r="AS100" s="784">
        <v>4383476984.53864</v>
      </c>
      <c r="AT100" s="784">
        <v>23842053568.4725</v>
      </c>
      <c r="AU100" s="784">
        <v>26196020438.568401</v>
      </c>
      <c r="AV100" s="784">
        <v>5986999657.8857298</v>
      </c>
      <c r="AW100" s="784">
        <v>61679891406.310303</v>
      </c>
      <c r="AX100" s="784">
        <v>41965775117.212997</v>
      </c>
      <c r="AY100" s="781">
        <v>5.0973401490209698</v>
      </c>
      <c r="AZ100" s="781">
        <v>4.7849603363821602</v>
      </c>
    </row>
    <row r="101" spans="1:52" ht="12.75" customHeight="1">
      <c r="A101" s="480"/>
      <c r="B101" s="677" t="s">
        <v>572</v>
      </c>
      <c r="C101" s="677" t="s">
        <v>573</v>
      </c>
      <c r="E101" s="677" t="s">
        <v>574</v>
      </c>
      <c r="F101" s="530">
        <f t="shared" si="68"/>
        <v>-0.66813477697513679</v>
      </c>
      <c r="G101" s="530">
        <f t="shared" si="69"/>
        <v>-0.49169627126476539</v>
      </c>
      <c r="H101" s="770">
        <f t="shared" si="70"/>
        <v>213605697.98995</v>
      </c>
      <c r="I101" s="771">
        <f t="shared" si="81"/>
        <v>-0.84676755811220938</v>
      </c>
      <c r="J101" s="530">
        <f t="shared" si="71"/>
        <v>-0.53663946485344804</v>
      </c>
      <c r="K101" s="757">
        <f t="shared" si="82"/>
        <v>99</v>
      </c>
      <c r="L101" s="756">
        <f t="shared" si="83"/>
        <v>95</v>
      </c>
      <c r="M101" s="756">
        <f t="shared" si="84"/>
        <v>92</v>
      </c>
      <c r="N101" s="756">
        <f t="shared" si="85"/>
        <v>98</v>
      </c>
      <c r="O101" s="756">
        <f t="shared" si="86"/>
        <v>98</v>
      </c>
      <c r="P101" s="756">
        <f t="shared" si="72"/>
        <v>91</v>
      </c>
      <c r="Q101" s="289">
        <f t="shared" si="73"/>
        <v>62</v>
      </c>
      <c r="R101" s="757">
        <f t="shared" si="74"/>
        <v>89</v>
      </c>
      <c r="S101" s="289">
        <f t="shared" si="75"/>
        <v>22</v>
      </c>
      <c r="T101" s="757">
        <f t="shared" si="76"/>
        <v>63</v>
      </c>
      <c r="U101" s="774">
        <f t="shared" si="77"/>
        <v>327</v>
      </c>
      <c r="V101" s="757">
        <f t="shared" si="88"/>
        <v>94</v>
      </c>
      <c r="W101" s="756">
        <f t="shared" si="78"/>
        <v>94</v>
      </c>
      <c r="Y101" s="757" t="str">
        <f t="shared" si="79"/>
        <v/>
      </c>
      <c r="Z101" s="756" t="str">
        <f t="shared" si="80"/>
        <v/>
      </c>
      <c r="AA101" s="756"/>
      <c r="AB101" s="756"/>
      <c r="AS101" s="784">
        <v>-132592453.621445</v>
      </c>
      <c r="AT101" s="784">
        <v>198451657.04700199</v>
      </c>
      <c r="AU101" s="784">
        <v>56362773.553463601</v>
      </c>
      <c r="AV101" s="784">
        <v>-114629247.458974</v>
      </c>
      <c r="AW101" s="784">
        <v>113052211.051394</v>
      </c>
      <c r="AX101" s="784">
        <v>213605697.98995</v>
      </c>
      <c r="AY101" s="781">
        <v>-0.14590192341015401</v>
      </c>
      <c r="AZ101" s="781">
        <v>-0.952160793188921</v>
      </c>
    </row>
    <row r="102" spans="1:52" ht="12.75" customHeight="1">
      <c r="A102" s="699"/>
      <c r="B102" s="700" t="s">
        <v>575</v>
      </c>
      <c r="C102" s="700" t="s">
        <v>576</v>
      </c>
      <c r="D102" s="755"/>
      <c r="E102" s="700" t="s">
        <v>424</v>
      </c>
      <c r="F102" s="701">
        <f t="shared" ref="F102" si="89">AS102/AT102</f>
        <v>9.9405267629566682E-2</v>
      </c>
      <c r="G102" s="701">
        <f t="shared" ref="G102" si="90">AU102/AV102</f>
        <v>7.2879330943847069</v>
      </c>
      <c r="H102" s="768">
        <f t="shared" ref="H102" si="91">AX102</f>
        <v>4123921564.72015</v>
      </c>
      <c r="I102" s="769">
        <f t="shared" si="81"/>
        <v>-9.9879206355372174E-3</v>
      </c>
      <c r="J102" s="701">
        <f t="shared" ref="J102" si="92">AV102/AX102</f>
        <v>0.22398789699287383</v>
      </c>
      <c r="K102" s="758">
        <f t="shared" si="82"/>
        <v>66</v>
      </c>
      <c r="L102" s="760">
        <f t="shared" si="83"/>
        <v>12</v>
      </c>
      <c r="M102" s="760">
        <f t="shared" si="84"/>
        <v>34</v>
      </c>
      <c r="N102" s="760">
        <f t="shared" si="85"/>
        <v>68</v>
      </c>
      <c r="O102" s="760">
        <f t="shared" si="86"/>
        <v>12</v>
      </c>
      <c r="P102" s="760">
        <f t="shared" ref="P102" si="93">IFERROR(ABS(K$3-K102),"N/A")</f>
        <v>58</v>
      </c>
      <c r="Q102" s="759">
        <f t="shared" ref="Q102" si="94">IFERROR(ABS(L$3-L102),"N/A")</f>
        <v>21</v>
      </c>
      <c r="R102" s="758">
        <f t="shared" ref="R102" si="95">IFERROR(ABS(M$3-M102),"N/A")</f>
        <v>31</v>
      </c>
      <c r="S102" s="759">
        <f t="shared" ref="S102" si="96">IFERROR(ABS(N$3-N102),"N/A")</f>
        <v>8</v>
      </c>
      <c r="T102" s="758">
        <f t="shared" ref="T102" si="97">IFERROR(ABS(O$3-O102),"N/A")</f>
        <v>23</v>
      </c>
      <c r="U102" s="775">
        <f t="shared" ref="U102" si="98">SUM(P102:T102)</f>
        <v>141</v>
      </c>
      <c r="V102" s="758">
        <f t="shared" si="88"/>
        <v>31</v>
      </c>
      <c r="W102" s="760">
        <f t="shared" ref="W102" si="99">IF(Y102="Not suitable","-",V102)</f>
        <v>31</v>
      </c>
      <c r="Y102" s="758" t="str">
        <f t="shared" ref="Y102" si="100">IF(OR(Z102="Y",AA102="Y"),"Not suitable","")</f>
        <v/>
      </c>
      <c r="Z102" s="760" t="str">
        <f t="shared" ref="Z102" si="101">IF(OR(N102="N/A",O102="N/A"),"Y","")</f>
        <v/>
      </c>
      <c r="AA102" s="760"/>
      <c r="AB102" s="760"/>
      <c r="AS102" s="785">
        <v>258241091.23414999</v>
      </c>
      <c r="AT102" s="785">
        <v>2597861234.0392699</v>
      </c>
      <c r="AU102" s="785">
        <v>6731925882.5996304</v>
      </c>
      <c r="AV102" s="785">
        <v>923708518.64522803</v>
      </c>
      <c r="AW102" s="785">
        <v>17892576120.424198</v>
      </c>
      <c r="AX102" s="785">
        <v>4123921564.72015</v>
      </c>
      <c r="AY102" s="782">
        <v>1.5543341708542699</v>
      </c>
      <c r="AZ102" s="782">
        <v>1.5700153596631601</v>
      </c>
    </row>
    <row r="103" spans="1:52" ht="12.75" customHeight="1">
      <c r="A103" s="764"/>
      <c r="B103" s="764"/>
      <c r="C103" s="764"/>
      <c r="D103" s="764"/>
      <c r="E103" s="764"/>
      <c r="F103" s="764"/>
      <c r="G103" s="764"/>
      <c r="H103" s="764"/>
      <c r="I103" s="764"/>
      <c r="J103" s="764"/>
      <c r="K103" s="764"/>
      <c r="L103" s="764"/>
      <c r="M103" s="764"/>
      <c r="N103" s="764"/>
      <c r="O103" s="764"/>
      <c r="P103" s="764"/>
      <c r="Q103" s="764"/>
      <c r="R103" s="764"/>
      <c r="S103" s="764"/>
      <c r="T103" s="764"/>
      <c r="U103" s="764"/>
      <c r="V103" s="764"/>
      <c r="W103" s="764"/>
      <c r="X103" s="764"/>
      <c r="Y103" s="764"/>
      <c r="Z103" s="764"/>
      <c r="AA103" s="764"/>
      <c r="AB103" s="764"/>
      <c r="AC103" s="764"/>
      <c r="AS103" s="765"/>
      <c r="AT103" s="765"/>
      <c r="AU103" s="765"/>
      <c r="AV103" s="765"/>
      <c r="AW103" s="765"/>
      <c r="AX103" s="765"/>
      <c r="AY103" s="764"/>
      <c r="AZ103" s="764"/>
    </row>
    <row r="104" spans="1:52" ht="12.75" customHeight="1">
      <c r="A104" s="764"/>
      <c r="B104" s="764"/>
      <c r="C104" s="764"/>
      <c r="D104" s="764"/>
      <c r="E104" s="764"/>
      <c r="F104" s="764"/>
      <c r="G104" s="764"/>
      <c r="H104" s="764"/>
      <c r="I104" s="764"/>
      <c r="J104" s="764"/>
      <c r="K104" s="764"/>
      <c r="L104" s="764"/>
      <c r="M104" s="764"/>
      <c r="N104" s="764"/>
      <c r="O104" s="764"/>
      <c r="P104" s="764"/>
      <c r="Q104" s="764"/>
      <c r="R104" s="764"/>
      <c r="S104" s="764"/>
      <c r="T104" s="764"/>
      <c r="U104" s="764"/>
      <c r="V104" s="764"/>
      <c r="W104" s="764"/>
      <c r="X104" s="764"/>
      <c r="Y104" s="764"/>
      <c r="Z104" s="764"/>
      <c r="AA104" s="764"/>
      <c r="AB104" s="764"/>
      <c r="AC104" s="764"/>
      <c r="AS104" s="765"/>
      <c r="AT104" s="765"/>
      <c r="AU104" s="765"/>
      <c r="AV104" s="765"/>
      <c r="AW104" s="765"/>
      <c r="AX104" s="765"/>
      <c r="AY104" s="764"/>
      <c r="AZ104" s="764"/>
    </row>
    <row r="105" spans="1:52" ht="12.75" customHeight="1">
      <c r="A105" s="764"/>
      <c r="B105" s="764"/>
      <c r="C105" s="764"/>
      <c r="D105" s="764"/>
      <c r="E105" s="764"/>
      <c r="F105" s="764"/>
      <c r="G105" s="764"/>
      <c r="H105" s="764"/>
      <c r="I105" s="764"/>
      <c r="J105" s="764"/>
      <c r="K105" s="764"/>
      <c r="L105" s="764"/>
      <c r="M105" s="764"/>
      <c r="N105" s="764"/>
      <c r="O105" s="764"/>
      <c r="P105" s="764"/>
      <c r="Q105" s="764"/>
      <c r="R105" s="764"/>
      <c r="S105" s="764"/>
      <c r="T105" s="764"/>
      <c r="U105" s="764"/>
      <c r="V105" s="764"/>
      <c r="W105" s="764"/>
      <c r="X105" s="764"/>
      <c r="Y105" s="764"/>
      <c r="Z105" s="764"/>
      <c r="AA105" s="764"/>
      <c r="AB105" s="764"/>
      <c r="AC105" s="764"/>
      <c r="AS105" s="765"/>
      <c r="AT105" s="765"/>
      <c r="AU105" s="765"/>
      <c r="AV105" s="765"/>
      <c r="AW105" s="765"/>
      <c r="AX105" s="765"/>
      <c r="AY105" s="764"/>
      <c r="AZ105" s="764"/>
    </row>
    <row r="106" spans="1:52" ht="12.75" customHeight="1">
      <c r="A106" s="764"/>
      <c r="B106" s="764"/>
      <c r="C106" s="764"/>
      <c r="D106" s="764"/>
      <c r="E106" s="764"/>
      <c r="F106" s="764"/>
      <c r="G106" s="764"/>
      <c r="H106" s="764"/>
      <c r="I106" s="764"/>
      <c r="J106" s="764"/>
      <c r="K106" s="764"/>
      <c r="L106" s="764"/>
      <c r="M106" s="764"/>
      <c r="N106" s="764"/>
      <c r="O106" s="764"/>
      <c r="P106" s="764"/>
      <c r="Q106" s="764"/>
      <c r="R106" s="764"/>
      <c r="S106" s="764"/>
      <c r="T106" s="764"/>
      <c r="U106" s="764"/>
      <c r="V106" s="764"/>
      <c r="W106" s="764"/>
      <c r="X106" s="764"/>
      <c r="Y106" s="764"/>
      <c r="Z106" s="764"/>
      <c r="AA106" s="764"/>
      <c r="AB106" s="764"/>
      <c r="AC106" s="764"/>
      <c r="AS106" s="765"/>
      <c r="AT106" s="765"/>
      <c r="AU106" s="765"/>
      <c r="AV106" s="765"/>
      <c r="AW106" s="765"/>
      <c r="AX106" s="765"/>
      <c r="AY106" s="764"/>
      <c r="AZ106" s="764"/>
    </row>
    <row r="107" spans="1:52" ht="12.75" customHeight="1">
      <c r="A107" s="764"/>
      <c r="B107" s="764"/>
      <c r="C107" s="764"/>
      <c r="D107" s="764"/>
      <c r="E107" s="764"/>
      <c r="F107" s="764"/>
      <c r="G107" s="764"/>
      <c r="H107" s="764"/>
      <c r="I107" s="764"/>
      <c r="J107" s="764"/>
      <c r="K107" s="764"/>
      <c r="L107" s="764"/>
      <c r="M107" s="764"/>
      <c r="N107" s="764"/>
      <c r="O107" s="764"/>
      <c r="P107" s="764"/>
      <c r="Q107" s="764"/>
      <c r="R107" s="764"/>
      <c r="S107" s="764"/>
      <c r="T107" s="764"/>
      <c r="U107" s="764"/>
      <c r="V107" s="764"/>
      <c r="W107" s="764"/>
      <c r="X107" s="764"/>
      <c r="Y107" s="764"/>
      <c r="Z107" s="764"/>
      <c r="AA107" s="764"/>
      <c r="AB107" s="764"/>
      <c r="AC107" s="764"/>
      <c r="AS107" s="765"/>
      <c r="AT107" s="765"/>
      <c r="AU107" s="765"/>
      <c r="AV107" s="765"/>
      <c r="AW107" s="765"/>
      <c r="AX107" s="765"/>
      <c r="AY107" s="764"/>
      <c r="AZ107" s="764"/>
    </row>
    <row r="108" spans="1:52" ht="12.75" customHeight="1">
      <c r="A108" s="764"/>
      <c r="B108" s="764"/>
      <c r="C108" s="764"/>
      <c r="D108" s="764"/>
      <c r="E108" s="764"/>
      <c r="F108" s="764"/>
      <c r="G108" s="764"/>
      <c r="H108" s="764"/>
      <c r="I108" s="764"/>
      <c r="J108" s="764"/>
      <c r="K108" s="764"/>
      <c r="L108" s="764"/>
      <c r="M108" s="764"/>
      <c r="N108" s="764"/>
      <c r="O108" s="764"/>
      <c r="P108" s="764"/>
      <c r="Q108" s="764"/>
      <c r="R108" s="764"/>
      <c r="S108" s="764"/>
      <c r="T108" s="764"/>
      <c r="U108" s="764"/>
      <c r="V108" s="764"/>
      <c r="W108" s="764"/>
      <c r="X108" s="764"/>
      <c r="Y108" s="764"/>
      <c r="Z108" s="764"/>
      <c r="AA108" s="764"/>
      <c r="AB108" s="764"/>
      <c r="AC108" s="764"/>
      <c r="AS108" s="765"/>
      <c r="AT108" s="765"/>
      <c r="AU108" s="765"/>
      <c r="AV108" s="765"/>
      <c r="AW108" s="765"/>
      <c r="AX108" s="765"/>
      <c r="AY108" s="764"/>
      <c r="AZ108" s="764"/>
    </row>
    <row r="109" spans="1:52" ht="12.75" customHeight="1">
      <c r="A109" s="764"/>
      <c r="B109" s="764"/>
      <c r="C109" s="764"/>
      <c r="D109" s="764"/>
      <c r="E109" s="764"/>
      <c r="F109" s="764"/>
      <c r="G109" s="764"/>
      <c r="H109" s="764"/>
      <c r="I109" s="764"/>
      <c r="J109" s="764"/>
      <c r="K109" s="764"/>
      <c r="L109" s="764"/>
      <c r="M109" s="764"/>
      <c r="N109" s="764"/>
      <c r="O109" s="764"/>
      <c r="P109" s="764"/>
      <c r="Q109" s="764"/>
      <c r="R109" s="764"/>
      <c r="S109" s="764"/>
      <c r="T109" s="764"/>
      <c r="U109" s="764"/>
      <c r="V109" s="764"/>
      <c r="W109" s="764"/>
      <c r="X109" s="764"/>
      <c r="Y109" s="764"/>
      <c r="Z109" s="764"/>
      <c r="AA109" s="764"/>
      <c r="AB109" s="764"/>
      <c r="AC109" s="764"/>
      <c r="AS109" s="765"/>
      <c r="AT109" s="765"/>
      <c r="AU109" s="765"/>
      <c r="AV109" s="765"/>
      <c r="AW109" s="765"/>
      <c r="AX109" s="765"/>
      <c r="AY109" s="764"/>
      <c r="AZ109" s="764"/>
    </row>
    <row r="110" spans="1:52" ht="12.75" customHeight="1">
      <c r="A110" s="764"/>
      <c r="B110" s="764"/>
      <c r="C110" s="764"/>
      <c r="D110" s="764"/>
      <c r="E110" s="764"/>
      <c r="F110" s="764"/>
      <c r="G110" s="764"/>
      <c r="H110" s="764"/>
      <c r="I110" s="764"/>
      <c r="J110" s="764"/>
      <c r="K110" s="764"/>
      <c r="L110" s="764"/>
      <c r="M110" s="764"/>
      <c r="N110" s="764"/>
      <c r="O110" s="764"/>
      <c r="P110" s="764"/>
      <c r="Q110" s="764"/>
      <c r="R110" s="764"/>
      <c r="S110" s="764"/>
      <c r="T110" s="764"/>
      <c r="U110" s="764"/>
      <c r="V110" s="764"/>
      <c r="W110" s="764"/>
      <c r="X110" s="764"/>
      <c r="Y110" s="764"/>
      <c r="Z110" s="764"/>
      <c r="AA110" s="764"/>
      <c r="AB110" s="764"/>
      <c r="AC110" s="764"/>
      <c r="AS110" s="765"/>
      <c r="AT110" s="765"/>
      <c r="AU110" s="765"/>
      <c r="AV110" s="765"/>
      <c r="AW110" s="765"/>
      <c r="AX110" s="765"/>
      <c r="AY110" s="764"/>
      <c r="AZ110" s="764"/>
    </row>
    <row r="111" spans="1:52" ht="12.75" customHeight="1">
      <c r="A111" s="764"/>
      <c r="B111" s="764"/>
      <c r="C111" s="764"/>
      <c r="D111" s="764"/>
      <c r="E111" s="764"/>
      <c r="F111" s="764"/>
      <c r="G111" s="764"/>
      <c r="H111" s="764"/>
      <c r="I111" s="764"/>
      <c r="J111" s="764"/>
      <c r="K111" s="764"/>
      <c r="L111" s="764"/>
      <c r="M111" s="764"/>
      <c r="N111" s="764"/>
      <c r="O111" s="764"/>
      <c r="P111" s="764"/>
      <c r="Q111" s="764"/>
      <c r="R111" s="764"/>
      <c r="S111" s="764"/>
      <c r="T111" s="764"/>
      <c r="U111" s="764"/>
      <c r="V111" s="764"/>
      <c r="W111" s="764"/>
      <c r="X111" s="764"/>
      <c r="Y111" s="764"/>
      <c r="Z111" s="764"/>
      <c r="AA111" s="764"/>
      <c r="AB111" s="764"/>
      <c r="AC111" s="764"/>
      <c r="AS111" s="765"/>
      <c r="AT111" s="765"/>
      <c r="AU111" s="765"/>
      <c r="AV111" s="765"/>
      <c r="AW111" s="765"/>
      <c r="AX111" s="765"/>
      <c r="AY111" s="764"/>
      <c r="AZ111" s="764"/>
    </row>
    <row r="112" spans="1:52" ht="12.75" customHeight="1">
      <c r="A112" s="764"/>
      <c r="B112" s="764"/>
      <c r="C112" s="764"/>
      <c r="D112" s="764"/>
      <c r="E112" s="764"/>
      <c r="F112" s="764"/>
      <c r="G112" s="764"/>
      <c r="H112" s="764"/>
      <c r="I112" s="764"/>
      <c r="J112" s="764"/>
      <c r="K112" s="764"/>
      <c r="L112" s="764"/>
      <c r="M112" s="764"/>
      <c r="N112" s="764"/>
      <c r="O112" s="764"/>
      <c r="P112" s="764"/>
      <c r="Q112" s="764"/>
      <c r="R112" s="764"/>
      <c r="S112" s="764"/>
      <c r="T112" s="764"/>
      <c r="U112" s="764"/>
      <c r="V112" s="764"/>
      <c r="W112" s="764"/>
      <c r="X112" s="764"/>
      <c r="Y112" s="764"/>
      <c r="Z112" s="764"/>
      <c r="AA112" s="764"/>
      <c r="AB112" s="764"/>
      <c r="AC112" s="764"/>
      <c r="AS112" s="765"/>
      <c r="AT112" s="765"/>
      <c r="AU112" s="765"/>
      <c r="AV112" s="765"/>
      <c r="AW112" s="765"/>
      <c r="AX112" s="765"/>
      <c r="AY112" s="764"/>
      <c r="AZ112" s="764"/>
    </row>
    <row r="113" spans="1:52" ht="12.75" customHeight="1">
      <c r="A113" s="764"/>
      <c r="B113" s="764"/>
      <c r="C113" s="764"/>
      <c r="D113" s="764"/>
      <c r="E113" s="764"/>
      <c r="F113" s="764"/>
      <c r="G113" s="764"/>
      <c r="H113" s="764"/>
      <c r="I113" s="764"/>
      <c r="J113" s="764"/>
      <c r="K113" s="764"/>
      <c r="L113" s="764"/>
      <c r="M113" s="764"/>
      <c r="N113" s="764"/>
      <c r="O113" s="764"/>
      <c r="P113" s="764"/>
      <c r="Q113" s="764"/>
      <c r="R113" s="764"/>
      <c r="S113" s="764"/>
      <c r="T113" s="764"/>
      <c r="U113" s="764"/>
      <c r="V113" s="764"/>
      <c r="W113" s="764"/>
      <c r="X113" s="764"/>
      <c r="Y113" s="764"/>
      <c r="Z113" s="764"/>
      <c r="AA113" s="764"/>
      <c r="AB113" s="764"/>
      <c r="AC113" s="764"/>
      <c r="AS113" s="765"/>
      <c r="AT113" s="765"/>
      <c r="AU113" s="765"/>
      <c r="AV113" s="765"/>
      <c r="AW113" s="765"/>
      <c r="AX113" s="765"/>
      <c r="AY113" s="764"/>
      <c r="AZ113" s="764"/>
    </row>
    <row r="114" spans="1:52" ht="12.75" customHeight="1">
      <c r="A114" s="764"/>
      <c r="B114" s="764"/>
      <c r="C114" s="764"/>
      <c r="D114" s="764"/>
      <c r="E114" s="764"/>
      <c r="F114" s="764"/>
      <c r="G114" s="764"/>
      <c r="H114" s="764"/>
      <c r="I114" s="764"/>
      <c r="J114" s="764"/>
      <c r="K114" s="764"/>
      <c r="L114" s="764"/>
      <c r="M114" s="764"/>
      <c r="N114" s="764"/>
      <c r="O114" s="764"/>
      <c r="P114" s="764"/>
      <c r="Q114" s="764"/>
      <c r="R114" s="764"/>
      <c r="S114" s="764"/>
      <c r="T114" s="764"/>
      <c r="U114" s="764"/>
      <c r="V114" s="764"/>
      <c r="W114" s="764"/>
      <c r="X114" s="764"/>
      <c r="Y114" s="764"/>
      <c r="Z114" s="764"/>
      <c r="AA114" s="764"/>
      <c r="AB114" s="764"/>
      <c r="AC114" s="764"/>
      <c r="AS114" s="765"/>
      <c r="AT114" s="765"/>
      <c r="AU114" s="764"/>
      <c r="AV114" s="765"/>
      <c r="AW114" s="764"/>
      <c r="AX114" s="765"/>
      <c r="AY114" s="764"/>
      <c r="AZ114" s="764"/>
    </row>
    <row r="115" spans="1:52" ht="12.75" customHeight="1">
      <c r="A115" s="764"/>
      <c r="B115" s="764"/>
      <c r="C115" s="764"/>
      <c r="D115" s="764"/>
      <c r="E115" s="764"/>
      <c r="F115" s="764"/>
      <c r="G115" s="764"/>
      <c r="H115" s="764"/>
      <c r="I115" s="764"/>
      <c r="J115" s="764"/>
      <c r="K115" s="764"/>
      <c r="L115" s="764"/>
      <c r="M115" s="764"/>
      <c r="N115" s="764"/>
      <c r="O115" s="764"/>
      <c r="P115" s="764"/>
      <c r="Q115" s="764"/>
      <c r="R115" s="764"/>
      <c r="S115" s="764"/>
      <c r="T115" s="764"/>
      <c r="U115" s="764"/>
      <c r="V115" s="764"/>
      <c r="W115" s="764"/>
      <c r="X115" s="764"/>
      <c r="Y115" s="764"/>
      <c r="Z115" s="764"/>
      <c r="AA115" s="764"/>
      <c r="AB115" s="764"/>
      <c r="AC115" s="764"/>
      <c r="AS115" s="765"/>
      <c r="AT115" s="765"/>
      <c r="AU115" s="765"/>
      <c r="AV115" s="765"/>
      <c r="AW115" s="765"/>
      <c r="AX115" s="765"/>
      <c r="AY115" s="764"/>
      <c r="AZ115" s="764"/>
    </row>
    <row r="116" spans="1:52" ht="12.75" customHeight="1">
      <c r="A116" s="764"/>
      <c r="B116" s="764"/>
      <c r="C116" s="764"/>
      <c r="D116" s="764"/>
      <c r="E116" s="764"/>
      <c r="F116" s="764"/>
      <c r="G116" s="764"/>
      <c r="H116" s="764"/>
      <c r="I116" s="764"/>
      <c r="J116" s="764"/>
      <c r="K116" s="764"/>
      <c r="L116" s="764"/>
      <c r="M116" s="764"/>
      <c r="N116" s="764"/>
      <c r="O116" s="764"/>
      <c r="P116" s="764"/>
      <c r="Q116" s="764"/>
      <c r="R116" s="764"/>
      <c r="S116" s="764"/>
      <c r="T116" s="764"/>
      <c r="U116" s="764"/>
      <c r="V116" s="764"/>
      <c r="W116" s="764"/>
      <c r="X116" s="764"/>
      <c r="Y116" s="764"/>
      <c r="Z116" s="764"/>
      <c r="AA116" s="764"/>
      <c r="AB116" s="764"/>
      <c r="AC116" s="764"/>
      <c r="AS116" s="765"/>
      <c r="AT116" s="765"/>
      <c r="AU116" s="765"/>
      <c r="AV116" s="765"/>
      <c r="AW116" s="765"/>
      <c r="AX116" s="765"/>
      <c r="AY116" s="764"/>
      <c r="AZ116" s="764"/>
    </row>
    <row r="117" spans="1:52" ht="12.75" customHeight="1">
      <c r="A117" s="764"/>
      <c r="B117" s="764"/>
      <c r="C117" s="764"/>
      <c r="D117" s="764"/>
      <c r="E117" s="764"/>
      <c r="F117" s="764"/>
      <c r="G117" s="764"/>
      <c r="H117" s="764"/>
      <c r="I117" s="764"/>
      <c r="J117" s="764"/>
      <c r="K117" s="764"/>
      <c r="L117" s="764"/>
      <c r="M117" s="764"/>
      <c r="N117" s="764"/>
      <c r="O117" s="764"/>
      <c r="P117" s="764"/>
      <c r="Q117" s="764"/>
      <c r="R117" s="764"/>
      <c r="S117" s="764"/>
      <c r="T117" s="764"/>
      <c r="U117" s="764"/>
      <c r="V117" s="764"/>
      <c r="W117" s="764"/>
      <c r="X117" s="764"/>
      <c r="Y117" s="764"/>
      <c r="Z117" s="764"/>
      <c r="AA117" s="764"/>
      <c r="AB117" s="764"/>
      <c r="AC117" s="764"/>
      <c r="AS117" s="765"/>
      <c r="AT117" s="765"/>
      <c r="AU117" s="765"/>
      <c r="AV117" s="765"/>
      <c r="AW117" s="765"/>
      <c r="AX117" s="765"/>
      <c r="AY117" s="764"/>
      <c r="AZ117" s="764"/>
    </row>
    <row r="118" spans="1:52" ht="12.75" customHeight="1">
      <c r="A118" s="764"/>
      <c r="B118" s="764"/>
      <c r="C118" s="764"/>
      <c r="D118" s="764"/>
      <c r="E118" s="764"/>
      <c r="F118" s="764"/>
      <c r="G118" s="764"/>
      <c r="H118" s="764"/>
      <c r="I118" s="764"/>
      <c r="J118" s="764"/>
      <c r="K118" s="764"/>
      <c r="L118" s="764"/>
      <c r="M118" s="764"/>
      <c r="N118" s="764"/>
      <c r="O118" s="764"/>
      <c r="P118" s="764"/>
      <c r="Q118" s="764"/>
      <c r="R118" s="764"/>
      <c r="S118" s="764"/>
      <c r="T118" s="764"/>
      <c r="U118" s="764"/>
      <c r="V118" s="764"/>
      <c r="W118" s="764"/>
      <c r="X118" s="764"/>
      <c r="Y118" s="764"/>
      <c r="Z118" s="764"/>
      <c r="AA118" s="764"/>
      <c r="AB118" s="764"/>
      <c r="AC118" s="764"/>
      <c r="AS118" s="764"/>
      <c r="AT118" s="764"/>
      <c r="AU118" s="764"/>
      <c r="AV118" s="764"/>
      <c r="AW118" s="765"/>
      <c r="AX118" s="765"/>
      <c r="AY118" s="764"/>
      <c r="AZ118" s="764"/>
    </row>
    <row r="119" spans="1:52" ht="12.75" customHeight="1">
      <c r="A119" s="764"/>
      <c r="B119" s="764"/>
      <c r="C119" s="764"/>
      <c r="D119" s="764"/>
      <c r="E119" s="764"/>
      <c r="F119" s="764"/>
      <c r="G119" s="764"/>
      <c r="H119" s="764"/>
      <c r="I119" s="764"/>
      <c r="J119" s="764"/>
      <c r="K119" s="764"/>
      <c r="L119" s="764"/>
      <c r="M119" s="764"/>
      <c r="N119" s="764"/>
      <c r="O119" s="764"/>
      <c r="P119" s="764"/>
      <c r="Q119" s="764"/>
      <c r="R119" s="764"/>
      <c r="S119" s="764"/>
      <c r="T119" s="764"/>
      <c r="U119" s="764"/>
      <c r="V119" s="764"/>
      <c r="W119" s="764"/>
      <c r="X119" s="764"/>
      <c r="Y119" s="764"/>
      <c r="Z119" s="764"/>
      <c r="AA119" s="764"/>
      <c r="AB119" s="764"/>
      <c r="AC119" s="764"/>
      <c r="AS119" s="765"/>
      <c r="AT119" s="765"/>
      <c r="AU119" s="765"/>
      <c r="AV119" s="765"/>
      <c r="AW119" s="765"/>
      <c r="AX119" s="765"/>
      <c r="AY119" s="764"/>
      <c r="AZ119" s="764"/>
    </row>
    <row r="120" spans="1:52" ht="12.75" customHeight="1">
      <c r="A120" s="764"/>
      <c r="B120" s="764"/>
      <c r="C120" s="764"/>
      <c r="D120" s="764"/>
      <c r="E120" s="764"/>
      <c r="F120" s="764"/>
      <c r="G120" s="764"/>
      <c r="H120" s="764"/>
      <c r="I120" s="764"/>
      <c r="J120" s="764"/>
      <c r="K120" s="764"/>
      <c r="L120" s="764"/>
      <c r="M120" s="764"/>
      <c r="N120" s="764"/>
      <c r="O120" s="764"/>
      <c r="P120" s="764"/>
      <c r="Q120" s="764"/>
      <c r="R120" s="764"/>
      <c r="S120" s="764"/>
      <c r="T120" s="764"/>
      <c r="U120" s="764"/>
      <c r="V120" s="764"/>
      <c r="W120" s="764"/>
      <c r="X120" s="764"/>
      <c r="Y120" s="764"/>
      <c r="Z120" s="764"/>
      <c r="AA120" s="764"/>
      <c r="AB120" s="764"/>
      <c r="AC120" s="764"/>
      <c r="AS120" s="765"/>
      <c r="AT120" s="765"/>
      <c r="AU120" s="765"/>
      <c r="AV120" s="765"/>
      <c r="AW120" s="765"/>
      <c r="AX120" s="765"/>
      <c r="AY120" s="764"/>
      <c r="AZ120" s="764"/>
    </row>
    <row r="121" spans="1:52" ht="12.75" customHeight="1">
      <c r="A121" s="764"/>
      <c r="B121" s="764"/>
      <c r="C121" s="764"/>
      <c r="D121" s="764"/>
      <c r="E121" s="764"/>
      <c r="F121" s="764"/>
      <c r="G121" s="764"/>
      <c r="H121" s="764"/>
      <c r="I121" s="764"/>
      <c r="J121" s="764"/>
      <c r="K121" s="764"/>
      <c r="L121" s="764"/>
      <c r="M121" s="764"/>
      <c r="N121" s="764"/>
      <c r="O121" s="764"/>
      <c r="P121" s="764"/>
      <c r="Q121" s="764"/>
      <c r="R121" s="764"/>
      <c r="S121" s="764"/>
      <c r="T121" s="764"/>
      <c r="U121" s="764"/>
      <c r="V121" s="764"/>
      <c r="W121" s="764"/>
      <c r="X121" s="764"/>
      <c r="Y121" s="764"/>
      <c r="Z121" s="764"/>
      <c r="AA121" s="764"/>
      <c r="AB121" s="764"/>
      <c r="AC121" s="764"/>
      <c r="AS121" s="765"/>
      <c r="AT121" s="765"/>
      <c r="AU121" s="765"/>
      <c r="AV121" s="765"/>
      <c r="AW121" s="765"/>
      <c r="AX121" s="765"/>
      <c r="AY121" s="764"/>
      <c r="AZ121" s="764"/>
    </row>
    <row r="122" spans="1:52" ht="12.75" customHeight="1">
      <c r="A122" s="764"/>
      <c r="B122" s="764"/>
      <c r="C122" s="764"/>
      <c r="D122" s="764"/>
      <c r="E122" s="764"/>
      <c r="F122" s="764"/>
      <c r="G122" s="764"/>
      <c r="H122" s="764"/>
      <c r="I122" s="764"/>
      <c r="J122" s="764"/>
      <c r="K122" s="764"/>
      <c r="L122" s="764"/>
      <c r="M122" s="764"/>
      <c r="N122" s="764"/>
      <c r="O122" s="764"/>
      <c r="P122" s="764"/>
      <c r="Q122" s="764"/>
      <c r="R122" s="764"/>
      <c r="S122" s="764"/>
      <c r="T122" s="764"/>
      <c r="U122" s="764"/>
      <c r="V122" s="764"/>
      <c r="W122" s="764"/>
      <c r="X122" s="764"/>
      <c r="Y122" s="764"/>
      <c r="Z122" s="764"/>
      <c r="AA122" s="764"/>
      <c r="AB122" s="764"/>
      <c r="AC122" s="764"/>
      <c r="AS122" s="765"/>
      <c r="AT122" s="765"/>
      <c r="AU122" s="765"/>
      <c r="AV122" s="765"/>
      <c r="AW122" s="765"/>
      <c r="AX122" s="765"/>
      <c r="AY122" s="764"/>
      <c r="AZ122" s="764"/>
    </row>
    <row r="123" spans="1:52" ht="12.75" customHeight="1">
      <c r="A123" s="764"/>
      <c r="B123" s="764"/>
      <c r="C123" s="764"/>
      <c r="D123" s="764"/>
      <c r="E123" s="764"/>
      <c r="F123" s="764"/>
      <c r="G123" s="764"/>
      <c r="H123" s="764"/>
      <c r="I123" s="764"/>
      <c r="J123" s="764"/>
      <c r="K123" s="764"/>
      <c r="L123" s="764"/>
      <c r="M123" s="764"/>
      <c r="N123" s="764"/>
      <c r="O123" s="764"/>
      <c r="P123" s="764"/>
      <c r="Q123" s="764"/>
      <c r="R123" s="764"/>
      <c r="S123" s="764"/>
      <c r="T123" s="764"/>
      <c r="U123" s="764"/>
      <c r="V123" s="764"/>
      <c r="W123" s="764"/>
      <c r="X123" s="764"/>
      <c r="Y123" s="764"/>
      <c r="Z123" s="764"/>
      <c r="AA123" s="764"/>
      <c r="AB123" s="764"/>
      <c r="AC123" s="764"/>
      <c r="AS123" s="765"/>
      <c r="AT123" s="765"/>
      <c r="AU123" s="765"/>
      <c r="AV123" s="765"/>
      <c r="AW123" s="765"/>
      <c r="AX123" s="765"/>
      <c r="AY123" s="764"/>
      <c r="AZ123" s="764"/>
    </row>
    <row r="124" spans="1:52" ht="12.75" customHeight="1">
      <c r="A124" s="764"/>
      <c r="B124" s="764"/>
      <c r="C124" s="764"/>
      <c r="D124" s="764"/>
      <c r="E124" s="764"/>
      <c r="F124" s="764"/>
      <c r="G124" s="764"/>
      <c r="H124" s="764"/>
      <c r="I124" s="764"/>
      <c r="J124" s="764"/>
      <c r="K124" s="764"/>
      <c r="L124" s="764"/>
      <c r="M124" s="764"/>
      <c r="N124" s="764"/>
      <c r="O124" s="764"/>
      <c r="P124" s="764"/>
      <c r="Q124" s="764"/>
      <c r="R124" s="764"/>
      <c r="S124" s="764"/>
      <c r="T124" s="764"/>
      <c r="U124" s="764"/>
      <c r="V124" s="764"/>
      <c r="W124" s="764"/>
      <c r="X124" s="764"/>
      <c r="Y124" s="764"/>
      <c r="Z124" s="764"/>
      <c r="AA124" s="764"/>
      <c r="AB124" s="764"/>
      <c r="AC124" s="764"/>
      <c r="AS124" s="765"/>
      <c r="AT124" s="765"/>
      <c r="AU124" s="765"/>
      <c r="AV124" s="765"/>
      <c r="AW124" s="765"/>
      <c r="AX124" s="765"/>
      <c r="AY124" s="764"/>
      <c r="AZ124" s="764"/>
    </row>
    <row r="125" spans="1:52" ht="12.75" customHeight="1">
      <c r="A125" s="764"/>
      <c r="B125" s="764"/>
      <c r="C125" s="764"/>
      <c r="D125" s="764"/>
      <c r="E125" s="764"/>
      <c r="F125" s="764"/>
      <c r="G125" s="764"/>
      <c r="H125" s="764"/>
      <c r="I125" s="764"/>
      <c r="J125" s="764"/>
      <c r="K125" s="764"/>
      <c r="L125" s="764"/>
      <c r="M125" s="764"/>
      <c r="N125" s="764"/>
      <c r="O125" s="764"/>
      <c r="P125" s="764"/>
      <c r="Q125" s="764"/>
      <c r="R125" s="764"/>
      <c r="S125" s="764"/>
      <c r="T125" s="764"/>
      <c r="U125" s="764"/>
      <c r="V125" s="764"/>
      <c r="W125" s="764"/>
      <c r="X125" s="764"/>
      <c r="Y125" s="764"/>
      <c r="Z125" s="764"/>
      <c r="AA125" s="764"/>
      <c r="AB125" s="764"/>
      <c r="AC125" s="764"/>
      <c r="AS125" s="764"/>
      <c r="AT125" s="764"/>
      <c r="AU125" s="764"/>
      <c r="AV125" s="764"/>
      <c r="AW125" s="764"/>
      <c r="AX125" s="765"/>
      <c r="AY125" s="764"/>
      <c r="AZ125" s="764"/>
    </row>
    <row r="126" spans="1:52" ht="12.75" customHeight="1">
      <c r="A126" s="764"/>
      <c r="B126" s="764"/>
      <c r="C126" s="764"/>
      <c r="D126" s="764"/>
      <c r="E126" s="764"/>
      <c r="F126" s="764"/>
      <c r="G126" s="764"/>
      <c r="H126" s="764"/>
      <c r="I126" s="764"/>
      <c r="J126" s="764"/>
      <c r="K126" s="764"/>
      <c r="L126" s="764"/>
      <c r="M126" s="764"/>
      <c r="N126" s="764"/>
      <c r="O126" s="764"/>
      <c r="P126" s="764"/>
      <c r="Q126" s="764"/>
      <c r="R126" s="764"/>
      <c r="S126" s="764"/>
      <c r="T126" s="764"/>
      <c r="U126" s="764"/>
      <c r="V126" s="764"/>
      <c r="W126" s="764"/>
      <c r="X126" s="764"/>
      <c r="Y126" s="764"/>
      <c r="Z126" s="764"/>
      <c r="AA126" s="764"/>
      <c r="AB126" s="764"/>
      <c r="AC126" s="764"/>
      <c r="AS126" s="765"/>
      <c r="AT126" s="765"/>
      <c r="AU126" s="765"/>
      <c r="AV126" s="765"/>
      <c r="AW126" s="765"/>
      <c r="AX126" s="765"/>
      <c r="AY126" s="764"/>
      <c r="AZ126" s="764"/>
    </row>
    <row r="127" spans="1:52" ht="12.75" customHeight="1">
      <c r="A127" s="764"/>
      <c r="B127" s="764"/>
      <c r="C127" s="764"/>
      <c r="D127" s="764"/>
      <c r="E127" s="764"/>
      <c r="F127" s="764"/>
      <c r="G127" s="764"/>
      <c r="H127" s="764"/>
      <c r="I127" s="764"/>
      <c r="J127" s="764"/>
      <c r="K127" s="764"/>
      <c r="L127" s="764"/>
      <c r="M127" s="764"/>
      <c r="N127" s="764"/>
      <c r="O127" s="764"/>
      <c r="P127" s="764"/>
      <c r="Q127" s="764"/>
      <c r="R127" s="764"/>
      <c r="S127" s="764"/>
      <c r="T127" s="764"/>
      <c r="U127" s="764"/>
      <c r="V127" s="764"/>
      <c r="W127" s="764"/>
      <c r="X127" s="764"/>
      <c r="Y127" s="764"/>
      <c r="Z127" s="764"/>
      <c r="AA127" s="764"/>
      <c r="AB127" s="764"/>
      <c r="AC127" s="764"/>
      <c r="AS127" s="765"/>
      <c r="AT127" s="765"/>
      <c r="AU127" s="765"/>
      <c r="AV127" s="765"/>
      <c r="AW127" s="765"/>
      <c r="AX127" s="765"/>
      <c r="AY127" s="764"/>
      <c r="AZ127" s="764"/>
    </row>
    <row r="128" spans="1:52" ht="12.75" customHeight="1">
      <c r="A128" s="764"/>
      <c r="B128" s="764"/>
      <c r="C128" s="764"/>
      <c r="D128" s="764"/>
      <c r="E128" s="764"/>
      <c r="F128" s="764"/>
      <c r="G128" s="764"/>
      <c r="H128" s="764"/>
      <c r="I128" s="764"/>
      <c r="J128" s="764"/>
      <c r="K128" s="764"/>
      <c r="L128" s="764"/>
      <c r="M128" s="764"/>
      <c r="N128" s="764"/>
      <c r="O128" s="764"/>
      <c r="P128" s="764"/>
      <c r="Q128" s="764"/>
      <c r="R128" s="764"/>
      <c r="S128" s="764"/>
      <c r="T128" s="764"/>
      <c r="U128" s="764"/>
      <c r="V128" s="764"/>
      <c r="W128" s="764"/>
      <c r="X128" s="764"/>
      <c r="Y128" s="764"/>
      <c r="Z128" s="764"/>
      <c r="AA128" s="764"/>
      <c r="AB128" s="764"/>
      <c r="AC128" s="764"/>
      <c r="AS128" s="765"/>
      <c r="AT128" s="765"/>
      <c r="AU128" s="765"/>
      <c r="AV128" s="765"/>
      <c r="AW128" s="765"/>
      <c r="AX128" s="765"/>
      <c r="AY128" s="764"/>
      <c r="AZ128" s="764"/>
    </row>
    <row r="129" spans="1:52" ht="12.75" customHeight="1">
      <c r="A129" s="764"/>
      <c r="B129" s="764"/>
      <c r="C129" s="764"/>
      <c r="D129" s="764"/>
      <c r="E129" s="764"/>
      <c r="F129" s="764"/>
      <c r="G129" s="764"/>
      <c r="H129" s="764"/>
      <c r="I129" s="764"/>
      <c r="J129" s="764"/>
      <c r="K129" s="764"/>
      <c r="L129" s="764"/>
      <c r="M129" s="764"/>
      <c r="N129" s="764"/>
      <c r="O129" s="764"/>
      <c r="P129" s="764"/>
      <c r="Q129" s="764"/>
      <c r="R129" s="764"/>
      <c r="S129" s="764"/>
      <c r="T129" s="764"/>
      <c r="U129" s="764"/>
      <c r="V129" s="764"/>
      <c r="W129" s="764"/>
      <c r="X129" s="764"/>
      <c r="Y129" s="764"/>
      <c r="Z129" s="764"/>
      <c r="AA129" s="764"/>
      <c r="AB129" s="764"/>
      <c r="AC129" s="764"/>
      <c r="AS129" s="765"/>
      <c r="AT129" s="765"/>
      <c r="AU129" s="764"/>
      <c r="AV129" s="765"/>
      <c r="AW129" s="765"/>
      <c r="AX129" s="764"/>
      <c r="AY129" s="764"/>
      <c r="AZ129" s="764"/>
    </row>
    <row r="130" spans="1:52" ht="12.75" customHeight="1">
      <c r="A130" s="764"/>
      <c r="B130" s="764"/>
      <c r="C130" s="764"/>
      <c r="D130" s="764"/>
      <c r="E130" s="764"/>
      <c r="F130" s="764"/>
      <c r="G130" s="764"/>
      <c r="H130" s="764"/>
      <c r="I130" s="764"/>
      <c r="J130" s="764"/>
      <c r="K130" s="764"/>
      <c r="L130" s="764"/>
      <c r="M130" s="764"/>
      <c r="N130" s="764"/>
      <c r="O130" s="764"/>
      <c r="P130" s="764"/>
      <c r="Q130" s="764"/>
      <c r="R130" s="764"/>
      <c r="S130" s="764"/>
      <c r="T130" s="764"/>
      <c r="U130" s="764"/>
      <c r="V130" s="764"/>
      <c r="W130" s="764"/>
      <c r="X130" s="764"/>
      <c r="Y130" s="764"/>
      <c r="Z130" s="764"/>
      <c r="AA130" s="764"/>
      <c r="AB130" s="764"/>
      <c r="AC130" s="764"/>
      <c r="AS130" s="765"/>
      <c r="AT130" s="765"/>
      <c r="AU130" s="764"/>
      <c r="AV130" s="765"/>
      <c r="AW130" s="765"/>
      <c r="AX130" s="765"/>
      <c r="AY130" s="764"/>
      <c r="AZ130" s="764"/>
    </row>
    <row r="131" spans="1:52" ht="12.75" customHeight="1">
      <c r="A131" s="764"/>
      <c r="B131" s="764"/>
      <c r="C131" s="764"/>
      <c r="D131" s="764"/>
      <c r="E131" s="764"/>
      <c r="F131" s="764"/>
      <c r="G131" s="764"/>
      <c r="H131" s="764"/>
      <c r="I131" s="764"/>
      <c r="J131" s="764"/>
      <c r="K131" s="764"/>
      <c r="L131" s="764"/>
      <c r="M131" s="764"/>
      <c r="N131" s="764"/>
      <c r="O131" s="764"/>
      <c r="P131" s="764"/>
      <c r="Q131" s="764"/>
      <c r="R131" s="764"/>
      <c r="S131" s="764"/>
      <c r="T131" s="764"/>
      <c r="U131" s="764"/>
      <c r="V131" s="764"/>
      <c r="W131" s="764"/>
      <c r="X131" s="764"/>
      <c r="Y131" s="764"/>
      <c r="Z131" s="764"/>
      <c r="AA131" s="764"/>
      <c r="AB131" s="764"/>
      <c r="AC131" s="764"/>
      <c r="AS131" s="765"/>
      <c r="AT131" s="765"/>
      <c r="AU131" s="765"/>
      <c r="AV131" s="765"/>
      <c r="AW131" s="765"/>
      <c r="AX131" s="765"/>
      <c r="AY131" s="764"/>
      <c r="AZ131" s="764"/>
    </row>
    <row r="132" spans="1:52" ht="12.75" customHeight="1">
      <c r="A132" s="764"/>
      <c r="B132" s="764"/>
      <c r="C132" s="764"/>
      <c r="D132" s="764"/>
      <c r="E132" s="764"/>
      <c r="F132" s="764"/>
      <c r="G132" s="764"/>
      <c r="H132" s="764"/>
      <c r="I132" s="764"/>
      <c r="J132" s="764"/>
      <c r="K132" s="764"/>
      <c r="L132" s="764"/>
      <c r="M132" s="764"/>
      <c r="N132" s="764"/>
      <c r="O132" s="764"/>
      <c r="P132" s="764"/>
      <c r="Q132" s="764"/>
      <c r="R132" s="764"/>
      <c r="S132" s="764"/>
      <c r="T132" s="764"/>
      <c r="U132" s="764"/>
      <c r="V132" s="764"/>
      <c r="W132" s="764"/>
      <c r="X132" s="764"/>
      <c r="Y132" s="764"/>
      <c r="Z132" s="764"/>
      <c r="AA132" s="764"/>
      <c r="AB132" s="764"/>
      <c r="AC132" s="764"/>
      <c r="AS132" s="765"/>
      <c r="AT132" s="765"/>
      <c r="AU132" s="764"/>
      <c r="AV132" s="765"/>
      <c r="AW132" s="765"/>
      <c r="AX132" s="764"/>
      <c r="AY132" s="764"/>
      <c r="AZ132" s="764"/>
    </row>
    <row r="133" spans="1:52" ht="12.75" customHeight="1">
      <c r="A133" s="764"/>
      <c r="B133" s="764"/>
      <c r="C133" s="764"/>
      <c r="D133" s="764"/>
      <c r="E133" s="764"/>
      <c r="F133" s="764"/>
      <c r="G133" s="764"/>
      <c r="H133" s="764"/>
      <c r="I133" s="764"/>
      <c r="J133" s="764"/>
      <c r="K133" s="764"/>
      <c r="L133" s="764"/>
      <c r="M133" s="764"/>
      <c r="N133" s="764"/>
      <c r="O133" s="764"/>
      <c r="P133" s="764"/>
      <c r="Q133" s="764"/>
      <c r="R133" s="764"/>
      <c r="S133" s="764"/>
      <c r="T133" s="764"/>
      <c r="U133" s="764"/>
      <c r="V133" s="764"/>
      <c r="W133" s="764"/>
      <c r="X133" s="764"/>
      <c r="Y133" s="764"/>
      <c r="Z133" s="764"/>
      <c r="AA133" s="764"/>
      <c r="AB133" s="764"/>
      <c r="AC133" s="764"/>
      <c r="AS133" s="765"/>
      <c r="AT133" s="765"/>
      <c r="AU133" s="765"/>
      <c r="AV133" s="765"/>
      <c r="AW133" s="765"/>
      <c r="AX133" s="765"/>
      <c r="AY133" s="764"/>
      <c r="AZ133" s="764"/>
    </row>
    <row r="134" spans="1:52" ht="12.75" customHeight="1">
      <c r="A134" s="764"/>
      <c r="B134" s="764"/>
      <c r="C134" s="764"/>
      <c r="D134" s="764"/>
      <c r="E134" s="764"/>
      <c r="F134" s="764"/>
      <c r="G134" s="764"/>
      <c r="H134" s="764"/>
      <c r="I134" s="764"/>
      <c r="J134" s="764"/>
      <c r="K134" s="764"/>
      <c r="L134" s="764"/>
      <c r="M134" s="764"/>
      <c r="N134" s="764"/>
      <c r="O134" s="764"/>
      <c r="P134" s="764"/>
      <c r="Q134" s="764"/>
      <c r="R134" s="764"/>
      <c r="S134" s="764"/>
      <c r="T134" s="764"/>
      <c r="U134" s="764"/>
      <c r="V134" s="764"/>
      <c r="W134" s="764"/>
      <c r="X134" s="764"/>
      <c r="Y134" s="764"/>
      <c r="Z134" s="764"/>
      <c r="AA134" s="764"/>
      <c r="AB134" s="764"/>
      <c r="AC134" s="764"/>
      <c r="AS134" s="764"/>
      <c r="AT134" s="764"/>
      <c r="AU134" s="764"/>
      <c r="AV134" s="764"/>
      <c r="AW134" s="764"/>
      <c r="AX134" s="765"/>
      <c r="AY134" s="764"/>
      <c r="AZ134" s="764"/>
    </row>
    <row r="135" spans="1:52" ht="12.75" customHeight="1">
      <c r="A135" s="764"/>
      <c r="B135" s="764"/>
      <c r="C135" s="764"/>
      <c r="D135" s="764"/>
      <c r="E135" s="764"/>
      <c r="F135" s="764"/>
      <c r="G135" s="764"/>
      <c r="H135" s="764"/>
      <c r="I135" s="764"/>
      <c r="J135" s="764"/>
      <c r="K135" s="764"/>
      <c r="L135" s="764"/>
      <c r="M135" s="764"/>
      <c r="N135" s="764"/>
      <c r="O135" s="764"/>
      <c r="P135" s="764"/>
      <c r="Q135" s="764"/>
      <c r="R135" s="764"/>
      <c r="S135" s="764"/>
      <c r="T135" s="764"/>
      <c r="U135" s="764"/>
      <c r="V135" s="764"/>
      <c r="W135" s="764"/>
      <c r="X135" s="764"/>
      <c r="Y135" s="764"/>
      <c r="Z135" s="764"/>
      <c r="AA135" s="764"/>
      <c r="AB135" s="764"/>
      <c r="AC135" s="764"/>
      <c r="AS135" s="765"/>
      <c r="AT135" s="765"/>
      <c r="AU135" s="765"/>
      <c r="AV135" s="765"/>
      <c r="AW135" s="765"/>
      <c r="AX135" s="765"/>
      <c r="AY135" s="764"/>
      <c r="AZ135" s="764"/>
    </row>
    <row r="136" spans="1:52" ht="12.75" customHeight="1">
      <c r="A136" s="764"/>
      <c r="B136" s="764"/>
      <c r="C136" s="764"/>
      <c r="D136" s="764"/>
      <c r="E136" s="764"/>
      <c r="F136" s="764"/>
      <c r="G136" s="764"/>
      <c r="H136" s="764"/>
      <c r="I136" s="764"/>
      <c r="J136" s="764"/>
      <c r="K136" s="764"/>
      <c r="L136" s="764"/>
      <c r="M136" s="764"/>
      <c r="N136" s="764"/>
      <c r="O136" s="764"/>
      <c r="P136" s="764"/>
      <c r="Q136" s="764"/>
      <c r="R136" s="764"/>
      <c r="S136" s="764"/>
      <c r="T136" s="764"/>
      <c r="U136" s="764"/>
      <c r="V136" s="764"/>
      <c r="W136" s="764"/>
      <c r="X136" s="764"/>
      <c r="Y136" s="764"/>
      <c r="Z136" s="764"/>
      <c r="AA136" s="764"/>
      <c r="AB136" s="764"/>
      <c r="AC136" s="764"/>
      <c r="AS136" s="765"/>
      <c r="AT136" s="765"/>
      <c r="AU136" s="765"/>
      <c r="AV136" s="765"/>
      <c r="AW136" s="765"/>
      <c r="AX136" s="765"/>
      <c r="AY136" s="764"/>
      <c r="AZ136" s="764"/>
    </row>
    <row r="137" spans="1:52" ht="12.75" customHeight="1">
      <c r="A137" s="764"/>
      <c r="B137" s="764"/>
      <c r="C137" s="764"/>
      <c r="D137" s="764"/>
      <c r="E137" s="764"/>
      <c r="F137" s="764"/>
      <c r="G137" s="764"/>
      <c r="H137" s="764"/>
      <c r="I137" s="764"/>
      <c r="J137" s="764"/>
      <c r="K137" s="764"/>
      <c r="L137" s="764"/>
      <c r="M137" s="764"/>
      <c r="N137" s="764"/>
      <c r="O137" s="764"/>
      <c r="P137" s="764"/>
      <c r="Q137" s="764"/>
      <c r="R137" s="764"/>
      <c r="S137" s="764"/>
      <c r="T137" s="764"/>
      <c r="U137" s="764"/>
      <c r="V137" s="764"/>
      <c r="W137" s="764"/>
      <c r="X137" s="764"/>
      <c r="Y137" s="764"/>
      <c r="Z137" s="764"/>
      <c r="AA137" s="764"/>
      <c r="AB137" s="764"/>
      <c r="AC137" s="764"/>
      <c r="AS137" s="765"/>
      <c r="AT137" s="765"/>
      <c r="AU137" s="765"/>
      <c r="AV137" s="765"/>
      <c r="AW137" s="765"/>
      <c r="AX137" s="764"/>
      <c r="AY137" s="764"/>
      <c r="AZ137" s="764"/>
    </row>
    <row r="138" spans="1:52" ht="12.75" customHeight="1">
      <c r="A138" s="764"/>
      <c r="B138" s="764"/>
      <c r="C138" s="764"/>
      <c r="D138" s="764"/>
      <c r="E138" s="764"/>
      <c r="F138" s="764"/>
      <c r="G138" s="764"/>
      <c r="H138" s="764"/>
      <c r="I138" s="764"/>
      <c r="J138" s="764"/>
      <c r="K138" s="764"/>
      <c r="L138" s="764"/>
      <c r="M138" s="764"/>
      <c r="N138" s="764"/>
      <c r="O138" s="764"/>
      <c r="P138" s="764"/>
      <c r="Q138" s="764"/>
      <c r="R138" s="764"/>
      <c r="S138" s="764"/>
      <c r="T138" s="764"/>
      <c r="U138" s="764"/>
      <c r="V138" s="764"/>
      <c r="W138" s="764"/>
      <c r="X138" s="764"/>
      <c r="Y138" s="764"/>
      <c r="Z138" s="764"/>
      <c r="AA138" s="764"/>
      <c r="AB138" s="764"/>
      <c r="AC138" s="764"/>
      <c r="AS138" s="765"/>
      <c r="AT138" s="765"/>
      <c r="AU138" s="764"/>
      <c r="AV138" s="765"/>
      <c r="AW138" s="765"/>
      <c r="AX138" s="765"/>
      <c r="AY138" s="764"/>
      <c r="AZ138" s="764"/>
    </row>
    <row r="139" spans="1:52" ht="12.75" customHeight="1">
      <c r="A139" s="764"/>
      <c r="B139" s="764"/>
      <c r="C139" s="764"/>
      <c r="D139" s="764"/>
      <c r="E139" s="764"/>
      <c r="F139" s="764"/>
      <c r="G139" s="764"/>
      <c r="H139" s="764"/>
      <c r="I139" s="764"/>
      <c r="J139" s="764"/>
      <c r="K139" s="764"/>
      <c r="L139" s="764"/>
      <c r="M139" s="764"/>
      <c r="N139" s="764"/>
      <c r="O139" s="764"/>
      <c r="P139" s="764"/>
      <c r="Q139" s="764"/>
      <c r="R139" s="764"/>
      <c r="S139" s="764"/>
      <c r="T139" s="764"/>
      <c r="U139" s="764"/>
      <c r="V139" s="764"/>
      <c r="W139" s="764"/>
      <c r="X139" s="764"/>
      <c r="Y139" s="764"/>
      <c r="Z139" s="764"/>
      <c r="AA139" s="764"/>
      <c r="AB139" s="764"/>
      <c r="AC139" s="764"/>
      <c r="AS139" s="765"/>
      <c r="AT139" s="765"/>
      <c r="AU139" s="765"/>
      <c r="AV139" s="765"/>
      <c r="AW139" s="765"/>
      <c r="AX139" s="765"/>
      <c r="AY139" s="764"/>
      <c r="AZ139" s="764"/>
    </row>
    <row r="140" spans="1:52" ht="12.75" customHeight="1">
      <c r="A140" s="764"/>
      <c r="B140" s="764"/>
      <c r="C140" s="764"/>
      <c r="D140" s="764"/>
      <c r="E140" s="764"/>
      <c r="F140" s="764"/>
      <c r="G140" s="764"/>
      <c r="H140" s="764"/>
      <c r="I140" s="764"/>
      <c r="J140" s="764"/>
      <c r="K140" s="764"/>
      <c r="L140" s="764"/>
      <c r="M140" s="764"/>
      <c r="N140" s="764"/>
      <c r="O140" s="764"/>
      <c r="P140" s="764"/>
      <c r="Q140" s="764"/>
      <c r="R140" s="764"/>
      <c r="S140" s="764"/>
      <c r="T140" s="764"/>
      <c r="U140" s="764"/>
      <c r="V140" s="764"/>
      <c r="W140" s="764"/>
      <c r="X140" s="764"/>
      <c r="Y140" s="764"/>
      <c r="Z140" s="764"/>
      <c r="AA140" s="764"/>
      <c r="AB140" s="764"/>
      <c r="AC140" s="764"/>
      <c r="AS140" s="765"/>
      <c r="AT140" s="765"/>
      <c r="AU140" s="765"/>
      <c r="AV140" s="765"/>
      <c r="AW140" s="765"/>
      <c r="AX140" s="765"/>
      <c r="AY140" s="764"/>
      <c r="AZ140" s="764"/>
    </row>
    <row r="141" spans="1:52" ht="12.75" customHeight="1">
      <c r="A141" s="764"/>
      <c r="B141" s="764"/>
      <c r="C141" s="764"/>
      <c r="D141" s="764"/>
      <c r="E141" s="764"/>
      <c r="F141" s="764"/>
      <c r="G141" s="764"/>
      <c r="H141" s="764"/>
      <c r="I141" s="764"/>
      <c r="J141" s="764"/>
      <c r="K141" s="764"/>
      <c r="L141" s="764"/>
      <c r="M141" s="764"/>
      <c r="N141" s="764"/>
      <c r="O141" s="764"/>
      <c r="P141" s="764"/>
      <c r="Q141" s="764"/>
      <c r="R141" s="764"/>
      <c r="S141" s="764"/>
      <c r="T141" s="764"/>
      <c r="U141" s="764"/>
      <c r="V141" s="764"/>
      <c r="W141" s="764"/>
      <c r="X141" s="764"/>
      <c r="Y141" s="764"/>
      <c r="Z141" s="764"/>
      <c r="AA141" s="764"/>
      <c r="AB141" s="764"/>
      <c r="AC141" s="764"/>
      <c r="AS141" s="765"/>
      <c r="AT141" s="765"/>
      <c r="AU141" s="765"/>
      <c r="AV141" s="765"/>
      <c r="AW141" s="765"/>
      <c r="AX141" s="765"/>
      <c r="AY141" s="764"/>
      <c r="AZ141" s="764"/>
    </row>
    <row r="142" spans="1:52" ht="12.75" customHeight="1">
      <c r="A142" s="764"/>
      <c r="B142" s="764"/>
      <c r="C142" s="764"/>
      <c r="D142" s="764"/>
      <c r="E142" s="764"/>
      <c r="F142" s="764"/>
      <c r="G142" s="764"/>
      <c r="H142" s="764"/>
      <c r="I142" s="764"/>
      <c r="J142" s="764"/>
      <c r="K142" s="764"/>
      <c r="L142" s="764"/>
      <c r="M142" s="764"/>
      <c r="N142" s="764"/>
      <c r="O142" s="764"/>
      <c r="P142" s="764"/>
      <c r="Q142" s="764"/>
      <c r="R142" s="764"/>
      <c r="S142" s="764"/>
      <c r="T142" s="764"/>
      <c r="U142" s="764"/>
      <c r="V142" s="764"/>
      <c r="W142" s="764"/>
      <c r="X142" s="764"/>
      <c r="Y142" s="764"/>
      <c r="Z142" s="764"/>
      <c r="AA142" s="764"/>
      <c r="AB142" s="764"/>
      <c r="AC142" s="764"/>
      <c r="AS142" s="765"/>
      <c r="AT142" s="765"/>
      <c r="AU142" s="765"/>
      <c r="AV142" s="765"/>
      <c r="AW142" s="765"/>
      <c r="AX142" s="765"/>
      <c r="AY142" s="764"/>
      <c r="AZ142" s="764"/>
    </row>
    <row r="143" spans="1:52" ht="12.75" customHeight="1">
      <c r="A143" s="764"/>
      <c r="B143" s="764"/>
      <c r="C143" s="764"/>
      <c r="D143" s="764"/>
      <c r="E143" s="764"/>
      <c r="F143" s="764"/>
      <c r="G143" s="764"/>
      <c r="H143" s="764"/>
      <c r="I143" s="764"/>
      <c r="J143" s="764"/>
      <c r="K143" s="764"/>
      <c r="L143" s="764"/>
      <c r="M143" s="764"/>
      <c r="N143" s="764"/>
      <c r="O143" s="764"/>
      <c r="P143" s="764"/>
      <c r="Q143" s="764"/>
      <c r="R143" s="764"/>
      <c r="S143" s="764"/>
      <c r="T143" s="764"/>
      <c r="U143" s="764"/>
      <c r="V143" s="764"/>
      <c r="W143" s="764"/>
      <c r="X143" s="764"/>
      <c r="Y143" s="764"/>
      <c r="Z143" s="764"/>
      <c r="AA143" s="764"/>
      <c r="AB143" s="764"/>
      <c r="AC143" s="764"/>
      <c r="AS143" s="765"/>
      <c r="AT143" s="765"/>
      <c r="AU143" s="765"/>
      <c r="AV143" s="765"/>
      <c r="AW143" s="765"/>
      <c r="AX143" s="765"/>
      <c r="AY143" s="764"/>
      <c r="AZ143" s="764"/>
    </row>
    <row r="144" spans="1:52" ht="12.75" customHeight="1">
      <c r="A144" s="764"/>
      <c r="B144" s="764"/>
      <c r="C144" s="764"/>
      <c r="D144" s="764"/>
      <c r="E144" s="764"/>
      <c r="F144" s="764"/>
      <c r="G144" s="764"/>
      <c r="H144" s="764"/>
      <c r="I144" s="764"/>
      <c r="J144" s="764"/>
      <c r="K144" s="764"/>
      <c r="L144" s="764"/>
      <c r="M144" s="764"/>
      <c r="N144" s="764"/>
      <c r="O144" s="764"/>
      <c r="P144" s="764"/>
      <c r="Q144" s="764"/>
      <c r="R144" s="764"/>
      <c r="S144" s="764"/>
      <c r="T144" s="764"/>
      <c r="U144" s="764"/>
      <c r="V144" s="764"/>
      <c r="W144" s="764"/>
      <c r="X144" s="764"/>
      <c r="Y144" s="764"/>
      <c r="Z144" s="764"/>
      <c r="AA144" s="764"/>
      <c r="AB144" s="764"/>
      <c r="AC144" s="764"/>
      <c r="AS144" s="765"/>
      <c r="AT144" s="765"/>
      <c r="AU144" s="764"/>
      <c r="AV144" s="765"/>
      <c r="AW144" s="765"/>
      <c r="AX144" s="764"/>
      <c r="AY144" s="764"/>
      <c r="AZ144" s="764"/>
    </row>
    <row r="145" spans="1:52" ht="12.75" customHeight="1">
      <c r="A145" s="764"/>
      <c r="B145" s="764"/>
      <c r="C145" s="764"/>
      <c r="D145" s="764"/>
      <c r="E145" s="764"/>
      <c r="F145" s="764"/>
      <c r="G145" s="764"/>
      <c r="H145" s="764"/>
      <c r="I145" s="764"/>
      <c r="J145" s="764"/>
      <c r="K145" s="764"/>
      <c r="L145" s="764"/>
      <c r="M145" s="764"/>
      <c r="N145" s="764"/>
      <c r="O145" s="764"/>
      <c r="P145" s="764"/>
      <c r="Q145" s="764"/>
      <c r="R145" s="764"/>
      <c r="S145" s="764"/>
      <c r="T145" s="764"/>
      <c r="U145" s="764"/>
      <c r="V145" s="764"/>
      <c r="W145" s="764"/>
      <c r="X145" s="764"/>
      <c r="Y145" s="764"/>
      <c r="Z145" s="764"/>
      <c r="AA145" s="764"/>
      <c r="AB145" s="764"/>
      <c r="AC145" s="764"/>
      <c r="AS145" s="765"/>
      <c r="AT145" s="765"/>
      <c r="AU145" s="765"/>
      <c r="AV145" s="765"/>
      <c r="AW145" s="765"/>
      <c r="AX145" s="765"/>
      <c r="AY145" s="764"/>
      <c r="AZ145" s="764"/>
    </row>
    <row r="146" spans="1:52" ht="12.75" customHeight="1">
      <c r="A146" s="764"/>
      <c r="B146" s="764"/>
      <c r="C146" s="764"/>
      <c r="D146" s="764"/>
      <c r="E146" s="764"/>
      <c r="F146" s="764"/>
      <c r="G146" s="764"/>
      <c r="H146" s="764"/>
      <c r="I146" s="764"/>
      <c r="J146" s="764"/>
      <c r="K146" s="764"/>
      <c r="L146" s="764"/>
      <c r="M146" s="764"/>
      <c r="N146" s="764"/>
      <c r="O146" s="764"/>
      <c r="P146" s="764"/>
      <c r="Q146" s="764"/>
      <c r="R146" s="764"/>
      <c r="S146" s="764"/>
      <c r="T146" s="764"/>
      <c r="U146" s="764"/>
      <c r="V146" s="764"/>
      <c r="W146" s="764"/>
      <c r="X146" s="764"/>
      <c r="Y146" s="764"/>
      <c r="Z146" s="764"/>
      <c r="AA146" s="764"/>
      <c r="AB146" s="764"/>
      <c r="AC146" s="764"/>
      <c r="AS146" s="765"/>
      <c r="AT146" s="765"/>
      <c r="AU146" s="765"/>
      <c r="AV146" s="765"/>
      <c r="AW146" s="765"/>
      <c r="AX146" s="765"/>
      <c r="AY146" s="764"/>
      <c r="AZ146" s="764"/>
    </row>
    <row r="147" spans="1:52" ht="12.75" customHeight="1">
      <c r="A147" s="764"/>
      <c r="B147" s="764"/>
      <c r="C147" s="764"/>
      <c r="D147" s="764"/>
      <c r="E147" s="764"/>
      <c r="F147" s="764"/>
      <c r="G147" s="764"/>
      <c r="H147" s="764"/>
      <c r="I147" s="764"/>
      <c r="J147" s="764"/>
      <c r="K147" s="764"/>
      <c r="L147" s="764"/>
      <c r="M147" s="764"/>
      <c r="N147" s="764"/>
      <c r="O147" s="764"/>
      <c r="P147" s="764"/>
      <c r="Q147" s="764"/>
      <c r="R147" s="764"/>
      <c r="S147" s="764"/>
      <c r="T147" s="764"/>
      <c r="U147" s="764"/>
      <c r="V147" s="764"/>
      <c r="W147" s="764"/>
      <c r="X147" s="764"/>
      <c r="Y147" s="764"/>
      <c r="Z147" s="764"/>
      <c r="AA147" s="764"/>
      <c r="AB147" s="764"/>
      <c r="AC147" s="764"/>
      <c r="AS147" s="765"/>
      <c r="AT147" s="765"/>
      <c r="AU147" s="765"/>
      <c r="AV147" s="765"/>
      <c r="AW147" s="765"/>
      <c r="AX147" s="765"/>
      <c r="AY147" s="764"/>
      <c r="AZ147" s="764"/>
    </row>
    <row r="148" spans="1:52" ht="12.75" customHeight="1">
      <c r="A148" s="764"/>
      <c r="B148" s="764"/>
      <c r="C148" s="764"/>
      <c r="D148" s="764"/>
      <c r="E148" s="764"/>
      <c r="F148" s="764"/>
      <c r="G148" s="764"/>
      <c r="H148" s="764"/>
      <c r="I148" s="764"/>
      <c r="J148" s="764"/>
      <c r="K148" s="764"/>
      <c r="L148" s="764"/>
      <c r="M148" s="764"/>
      <c r="N148" s="764"/>
      <c r="O148" s="764"/>
      <c r="P148" s="764"/>
      <c r="Q148" s="764"/>
      <c r="R148" s="764"/>
      <c r="S148" s="764"/>
      <c r="T148" s="764"/>
      <c r="U148" s="764"/>
      <c r="V148" s="764"/>
      <c r="W148" s="764"/>
      <c r="X148" s="764"/>
      <c r="Y148" s="764"/>
      <c r="Z148" s="764"/>
      <c r="AA148" s="764"/>
      <c r="AB148" s="764"/>
      <c r="AC148" s="764"/>
      <c r="AS148" s="765"/>
      <c r="AT148" s="765"/>
      <c r="AU148" s="765"/>
      <c r="AV148" s="765"/>
      <c r="AW148" s="764"/>
      <c r="AX148" s="765"/>
      <c r="AY148" s="764"/>
      <c r="AZ148" s="764"/>
    </row>
    <row r="149" spans="1:52" ht="12.75" customHeight="1">
      <c r="A149" s="764"/>
      <c r="B149" s="764"/>
      <c r="C149" s="764"/>
      <c r="D149" s="764"/>
      <c r="E149" s="764"/>
      <c r="F149" s="764"/>
      <c r="G149" s="764"/>
      <c r="H149" s="764"/>
      <c r="I149" s="764"/>
      <c r="J149" s="764"/>
      <c r="K149" s="764"/>
      <c r="L149" s="764"/>
      <c r="M149" s="764"/>
      <c r="N149" s="764"/>
      <c r="O149" s="764"/>
      <c r="P149" s="764"/>
      <c r="Q149" s="764"/>
      <c r="R149" s="764"/>
      <c r="S149" s="764"/>
      <c r="T149" s="764"/>
      <c r="U149" s="764"/>
      <c r="V149" s="764"/>
      <c r="W149" s="764"/>
      <c r="X149" s="764"/>
      <c r="Y149" s="764"/>
      <c r="Z149" s="764"/>
      <c r="AA149" s="764"/>
      <c r="AB149" s="764"/>
      <c r="AC149" s="764"/>
      <c r="AS149" s="765"/>
      <c r="AT149" s="765"/>
      <c r="AU149" s="765"/>
      <c r="AV149" s="765"/>
      <c r="AW149" s="765"/>
      <c r="AX149" s="765"/>
      <c r="AY149" s="764"/>
      <c r="AZ149" s="764"/>
    </row>
    <row r="150" spans="1:52" ht="12.75" customHeight="1">
      <c r="A150" s="764"/>
      <c r="B150" s="764"/>
      <c r="C150" s="764"/>
      <c r="D150" s="764"/>
      <c r="E150" s="764"/>
      <c r="F150" s="764"/>
      <c r="G150" s="764"/>
      <c r="H150" s="764"/>
      <c r="I150" s="764"/>
      <c r="J150" s="764"/>
      <c r="K150" s="764"/>
      <c r="L150" s="764"/>
      <c r="M150" s="764"/>
      <c r="N150" s="764"/>
      <c r="O150" s="764"/>
      <c r="P150" s="764"/>
      <c r="Q150" s="764"/>
      <c r="R150" s="764"/>
      <c r="S150" s="764"/>
      <c r="T150" s="764"/>
      <c r="U150" s="764"/>
      <c r="V150" s="764"/>
      <c r="W150" s="764"/>
      <c r="X150" s="764"/>
      <c r="Y150" s="764"/>
      <c r="Z150" s="764"/>
      <c r="AA150" s="764"/>
      <c r="AB150" s="764"/>
      <c r="AC150" s="764"/>
      <c r="AS150" s="765"/>
      <c r="AT150" s="765"/>
      <c r="AU150" s="765"/>
      <c r="AV150" s="765"/>
      <c r="AW150" s="765"/>
      <c r="AX150" s="765"/>
      <c r="AY150" s="764"/>
      <c r="AZ150" s="764"/>
    </row>
    <row r="151" spans="1:52" ht="12.75" customHeight="1">
      <c r="A151" s="764"/>
      <c r="B151" s="764"/>
      <c r="C151" s="764"/>
      <c r="D151" s="764"/>
      <c r="E151" s="764"/>
      <c r="F151" s="764"/>
      <c r="G151" s="764"/>
      <c r="H151" s="764"/>
      <c r="I151" s="764"/>
      <c r="J151" s="764"/>
      <c r="K151" s="764"/>
      <c r="L151" s="764"/>
      <c r="M151" s="764"/>
      <c r="N151" s="764"/>
      <c r="O151" s="764"/>
      <c r="P151" s="764"/>
      <c r="Q151" s="764"/>
      <c r="R151" s="764"/>
      <c r="S151" s="764"/>
      <c r="T151" s="764"/>
      <c r="U151" s="764"/>
      <c r="V151" s="764"/>
      <c r="W151" s="764"/>
      <c r="X151" s="764"/>
      <c r="Y151" s="764"/>
      <c r="Z151" s="764"/>
      <c r="AA151" s="764"/>
      <c r="AB151" s="764"/>
      <c r="AC151" s="764"/>
      <c r="AS151" s="765"/>
      <c r="AT151" s="765"/>
      <c r="AU151" s="765"/>
      <c r="AV151" s="765"/>
      <c r="AW151" s="765"/>
      <c r="AX151" s="765"/>
      <c r="AY151" s="764"/>
      <c r="AZ151" s="764"/>
    </row>
    <row r="152" spans="1:52" ht="12.75" customHeight="1">
      <c r="A152" s="764"/>
      <c r="B152" s="764"/>
      <c r="C152" s="764"/>
      <c r="D152" s="764"/>
      <c r="E152" s="764"/>
      <c r="F152" s="764"/>
      <c r="G152" s="764"/>
      <c r="H152" s="764"/>
      <c r="I152" s="764"/>
      <c r="J152" s="764"/>
      <c r="K152" s="764"/>
      <c r="L152" s="764"/>
      <c r="M152" s="764"/>
      <c r="N152" s="764"/>
      <c r="O152" s="764"/>
      <c r="P152" s="764"/>
      <c r="Q152" s="764"/>
      <c r="R152" s="764"/>
      <c r="S152" s="764"/>
      <c r="T152" s="764"/>
      <c r="U152" s="764"/>
      <c r="V152" s="764"/>
      <c r="W152" s="764"/>
      <c r="X152" s="764"/>
      <c r="Y152" s="764"/>
      <c r="Z152" s="764"/>
      <c r="AA152" s="764"/>
      <c r="AB152" s="764"/>
      <c r="AC152" s="764"/>
      <c r="AS152" s="765"/>
      <c r="AT152" s="765"/>
      <c r="AU152" s="765"/>
      <c r="AV152" s="765"/>
      <c r="AW152" s="765"/>
      <c r="AX152" s="765"/>
      <c r="AY152" s="764"/>
      <c r="AZ152" s="764"/>
    </row>
    <row r="153" spans="1:52" ht="12.75" customHeight="1">
      <c r="A153" s="764"/>
      <c r="B153" s="764"/>
      <c r="C153" s="764"/>
      <c r="D153" s="764"/>
      <c r="E153" s="764"/>
      <c r="F153" s="764"/>
      <c r="G153" s="764"/>
      <c r="H153" s="764"/>
      <c r="I153" s="764"/>
      <c r="J153" s="764"/>
      <c r="K153" s="764"/>
      <c r="L153" s="764"/>
      <c r="M153" s="764"/>
      <c r="N153" s="764"/>
      <c r="O153" s="764"/>
      <c r="P153" s="764"/>
      <c r="Q153" s="764"/>
      <c r="R153" s="764"/>
      <c r="S153" s="764"/>
      <c r="T153" s="764"/>
      <c r="U153" s="764"/>
      <c r="V153" s="764"/>
      <c r="W153" s="764"/>
      <c r="X153" s="764"/>
      <c r="Y153" s="764"/>
      <c r="Z153" s="764"/>
      <c r="AA153" s="764"/>
      <c r="AB153" s="764"/>
      <c r="AC153" s="764"/>
      <c r="AS153" s="765"/>
      <c r="AT153" s="765"/>
      <c r="AU153" s="765"/>
      <c r="AV153" s="765"/>
      <c r="AW153" s="765"/>
      <c r="AX153" s="765"/>
      <c r="AY153" s="764"/>
      <c r="AZ153" s="764"/>
    </row>
    <row r="154" spans="1:52" ht="12.75" customHeight="1">
      <c r="A154" s="764"/>
      <c r="B154" s="764"/>
      <c r="C154" s="764"/>
      <c r="D154" s="764"/>
      <c r="E154" s="764"/>
      <c r="F154" s="764"/>
      <c r="G154" s="764"/>
      <c r="H154" s="764"/>
      <c r="I154" s="764"/>
      <c r="J154" s="764"/>
      <c r="K154" s="764"/>
      <c r="L154" s="764"/>
      <c r="M154" s="764"/>
      <c r="N154" s="764"/>
      <c r="O154" s="764"/>
      <c r="P154" s="764"/>
      <c r="Q154" s="764"/>
      <c r="R154" s="764"/>
      <c r="S154" s="764"/>
      <c r="T154" s="764"/>
      <c r="U154" s="764"/>
      <c r="V154" s="764"/>
      <c r="W154" s="764"/>
      <c r="X154" s="764"/>
      <c r="Y154" s="764"/>
      <c r="Z154" s="764"/>
      <c r="AA154" s="764"/>
      <c r="AB154" s="764"/>
      <c r="AC154" s="764"/>
      <c r="AS154" s="765"/>
      <c r="AT154" s="765"/>
      <c r="AU154" s="765"/>
      <c r="AV154" s="765"/>
      <c r="AW154" s="765"/>
      <c r="AX154" s="765"/>
      <c r="AY154" s="764"/>
      <c r="AZ154" s="764"/>
    </row>
    <row r="155" spans="1:52" ht="12.75" customHeight="1">
      <c r="A155" s="764"/>
      <c r="B155" s="764"/>
      <c r="C155" s="764"/>
      <c r="D155" s="764"/>
      <c r="E155" s="764"/>
      <c r="F155" s="764"/>
      <c r="G155" s="764"/>
      <c r="H155" s="764"/>
      <c r="I155" s="764"/>
      <c r="J155" s="764"/>
      <c r="K155" s="764"/>
      <c r="L155" s="764"/>
      <c r="M155" s="764"/>
      <c r="N155" s="764"/>
      <c r="O155" s="764"/>
      <c r="P155" s="764"/>
      <c r="Q155" s="764"/>
      <c r="R155" s="764"/>
      <c r="S155" s="764"/>
      <c r="T155" s="764"/>
      <c r="U155" s="764"/>
      <c r="V155" s="764"/>
      <c r="W155" s="764"/>
      <c r="X155" s="764"/>
      <c r="Y155" s="764"/>
      <c r="Z155" s="764"/>
      <c r="AA155" s="764"/>
      <c r="AB155" s="764"/>
      <c r="AC155" s="764"/>
      <c r="AS155" s="765"/>
      <c r="AT155" s="765"/>
      <c r="AU155" s="764"/>
      <c r="AV155" s="765"/>
      <c r="AW155" s="765"/>
      <c r="AX155" s="765"/>
      <c r="AY155" s="764"/>
      <c r="AZ155" s="764"/>
    </row>
    <row r="156" spans="1:52" ht="12.75" customHeight="1">
      <c r="A156" s="764"/>
      <c r="B156" s="764"/>
      <c r="C156" s="764"/>
      <c r="D156" s="764"/>
      <c r="E156" s="764"/>
      <c r="F156" s="764"/>
      <c r="G156" s="764"/>
      <c r="H156" s="764"/>
      <c r="I156" s="764"/>
      <c r="J156" s="764"/>
      <c r="K156" s="764"/>
      <c r="L156" s="764"/>
      <c r="M156" s="764"/>
      <c r="N156" s="764"/>
      <c r="O156" s="764"/>
      <c r="P156" s="764"/>
      <c r="Q156" s="764"/>
      <c r="R156" s="764"/>
      <c r="S156" s="764"/>
      <c r="T156" s="764"/>
      <c r="U156" s="764"/>
      <c r="V156" s="764"/>
      <c r="W156" s="764"/>
      <c r="X156" s="764"/>
      <c r="Y156" s="764"/>
      <c r="Z156" s="764"/>
      <c r="AA156" s="764"/>
      <c r="AB156" s="764"/>
      <c r="AC156" s="764"/>
      <c r="AS156" s="764"/>
      <c r="AT156" s="764"/>
      <c r="AU156" s="764"/>
      <c r="AV156" s="764"/>
      <c r="AW156" s="764"/>
      <c r="AX156" s="765"/>
      <c r="AY156" s="764"/>
      <c r="AZ156" s="764"/>
    </row>
    <row r="157" spans="1:52" ht="12.75" customHeight="1">
      <c r="A157" s="764"/>
      <c r="B157" s="764"/>
      <c r="C157" s="764"/>
      <c r="D157" s="764"/>
      <c r="E157" s="764"/>
      <c r="F157" s="764"/>
      <c r="G157" s="764"/>
      <c r="H157" s="764"/>
      <c r="I157" s="764"/>
      <c r="J157" s="764"/>
      <c r="K157" s="764"/>
      <c r="L157" s="764"/>
      <c r="M157" s="764"/>
      <c r="N157" s="764"/>
      <c r="O157" s="764"/>
      <c r="P157" s="764"/>
      <c r="Q157" s="764"/>
      <c r="R157" s="764"/>
      <c r="S157" s="764"/>
      <c r="T157" s="764"/>
      <c r="U157" s="764"/>
      <c r="V157" s="764"/>
      <c r="W157" s="764"/>
      <c r="X157" s="764"/>
      <c r="Y157" s="764"/>
      <c r="Z157" s="764"/>
      <c r="AA157" s="764"/>
      <c r="AB157" s="764"/>
      <c r="AC157" s="764"/>
      <c r="AS157" s="764"/>
      <c r="AT157" s="764"/>
      <c r="AU157" s="764"/>
      <c r="AV157" s="764"/>
      <c r="AW157" s="764"/>
      <c r="AX157" s="765"/>
      <c r="AY157" s="764"/>
      <c r="AZ157" s="764"/>
    </row>
    <row r="158" spans="1:52" ht="12.75" customHeight="1">
      <c r="A158" s="764"/>
      <c r="B158" s="764"/>
      <c r="C158" s="764"/>
      <c r="D158" s="764"/>
      <c r="E158" s="764"/>
      <c r="F158" s="764"/>
      <c r="G158" s="764"/>
      <c r="H158" s="764"/>
      <c r="I158" s="764"/>
      <c r="J158" s="764"/>
      <c r="K158" s="764"/>
      <c r="L158" s="764"/>
      <c r="M158" s="764"/>
      <c r="N158" s="764"/>
      <c r="O158" s="764"/>
      <c r="P158" s="764"/>
      <c r="Q158" s="764"/>
      <c r="R158" s="764"/>
      <c r="S158" s="764"/>
      <c r="T158" s="764"/>
      <c r="U158" s="764"/>
      <c r="V158" s="764"/>
      <c r="W158" s="764"/>
      <c r="X158" s="764"/>
      <c r="Y158" s="764"/>
      <c r="Z158" s="764"/>
      <c r="AA158" s="764"/>
      <c r="AB158" s="764"/>
      <c r="AC158" s="764"/>
      <c r="AS158" s="764"/>
      <c r="AT158" s="764"/>
      <c r="AU158" s="764"/>
      <c r="AV158" s="764"/>
      <c r="AW158" s="764"/>
      <c r="AX158" s="765"/>
      <c r="AY158" s="764"/>
      <c r="AZ158" s="764"/>
    </row>
    <row r="159" spans="1:52" ht="12.75" customHeight="1">
      <c r="A159" s="764"/>
      <c r="B159" s="764"/>
      <c r="C159" s="764"/>
      <c r="D159" s="764"/>
      <c r="E159" s="764"/>
      <c r="F159" s="764"/>
      <c r="G159" s="764"/>
      <c r="H159" s="764"/>
      <c r="I159" s="764"/>
      <c r="J159" s="764"/>
      <c r="K159" s="764"/>
      <c r="L159" s="764"/>
      <c r="M159" s="764"/>
      <c r="N159" s="764"/>
      <c r="O159" s="764"/>
      <c r="P159" s="764"/>
      <c r="Q159" s="764"/>
      <c r="R159" s="764"/>
      <c r="S159" s="764"/>
      <c r="T159" s="764"/>
      <c r="U159" s="764"/>
      <c r="V159" s="764"/>
      <c r="W159" s="764"/>
      <c r="X159" s="764"/>
      <c r="Y159" s="764"/>
      <c r="Z159" s="764"/>
      <c r="AA159" s="764"/>
      <c r="AB159" s="764"/>
      <c r="AC159" s="764"/>
      <c r="AS159" s="765"/>
      <c r="AT159" s="765"/>
      <c r="AU159" s="765"/>
      <c r="AV159" s="765"/>
      <c r="AW159" s="765"/>
      <c r="AX159" s="764"/>
      <c r="AY159" s="764"/>
      <c r="AZ159" s="764"/>
    </row>
    <row r="160" spans="1:52" ht="12.75" customHeight="1">
      <c r="A160" s="764"/>
      <c r="B160" s="764"/>
      <c r="C160" s="764"/>
      <c r="D160" s="764"/>
      <c r="E160" s="764"/>
      <c r="F160" s="764"/>
      <c r="G160" s="764"/>
      <c r="H160" s="764"/>
      <c r="I160" s="764"/>
      <c r="J160" s="764"/>
      <c r="K160" s="764"/>
      <c r="L160" s="764"/>
      <c r="M160" s="764"/>
      <c r="N160" s="764"/>
      <c r="O160" s="764"/>
      <c r="P160" s="764"/>
      <c r="Q160" s="764"/>
      <c r="R160" s="764"/>
      <c r="S160" s="764"/>
      <c r="T160" s="764"/>
      <c r="U160" s="764"/>
      <c r="V160" s="764"/>
      <c r="W160" s="764"/>
      <c r="X160" s="764"/>
      <c r="Y160" s="764"/>
      <c r="Z160" s="764"/>
      <c r="AA160" s="764"/>
      <c r="AB160" s="764"/>
      <c r="AC160" s="764"/>
      <c r="AS160" s="765"/>
      <c r="AT160" s="765"/>
      <c r="AU160" s="765"/>
      <c r="AV160" s="765"/>
      <c r="AW160" s="765"/>
      <c r="AX160" s="765"/>
      <c r="AY160" s="764"/>
      <c r="AZ160" s="764"/>
    </row>
    <row r="161" spans="1:52" ht="12.75" customHeight="1">
      <c r="A161" s="764"/>
      <c r="B161" s="764"/>
      <c r="C161" s="764"/>
      <c r="D161" s="764"/>
      <c r="E161" s="764"/>
      <c r="F161" s="764"/>
      <c r="G161" s="764"/>
      <c r="H161" s="764"/>
      <c r="I161" s="764"/>
      <c r="J161" s="764"/>
      <c r="K161" s="764"/>
      <c r="L161" s="764"/>
      <c r="M161" s="764"/>
      <c r="N161" s="764"/>
      <c r="O161" s="764"/>
      <c r="P161" s="764"/>
      <c r="Q161" s="764"/>
      <c r="R161" s="764"/>
      <c r="S161" s="764"/>
      <c r="T161" s="764"/>
      <c r="U161" s="764"/>
      <c r="V161" s="764"/>
      <c r="W161" s="764"/>
      <c r="X161" s="764"/>
      <c r="Y161" s="764"/>
      <c r="Z161" s="764"/>
      <c r="AA161" s="764"/>
      <c r="AB161" s="764"/>
      <c r="AC161" s="764"/>
      <c r="AS161" s="764"/>
      <c r="AT161" s="764"/>
      <c r="AU161" s="764"/>
      <c r="AV161" s="764"/>
      <c r="AW161" s="764"/>
      <c r="AX161" s="765"/>
      <c r="AY161" s="764"/>
      <c r="AZ161" s="764"/>
    </row>
    <row r="162" spans="1:52" ht="12.75" customHeight="1">
      <c r="A162" s="764"/>
      <c r="B162" s="764"/>
      <c r="C162" s="764"/>
      <c r="D162" s="764"/>
      <c r="E162" s="764"/>
      <c r="F162" s="764"/>
      <c r="G162" s="764"/>
      <c r="H162" s="764"/>
      <c r="I162" s="764"/>
      <c r="J162" s="764"/>
      <c r="K162" s="764"/>
      <c r="L162" s="764"/>
      <c r="M162" s="764"/>
      <c r="N162" s="764"/>
      <c r="O162" s="764"/>
      <c r="P162" s="764"/>
      <c r="Q162" s="764"/>
      <c r="R162" s="764"/>
      <c r="S162" s="764"/>
      <c r="T162" s="764"/>
      <c r="U162" s="764"/>
      <c r="V162" s="764"/>
      <c r="W162" s="764"/>
      <c r="X162" s="764"/>
      <c r="Y162" s="764"/>
      <c r="Z162" s="764"/>
      <c r="AA162" s="764"/>
      <c r="AB162" s="764"/>
      <c r="AC162" s="764"/>
      <c r="AS162" s="765"/>
      <c r="AT162" s="765"/>
      <c r="AU162" s="765"/>
      <c r="AV162" s="765"/>
      <c r="AW162" s="765"/>
      <c r="AX162" s="765"/>
      <c r="AY162" s="764"/>
      <c r="AZ162" s="764"/>
    </row>
    <row r="163" spans="1:52" ht="12.75" customHeight="1">
      <c r="A163" s="764"/>
      <c r="B163" s="764"/>
      <c r="C163" s="764"/>
      <c r="D163" s="764"/>
      <c r="E163" s="764"/>
      <c r="F163" s="764"/>
      <c r="G163" s="764"/>
      <c r="H163" s="764"/>
      <c r="I163" s="764"/>
      <c r="J163" s="764"/>
      <c r="K163" s="764"/>
      <c r="L163" s="764"/>
      <c r="M163" s="764"/>
      <c r="N163" s="764"/>
      <c r="O163" s="764"/>
      <c r="P163" s="764"/>
      <c r="Q163" s="764"/>
      <c r="R163" s="764"/>
      <c r="S163" s="764"/>
      <c r="T163" s="764"/>
      <c r="U163" s="764"/>
      <c r="V163" s="764"/>
      <c r="W163" s="764"/>
      <c r="X163" s="764"/>
      <c r="Y163" s="764"/>
      <c r="Z163" s="764"/>
      <c r="AA163" s="764"/>
      <c r="AB163" s="764"/>
      <c r="AC163" s="764"/>
      <c r="AS163" s="764"/>
      <c r="AT163" s="764"/>
      <c r="AU163" s="764"/>
      <c r="AV163" s="764"/>
      <c r="AW163" s="764"/>
      <c r="AX163" s="765"/>
      <c r="AY163" s="764"/>
      <c r="AZ163" s="764"/>
    </row>
    <row r="164" spans="1:52" ht="12.75" customHeight="1">
      <c r="A164" s="764"/>
      <c r="B164" s="764"/>
      <c r="C164" s="764"/>
      <c r="D164" s="764"/>
      <c r="E164" s="764"/>
      <c r="F164" s="764"/>
      <c r="G164" s="764"/>
      <c r="H164" s="764"/>
      <c r="I164" s="764"/>
      <c r="J164" s="764"/>
      <c r="K164" s="764"/>
      <c r="L164" s="764"/>
      <c r="M164" s="764"/>
      <c r="N164" s="764"/>
      <c r="O164" s="764"/>
      <c r="P164" s="764"/>
      <c r="Q164" s="764"/>
      <c r="R164" s="764"/>
      <c r="S164" s="764"/>
      <c r="T164" s="764"/>
      <c r="U164" s="764"/>
      <c r="V164" s="764"/>
      <c r="W164" s="764"/>
      <c r="X164" s="764"/>
      <c r="Y164" s="764"/>
      <c r="Z164" s="764"/>
      <c r="AA164" s="764"/>
      <c r="AB164" s="764"/>
      <c r="AC164" s="764"/>
      <c r="AS164" s="765"/>
      <c r="AT164" s="765"/>
      <c r="AU164" s="765"/>
      <c r="AV164" s="765"/>
      <c r="AW164" s="765"/>
      <c r="AX164" s="765"/>
      <c r="AY164" s="764"/>
      <c r="AZ164" s="764"/>
    </row>
    <row r="165" spans="1:52" ht="12.75" customHeight="1">
      <c r="A165" s="764"/>
      <c r="B165" s="764"/>
      <c r="C165" s="764"/>
      <c r="D165" s="764"/>
      <c r="E165" s="764"/>
      <c r="F165" s="764"/>
      <c r="G165" s="764"/>
      <c r="H165" s="764"/>
      <c r="I165" s="764"/>
      <c r="J165" s="764"/>
      <c r="K165" s="764"/>
      <c r="L165" s="764"/>
      <c r="M165" s="764"/>
      <c r="N165" s="764"/>
      <c r="O165" s="764"/>
      <c r="P165" s="764"/>
      <c r="Q165" s="764"/>
      <c r="R165" s="764"/>
      <c r="S165" s="764"/>
      <c r="T165" s="764"/>
      <c r="U165" s="764"/>
      <c r="V165" s="764"/>
      <c r="W165" s="764"/>
      <c r="X165" s="764"/>
      <c r="Y165" s="764"/>
      <c r="Z165" s="764"/>
      <c r="AA165" s="764"/>
      <c r="AB165" s="764"/>
      <c r="AC165" s="764"/>
      <c r="AS165" s="765"/>
      <c r="AT165" s="765"/>
      <c r="AU165" s="765"/>
      <c r="AV165" s="765"/>
      <c r="AW165" s="765"/>
      <c r="AX165" s="764"/>
      <c r="AY165" s="764"/>
      <c r="AZ165" s="764"/>
    </row>
    <row r="166" spans="1:52" ht="12.75" customHeight="1">
      <c r="A166" s="764"/>
      <c r="B166" s="764"/>
      <c r="C166" s="764"/>
      <c r="D166" s="764"/>
      <c r="E166" s="764"/>
      <c r="F166" s="764"/>
      <c r="G166" s="764"/>
      <c r="H166" s="764"/>
      <c r="I166" s="764"/>
      <c r="J166" s="764"/>
      <c r="K166" s="764"/>
      <c r="L166" s="764"/>
      <c r="M166" s="764"/>
      <c r="N166" s="764"/>
      <c r="O166" s="764"/>
      <c r="P166" s="764"/>
      <c r="Q166" s="764"/>
      <c r="R166" s="764"/>
      <c r="S166" s="764"/>
      <c r="T166" s="764"/>
      <c r="U166" s="764"/>
      <c r="V166" s="764"/>
      <c r="W166" s="764"/>
      <c r="X166" s="764"/>
      <c r="Y166" s="764"/>
      <c r="Z166" s="764"/>
      <c r="AA166" s="764"/>
      <c r="AB166" s="764"/>
      <c r="AC166" s="764"/>
      <c r="AS166" s="764"/>
      <c r="AT166" s="764"/>
      <c r="AU166" s="764"/>
      <c r="AV166" s="764"/>
      <c r="AW166" s="764"/>
      <c r="AX166" s="765"/>
      <c r="AY166" s="764"/>
      <c r="AZ166" s="764"/>
    </row>
    <row r="167" spans="1:52" ht="12.75" customHeight="1">
      <c r="A167" s="764"/>
      <c r="B167" s="764"/>
      <c r="C167" s="764"/>
      <c r="D167" s="764"/>
      <c r="E167" s="764"/>
      <c r="F167" s="764"/>
      <c r="G167" s="764"/>
      <c r="H167" s="764"/>
      <c r="I167" s="764"/>
      <c r="J167" s="764"/>
      <c r="K167" s="764"/>
      <c r="L167" s="764"/>
      <c r="M167" s="764"/>
      <c r="N167" s="764"/>
      <c r="O167" s="764"/>
      <c r="P167" s="764"/>
      <c r="Q167" s="764"/>
      <c r="R167" s="764"/>
      <c r="S167" s="764"/>
      <c r="T167" s="764"/>
      <c r="U167" s="764"/>
      <c r="V167" s="764"/>
      <c r="W167" s="764"/>
      <c r="X167" s="764"/>
      <c r="Y167" s="764"/>
      <c r="Z167" s="764"/>
      <c r="AA167" s="764"/>
      <c r="AB167" s="764"/>
      <c r="AC167" s="764"/>
      <c r="AS167" s="764"/>
      <c r="AT167" s="764"/>
      <c r="AU167" s="764"/>
      <c r="AV167" s="764"/>
      <c r="AW167" s="764"/>
      <c r="AX167" s="764"/>
      <c r="AY167" s="764"/>
      <c r="AZ167" s="764"/>
    </row>
    <row r="168" spans="1:52" ht="12.75" customHeight="1">
      <c r="A168" s="764"/>
      <c r="B168" s="764"/>
      <c r="C168" s="764"/>
      <c r="D168" s="764"/>
      <c r="E168" s="764"/>
      <c r="F168" s="764"/>
      <c r="G168" s="764"/>
      <c r="H168" s="764"/>
      <c r="I168" s="764"/>
      <c r="J168" s="764"/>
      <c r="K168" s="764"/>
      <c r="L168" s="764"/>
      <c r="M168" s="764"/>
      <c r="N168" s="764"/>
      <c r="O168" s="764"/>
      <c r="P168" s="764"/>
      <c r="Q168" s="764"/>
      <c r="R168" s="764"/>
      <c r="S168" s="764"/>
      <c r="T168" s="764"/>
      <c r="U168" s="764"/>
      <c r="V168" s="764"/>
      <c r="W168" s="764"/>
      <c r="X168" s="764"/>
      <c r="Y168" s="764"/>
      <c r="Z168" s="764"/>
      <c r="AA168" s="764"/>
      <c r="AB168" s="764"/>
      <c r="AC168" s="764"/>
      <c r="AS168" s="765"/>
      <c r="AT168" s="765"/>
      <c r="AU168" s="765"/>
      <c r="AV168" s="765"/>
      <c r="AW168" s="765"/>
      <c r="AX168" s="765"/>
      <c r="AY168" s="764"/>
      <c r="AZ168" s="764"/>
    </row>
    <row r="169" spans="1:52" ht="12.75" customHeight="1">
      <c r="A169" s="764"/>
      <c r="B169" s="764"/>
      <c r="C169" s="764"/>
      <c r="D169" s="764"/>
      <c r="E169" s="764"/>
      <c r="F169" s="764"/>
      <c r="G169" s="764"/>
      <c r="H169" s="764"/>
      <c r="I169" s="764"/>
      <c r="J169" s="764"/>
      <c r="K169" s="764"/>
      <c r="L169" s="764"/>
      <c r="M169" s="764"/>
      <c r="N169" s="764"/>
      <c r="O169" s="764"/>
      <c r="P169" s="764"/>
      <c r="Q169" s="764"/>
      <c r="R169" s="764"/>
      <c r="S169" s="764"/>
      <c r="T169" s="764"/>
      <c r="U169" s="764"/>
      <c r="V169" s="764"/>
      <c r="W169" s="764"/>
      <c r="X169" s="764"/>
      <c r="Y169" s="764"/>
      <c r="Z169" s="764"/>
      <c r="AA169" s="764"/>
      <c r="AB169" s="764"/>
      <c r="AC169" s="764"/>
      <c r="AS169" s="765"/>
      <c r="AT169" s="765"/>
      <c r="AU169" s="765"/>
      <c r="AV169" s="765"/>
      <c r="AW169" s="765"/>
      <c r="AX169" s="765"/>
      <c r="AY169" s="764"/>
      <c r="AZ169" s="764"/>
    </row>
    <row r="170" spans="1:52" ht="12.75" customHeight="1">
      <c r="A170" s="764"/>
      <c r="B170" s="764"/>
      <c r="C170" s="764"/>
      <c r="D170" s="764"/>
      <c r="E170" s="764"/>
      <c r="F170" s="764"/>
      <c r="G170" s="764"/>
      <c r="H170" s="764"/>
      <c r="I170" s="764"/>
      <c r="J170" s="764"/>
      <c r="K170" s="764"/>
      <c r="L170" s="764"/>
      <c r="M170" s="764"/>
      <c r="N170" s="764"/>
      <c r="O170" s="764"/>
      <c r="P170" s="764"/>
      <c r="Q170" s="764"/>
      <c r="R170" s="764"/>
      <c r="S170" s="764"/>
      <c r="T170" s="764"/>
      <c r="U170" s="764"/>
      <c r="V170" s="764"/>
      <c r="W170" s="764"/>
      <c r="X170" s="764"/>
      <c r="Y170" s="764"/>
      <c r="Z170" s="764"/>
      <c r="AA170" s="764"/>
      <c r="AB170" s="764"/>
      <c r="AC170" s="764"/>
      <c r="AS170" s="765"/>
      <c r="AT170" s="765"/>
      <c r="AU170" s="765"/>
      <c r="AV170" s="765"/>
      <c r="AW170" s="765"/>
      <c r="AX170" s="765"/>
      <c r="AY170" s="764"/>
      <c r="AZ170" s="764"/>
    </row>
    <row r="171" spans="1:52" ht="12.75" customHeight="1">
      <c r="A171" s="764"/>
      <c r="B171" s="764"/>
      <c r="C171" s="764"/>
      <c r="D171" s="764"/>
      <c r="E171" s="764"/>
      <c r="F171" s="764"/>
      <c r="G171" s="764"/>
      <c r="H171" s="764"/>
      <c r="I171" s="764"/>
      <c r="J171" s="764"/>
      <c r="K171" s="764"/>
      <c r="L171" s="764"/>
      <c r="M171" s="764"/>
      <c r="N171" s="764"/>
      <c r="O171" s="764"/>
      <c r="P171" s="764"/>
      <c r="Q171" s="764"/>
      <c r="R171" s="764"/>
      <c r="S171" s="764"/>
      <c r="T171" s="764"/>
      <c r="U171" s="764"/>
      <c r="V171" s="764"/>
      <c r="W171" s="764"/>
      <c r="X171" s="764"/>
      <c r="Y171" s="764"/>
      <c r="Z171" s="764"/>
      <c r="AA171" s="764"/>
      <c r="AB171" s="764"/>
      <c r="AC171" s="764"/>
      <c r="AS171" s="765"/>
      <c r="AT171" s="765"/>
      <c r="AU171" s="765"/>
      <c r="AV171" s="765"/>
      <c r="AW171" s="765"/>
      <c r="AX171" s="765"/>
      <c r="AY171" s="764"/>
      <c r="AZ171" s="764"/>
    </row>
    <row r="172" spans="1:52" ht="12.75" customHeight="1">
      <c r="A172" s="764"/>
      <c r="B172" s="764"/>
      <c r="C172" s="764"/>
      <c r="D172" s="764"/>
      <c r="E172" s="764"/>
      <c r="F172" s="764"/>
      <c r="G172" s="764"/>
      <c r="H172" s="764"/>
      <c r="I172" s="764"/>
      <c r="J172" s="764"/>
      <c r="K172" s="764"/>
      <c r="L172" s="764"/>
      <c r="M172" s="764"/>
      <c r="N172" s="764"/>
      <c r="O172" s="764"/>
      <c r="P172" s="764"/>
      <c r="Q172" s="764"/>
      <c r="R172" s="764"/>
      <c r="S172" s="764"/>
      <c r="T172" s="764"/>
      <c r="U172" s="764"/>
      <c r="V172" s="764"/>
      <c r="W172" s="764"/>
      <c r="X172" s="764"/>
      <c r="Y172" s="764"/>
      <c r="Z172" s="764"/>
      <c r="AA172" s="764"/>
      <c r="AB172" s="764"/>
      <c r="AC172" s="764"/>
      <c r="AS172" s="765"/>
      <c r="AT172" s="765"/>
      <c r="AU172" s="764"/>
      <c r="AV172" s="765"/>
      <c r="AW172" s="765"/>
      <c r="AX172" s="764"/>
      <c r="AY172" s="764"/>
      <c r="AZ172" s="764"/>
    </row>
    <row r="173" spans="1:52" ht="12.75" customHeight="1">
      <c r="A173" s="764"/>
      <c r="B173" s="764"/>
      <c r="C173" s="764"/>
      <c r="D173" s="764"/>
      <c r="E173" s="764"/>
      <c r="F173" s="764"/>
      <c r="G173" s="764"/>
      <c r="H173" s="764"/>
      <c r="I173" s="764"/>
      <c r="J173" s="764"/>
      <c r="K173" s="764"/>
      <c r="L173" s="764"/>
      <c r="M173" s="764"/>
      <c r="N173" s="764"/>
      <c r="O173" s="764"/>
      <c r="P173" s="764"/>
      <c r="Q173" s="764"/>
      <c r="R173" s="764"/>
      <c r="S173" s="764"/>
      <c r="T173" s="764"/>
      <c r="U173" s="764"/>
      <c r="V173" s="764"/>
      <c r="W173" s="764"/>
      <c r="X173" s="764"/>
      <c r="Y173" s="764"/>
      <c r="Z173" s="764"/>
      <c r="AA173" s="764"/>
      <c r="AB173" s="764"/>
      <c r="AC173" s="764"/>
      <c r="AS173" s="764"/>
      <c r="AT173" s="764"/>
      <c r="AU173" s="764"/>
      <c r="AV173" s="764"/>
      <c r="AW173" s="765"/>
      <c r="AX173" s="764"/>
      <c r="AY173" s="764"/>
      <c r="AZ173" s="764"/>
    </row>
    <row r="174" spans="1:52" ht="12.75" customHeight="1">
      <c r="A174" s="764"/>
      <c r="B174" s="764"/>
      <c r="C174" s="764"/>
      <c r="D174" s="764"/>
      <c r="E174" s="764"/>
      <c r="F174" s="764"/>
      <c r="G174" s="764"/>
      <c r="H174" s="764"/>
      <c r="I174" s="764"/>
      <c r="J174" s="764"/>
      <c r="K174" s="764"/>
      <c r="L174" s="764"/>
      <c r="M174" s="764"/>
      <c r="N174" s="764"/>
      <c r="O174" s="764"/>
      <c r="P174" s="764"/>
      <c r="Q174" s="764"/>
      <c r="R174" s="764"/>
      <c r="S174" s="764"/>
      <c r="T174" s="764"/>
      <c r="U174" s="764"/>
      <c r="V174" s="764"/>
      <c r="W174" s="764"/>
      <c r="X174" s="764"/>
      <c r="Y174" s="764"/>
      <c r="Z174" s="764"/>
      <c r="AA174" s="764"/>
      <c r="AB174" s="764"/>
      <c r="AC174" s="764"/>
      <c r="AS174" s="765"/>
      <c r="AT174" s="765"/>
      <c r="AU174" s="765"/>
      <c r="AV174" s="765"/>
      <c r="AW174" s="765"/>
      <c r="AX174" s="765"/>
      <c r="AY174" s="764"/>
      <c r="AZ174" s="764"/>
    </row>
    <row r="175" spans="1:52" ht="12.75" customHeight="1">
      <c r="A175" s="764"/>
      <c r="B175" s="764"/>
      <c r="C175" s="764"/>
      <c r="D175" s="764"/>
      <c r="E175" s="764"/>
      <c r="F175" s="764"/>
      <c r="G175" s="764"/>
      <c r="H175" s="764"/>
      <c r="I175" s="764"/>
      <c r="J175" s="764"/>
      <c r="K175" s="764"/>
      <c r="L175" s="764"/>
      <c r="M175" s="764"/>
      <c r="N175" s="764"/>
      <c r="O175" s="764"/>
      <c r="P175" s="764"/>
      <c r="Q175" s="764"/>
      <c r="R175" s="764"/>
      <c r="S175" s="764"/>
      <c r="T175" s="764"/>
      <c r="U175" s="764"/>
      <c r="V175" s="764"/>
      <c r="W175" s="764"/>
      <c r="X175" s="764"/>
      <c r="Y175" s="764"/>
      <c r="Z175" s="764"/>
      <c r="AA175" s="764"/>
      <c r="AB175" s="764"/>
      <c r="AC175" s="764"/>
      <c r="AS175" s="765"/>
      <c r="AT175" s="765"/>
      <c r="AU175" s="765"/>
      <c r="AV175" s="765"/>
      <c r="AW175" s="765"/>
      <c r="AX175" s="765"/>
      <c r="AY175" s="764"/>
      <c r="AZ175" s="764"/>
    </row>
    <row r="176" spans="1:52" ht="12.75" customHeight="1">
      <c r="A176" s="764"/>
      <c r="B176" s="764"/>
      <c r="C176" s="764"/>
      <c r="D176" s="764"/>
      <c r="E176" s="764"/>
      <c r="F176" s="764"/>
      <c r="G176" s="764"/>
      <c r="H176" s="764"/>
      <c r="I176" s="764"/>
      <c r="J176" s="764"/>
      <c r="K176" s="764"/>
      <c r="L176" s="764"/>
      <c r="M176" s="764"/>
      <c r="N176" s="764"/>
      <c r="O176" s="764"/>
      <c r="P176" s="764"/>
      <c r="Q176" s="764"/>
      <c r="R176" s="764"/>
      <c r="S176" s="764"/>
      <c r="T176" s="764"/>
      <c r="U176" s="764"/>
      <c r="V176" s="764"/>
      <c r="W176" s="764"/>
      <c r="X176" s="764"/>
      <c r="Y176" s="764"/>
      <c r="Z176" s="764"/>
      <c r="AA176" s="764"/>
      <c r="AB176" s="764"/>
      <c r="AC176" s="764"/>
      <c r="AS176" s="765"/>
      <c r="AT176" s="765"/>
      <c r="AU176" s="765"/>
      <c r="AV176" s="765"/>
      <c r="AW176" s="765"/>
      <c r="AX176" s="765"/>
      <c r="AY176" s="764"/>
      <c r="AZ176" s="764"/>
    </row>
    <row r="177" spans="1:52" ht="12.75" customHeight="1">
      <c r="A177" s="764"/>
      <c r="B177" s="764"/>
      <c r="C177" s="764"/>
      <c r="D177" s="764"/>
      <c r="E177" s="764"/>
      <c r="F177" s="764"/>
      <c r="G177" s="764"/>
      <c r="H177" s="764"/>
      <c r="I177" s="764"/>
      <c r="J177" s="764"/>
      <c r="K177" s="764"/>
      <c r="L177" s="764"/>
      <c r="M177" s="764"/>
      <c r="N177" s="764"/>
      <c r="O177" s="764"/>
      <c r="P177" s="764"/>
      <c r="Q177" s="764"/>
      <c r="R177" s="764"/>
      <c r="S177" s="764"/>
      <c r="T177" s="764"/>
      <c r="U177" s="764"/>
      <c r="V177" s="764"/>
      <c r="W177" s="764"/>
      <c r="X177" s="764"/>
      <c r="Y177" s="764"/>
      <c r="Z177" s="764"/>
      <c r="AA177" s="764"/>
      <c r="AB177" s="764"/>
      <c r="AC177" s="764"/>
      <c r="AS177" s="765"/>
      <c r="AT177" s="765"/>
      <c r="AU177" s="764"/>
      <c r="AV177" s="765"/>
      <c r="AW177" s="765"/>
      <c r="AX177" s="765"/>
      <c r="AY177" s="764"/>
      <c r="AZ177" s="764"/>
    </row>
    <row r="178" spans="1:52" ht="12.75" customHeight="1">
      <c r="A178" s="764"/>
      <c r="B178" s="764"/>
      <c r="C178" s="764"/>
      <c r="D178" s="764"/>
      <c r="E178" s="764"/>
      <c r="F178" s="764"/>
      <c r="G178" s="764"/>
      <c r="H178" s="764"/>
      <c r="I178" s="764"/>
      <c r="J178" s="764"/>
      <c r="K178" s="764"/>
      <c r="L178" s="764"/>
      <c r="M178" s="764"/>
      <c r="N178" s="764"/>
      <c r="O178" s="764"/>
      <c r="P178" s="764"/>
      <c r="Q178" s="764"/>
      <c r="R178" s="764"/>
      <c r="S178" s="764"/>
      <c r="T178" s="764"/>
      <c r="U178" s="764"/>
      <c r="V178" s="764"/>
      <c r="W178" s="764"/>
      <c r="X178" s="764"/>
      <c r="Y178" s="764"/>
      <c r="Z178" s="764"/>
      <c r="AA178" s="764"/>
      <c r="AB178" s="764"/>
      <c r="AC178" s="764"/>
      <c r="AS178" s="765"/>
      <c r="AT178" s="765"/>
      <c r="AU178" s="765"/>
      <c r="AV178" s="765"/>
      <c r="AW178" s="765"/>
      <c r="AX178" s="765"/>
      <c r="AY178" s="764"/>
      <c r="AZ178" s="764"/>
    </row>
    <row r="179" spans="1:52" ht="12.75" customHeight="1">
      <c r="A179" s="764"/>
      <c r="B179" s="764"/>
      <c r="C179" s="764"/>
      <c r="D179" s="764"/>
      <c r="E179" s="764"/>
      <c r="F179" s="764"/>
      <c r="G179" s="764"/>
      <c r="H179" s="764"/>
      <c r="I179" s="764"/>
      <c r="J179" s="764"/>
      <c r="K179" s="764"/>
      <c r="L179" s="764"/>
      <c r="M179" s="764"/>
      <c r="N179" s="764"/>
      <c r="O179" s="764"/>
      <c r="P179" s="764"/>
      <c r="Q179" s="764"/>
      <c r="R179" s="764"/>
      <c r="S179" s="764"/>
      <c r="T179" s="764"/>
      <c r="U179" s="764"/>
      <c r="V179" s="764"/>
      <c r="W179" s="764"/>
      <c r="X179" s="764"/>
      <c r="Y179" s="764"/>
      <c r="Z179" s="764"/>
      <c r="AA179" s="764"/>
      <c r="AB179" s="764"/>
      <c r="AC179" s="764"/>
      <c r="AS179" s="764"/>
      <c r="AT179" s="764"/>
      <c r="AU179" s="764"/>
      <c r="AV179" s="764"/>
      <c r="AW179" s="764"/>
      <c r="AX179" s="765"/>
      <c r="AY179" s="764"/>
      <c r="AZ179" s="764"/>
    </row>
    <row r="180" spans="1:52" ht="12.75" customHeight="1">
      <c r="A180" s="764"/>
      <c r="B180" s="764"/>
      <c r="C180" s="764"/>
      <c r="D180" s="764"/>
      <c r="E180" s="764"/>
      <c r="F180" s="764"/>
      <c r="G180" s="764"/>
      <c r="H180" s="764"/>
      <c r="I180" s="764"/>
      <c r="J180" s="764"/>
      <c r="K180" s="764"/>
      <c r="L180" s="764"/>
      <c r="M180" s="764"/>
      <c r="N180" s="764"/>
      <c r="O180" s="764"/>
      <c r="P180" s="764"/>
      <c r="Q180" s="764"/>
      <c r="R180" s="764"/>
      <c r="S180" s="764"/>
      <c r="T180" s="764"/>
      <c r="U180" s="764"/>
      <c r="V180" s="764"/>
      <c r="W180" s="764"/>
      <c r="X180" s="764"/>
      <c r="Y180" s="764"/>
      <c r="Z180" s="764"/>
      <c r="AA180" s="764"/>
      <c r="AB180" s="764"/>
      <c r="AC180" s="764"/>
      <c r="AS180" s="765"/>
      <c r="AT180" s="765"/>
      <c r="AU180" s="765"/>
      <c r="AV180" s="765"/>
      <c r="AW180" s="765"/>
      <c r="AX180" s="765"/>
      <c r="AY180" s="764"/>
      <c r="AZ180" s="764"/>
    </row>
    <row r="181" spans="1:52" ht="12.75" customHeight="1">
      <c r="A181" s="764"/>
      <c r="B181" s="764"/>
      <c r="C181" s="764"/>
      <c r="D181" s="764"/>
      <c r="E181" s="764"/>
      <c r="F181" s="764"/>
      <c r="G181" s="764"/>
      <c r="H181" s="764"/>
      <c r="I181" s="764"/>
      <c r="J181" s="764"/>
      <c r="K181" s="764"/>
      <c r="L181" s="764"/>
      <c r="M181" s="764"/>
      <c r="N181" s="764"/>
      <c r="O181" s="764"/>
      <c r="P181" s="764"/>
      <c r="Q181" s="764"/>
      <c r="R181" s="764"/>
      <c r="S181" s="764"/>
      <c r="T181" s="764"/>
      <c r="U181" s="764"/>
      <c r="V181" s="764"/>
      <c r="W181" s="764"/>
      <c r="X181" s="764"/>
      <c r="Y181" s="764"/>
      <c r="Z181" s="764"/>
      <c r="AA181" s="764"/>
      <c r="AB181" s="764"/>
      <c r="AC181" s="764"/>
      <c r="AS181" s="764"/>
      <c r="AT181" s="764"/>
      <c r="AU181" s="764"/>
      <c r="AV181" s="764"/>
      <c r="AW181" s="764"/>
      <c r="AX181" s="764"/>
      <c r="AY181" s="764"/>
      <c r="AZ181" s="764"/>
    </row>
    <row r="182" spans="1:52" ht="12.75" customHeight="1">
      <c r="A182" s="764"/>
      <c r="B182" s="764"/>
      <c r="C182" s="764"/>
      <c r="D182" s="764"/>
      <c r="E182" s="764"/>
      <c r="F182" s="764"/>
      <c r="G182" s="764"/>
      <c r="H182" s="764"/>
      <c r="I182" s="764"/>
      <c r="J182" s="764"/>
      <c r="K182" s="764"/>
      <c r="L182" s="764"/>
      <c r="M182" s="764"/>
      <c r="N182" s="764"/>
      <c r="O182" s="764"/>
      <c r="P182" s="764"/>
      <c r="Q182" s="764"/>
      <c r="R182" s="764"/>
      <c r="S182" s="764"/>
      <c r="T182" s="764"/>
      <c r="U182" s="764"/>
      <c r="V182" s="764"/>
      <c r="W182" s="764"/>
      <c r="X182" s="764"/>
      <c r="Y182" s="764"/>
      <c r="Z182" s="764"/>
      <c r="AA182" s="764"/>
      <c r="AB182" s="764"/>
      <c r="AC182" s="764"/>
      <c r="AS182" s="765"/>
      <c r="AT182" s="765"/>
      <c r="AU182" s="765"/>
      <c r="AV182" s="765"/>
      <c r="AW182" s="765"/>
      <c r="AX182" s="764"/>
      <c r="AY182" s="764"/>
      <c r="AZ182" s="764"/>
    </row>
    <row r="183" spans="1:52" ht="12.75" customHeight="1">
      <c r="A183" s="764"/>
      <c r="B183" s="764"/>
      <c r="C183" s="764"/>
      <c r="D183" s="764"/>
      <c r="E183" s="764"/>
      <c r="F183" s="764"/>
      <c r="G183" s="764"/>
      <c r="H183" s="764"/>
      <c r="I183" s="764"/>
      <c r="J183" s="764"/>
      <c r="K183" s="764"/>
      <c r="L183" s="764"/>
      <c r="M183" s="764"/>
      <c r="N183" s="764"/>
      <c r="O183" s="764"/>
      <c r="P183" s="764"/>
      <c r="Q183" s="764"/>
      <c r="R183" s="764"/>
      <c r="S183" s="764"/>
      <c r="T183" s="764"/>
      <c r="U183" s="764"/>
      <c r="V183" s="764"/>
      <c r="W183" s="764"/>
      <c r="X183" s="764"/>
      <c r="Y183" s="764"/>
      <c r="Z183" s="764"/>
      <c r="AA183" s="764"/>
      <c r="AB183" s="764"/>
      <c r="AC183" s="764"/>
      <c r="AS183" s="765"/>
      <c r="AT183" s="765"/>
      <c r="AU183" s="765"/>
      <c r="AV183" s="765"/>
      <c r="AW183" s="765"/>
      <c r="AX183" s="765"/>
      <c r="AY183" s="764"/>
      <c r="AZ183" s="764"/>
    </row>
    <row r="184" spans="1:52" ht="12.75" customHeight="1">
      <c r="A184" s="764"/>
      <c r="B184" s="764"/>
      <c r="C184" s="764"/>
      <c r="D184" s="764"/>
      <c r="E184" s="764"/>
      <c r="F184" s="764"/>
      <c r="G184" s="764"/>
      <c r="H184" s="764"/>
      <c r="I184" s="764"/>
      <c r="J184" s="764"/>
      <c r="K184" s="764"/>
      <c r="L184" s="764"/>
      <c r="M184" s="764"/>
      <c r="N184" s="764"/>
      <c r="O184" s="764"/>
      <c r="P184" s="764"/>
      <c r="Q184" s="764"/>
      <c r="R184" s="764"/>
      <c r="S184" s="764"/>
      <c r="T184" s="764"/>
      <c r="U184" s="764"/>
      <c r="V184" s="764"/>
      <c r="W184" s="764"/>
      <c r="X184" s="764"/>
      <c r="Y184" s="764"/>
      <c r="Z184" s="764"/>
      <c r="AA184" s="764"/>
      <c r="AB184" s="764"/>
      <c r="AC184" s="764"/>
      <c r="AS184" s="764"/>
      <c r="AT184" s="764"/>
      <c r="AU184" s="764"/>
      <c r="AV184" s="764"/>
      <c r="AW184" s="764"/>
      <c r="AX184" s="765"/>
      <c r="AY184" s="764"/>
      <c r="AZ184" s="764"/>
    </row>
    <row r="185" spans="1:52" ht="12.75" customHeight="1">
      <c r="A185" s="764"/>
      <c r="B185" s="764"/>
      <c r="C185" s="764"/>
      <c r="D185" s="764"/>
      <c r="E185" s="764"/>
      <c r="F185" s="764"/>
      <c r="G185" s="764"/>
      <c r="H185" s="764"/>
      <c r="I185" s="764"/>
      <c r="J185" s="764"/>
      <c r="K185" s="764"/>
      <c r="L185" s="764"/>
      <c r="M185" s="764"/>
      <c r="N185" s="764"/>
      <c r="O185" s="764"/>
      <c r="P185" s="764"/>
      <c r="Q185" s="764"/>
      <c r="R185" s="764"/>
      <c r="S185" s="764"/>
      <c r="T185" s="764"/>
      <c r="U185" s="764"/>
      <c r="V185" s="764"/>
      <c r="W185" s="764"/>
      <c r="X185" s="764"/>
      <c r="Y185" s="764"/>
      <c r="Z185" s="764"/>
      <c r="AA185" s="764"/>
      <c r="AB185" s="764"/>
      <c r="AC185" s="764"/>
      <c r="AS185" s="765"/>
      <c r="AT185" s="765"/>
      <c r="AU185" s="765"/>
      <c r="AV185" s="765"/>
      <c r="AW185" s="764"/>
      <c r="AX185" s="765"/>
      <c r="AY185" s="764"/>
      <c r="AZ185" s="764"/>
    </row>
    <row r="186" spans="1:52" ht="12.75" customHeight="1">
      <c r="A186" s="764"/>
      <c r="B186" s="764"/>
      <c r="C186" s="764"/>
      <c r="D186" s="764"/>
      <c r="E186" s="764"/>
      <c r="F186" s="764"/>
      <c r="G186" s="764"/>
      <c r="H186" s="764"/>
      <c r="I186" s="764"/>
      <c r="J186" s="764"/>
      <c r="K186" s="764"/>
      <c r="L186" s="764"/>
      <c r="M186" s="764"/>
      <c r="N186" s="764"/>
      <c r="O186" s="764"/>
      <c r="P186" s="764"/>
      <c r="Q186" s="764"/>
      <c r="R186" s="764"/>
      <c r="S186" s="764"/>
      <c r="T186" s="764"/>
      <c r="U186" s="764"/>
      <c r="V186" s="764"/>
      <c r="W186" s="764"/>
      <c r="X186" s="764"/>
      <c r="Y186" s="764"/>
      <c r="Z186" s="764"/>
      <c r="AA186" s="764"/>
      <c r="AB186" s="764"/>
      <c r="AC186" s="764"/>
      <c r="AS186" s="765"/>
      <c r="AT186" s="765"/>
      <c r="AU186" s="765"/>
      <c r="AV186" s="765"/>
      <c r="AW186" s="765"/>
      <c r="AX186" s="764"/>
      <c r="AY186" s="764"/>
      <c r="AZ186" s="764"/>
    </row>
    <row r="187" spans="1:52" ht="12.75" customHeight="1">
      <c r="A187" s="764"/>
      <c r="B187" s="764"/>
      <c r="C187" s="764"/>
      <c r="D187" s="764"/>
      <c r="E187" s="764"/>
      <c r="F187" s="764"/>
      <c r="G187" s="764"/>
      <c r="H187" s="764"/>
      <c r="I187" s="764"/>
      <c r="J187" s="764"/>
      <c r="K187" s="764"/>
      <c r="L187" s="764"/>
      <c r="M187" s="764"/>
      <c r="N187" s="764"/>
      <c r="O187" s="764"/>
      <c r="P187" s="764"/>
      <c r="Q187" s="764"/>
      <c r="R187" s="764"/>
      <c r="S187" s="764"/>
      <c r="T187" s="764"/>
      <c r="U187" s="764"/>
      <c r="V187" s="764"/>
      <c r="W187" s="764"/>
      <c r="X187" s="764"/>
      <c r="Y187" s="764"/>
      <c r="Z187" s="764"/>
      <c r="AA187" s="764"/>
      <c r="AB187" s="764"/>
      <c r="AC187" s="764"/>
      <c r="AS187" s="765"/>
      <c r="AT187" s="765"/>
      <c r="AU187" s="765"/>
      <c r="AV187" s="765"/>
      <c r="AW187" s="765"/>
      <c r="AX187" s="765"/>
      <c r="AY187" s="764"/>
      <c r="AZ187" s="764"/>
    </row>
    <row r="188" spans="1:52" ht="12.75" customHeight="1">
      <c r="A188" s="764"/>
      <c r="B188" s="764"/>
      <c r="C188" s="764"/>
      <c r="D188" s="764"/>
      <c r="E188" s="764"/>
      <c r="F188" s="764"/>
      <c r="G188" s="764"/>
      <c r="H188" s="764"/>
      <c r="I188" s="764"/>
      <c r="J188" s="764"/>
      <c r="K188" s="764"/>
      <c r="L188" s="764"/>
      <c r="M188" s="764"/>
      <c r="N188" s="764"/>
      <c r="O188" s="764"/>
      <c r="P188" s="764"/>
      <c r="Q188" s="764"/>
      <c r="R188" s="764"/>
      <c r="S188" s="764"/>
      <c r="T188" s="764"/>
      <c r="U188" s="764"/>
      <c r="V188" s="764"/>
      <c r="W188" s="764"/>
      <c r="X188" s="764"/>
      <c r="Y188" s="764"/>
      <c r="Z188" s="764"/>
      <c r="AA188" s="764"/>
      <c r="AB188" s="764"/>
      <c r="AC188" s="764"/>
      <c r="AS188" s="765"/>
      <c r="AT188" s="765"/>
      <c r="AU188" s="765"/>
      <c r="AV188" s="765"/>
      <c r="AW188" s="765"/>
      <c r="AX188" s="765"/>
      <c r="AY188" s="764"/>
      <c r="AZ188" s="764"/>
    </row>
    <row r="189" spans="1:52" ht="12.75" customHeight="1">
      <c r="A189" s="764"/>
      <c r="B189" s="764"/>
      <c r="C189" s="764"/>
      <c r="D189" s="764"/>
      <c r="E189" s="764"/>
      <c r="F189" s="764"/>
      <c r="G189" s="764"/>
      <c r="H189" s="764"/>
      <c r="I189" s="764"/>
      <c r="J189" s="764"/>
      <c r="K189" s="764"/>
      <c r="L189" s="764"/>
      <c r="M189" s="764"/>
      <c r="N189" s="764"/>
      <c r="O189" s="764"/>
      <c r="P189" s="764"/>
      <c r="Q189" s="764"/>
      <c r="R189" s="764"/>
      <c r="S189" s="764"/>
      <c r="T189" s="764"/>
      <c r="U189" s="764"/>
      <c r="V189" s="764"/>
      <c r="W189" s="764"/>
      <c r="X189" s="764"/>
      <c r="Y189" s="764"/>
      <c r="Z189" s="764"/>
      <c r="AA189" s="764"/>
      <c r="AB189" s="764"/>
      <c r="AC189" s="764"/>
      <c r="AS189" s="765"/>
      <c r="AT189" s="765"/>
      <c r="AU189" s="765"/>
      <c r="AV189" s="765"/>
      <c r="AW189" s="765"/>
      <c r="AX189" s="765"/>
      <c r="AY189" s="764"/>
      <c r="AZ189" s="764"/>
    </row>
    <row r="190" spans="1:52" ht="12.75" customHeight="1">
      <c r="A190" s="764"/>
      <c r="B190" s="764"/>
      <c r="C190" s="764"/>
      <c r="D190" s="764"/>
      <c r="E190" s="764"/>
      <c r="F190" s="764"/>
      <c r="G190" s="764"/>
      <c r="H190" s="764"/>
      <c r="I190" s="764"/>
      <c r="J190" s="764"/>
      <c r="K190" s="764"/>
      <c r="L190" s="764"/>
      <c r="M190" s="764"/>
      <c r="N190" s="764"/>
      <c r="O190" s="764"/>
      <c r="P190" s="764"/>
      <c r="Q190" s="764"/>
      <c r="R190" s="764"/>
      <c r="S190" s="764"/>
      <c r="T190" s="764"/>
      <c r="U190" s="764"/>
      <c r="V190" s="764"/>
      <c r="W190" s="764"/>
      <c r="X190" s="764"/>
      <c r="Y190" s="764"/>
      <c r="Z190" s="764"/>
      <c r="AA190" s="764"/>
      <c r="AB190" s="764"/>
      <c r="AC190" s="764"/>
      <c r="AS190" s="764"/>
      <c r="AT190" s="764"/>
      <c r="AU190" s="764"/>
      <c r="AV190" s="764"/>
      <c r="AW190" s="764"/>
      <c r="AX190" s="765"/>
      <c r="AY190" s="764"/>
      <c r="AZ190" s="764"/>
    </row>
    <row r="191" spans="1:52" ht="12.75" customHeight="1">
      <c r="A191" s="764"/>
      <c r="B191" s="764"/>
      <c r="C191" s="764"/>
      <c r="D191" s="764"/>
      <c r="E191" s="764"/>
      <c r="F191" s="764"/>
      <c r="G191" s="764"/>
      <c r="H191" s="764"/>
      <c r="I191" s="764"/>
      <c r="J191" s="764"/>
      <c r="K191" s="764"/>
      <c r="L191" s="764"/>
      <c r="M191" s="764"/>
      <c r="N191" s="764"/>
      <c r="O191" s="764"/>
      <c r="P191" s="764"/>
      <c r="Q191" s="764"/>
      <c r="R191" s="764"/>
      <c r="S191" s="764"/>
      <c r="T191" s="764"/>
      <c r="U191" s="764"/>
      <c r="V191" s="764"/>
      <c r="W191" s="764"/>
      <c r="X191" s="764"/>
      <c r="Y191" s="764"/>
      <c r="Z191" s="764"/>
      <c r="AA191" s="764"/>
      <c r="AB191" s="764"/>
      <c r="AC191" s="764"/>
      <c r="AS191" s="765"/>
      <c r="AT191" s="765"/>
      <c r="AU191" s="765"/>
      <c r="AV191" s="765"/>
      <c r="AW191" s="765"/>
      <c r="AX191" s="765"/>
      <c r="AY191" s="764"/>
      <c r="AZ191" s="764"/>
    </row>
    <row r="192" spans="1:52" ht="12.75" customHeight="1">
      <c r="A192" s="764"/>
      <c r="B192" s="764"/>
      <c r="C192" s="764"/>
      <c r="D192" s="764"/>
      <c r="E192" s="764"/>
      <c r="F192" s="764"/>
      <c r="G192" s="764"/>
      <c r="H192" s="764"/>
      <c r="I192" s="764"/>
      <c r="J192" s="764"/>
      <c r="K192" s="764"/>
      <c r="L192" s="764"/>
      <c r="M192" s="764"/>
      <c r="N192" s="764"/>
      <c r="O192" s="764"/>
      <c r="P192" s="764"/>
      <c r="Q192" s="764"/>
      <c r="R192" s="764"/>
      <c r="S192" s="764"/>
      <c r="T192" s="764"/>
      <c r="U192" s="764"/>
      <c r="V192" s="764"/>
      <c r="W192" s="764"/>
      <c r="X192" s="764"/>
      <c r="Y192" s="764"/>
      <c r="Z192" s="764"/>
      <c r="AA192" s="764"/>
      <c r="AB192" s="764"/>
      <c r="AC192" s="764"/>
      <c r="AS192" s="765"/>
      <c r="AT192" s="765"/>
      <c r="AU192" s="765"/>
      <c r="AV192" s="765"/>
      <c r="AW192" s="765"/>
      <c r="AX192" s="765"/>
      <c r="AY192" s="764"/>
      <c r="AZ192" s="764"/>
    </row>
    <row r="193" spans="1:52" ht="12.75" customHeight="1">
      <c r="A193" s="764"/>
      <c r="B193" s="764"/>
      <c r="C193" s="764"/>
      <c r="D193" s="764"/>
      <c r="E193" s="764"/>
      <c r="F193" s="764"/>
      <c r="G193" s="764"/>
      <c r="H193" s="764"/>
      <c r="I193" s="764"/>
      <c r="J193" s="764"/>
      <c r="K193" s="764"/>
      <c r="L193" s="764"/>
      <c r="M193" s="764"/>
      <c r="N193" s="764"/>
      <c r="O193" s="764"/>
      <c r="P193" s="764"/>
      <c r="Q193" s="764"/>
      <c r="R193" s="764"/>
      <c r="S193" s="764"/>
      <c r="T193" s="764"/>
      <c r="U193" s="764"/>
      <c r="V193" s="764"/>
      <c r="W193" s="764"/>
      <c r="X193" s="764"/>
      <c r="Y193" s="764"/>
      <c r="Z193" s="764"/>
      <c r="AA193" s="764"/>
      <c r="AB193" s="764"/>
      <c r="AC193" s="764"/>
      <c r="AS193" s="765"/>
      <c r="AT193" s="765"/>
      <c r="AU193" s="765"/>
      <c r="AV193" s="765"/>
      <c r="AW193" s="765"/>
      <c r="AX193" s="765"/>
      <c r="AY193" s="764"/>
      <c r="AZ193" s="764"/>
    </row>
    <row r="194" spans="1:52" ht="12.75" customHeight="1">
      <c r="A194" s="764"/>
      <c r="B194" s="764"/>
      <c r="C194" s="764"/>
      <c r="D194" s="764"/>
      <c r="E194" s="764"/>
      <c r="F194" s="764"/>
      <c r="G194" s="764"/>
      <c r="H194" s="764"/>
      <c r="I194" s="764"/>
      <c r="J194" s="764"/>
      <c r="K194" s="764"/>
      <c r="L194" s="764"/>
      <c r="M194" s="764"/>
      <c r="N194" s="764"/>
      <c r="O194" s="764"/>
      <c r="P194" s="764"/>
      <c r="Q194" s="764"/>
      <c r="R194" s="764"/>
      <c r="S194" s="764"/>
      <c r="T194" s="764"/>
      <c r="U194" s="764"/>
      <c r="V194" s="764"/>
      <c r="W194" s="764"/>
      <c r="X194" s="764"/>
      <c r="Y194" s="764"/>
      <c r="Z194" s="764"/>
      <c r="AA194" s="764"/>
      <c r="AB194" s="764"/>
      <c r="AC194" s="764"/>
      <c r="AS194" s="765"/>
      <c r="AT194" s="765"/>
      <c r="AU194" s="765"/>
      <c r="AV194" s="765"/>
      <c r="AW194" s="765"/>
      <c r="AX194" s="765"/>
      <c r="AY194" s="764"/>
      <c r="AZ194" s="764"/>
    </row>
    <row r="195" spans="1:52" ht="12.75" customHeight="1">
      <c r="A195" s="764"/>
      <c r="B195" s="764"/>
      <c r="C195" s="764"/>
      <c r="D195" s="764"/>
      <c r="E195" s="764"/>
      <c r="F195" s="764"/>
      <c r="G195" s="764"/>
      <c r="H195" s="764"/>
      <c r="I195" s="764"/>
      <c r="J195" s="764"/>
      <c r="K195" s="764"/>
      <c r="L195" s="764"/>
      <c r="M195" s="764"/>
      <c r="N195" s="764"/>
      <c r="O195" s="764"/>
      <c r="P195" s="764"/>
      <c r="Q195" s="764"/>
      <c r="R195" s="764"/>
      <c r="S195" s="764"/>
      <c r="T195" s="764"/>
      <c r="U195" s="764"/>
      <c r="V195" s="764"/>
      <c r="W195" s="764"/>
      <c r="X195" s="764"/>
      <c r="Y195" s="764"/>
      <c r="Z195" s="764"/>
      <c r="AA195" s="764"/>
      <c r="AB195" s="764"/>
      <c r="AC195" s="764"/>
      <c r="AS195" s="765"/>
      <c r="AT195" s="765"/>
      <c r="AU195" s="765"/>
      <c r="AV195" s="765"/>
      <c r="AW195" s="765"/>
      <c r="AX195" s="765"/>
      <c r="AY195" s="764"/>
      <c r="AZ195" s="764"/>
    </row>
    <row r="196" spans="1:52" ht="12.75" customHeight="1">
      <c r="A196" s="764"/>
      <c r="B196" s="764"/>
      <c r="C196" s="764"/>
      <c r="D196" s="764"/>
      <c r="E196" s="764"/>
      <c r="F196" s="764"/>
      <c r="G196" s="764"/>
      <c r="H196" s="764"/>
      <c r="I196" s="764"/>
      <c r="J196" s="764"/>
      <c r="K196" s="764"/>
      <c r="L196" s="764"/>
      <c r="M196" s="764"/>
      <c r="N196" s="764"/>
      <c r="O196" s="764"/>
      <c r="P196" s="764"/>
      <c r="Q196" s="764"/>
      <c r="R196" s="764"/>
      <c r="S196" s="764"/>
      <c r="T196" s="764"/>
      <c r="U196" s="764"/>
      <c r="V196" s="764"/>
      <c r="W196" s="764"/>
      <c r="X196" s="764"/>
      <c r="Y196" s="764"/>
      <c r="Z196" s="764"/>
      <c r="AA196" s="764"/>
      <c r="AB196" s="764"/>
      <c r="AC196" s="764"/>
      <c r="AS196" s="765"/>
      <c r="AT196" s="765"/>
      <c r="AU196" s="765"/>
      <c r="AV196" s="765"/>
      <c r="AW196" s="765"/>
      <c r="AX196" s="764"/>
      <c r="AY196" s="764"/>
      <c r="AZ196" s="764"/>
    </row>
    <row r="197" spans="1:52" ht="12.75" customHeight="1">
      <c r="A197" s="764"/>
      <c r="B197" s="764"/>
      <c r="C197" s="764"/>
      <c r="D197" s="764"/>
      <c r="E197" s="764"/>
      <c r="F197" s="764"/>
      <c r="G197" s="764"/>
      <c r="H197" s="764"/>
      <c r="I197" s="764"/>
      <c r="J197" s="764"/>
      <c r="K197" s="764"/>
      <c r="L197" s="764"/>
      <c r="M197" s="764"/>
      <c r="N197" s="764"/>
      <c r="O197" s="764"/>
      <c r="P197" s="764"/>
      <c r="Q197" s="764"/>
      <c r="R197" s="764"/>
      <c r="S197" s="764"/>
      <c r="T197" s="764"/>
      <c r="U197" s="764"/>
      <c r="V197" s="764"/>
      <c r="W197" s="764"/>
      <c r="X197" s="764"/>
      <c r="Y197" s="764"/>
      <c r="Z197" s="764"/>
      <c r="AA197" s="764"/>
      <c r="AB197" s="764"/>
      <c r="AC197" s="764"/>
      <c r="AS197" s="765"/>
      <c r="AT197" s="765"/>
      <c r="AU197" s="765"/>
      <c r="AV197" s="765"/>
      <c r="AW197" s="765"/>
      <c r="AX197" s="765"/>
      <c r="AY197" s="764"/>
      <c r="AZ197" s="764"/>
    </row>
    <row r="198" spans="1:52" ht="12.75" customHeight="1">
      <c r="A198" s="764"/>
      <c r="B198" s="764"/>
      <c r="C198" s="764"/>
      <c r="D198" s="764"/>
      <c r="E198" s="764"/>
      <c r="F198" s="764"/>
      <c r="G198" s="764"/>
      <c r="H198" s="764"/>
      <c r="I198" s="764"/>
      <c r="J198" s="764"/>
      <c r="K198" s="764"/>
      <c r="L198" s="764"/>
      <c r="M198" s="764"/>
      <c r="N198" s="764"/>
      <c r="O198" s="764"/>
      <c r="P198" s="764"/>
      <c r="Q198" s="764"/>
      <c r="R198" s="764"/>
      <c r="S198" s="764"/>
      <c r="T198" s="764"/>
      <c r="U198" s="764"/>
      <c r="V198" s="764"/>
      <c r="W198" s="764"/>
      <c r="X198" s="764"/>
      <c r="Y198" s="764"/>
      <c r="Z198" s="764"/>
      <c r="AA198" s="764"/>
      <c r="AB198" s="764"/>
      <c r="AC198" s="764"/>
      <c r="AS198" s="765"/>
      <c r="AT198" s="765"/>
      <c r="AU198" s="764"/>
      <c r="AV198" s="765"/>
      <c r="AW198" s="765"/>
      <c r="AX198" s="764"/>
      <c r="AY198" s="764"/>
      <c r="AZ198" s="764"/>
    </row>
    <row r="199" spans="1:52" ht="12.75" customHeight="1">
      <c r="A199" s="764"/>
      <c r="B199" s="764"/>
      <c r="C199" s="764"/>
      <c r="D199" s="764"/>
      <c r="E199" s="764"/>
      <c r="F199" s="764"/>
      <c r="G199" s="764"/>
      <c r="H199" s="764"/>
      <c r="I199" s="764"/>
      <c r="J199" s="764"/>
      <c r="K199" s="764"/>
      <c r="L199" s="764"/>
      <c r="M199" s="764"/>
      <c r="N199" s="764"/>
      <c r="O199" s="764"/>
      <c r="P199" s="764"/>
      <c r="Q199" s="764"/>
      <c r="R199" s="764"/>
      <c r="S199" s="764"/>
      <c r="T199" s="764"/>
      <c r="U199" s="764"/>
      <c r="V199" s="764"/>
      <c r="W199" s="764"/>
      <c r="X199" s="764"/>
      <c r="Y199" s="764"/>
      <c r="Z199" s="764"/>
      <c r="AA199" s="764"/>
      <c r="AB199" s="764"/>
      <c r="AC199" s="764"/>
      <c r="AS199" s="765"/>
      <c r="AT199" s="765"/>
      <c r="AU199" s="765"/>
      <c r="AV199" s="765"/>
      <c r="AW199" s="765"/>
      <c r="AX199" s="764"/>
      <c r="AY199" s="764"/>
      <c r="AZ199" s="764"/>
    </row>
    <row r="200" spans="1:52" ht="12.75" customHeight="1">
      <c r="A200" s="764"/>
      <c r="B200" s="764"/>
      <c r="C200" s="764"/>
      <c r="D200" s="764"/>
      <c r="E200" s="764"/>
      <c r="F200" s="764"/>
      <c r="G200" s="764"/>
      <c r="H200" s="764"/>
      <c r="I200" s="764"/>
      <c r="J200" s="764"/>
      <c r="K200" s="764"/>
      <c r="L200" s="764"/>
      <c r="M200" s="764"/>
      <c r="N200" s="764"/>
      <c r="O200" s="764"/>
      <c r="P200" s="764"/>
      <c r="Q200" s="764"/>
      <c r="R200" s="764"/>
      <c r="S200" s="764"/>
      <c r="T200" s="764"/>
      <c r="U200" s="764"/>
      <c r="V200" s="764"/>
      <c r="W200" s="764"/>
      <c r="X200" s="764"/>
      <c r="Y200" s="764"/>
      <c r="Z200" s="764"/>
      <c r="AA200" s="764"/>
      <c r="AB200" s="764"/>
      <c r="AC200" s="764"/>
      <c r="AS200" s="765"/>
      <c r="AT200" s="765"/>
      <c r="AU200" s="765"/>
      <c r="AV200" s="765"/>
      <c r="AW200" s="765"/>
      <c r="AX200" s="765"/>
      <c r="AY200" s="764"/>
      <c r="AZ200" s="764"/>
    </row>
    <row r="201" spans="1:52" ht="12.75" customHeight="1">
      <c r="A201" s="764"/>
      <c r="B201" s="764"/>
      <c r="C201" s="764"/>
      <c r="D201" s="764"/>
      <c r="E201" s="764"/>
      <c r="F201" s="764"/>
      <c r="G201" s="764"/>
      <c r="H201" s="764"/>
      <c r="I201" s="764"/>
      <c r="J201" s="764"/>
      <c r="K201" s="764"/>
      <c r="L201" s="764"/>
      <c r="M201" s="764"/>
      <c r="N201" s="764"/>
      <c r="O201" s="764"/>
      <c r="P201" s="764"/>
      <c r="Q201" s="764"/>
      <c r="R201" s="764"/>
      <c r="S201" s="764"/>
      <c r="T201" s="764"/>
      <c r="U201" s="764"/>
      <c r="V201" s="764"/>
      <c r="W201" s="764"/>
      <c r="X201" s="764"/>
      <c r="Y201" s="764"/>
      <c r="Z201" s="764"/>
      <c r="AA201" s="764"/>
      <c r="AB201" s="764"/>
      <c r="AC201" s="764"/>
      <c r="AS201" s="765"/>
      <c r="AT201" s="765"/>
      <c r="AU201" s="765"/>
      <c r="AV201" s="765"/>
      <c r="AW201" s="765"/>
      <c r="AX201" s="765"/>
      <c r="AY201" s="764"/>
      <c r="AZ201" s="764"/>
    </row>
    <row r="202" spans="1:52" ht="12.75" customHeight="1">
      <c r="A202" s="764"/>
      <c r="B202" s="764"/>
      <c r="C202" s="764"/>
      <c r="D202" s="764"/>
      <c r="E202" s="764"/>
      <c r="F202" s="764"/>
      <c r="G202" s="764"/>
      <c r="H202" s="764"/>
      <c r="I202" s="764"/>
      <c r="J202" s="764"/>
      <c r="K202" s="764"/>
      <c r="L202" s="764"/>
      <c r="M202" s="764"/>
      <c r="N202" s="764"/>
      <c r="O202" s="764"/>
      <c r="P202" s="764"/>
      <c r="Q202" s="764"/>
      <c r="R202" s="764"/>
      <c r="S202" s="764"/>
      <c r="T202" s="764"/>
      <c r="U202" s="764"/>
      <c r="V202" s="764"/>
      <c r="W202" s="764"/>
      <c r="X202" s="764"/>
      <c r="Y202" s="764"/>
      <c r="Z202" s="764"/>
      <c r="AA202" s="764"/>
      <c r="AB202" s="764"/>
      <c r="AC202" s="764"/>
      <c r="AS202" s="765"/>
      <c r="AT202" s="765"/>
      <c r="AU202" s="765"/>
      <c r="AV202" s="765"/>
      <c r="AW202" s="765"/>
      <c r="AX202" s="765"/>
      <c r="AY202" s="764"/>
      <c r="AZ202" s="764"/>
    </row>
    <row r="203" spans="1:52" ht="12.75" customHeight="1">
      <c r="A203" s="764"/>
      <c r="B203" s="764"/>
      <c r="C203" s="764"/>
      <c r="D203" s="764"/>
      <c r="E203" s="764"/>
      <c r="F203" s="764"/>
      <c r="G203" s="764"/>
      <c r="H203" s="764"/>
      <c r="I203" s="764"/>
      <c r="J203" s="764"/>
      <c r="K203" s="764"/>
      <c r="L203" s="764"/>
      <c r="M203" s="764"/>
      <c r="N203" s="764"/>
      <c r="O203" s="764"/>
      <c r="P203" s="764"/>
      <c r="Q203" s="764"/>
      <c r="R203" s="764"/>
      <c r="S203" s="764"/>
      <c r="T203" s="764"/>
      <c r="U203" s="764"/>
      <c r="V203" s="764"/>
      <c r="W203" s="764"/>
      <c r="X203" s="764"/>
      <c r="Y203" s="764"/>
      <c r="Z203" s="764"/>
      <c r="AA203" s="764"/>
      <c r="AB203" s="764"/>
      <c r="AC203" s="764"/>
      <c r="AS203" s="765"/>
      <c r="AT203" s="765"/>
      <c r="AU203" s="764"/>
      <c r="AV203" s="765"/>
      <c r="AW203" s="765"/>
      <c r="AX203" s="765"/>
      <c r="AY203" s="764"/>
      <c r="AZ203" s="764"/>
    </row>
    <row r="204" spans="1:52" ht="12.75" customHeight="1">
      <c r="A204" s="764"/>
      <c r="B204" s="764"/>
      <c r="C204" s="764"/>
      <c r="D204" s="764"/>
      <c r="E204" s="764"/>
      <c r="F204" s="764"/>
      <c r="G204" s="764"/>
      <c r="H204" s="764"/>
      <c r="I204" s="764"/>
      <c r="J204" s="764"/>
      <c r="K204" s="764"/>
      <c r="L204" s="764"/>
      <c r="M204" s="764"/>
      <c r="N204" s="764"/>
      <c r="O204" s="764"/>
      <c r="P204" s="764"/>
      <c r="Q204" s="764"/>
      <c r="R204" s="764"/>
      <c r="S204" s="764"/>
      <c r="T204" s="764"/>
      <c r="U204" s="764"/>
      <c r="V204" s="764"/>
      <c r="W204" s="764"/>
      <c r="X204" s="764"/>
      <c r="Y204" s="764"/>
      <c r="Z204" s="764"/>
      <c r="AA204" s="764"/>
      <c r="AB204" s="764"/>
      <c r="AC204" s="764"/>
      <c r="AS204" s="765"/>
      <c r="AT204" s="765"/>
      <c r="AU204" s="765"/>
      <c r="AV204" s="765"/>
      <c r="AW204" s="765"/>
      <c r="AX204" s="765"/>
      <c r="AY204" s="764"/>
      <c r="AZ204" s="764"/>
    </row>
    <row r="205" spans="1:52" ht="12.75" customHeight="1">
      <c r="A205" s="764"/>
      <c r="B205" s="764"/>
      <c r="C205" s="764"/>
      <c r="D205" s="764"/>
      <c r="E205" s="764"/>
      <c r="F205" s="764"/>
      <c r="G205" s="764"/>
      <c r="H205" s="764"/>
      <c r="I205" s="764"/>
      <c r="J205" s="764"/>
      <c r="K205" s="764"/>
      <c r="L205" s="764"/>
      <c r="M205" s="764"/>
      <c r="N205" s="764"/>
      <c r="O205" s="764"/>
      <c r="P205" s="764"/>
      <c r="Q205" s="764"/>
      <c r="R205" s="764"/>
      <c r="S205" s="764"/>
      <c r="T205" s="764"/>
      <c r="U205" s="764"/>
      <c r="V205" s="764"/>
      <c r="W205" s="764"/>
      <c r="X205" s="764"/>
      <c r="Y205" s="764"/>
      <c r="Z205" s="764"/>
      <c r="AA205" s="764"/>
      <c r="AB205" s="764"/>
      <c r="AC205" s="764"/>
      <c r="AS205" s="764"/>
      <c r="AT205" s="764"/>
      <c r="AU205" s="764"/>
      <c r="AV205" s="764"/>
      <c r="AW205" s="764"/>
      <c r="AX205" s="765"/>
      <c r="AY205" s="764"/>
      <c r="AZ205" s="764"/>
    </row>
    <row r="206" spans="1:52" ht="12.75" customHeight="1">
      <c r="A206" s="764"/>
      <c r="B206" s="764"/>
      <c r="C206" s="764"/>
      <c r="D206" s="764"/>
      <c r="E206" s="764"/>
      <c r="F206" s="764"/>
      <c r="G206" s="764"/>
      <c r="H206" s="764"/>
      <c r="I206" s="764"/>
      <c r="J206" s="764"/>
      <c r="K206" s="764"/>
      <c r="L206" s="764"/>
      <c r="M206" s="764"/>
      <c r="N206" s="764"/>
      <c r="O206" s="764"/>
      <c r="P206" s="764"/>
      <c r="Q206" s="764"/>
      <c r="R206" s="764"/>
      <c r="S206" s="764"/>
      <c r="T206" s="764"/>
      <c r="U206" s="764"/>
      <c r="V206" s="764"/>
      <c r="W206" s="764"/>
      <c r="X206" s="764"/>
      <c r="Y206" s="764"/>
      <c r="Z206" s="764"/>
      <c r="AA206" s="764"/>
      <c r="AB206" s="764"/>
      <c r="AC206" s="764"/>
      <c r="AS206" s="765"/>
      <c r="AT206" s="765"/>
      <c r="AU206" s="765"/>
      <c r="AV206" s="765"/>
      <c r="AW206" s="765"/>
      <c r="AX206" s="765"/>
      <c r="AY206" s="764"/>
      <c r="AZ206" s="764"/>
    </row>
    <row r="207" spans="1:52" ht="12.75" customHeight="1">
      <c r="A207" s="764"/>
      <c r="B207" s="764"/>
      <c r="C207" s="764"/>
      <c r="D207" s="764"/>
      <c r="E207" s="764"/>
      <c r="F207" s="764"/>
      <c r="G207" s="764"/>
      <c r="H207" s="764"/>
      <c r="I207" s="764"/>
      <c r="J207" s="764"/>
      <c r="K207" s="764"/>
      <c r="L207" s="764"/>
      <c r="M207" s="764"/>
      <c r="N207" s="764"/>
      <c r="O207" s="764"/>
      <c r="P207" s="764"/>
      <c r="Q207" s="764"/>
      <c r="R207" s="764"/>
      <c r="S207" s="764"/>
      <c r="T207" s="764"/>
      <c r="U207" s="764"/>
      <c r="V207" s="764"/>
      <c r="W207" s="764"/>
      <c r="X207" s="764"/>
      <c r="Y207" s="764"/>
      <c r="Z207" s="764"/>
      <c r="AA207" s="764"/>
      <c r="AB207" s="764"/>
      <c r="AC207" s="764"/>
      <c r="AS207" s="765"/>
      <c r="AT207" s="765"/>
      <c r="AU207" s="765"/>
      <c r="AV207" s="765"/>
      <c r="AW207" s="765"/>
      <c r="AX207" s="765"/>
      <c r="AY207" s="764"/>
      <c r="AZ207" s="764"/>
    </row>
    <row r="208" spans="1:52" ht="12.75" customHeight="1">
      <c r="A208" s="764"/>
      <c r="B208" s="764"/>
      <c r="C208" s="764"/>
      <c r="D208" s="764"/>
      <c r="E208" s="764"/>
      <c r="F208" s="764"/>
      <c r="G208" s="764"/>
      <c r="H208" s="764"/>
      <c r="I208" s="764"/>
      <c r="J208" s="764"/>
      <c r="K208" s="764"/>
      <c r="L208" s="764"/>
      <c r="M208" s="764"/>
      <c r="N208" s="764"/>
      <c r="O208" s="764"/>
      <c r="P208" s="764"/>
      <c r="Q208" s="764"/>
      <c r="R208" s="764"/>
      <c r="S208" s="764"/>
      <c r="T208" s="764"/>
      <c r="U208" s="764"/>
      <c r="V208" s="764"/>
      <c r="W208" s="764"/>
      <c r="X208" s="764"/>
      <c r="Y208" s="764"/>
      <c r="Z208" s="764"/>
      <c r="AA208" s="764"/>
      <c r="AB208" s="764"/>
      <c r="AC208" s="764"/>
      <c r="AS208" s="764"/>
      <c r="AT208" s="764"/>
      <c r="AU208" s="764"/>
      <c r="AV208" s="764"/>
      <c r="AW208" s="764"/>
      <c r="AX208" s="765"/>
      <c r="AY208" s="764"/>
      <c r="AZ208" s="764"/>
    </row>
    <row r="209" spans="1:52" ht="12.75" customHeight="1">
      <c r="A209" s="764"/>
      <c r="B209" s="764"/>
      <c r="C209" s="764"/>
      <c r="D209" s="764"/>
      <c r="E209" s="764"/>
      <c r="F209" s="764"/>
      <c r="G209" s="764"/>
      <c r="H209" s="764"/>
      <c r="I209" s="764"/>
      <c r="J209" s="764"/>
      <c r="K209" s="764"/>
      <c r="L209" s="764"/>
      <c r="M209" s="764"/>
      <c r="N209" s="764"/>
      <c r="O209" s="764"/>
      <c r="P209" s="764"/>
      <c r="Q209" s="764"/>
      <c r="R209" s="764"/>
      <c r="S209" s="764"/>
      <c r="T209" s="764"/>
      <c r="U209" s="764"/>
      <c r="V209" s="764"/>
      <c r="W209" s="764"/>
      <c r="X209" s="764"/>
      <c r="Y209" s="764"/>
      <c r="Z209" s="764"/>
      <c r="AA209" s="764"/>
      <c r="AB209" s="764"/>
      <c r="AC209" s="764"/>
      <c r="AS209" s="764"/>
      <c r="AT209" s="764"/>
      <c r="AU209" s="764"/>
      <c r="AV209" s="764"/>
      <c r="AW209" s="764"/>
      <c r="AX209" s="765"/>
      <c r="AY209" s="764"/>
      <c r="AZ209" s="764"/>
    </row>
    <row r="210" spans="1:52" ht="12.75" customHeight="1">
      <c r="A210" s="764"/>
      <c r="B210" s="764"/>
      <c r="C210" s="764"/>
      <c r="D210" s="764"/>
      <c r="E210" s="764"/>
      <c r="F210" s="764"/>
      <c r="G210" s="764"/>
      <c r="H210" s="764"/>
      <c r="I210" s="764"/>
      <c r="J210" s="764"/>
      <c r="K210" s="764"/>
      <c r="L210" s="764"/>
      <c r="M210" s="764"/>
      <c r="N210" s="764"/>
      <c r="O210" s="764"/>
      <c r="P210" s="764"/>
      <c r="Q210" s="764"/>
      <c r="R210" s="764"/>
      <c r="S210" s="764"/>
      <c r="T210" s="764"/>
      <c r="U210" s="764"/>
      <c r="V210" s="764"/>
      <c r="W210" s="764"/>
      <c r="X210" s="764"/>
      <c r="Y210" s="764"/>
      <c r="Z210" s="764"/>
      <c r="AA210" s="764"/>
      <c r="AB210" s="764"/>
      <c r="AC210" s="764"/>
      <c r="AS210" s="764"/>
      <c r="AT210" s="764"/>
      <c r="AU210" s="764"/>
      <c r="AV210" s="764"/>
      <c r="AW210" s="764"/>
      <c r="AX210" s="765"/>
      <c r="AY210" s="764"/>
      <c r="AZ210" s="764"/>
    </row>
    <row r="211" spans="1:52" ht="12.75" customHeight="1">
      <c r="A211" s="764"/>
      <c r="B211" s="764"/>
      <c r="C211" s="764"/>
      <c r="D211" s="764"/>
      <c r="E211" s="764"/>
      <c r="F211" s="764"/>
      <c r="G211" s="764"/>
      <c r="H211" s="764"/>
      <c r="I211" s="764"/>
      <c r="J211" s="764"/>
      <c r="K211" s="764"/>
      <c r="L211" s="764"/>
      <c r="M211" s="764"/>
      <c r="N211" s="764"/>
      <c r="O211" s="764"/>
      <c r="P211" s="764"/>
      <c r="Q211" s="764"/>
      <c r="R211" s="764"/>
      <c r="S211" s="764"/>
      <c r="T211" s="764"/>
      <c r="U211" s="764"/>
      <c r="V211" s="764"/>
      <c r="W211" s="764"/>
      <c r="X211" s="764"/>
      <c r="Y211" s="764"/>
      <c r="Z211" s="764"/>
      <c r="AA211" s="764"/>
      <c r="AB211" s="764"/>
      <c r="AC211" s="764"/>
      <c r="AS211" s="765"/>
      <c r="AT211" s="765"/>
      <c r="AU211" s="765"/>
      <c r="AV211" s="765"/>
      <c r="AW211" s="765"/>
      <c r="AX211" s="765"/>
      <c r="AY211" s="764"/>
      <c r="AZ211" s="764"/>
    </row>
    <row r="212" spans="1:52" ht="12.75" customHeight="1">
      <c r="A212" s="764"/>
      <c r="B212" s="764"/>
      <c r="C212" s="764"/>
      <c r="D212" s="764"/>
      <c r="E212" s="764"/>
      <c r="F212" s="764"/>
      <c r="G212" s="764"/>
      <c r="H212" s="764"/>
      <c r="I212" s="764"/>
      <c r="J212" s="764"/>
      <c r="K212" s="764"/>
      <c r="L212" s="764"/>
      <c r="M212" s="764"/>
      <c r="N212" s="764"/>
      <c r="O212" s="764"/>
      <c r="P212" s="764"/>
      <c r="Q212" s="764"/>
      <c r="R212" s="764"/>
      <c r="S212" s="764"/>
      <c r="T212" s="764"/>
      <c r="U212" s="764"/>
      <c r="V212" s="764"/>
      <c r="W212" s="764"/>
      <c r="X212" s="764"/>
      <c r="Y212" s="764"/>
      <c r="Z212" s="764"/>
      <c r="AA212" s="764"/>
      <c r="AB212" s="764"/>
      <c r="AC212" s="764"/>
      <c r="AS212" s="765"/>
      <c r="AT212" s="765"/>
      <c r="AU212" s="765"/>
      <c r="AV212" s="765"/>
      <c r="AW212" s="764"/>
      <c r="AX212" s="765"/>
      <c r="AY212" s="764"/>
      <c r="AZ212" s="764"/>
    </row>
    <row r="213" spans="1:52" ht="12.75" customHeight="1">
      <c r="A213" s="764"/>
      <c r="B213" s="764"/>
      <c r="C213" s="764"/>
      <c r="D213" s="764"/>
      <c r="E213" s="764"/>
      <c r="F213" s="764"/>
      <c r="G213" s="764"/>
      <c r="H213" s="764"/>
      <c r="I213" s="764"/>
      <c r="J213" s="764"/>
      <c r="K213" s="764"/>
      <c r="L213" s="764"/>
      <c r="M213" s="764"/>
      <c r="N213" s="764"/>
      <c r="O213" s="764"/>
      <c r="P213" s="764"/>
      <c r="Q213" s="764"/>
      <c r="R213" s="764"/>
      <c r="S213" s="764"/>
      <c r="T213" s="764"/>
      <c r="U213" s="764"/>
      <c r="V213" s="764"/>
      <c r="W213" s="764"/>
      <c r="X213" s="764"/>
      <c r="Y213" s="764"/>
      <c r="Z213" s="764"/>
      <c r="AA213" s="764"/>
      <c r="AB213" s="764"/>
      <c r="AC213" s="764"/>
      <c r="AS213" s="764"/>
      <c r="AT213" s="765"/>
      <c r="AU213" s="765"/>
      <c r="AV213" s="764"/>
      <c r="AW213" s="765"/>
      <c r="AX213" s="765"/>
      <c r="AY213" s="764"/>
      <c r="AZ213" s="764"/>
    </row>
    <row r="214" spans="1:52" ht="12.75" customHeight="1">
      <c r="A214" s="764"/>
      <c r="B214" s="764"/>
      <c r="C214" s="764"/>
      <c r="D214" s="764"/>
      <c r="E214" s="764"/>
      <c r="F214" s="764"/>
      <c r="G214" s="764"/>
      <c r="H214" s="764"/>
      <c r="I214" s="764"/>
      <c r="J214" s="764"/>
      <c r="K214" s="764"/>
      <c r="L214" s="764"/>
      <c r="M214" s="764"/>
      <c r="N214" s="764"/>
      <c r="O214" s="764"/>
      <c r="P214" s="764"/>
      <c r="Q214" s="764"/>
      <c r="R214" s="764"/>
      <c r="S214" s="764"/>
      <c r="T214" s="764"/>
      <c r="U214" s="764"/>
      <c r="V214" s="764"/>
      <c r="W214" s="764"/>
      <c r="X214" s="764"/>
      <c r="Y214" s="764"/>
      <c r="Z214" s="764"/>
      <c r="AA214" s="764"/>
      <c r="AB214" s="764"/>
      <c r="AC214" s="764"/>
      <c r="AS214" s="765"/>
      <c r="AT214" s="765"/>
      <c r="AU214" s="765"/>
      <c r="AV214" s="765"/>
      <c r="AW214" s="765"/>
      <c r="AX214" s="765"/>
      <c r="AY214" s="764"/>
      <c r="AZ214" s="764"/>
    </row>
    <row r="215" spans="1:52" ht="12.75" customHeight="1">
      <c r="A215" s="764"/>
      <c r="B215" s="764"/>
      <c r="C215" s="764"/>
      <c r="D215" s="764"/>
      <c r="E215" s="764"/>
      <c r="F215" s="764"/>
      <c r="G215" s="764"/>
      <c r="H215" s="764"/>
      <c r="I215" s="764"/>
      <c r="J215" s="764"/>
      <c r="K215" s="764"/>
      <c r="L215" s="764"/>
      <c r="M215" s="764"/>
      <c r="N215" s="764"/>
      <c r="O215" s="764"/>
      <c r="P215" s="764"/>
      <c r="Q215" s="764"/>
      <c r="R215" s="764"/>
      <c r="S215" s="764"/>
      <c r="T215" s="764"/>
      <c r="U215" s="764"/>
      <c r="V215" s="764"/>
      <c r="W215" s="764"/>
      <c r="X215" s="764"/>
      <c r="Y215" s="764"/>
      <c r="Z215" s="764"/>
      <c r="AA215" s="764"/>
      <c r="AB215" s="764"/>
      <c r="AC215" s="764"/>
      <c r="AS215" s="765"/>
      <c r="AT215" s="765"/>
      <c r="AU215" s="764"/>
      <c r="AV215" s="765"/>
      <c r="AW215" s="765"/>
      <c r="AX215" s="765"/>
      <c r="AY215" s="764"/>
      <c r="AZ215" s="764"/>
    </row>
    <row r="216" spans="1:52" ht="12.75" customHeight="1">
      <c r="A216" s="764"/>
      <c r="B216" s="764"/>
      <c r="C216" s="764"/>
      <c r="D216" s="764"/>
      <c r="E216" s="764"/>
      <c r="F216" s="764"/>
      <c r="G216" s="764"/>
      <c r="H216" s="764"/>
      <c r="I216" s="764"/>
      <c r="J216" s="764"/>
      <c r="K216" s="764"/>
      <c r="L216" s="764"/>
      <c r="M216" s="764"/>
      <c r="N216" s="764"/>
      <c r="O216" s="764"/>
      <c r="P216" s="764"/>
      <c r="Q216" s="764"/>
      <c r="R216" s="764"/>
      <c r="S216" s="764"/>
      <c r="T216" s="764"/>
      <c r="U216" s="764"/>
      <c r="V216" s="764"/>
      <c r="W216" s="764"/>
      <c r="X216" s="764"/>
      <c r="Y216" s="764"/>
      <c r="Z216" s="764"/>
      <c r="AA216" s="764"/>
      <c r="AB216" s="764"/>
      <c r="AC216" s="764"/>
      <c r="AS216" s="765"/>
      <c r="AT216" s="765"/>
      <c r="AU216" s="765"/>
      <c r="AV216" s="765"/>
      <c r="AW216" s="765"/>
      <c r="AX216" s="765"/>
      <c r="AY216" s="764"/>
      <c r="AZ216" s="764"/>
    </row>
    <row r="217" spans="1:52" ht="12.75" customHeight="1">
      <c r="A217" s="764"/>
      <c r="B217" s="764"/>
      <c r="C217" s="764"/>
      <c r="D217" s="764"/>
      <c r="E217" s="764"/>
      <c r="F217" s="764"/>
      <c r="G217" s="764"/>
      <c r="H217" s="764"/>
      <c r="I217" s="764"/>
      <c r="J217" s="764"/>
      <c r="K217" s="764"/>
      <c r="L217" s="764"/>
      <c r="M217" s="764"/>
      <c r="N217" s="764"/>
      <c r="O217" s="764"/>
      <c r="P217" s="764"/>
      <c r="Q217" s="764"/>
      <c r="R217" s="764"/>
      <c r="S217" s="764"/>
      <c r="T217" s="764"/>
      <c r="U217" s="764"/>
      <c r="V217" s="764"/>
      <c r="W217" s="764"/>
      <c r="X217" s="764"/>
      <c r="Y217" s="764"/>
      <c r="Z217" s="764"/>
      <c r="AA217" s="764"/>
      <c r="AB217" s="764"/>
      <c r="AC217" s="764"/>
      <c r="AS217" s="765"/>
      <c r="AT217" s="765"/>
      <c r="AU217" s="765"/>
      <c r="AV217" s="765"/>
      <c r="AW217" s="765"/>
      <c r="AX217" s="765"/>
      <c r="AY217" s="764"/>
      <c r="AZ217" s="764"/>
    </row>
    <row r="218" spans="1:52" ht="12.75" customHeight="1">
      <c r="A218" s="764"/>
      <c r="B218" s="764"/>
      <c r="C218" s="764"/>
      <c r="D218" s="764"/>
      <c r="E218" s="764"/>
      <c r="F218" s="764"/>
      <c r="G218" s="764"/>
      <c r="H218" s="764"/>
      <c r="I218" s="764"/>
      <c r="J218" s="764"/>
      <c r="K218" s="764"/>
      <c r="L218" s="764"/>
      <c r="M218" s="764"/>
      <c r="N218" s="764"/>
      <c r="O218" s="764"/>
      <c r="P218" s="764"/>
      <c r="Q218" s="764"/>
      <c r="R218" s="764"/>
      <c r="S218" s="764"/>
      <c r="T218" s="764"/>
      <c r="U218" s="764"/>
      <c r="V218" s="764"/>
      <c r="W218" s="764"/>
      <c r="X218" s="764"/>
      <c r="Y218" s="764"/>
      <c r="Z218" s="764"/>
      <c r="AA218" s="764"/>
      <c r="AB218" s="764"/>
      <c r="AC218" s="764"/>
      <c r="AS218" s="765"/>
      <c r="AT218" s="765"/>
      <c r="AU218" s="765"/>
      <c r="AV218" s="765"/>
      <c r="AW218" s="765"/>
      <c r="AX218" s="765"/>
      <c r="AY218" s="764"/>
      <c r="AZ218" s="764"/>
    </row>
    <row r="219" spans="1:52" ht="12.75" customHeight="1">
      <c r="A219" s="764"/>
      <c r="B219" s="764"/>
      <c r="C219" s="764"/>
      <c r="D219" s="764"/>
      <c r="E219" s="764"/>
      <c r="F219" s="764"/>
      <c r="G219" s="764"/>
      <c r="H219" s="764"/>
      <c r="I219" s="764"/>
      <c r="J219" s="764"/>
      <c r="K219" s="764"/>
      <c r="L219" s="764"/>
      <c r="M219" s="764"/>
      <c r="N219" s="764"/>
      <c r="O219" s="764"/>
      <c r="P219" s="764"/>
      <c r="Q219" s="764"/>
      <c r="R219" s="764"/>
      <c r="S219" s="764"/>
      <c r="T219" s="764"/>
      <c r="U219" s="764"/>
      <c r="V219" s="764"/>
      <c r="W219" s="764"/>
      <c r="X219" s="764"/>
      <c r="Y219" s="764"/>
      <c r="Z219" s="764"/>
      <c r="AA219" s="764"/>
      <c r="AB219" s="764"/>
      <c r="AC219" s="764"/>
      <c r="AS219" s="765"/>
      <c r="AT219" s="765"/>
      <c r="AU219" s="765"/>
      <c r="AV219" s="765"/>
      <c r="AW219" s="765"/>
      <c r="AX219" s="765"/>
      <c r="AY219" s="764"/>
      <c r="AZ219" s="764"/>
    </row>
    <row r="220" spans="1:52" ht="12.75" customHeight="1">
      <c r="A220" s="764"/>
      <c r="B220" s="764"/>
      <c r="C220" s="764"/>
      <c r="D220" s="764"/>
      <c r="E220" s="764"/>
      <c r="F220" s="764"/>
      <c r="G220" s="764"/>
      <c r="H220" s="764"/>
      <c r="I220" s="764"/>
      <c r="J220" s="764"/>
      <c r="K220" s="764"/>
      <c r="L220" s="764"/>
      <c r="M220" s="764"/>
      <c r="N220" s="764"/>
      <c r="O220" s="764"/>
      <c r="P220" s="764"/>
      <c r="Q220" s="764"/>
      <c r="R220" s="764"/>
      <c r="S220" s="764"/>
      <c r="T220" s="764"/>
      <c r="U220" s="764"/>
      <c r="V220" s="764"/>
      <c r="W220" s="764"/>
      <c r="X220" s="764"/>
      <c r="Y220" s="764"/>
      <c r="Z220" s="764"/>
      <c r="AA220" s="764"/>
      <c r="AB220" s="764"/>
      <c r="AC220" s="764"/>
      <c r="AS220" s="765"/>
      <c r="AT220" s="765"/>
      <c r="AU220" s="765"/>
      <c r="AV220" s="765"/>
      <c r="AW220" s="765"/>
      <c r="AX220" s="765"/>
      <c r="AY220" s="764"/>
      <c r="AZ220" s="764"/>
    </row>
    <row r="221" spans="1:52" ht="12.75" customHeight="1">
      <c r="A221" s="764"/>
      <c r="B221" s="764"/>
      <c r="C221" s="764"/>
      <c r="D221" s="764"/>
      <c r="E221" s="764"/>
      <c r="F221" s="764"/>
      <c r="G221" s="764"/>
      <c r="H221" s="764"/>
      <c r="I221" s="764"/>
      <c r="J221" s="764"/>
      <c r="K221" s="764"/>
      <c r="L221" s="764"/>
      <c r="M221" s="764"/>
      <c r="N221" s="764"/>
      <c r="O221" s="764"/>
      <c r="P221" s="764"/>
      <c r="Q221" s="764"/>
      <c r="R221" s="764"/>
      <c r="S221" s="764"/>
      <c r="T221" s="764"/>
      <c r="U221" s="764"/>
      <c r="V221" s="764"/>
      <c r="W221" s="764"/>
      <c r="X221" s="764"/>
      <c r="Y221" s="764"/>
      <c r="Z221" s="764"/>
      <c r="AA221" s="764"/>
      <c r="AB221" s="764"/>
      <c r="AC221" s="764"/>
      <c r="AS221" s="765"/>
      <c r="AT221" s="765"/>
      <c r="AU221" s="765"/>
      <c r="AV221" s="765"/>
      <c r="AW221" s="765"/>
      <c r="AX221" s="765"/>
      <c r="AY221" s="764"/>
      <c r="AZ221" s="764"/>
    </row>
    <row r="222" spans="1:52" ht="12.75" customHeight="1">
      <c r="A222" s="764"/>
      <c r="B222" s="764"/>
      <c r="C222" s="764"/>
      <c r="D222" s="764"/>
      <c r="E222" s="764"/>
      <c r="F222" s="764"/>
      <c r="G222" s="764"/>
      <c r="H222" s="764"/>
      <c r="I222" s="764"/>
      <c r="J222" s="764"/>
      <c r="K222" s="764"/>
      <c r="L222" s="764"/>
      <c r="M222" s="764"/>
      <c r="N222" s="764"/>
      <c r="O222" s="764"/>
      <c r="P222" s="764"/>
      <c r="Q222" s="764"/>
      <c r="R222" s="764"/>
      <c r="S222" s="764"/>
      <c r="T222" s="764"/>
      <c r="U222" s="764"/>
      <c r="V222" s="764"/>
      <c r="W222" s="764"/>
      <c r="X222" s="764"/>
      <c r="Y222" s="764"/>
      <c r="Z222" s="764"/>
      <c r="AA222" s="764"/>
      <c r="AB222" s="764"/>
      <c r="AC222" s="764"/>
      <c r="AS222" s="765"/>
      <c r="AT222" s="765"/>
      <c r="AU222" s="765"/>
      <c r="AV222" s="765"/>
      <c r="AW222" s="765"/>
      <c r="AX222" s="765"/>
      <c r="AY222" s="764"/>
      <c r="AZ222" s="764"/>
    </row>
    <row r="223" spans="1:52" ht="12.75" customHeight="1">
      <c r="A223" s="764"/>
      <c r="B223" s="764"/>
      <c r="C223" s="764"/>
      <c r="D223" s="764"/>
      <c r="E223" s="764"/>
      <c r="F223" s="764"/>
      <c r="G223" s="764"/>
      <c r="H223" s="764"/>
      <c r="I223" s="764"/>
      <c r="J223" s="764"/>
      <c r="K223" s="764"/>
      <c r="L223" s="764"/>
      <c r="M223" s="764"/>
      <c r="N223" s="764"/>
      <c r="O223" s="764"/>
      <c r="P223" s="764"/>
      <c r="Q223" s="764"/>
      <c r="R223" s="764"/>
      <c r="S223" s="764"/>
      <c r="T223" s="764"/>
      <c r="U223" s="764"/>
      <c r="V223" s="764"/>
      <c r="W223" s="764"/>
      <c r="X223" s="764"/>
      <c r="Y223" s="764"/>
      <c r="Z223" s="764"/>
      <c r="AA223" s="764"/>
      <c r="AB223" s="764"/>
      <c r="AC223" s="764"/>
      <c r="AS223" s="765"/>
      <c r="AT223" s="765"/>
      <c r="AU223" s="765"/>
      <c r="AV223" s="765"/>
      <c r="AW223" s="765"/>
      <c r="AX223" s="765"/>
      <c r="AY223" s="764"/>
      <c r="AZ223" s="764"/>
    </row>
    <row r="224" spans="1:52" ht="12.75" customHeight="1">
      <c r="A224" s="764"/>
      <c r="B224" s="764"/>
      <c r="C224" s="764"/>
      <c r="D224" s="764"/>
      <c r="E224" s="764"/>
      <c r="F224" s="764"/>
      <c r="G224" s="764"/>
      <c r="H224" s="764"/>
      <c r="I224" s="764"/>
      <c r="J224" s="764"/>
      <c r="K224" s="764"/>
      <c r="L224" s="764"/>
      <c r="M224" s="764"/>
      <c r="N224" s="764"/>
      <c r="O224" s="764"/>
      <c r="P224" s="764"/>
      <c r="Q224" s="764"/>
      <c r="R224" s="764"/>
      <c r="S224" s="764"/>
      <c r="T224" s="764"/>
      <c r="U224" s="764"/>
      <c r="V224" s="764"/>
      <c r="W224" s="764"/>
      <c r="X224" s="764"/>
      <c r="Y224" s="764"/>
      <c r="Z224" s="764"/>
      <c r="AA224" s="764"/>
      <c r="AB224" s="764"/>
      <c r="AC224" s="764"/>
      <c r="AS224" s="765"/>
      <c r="AT224" s="765"/>
      <c r="AU224" s="764"/>
      <c r="AV224" s="765"/>
      <c r="AW224" s="765"/>
      <c r="AX224" s="765"/>
      <c r="AY224" s="764"/>
      <c r="AZ224" s="764"/>
    </row>
    <row r="225" spans="1:52" ht="12.75" customHeight="1">
      <c r="A225" s="764"/>
      <c r="B225" s="764"/>
      <c r="C225" s="764"/>
      <c r="D225" s="764"/>
      <c r="E225" s="764"/>
      <c r="F225" s="764"/>
      <c r="G225" s="764"/>
      <c r="H225" s="764"/>
      <c r="I225" s="764"/>
      <c r="J225" s="764"/>
      <c r="K225" s="764"/>
      <c r="L225" s="764"/>
      <c r="M225" s="764"/>
      <c r="N225" s="764"/>
      <c r="O225" s="764"/>
      <c r="P225" s="764"/>
      <c r="Q225" s="764"/>
      <c r="R225" s="764"/>
      <c r="S225" s="764"/>
      <c r="T225" s="764"/>
      <c r="U225" s="764"/>
      <c r="V225" s="764"/>
      <c r="W225" s="764"/>
      <c r="X225" s="764"/>
      <c r="Y225" s="764"/>
      <c r="Z225" s="764"/>
      <c r="AA225" s="764"/>
      <c r="AB225" s="764"/>
      <c r="AC225" s="764"/>
      <c r="AS225" s="765"/>
      <c r="AT225" s="765"/>
      <c r="AU225" s="765"/>
      <c r="AV225" s="765"/>
      <c r="AW225" s="765"/>
      <c r="AX225" s="765"/>
      <c r="AY225" s="764"/>
      <c r="AZ225" s="764"/>
    </row>
    <row r="226" spans="1:52" ht="12.75" customHeight="1">
      <c r="A226" s="764"/>
      <c r="B226" s="764"/>
      <c r="C226" s="764"/>
      <c r="D226" s="764"/>
      <c r="E226" s="764"/>
      <c r="F226" s="764"/>
      <c r="G226" s="764"/>
      <c r="H226" s="764"/>
      <c r="I226" s="764"/>
      <c r="J226" s="764"/>
      <c r="K226" s="764"/>
      <c r="L226" s="764"/>
      <c r="M226" s="764"/>
      <c r="N226" s="764"/>
      <c r="O226" s="764"/>
      <c r="P226" s="764"/>
      <c r="Q226" s="764"/>
      <c r="R226" s="764"/>
      <c r="S226" s="764"/>
      <c r="T226" s="764"/>
      <c r="U226" s="764"/>
      <c r="V226" s="764"/>
      <c r="W226" s="764"/>
      <c r="X226" s="764"/>
      <c r="Y226" s="764"/>
      <c r="Z226" s="764"/>
      <c r="AA226" s="764"/>
      <c r="AB226" s="764"/>
      <c r="AC226" s="764"/>
      <c r="AS226" s="765"/>
      <c r="AT226" s="765"/>
      <c r="AU226" s="765"/>
      <c r="AV226" s="765"/>
      <c r="AW226" s="765"/>
      <c r="AX226" s="765"/>
      <c r="AY226" s="764"/>
      <c r="AZ226" s="764"/>
    </row>
    <row r="227" spans="1:52" ht="12.75" customHeight="1">
      <c r="A227" s="764"/>
      <c r="B227" s="764"/>
      <c r="C227" s="764"/>
      <c r="D227" s="764"/>
      <c r="E227" s="764"/>
      <c r="F227" s="764"/>
      <c r="G227" s="764"/>
      <c r="H227" s="764"/>
      <c r="I227" s="764"/>
      <c r="J227" s="764"/>
      <c r="K227" s="764"/>
      <c r="L227" s="764"/>
      <c r="M227" s="764"/>
      <c r="N227" s="764"/>
      <c r="O227" s="764"/>
      <c r="P227" s="764"/>
      <c r="Q227" s="764"/>
      <c r="R227" s="764"/>
      <c r="S227" s="764"/>
      <c r="T227" s="764"/>
      <c r="U227" s="764"/>
      <c r="V227" s="764"/>
      <c r="W227" s="764"/>
      <c r="X227" s="764"/>
      <c r="Y227" s="764"/>
      <c r="Z227" s="764"/>
      <c r="AA227" s="764"/>
      <c r="AB227" s="764"/>
      <c r="AC227" s="764"/>
      <c r="AS227" s="765"/>
      <c r="AT227" s="765"/>
      <c r="AU227" s="765"/>
      <c r="AV227" s="765"/>
      <c r="AW227" s="765"/>
      <c r="AX227" s="765"/>
      <c r="AY227" s="764"/>
      <c r="AZ227" s="764"/>
    </row>
    <row r="228" spans="1:52" ht="12.75" customHeight="1">
      <c r="A228" s="764"/>
      <c r="B228" s="764"/>
      <c r="C228" s="764"/>
      <c r="D228" s="764"/>
      <c r="E228" s="764"/>
      <c r="F228" s="764"/>
      <c r="G228" s="764"/>
      <c r="H228" s="764"/>
      <c r="I228" s="764"/>
      <c r="J228" s="764"/>
      <c r="K228" s="764"/>
      <c r="L228" s="764"/>
      <c r="M228" s="764"/>
      <c r="N228" s="764"/>
      <c r="O228" s="764"/>
      <c r="P228" s="764"/>
      <c r="Q228" s="764"/>
      <c r="R228" s="764"/>
      <c r="S228" s="764"/>
      <c r="T228" s="764"/>
      <c r="U228" s="764"/>
      <c r="V228" s="764"/>
      <c r="W228" s="764"/>
      <c r="X228" s="764"/>
      <c r="Y228" s="764"/>
      <c r="Z228" s="764"/>
      <c r="AA228" s="764"/>
      <c r="AB228" s="764"/>
      <c r="AC228" s="764"/>
      <c r="AS228" s="765"/>
      <c r="AT228" s="765"/>
      <c r="AU228" s="765"/>
      <c r="AV228" s="765"/>
      <c r="AW228" s="765"/>
      <c r="AX228" s="765"/>
      <c r="AY228" s="764"/>
      <c r="AZ228" s="764"/>
    </row>
    <row r="229" spans="1:52" ht="12.75" customHeight="1">
      <c r="A229" s="764"/>
      <c r="B229" s="764"/>
      <c r="C229" s="764"/>
      <c r="D229" s="764"/>
      <c r="E229" s="764"/>
      <c r="F229" s="764"/>
      <c r="G229" s="764"/>
      <c r="H229" s="764"/>
      <c r="I229" s="764"/>
      <c r="J229" s="764"/>
      <c r="K229" s="764"/>
      <c r="L229" s="764"/>
      <c r="M229" s="764"/>
      <c r="N229" s="764"/>
      <c r="O229" s="764"/>
      <c r="P229" s="764"/>
      <c r="Q229" s="764"/>
      <c r="R229" s="764"/>
      <c r="S229" s="764"/>
      <c r="T229" s="764"/>
      <c r="U229" s="764"/>
      <c r="V229" s="764"/>
      <c r="W229" s="764"/>
      <c r="X229" s="764"/>
      <c r="Y229" s="764"/>
      <c r="Z229" s="764"/>
      <c r="AA229" s="764"/>
      <c r="AB229" s="764"/>
      <c r="AC229" s="764"/>
      <c r="AS229" s="765"/>
      <c r="AT229" s="765"/>
      <c r="AU229" s="765"/>
      <c r="AV229" s="765"/>
      <c r="AW229" s="765"/>
      <c r="AX229" s="765"/>
      <c r="AY229" s="764"/>
      <c r="AZ229" s="764"/>
    </row>
    <row r="230" spans="1:52" ht="12.75" customHeight="1">
      <c r="A230" s="764"/>
      <c r="B230" s="764"/>
      <c r="C230" s="764"/>
      <c r="D230" s="764"/>
      <c r="E230" s="764"/>
      <c r="F230" s="764"/>
      <c r="G230" s="764"/>
      <c r="H230" s="764"/>
      <c r="I230" s="764"/>
      <c r="J230" s="764"/>
      <c r="K230" s="764"/>
      <c r="L230" s="764"/>
      <c r="M230" s="764"/>
      <c r="N230" s="764"/>
      <c r="O230" s="764"/>
      <c r="P230" s="764"/>
      <c r="Q230" s="764"/>
      <c r="R230" s="764"/>
      <c r="S230" s="764"/>
      <c r="T230" s="764"/>
      <c r="U230" s="764"/>
      <c r="V230" s="764"/>
      <c r="W230" s="764"/>
      <c r="X230" s="764"/>
      <c r="Y230" s="764"/>
      <c r="Z230" s="764"/>
      <c r="AA230" s="764"/>
      <c r="AB230" s="764"/>
      <c r="AC230" s="764"/>
      <c r="AS230" s="765"/>
      <c r="AT230" s="765"/>
      <c r="AU230" s="765"/>
      <c r="AV230" s="765"/>
      <c r="AW230" s="765"/>
      <c r="AX230" s="765"/>
      <c r="AY230" s="764"/>
      <c r="AZ230" s="764"/>
    </row>
    <row r="231" spans="1:52" ht="12.75" customHeight="1">
      <c r="A231" s="764"/>
      <c r="B231" s="764"/>
      <c r="C231" s="764"/>
      <c r="D231" s="764"/>
      <c r="E231" s="764"/>
      <c r="F231" s="764"/>
      <c r="G231" s="764"/>
      <c r="H231" s="764"/>
      <c r="I231" s="764"/>
      <c r="J231" s="764"/>
      <c r="K231" s="764"/>
      <c r="L231" s="764"/>
      <c r="M231" s="764"/>
      <c r="N231" s="764"/>
      <c r="O231" s="764"/>
      <c r="P231" s="764"/>
      <c r="Q231" s="764"/>
      <c r="R231" s="764"/>
      <c r="S231" s="764"/>
      <c r="T231" s="764"/>
      <c r="U231" s="764"/>
      <c r="V231" s="764"/>
      <c r="W231" s="764"/>
      <c r="X231" s="764"/>
      <c r="Y231" s="764"/>
      <c r="Z231" s="764"/>
      <c r="AA231" s="764"/>
      <c r="AB231" s="764"/>
      <c r="AC231" s="764"/>
      <c r="AS231" s="765"/>
      <c r="AT231" s="765"/>
      <c r="AU231" s="765"/>
      <c r="AV231" s="765"/>
      <c r="AW231" s="765"/>
      <c r="AX231" s="765"/>
      <c r="AY231" s="764"/>
      <c r="AZ231" s="764"/>
    </row>
    <row r="232" spans="1:52" ht="12.75" customHeight="1">
      <c r="A232" s="764"/>
      <c r="B232" s="764"/>
      <c r="C232" s="764"/>
      <c r="D232" s="764"/>
      <c r="E232" s="764"/>
      <c r="F232" s="764"/>
      <c r="G232" s="764"/>
      <c r="H232" s="764"/>
      <c r="I232" s="764"/>
      <c r="J232" s="764"/>
      <c r="K232" s="764"/>
      <c r="L232" s="764"/>
      <c r="M232" s="764"/>
      <c r="N232" s="764"/>
      <c r="O232" s="764"/>
      <c r="P232" s="764"/>
      <c r="Q232" s="764"/>
      <c r="R232" s="764"/>
      <c r="S232" s="764"/>
      <c r="T232" s="764"/>
      <c r="U232" s="764"/>
      <c r="V232" s="764"/>
      <c r="W232" s="764"/>
      <c r="X232" s="764"/>
      <c r="Y232" s="764"/>
      <c r="Z232" s="764"/>
      <c r="AA232" s="764"/>
      <c r="AB232" s="764"/>
      <c r="AC232" s="764"/>
      <c r="AS232" s="765"/>
      <c r="AT232" s="765"/>
      <c r="AU232" s="765"/>
      <c r="AV232" s="765"/>
      <c r="AW232" s="765"/>
      <c r="AX232" s="765"/>
      <c r="AY232" s="764"/>
      <c r="AZ232" s="764"/>
    </row>
    <row r="233" spans="1:52" ht="12.75" customHeight="1">
      <c r="A233" s="764"/>
      <c r="B233" s="764"/>
      <c r="C233" s="764"/>
      <c r="D233" s="764"/>
      <c r="E233" s="764"/>
      <c r="F233" s="764"/>
      <c r="G233" s="764"/>
      <c r="H233" s="764"/>
      <c r="I233" s="764"/>
      <c r="J233" s="764"/>
      <c r="K233" s="764"/>
      <c r="L233" s="764"/>
      <c r="M233" s="764"/>
      <c r="N233" s="764"/>
      <c r="O233" s="764"/>
      <c r="P233" s="764"/>
      <c r="Q233" s="764"/>
      <c r="R233" s="764"/>
      <c r="S233" s="764"/>
      <c r="T233" s="764"/>
      <c r="U233" s="764"/>
      <c r="V233" s="764"/>
      <c r="W233" s="764"/>
      <c r="X233" s="764"/>
      <c r="Y233" s="764"/>
      <c r="Z233" s="764"/>
      <c r="AA233" s="764"/>
      <c r="AB233" s="764"/>
      <c r="AC233" s="764"/>
      <c r="AS233" s="765"/>
      <c r="AT233" s="765"/>
      <c r="AU233" s="765"/>
      <c r="AV233" s="765"/>
      <c r="AW233" s="765"/>
      <c r="AX233" s="765"/>
      <c r="AY233" s="764"/>
      <c r="AZ233" s="764"/>
    </row>
    <row r="234" spans="1:52" ht="12.75" customHeight="1">
      <c r="A234" s="764"/>
      <c r="B234" s="764"/>
      <c r="C234" s="764"/>
      <c r="D234" s="764"/>
      <c r="E234" s="764"/>
      <c r="F234" s="764"/>
      <c r="G234" s="764"/>
      <c r="H234" s="764"/>
      <c r="I234" s="764"/>
      <c r="J234" s="764"/>
      <c r="K234" s="764"/>
      <c r="L234" s="764"/>
      <c r="M234" s="764"/>
      <c r="N234" s="764"/>
      <c r="O234" s="764"/>
      <c r="P234" s="764"/>
      <c r="Q234" s="764"/>
      <c r="R234" s="764"/>
      <c r="S234" s="764"/>
      <c r="T234" s="764"/>
      <c r="U234" s="764"/>
      <c r="V234" s="764"/>
      <c r="W234" s="764"/>
      <c r="X234" s="764"/>
      <c r="Y234" s="764"/>
      <c r="Z234" s="764"/>
      <c r="AA234" s="764"/>
      <c r="AB234" s="764"/>
      <c r="AC234" s="764"/>
      <c r="AS234" s="765"/>
      <c r="AT234" s="765"/>
      <c r="AU234" s="765"/>
      <c r="AV234" s="765"/>
      <c r="AW234" s="765"/>
      <c r="AX234" s="765"/>
      <c r="AY234" s="764"/>
      <c r="AZ234" s="764"/>
    </row>
    <row r="235" spans="1:52" ht="12.75" customHeight="1">
      <c r="A235" s="764"/>
      <c r="B235" s="764"/>
      <c r="C235" s="764"/>
      <c r="D235" s="764"/>
      <c r="E235" s="764"/>
      <c r="F235" s="764"/>
      <c r="G235" s="764"/>
      <c r="H235" s="764"/>
      <c r="I235" s="764"/>
      <c r="J235" s="764"/>
      <c r="K235" s="764"/>
      <c r="L235" s="764"/>
      <c r="M235" s="764"/>
      <c r="N235" s="764"/>
      <c r="O235" s="764"/>
      <c r="P235" s="764"/>
      <c r="Q235" s="764"/>
      <c r="R235" s="764"/>
      <c r="S235" s="764"/>
      <c r="T235" s="764"/>
      <c r="U235" s="764"/>
      <c r="V235" s="764"/>
      <c r="W235" s="764"/>
      <c r="X235" s="764"/>
      <c r="Y235" s="764"/>
      <c r="Z235" s="764"/>
      <c r="AA235" s="764"/>
      <c r="AB235" s="764"/>
      <c r="AC235" s="764"/>
      <c r="AS235" s="764"/>
      <c r="AT235" s="764"/>
      <c r="AU235" s="764"/>
      <c r="AV235" s="764"/>
      <c r="AW235" s="764"/>
      <c r="AX235" s="765"/>
      <c r="AY235" s="764"/>
      <c r="AZ235" s="764"/>
    </row>
    <row r="236" spans="1:52" ht="12.75" customHeight="1">
      <c r="A236" s="764"/>
      <c r="B236" s="764"/>
      <c r="C236" s="764"/>
      <c r="D236" s="764"/>
      <c r="E236" s="764"/>
      <c r="F236" s="764"/>
      <c r="G236" s="764"/>
      <c r="H236" s="764"/>
      <c r="I236" s="764"/>
      <c r="J236" s="764"/>
      <c r="K236" s="764"/>
      <c r="L236" s="764"/>
      <c r="M236" s="764"/>
      <c r="N236" s="764"/>
      <c r="O236" s="764"/>
      <c r="P236" s="764"/>
      <c r="Q236" s="764"/>
      <c r="R236" s="764"/>
      <c r="S236" s="764"/>
      <c r="T236" s="764"/>
      <c r="U236" s="764"/>
      <c r="V236" s="764"/>
      <c r="W236" s="764"/>
      <c r="X236" s="764"/>
      <c r="Y236" s="764"/>
      <c r="Z236" s="764"/>
      <c r="AA236" s="764"/>
      <c r="AB236" s="764"/>
      <c r="AC236" s="764"/>
      <c r="AS236" s="764"/>
      <c r="AT236" s="764"/>
      <c r="AU236" s="764"/>
      <c r="AV236" s="764"/>
      <c r="AW236" s="764"/>
      <c r="AX236" s="764"/>
      <c r="AY236" s="764"/>
      <c r="AZ236" s="764"/>
    </row>
    <row r="237" spans="1:52" ht="12.75" customHeight="1">
      <c r="A237" s="764"/>
      <c r="B237" s="764"/>
      <c r="C237" s="764"/>
      <c r="D237" s="764"/>
      <c r="E237" s="764"/>
      <c r="F237" s="764"/>
      <c r="G237" s="764"/>
      <c r="H237" s="764"/>
      <c r="I237" s="764"/>
      <c r="J237" s="764"/>
      <c r="K237" s="764"/>
      <c r="L237" s="764"/>
      <c r="M237" s="764"/>
      <c r="N237" s="764"/>
      <c r="O237" s="764"/>
      <c r="P237" s="764"/>
      <c r="Q237" s="764"/>
      <c r="R237" s="764"/>
      <c r="S237" s="764"/>
      <c r="T237" s="764"/>
      <c r="U237" s="764"/>
      <c r="V237" s="764"/>
      <c r="W237" s="764"/>
      <c r="X237" s="764"/>
      <c r="Y237" s="764"/>
      <c r="Z237" s="764"/>
      <c r="AA237" s="764"/>
      <c r="AB237" s="764"/>
      <c r="AC237" s="764"/>
      <c r="AS237" s="765"/>
      <c r="AT237" s="765"/>
      <c r="AU237" s="764"/>
      <c r="AV237" s="765"/>
      <c r="AW237" s="765"/>
      <c r="AX237" s="765"/>
      <c r="AY237" s="764"/>
      <c r="AZ237" s="764"/>
    </row>
    <row r="238" spans="1:52" ht="12.75" customHeight="1">
      <c r="A238" s="764"/>
      <c r="B238" s="764"/>
      <c r="C238" s="764"/>
      <c r="D238" s="764"/>
      <c r="E238" s="764"/>
      <c r="F238" s="764"/>
      <c r="G238" s="764"/>
      <c r="H238" s="764"/>
      <c r="I238" s="764"/>
      <c r="J238" s="764"/>
      <c r="K238" s="764"/>
      <c r="L238" s="764"/>
      <c r="M238" s="764"/>
      <c r="N238" s="764"/>
      <c r="O238" s="764"/>
      <c r="P238" s="764"/>
      <c r="Q238" s="764"/>
      <c r="R238" s="764"/>
      <c r="S238" s="764"/>
      <c r="T238" s="764"/>
      <c r="U238" s="764"/>
      <c r="V238" s="764"/>
      <c r="W238" s="764"/>
      <c r="X238" s="764"/>
      <c r="Y238" s="764"/>
      <c r="Z238" s="764"/>
      <c r="AA238" s="764"/>
      <c r="AB238" s="764"/>
      <c r="AC238" s="764"/>
      <c r="AS238" s="765"/>
      <c r="AT238" s="765"/>
      <c r="AU238" s="765"/>
      <c r="AV238" s="765"/>
      <c r="AW238" s="765"/>
      <c r="AX238" s="765"/>
      <c r="AY238" s="764"/>
      <c r="AZ238" s="764"/>
    </row>
    <row r="239" spans="1:52" ht="12.75" customHeight="1">
      <c r="A239" s="764"/>
      <c r="B239" s="764"/>
      <c r="C239" s="764"/>
      <c r="D239" s="764"/>
      <c r="E239" s="764"/>
      <c r="F239" s="764"/>
      <c r="G239" s="764"/>
      <c r="H239" s="764"/>
      <c r="I239" s="764"/>
      <c r="J239" s="764"/>
      <c r="K239" s="764"/>
      <c r="L239" s="764"/>
      <c r="M239" s="764"/>
      <c r="N239" s="764"/>
      <c r="O239" s="764"/>
      <c r="P239" s="764"/>
      <c r="Q239" s="764"/>
      <c r="R239" s="764"/>
      <c r="S239" s="764"/>
      <c r="T239" s="764"/>
      <c r="U239" s="764"/>
      <c r="V239" s="764"/>
      <c r="W239" s="764"/>
      <c r="X239" s="764"/>
      <c r="Y239" s="764"/>
      <c r="Z239" s="764"/>
      <c r="AA239" s="764"/>
      <c r="AB239" s="764"/>
      <c r="AC239" s="764"/>
      <c r="AS239" s="765"/>
      <c r="AT239" s="765"/>
      <c r="AU239" s="765"/>
      <c r="AV239" s="765"/>
      <c r="AW239" s="765"/>
      <c r="AX239" s="765"/>
      <c r="AY239" s="764"/>
      <c r="AZ239" s="764"/>
    </row>
    <row r="240" spans="1:52" ht="12.75" customHeight="1">
      <c r="A240" s="764"/>
      <c r="B240" s="764"/>
      <c r="C240" s="764"/>
      <c r="D240" s="764"/>
      <c r="E240" s="764"/>
      <c r="F240" s="764"/>
      <c r="G240" s="764"/>
      <c r="H240" s="764"/>
      <c r="I240" s="764"/>
      <c r="J240" s="764"/>
      <c r="K240" s="764"/>
      <c r="L240" s="764"/>
      <c r="M240" s="764"/>
      <c r="N240" s="764"/>
      <c r="O240" s="764"/>
      <c r="P240" s="764"/>
      <c r="Q240" s="764"/>
      <c r="R240" s="764"/>
      <c r="S240" s="764"/>
      <c r="T240" s="764"/>
      <c r="U240" s="764"/>
      <c r="V240" s="764"/>
      <c r="W240" s="764"/>
      <c r="X240" s="764"/>
      <c r="Y240" s="764"/>
      <c r="Z240" s="764"/>
      <c r="AA240" s="764"/>
      <c r="AB240" s="764"/>
      <c r="AC240" s="764"/>
      <c r="AS240" s="765"/>
      <c r="AT240" s="765"/>
      <c r="AU240" s="765"/>
      <c r="AV240" s="765"/>
      <c r="AW240" s="765"/>
      <c r="AX240" s="765"/>
      <c r="AY240" s="764"/>
      <c r="AZ240" s="764"/>
    </row>
    <row r="241" spans="1:52" ht="12.75" customHeight="1">
      <c r="A241" s="764"/>
      <c r="B241" s="764"/>
      <c r="C241" s="764"/>
      <c r="D241" s="764"/>
      <c r="E241" s="764"/>
      <c r="F241" s="764"/>
      <c r="G241" s="764"/>
      <c r="H241" s="764"/>
      <c r="I241" s="764"/>
      <c r="J241" s="764"/>
      <c r="K241" s="764"/>
      <c r="L241" s="764"/>
      <c r="M241" s="764"/>
      <c r="N241" s="764"/>
      <c r="O241" s="764"/>
      <c r="P241" s="764"/>
      <c r="Q241" s="764"/>
      <c r="R241" s="764"/>
      <c r="S241" s="764"/>
      <c r="T241" s="764"/>
      <c r="U241" s="764"/>
      <c r="V241" s="764"/>
      <c r="W241" s="764"/>
      <c r="X241" s="764"/>
      <c r="Y241" s="764"/>
      <c r="Z241" s="764"/>
      <c r="AA241" s="764"/>
      <c r="AB241" s="764"/>
      <c r="AC241" s="764"/>
      <c r="AS241" s="765"/>
      <c r="AT241" s="765"/>
      <c r="AU241" s="765"/>
      <c r="AV241" s="765"/>
      <c r="AW241" s="765"/>
      <c r="AX241" s="765"/>
      <c r="AY241" s="764"/>
      <c r="AZ241" s="764"/>
    </row>
    <row r="242" spans="1:52" ht="12.75" customHeight="1">
      <c r="A242" s="764"/>
      <c r="B242" s="764"/>
      <c r="C242" s="764"/>
      <c r="D242" s="764"/>
      <c r="E242" s="764"/>
      <c r="F242" s="764"/>
      <c r="G242" s="764"/>
      <c r="H242" s="764"/>
      <c r="I242" s="764"/>
      <c r="J242" s="764"/>
      <c r="K242" s="764"/>
      <c r="L242" s="764"/>
      <c r="M242" s="764"/>
      <c r="N242" s="764"/>
      <c r="O242" s="764"/>
      <c r="P242" s="764"/>
      <c r="Q242" s="764"/>
      <c r="R242" s="764"/>
      <c r="S242" s="764"/>
      <c r="T242" s="764"/>
      <c r="U242" s="764"/>
      <c r="V242" s="764"/>
      <c r="W242" s="764"/>
      <c r="X242" s="764"/>
      <c r="Y242" s="764"/>
      <c r="Z242" s="764"/>
      <c r="AA242" s="764"/>
      <c r="AB242" s="764"/>
      <c r="AC242" s="764"/>
      <c r="AS242" s="765"/>
      <c r="AT242" s="765"/>
      <c r="AU242" s="765"/>
      <c r="AV242" s="765"/>
      <c r="AW242" s="765"/>
      <c r="AX242" s="765"/>
      <c r="AY242" s="764"/>
      <c r="AZ242" s="764"/>
    </row>
    <row r="243" spans="1:52" ht="12.75" customHeight="1">
      <c r="A243" s="764"/>
      <c r="B243" s="764"/>
      <c r="C243" s="764"/>
      <c r="D243" s="764"/>
      <c r="E243" s="764"/>
      <c r="F243" s="764"/>
      <c r="G243" s="764"/>
      <c r="H243" s="764"/>
      <c r="I243" s="764"/>
      <c r="J243" s="764"/>
      <c r="K243" s="764"/>
      <c r="L243" s="764"/>
      <c r="M243" s="764"/>
      <c r="N243" s="764"/>
      <c r="O243" s="764"/>
      <c r="P243" s="764"/>
      <c r="Q243" s="764"/>
      <c r="R243" s="764"/>
      <c r="S243" s="764"/>
      <c r="T243" s="764"/>
      <c r="U243" s="764"/>
      <c r="V243" s="764"/>
      <c r="W243" s="764"/>
      <c r="X243" s="764"/>
      <c r="Y243" s="764"/>
      <c r="Z243" s="764"/>
      <c r="AA243" s="764"/>
      <c r="AB243" s="764"/>
      <c r="AC243" s="764"/>
      <c r="AS243" s="765"/>
      <c r="AT243" s="765"/>
      <c r="AU243" s="765"/>
      <c r="AV243" s="765"/>
      <c r="AW243" s="765"/>
      <c r="AX243" s="765"/>
      <c r="AY243" s="764"/>
      <c r="AZ243" s="764"/>
    </row>
    <row r="244" spans="1:52" ht="12.75" customHeight="1">
      <c r="A244" s="764"/>
      <c r="B244" s="764"/>
      <c r="C244" s="764"/>
      <c r="D244" s="764"/>
      <c r="E244" s="764"/>
      <c r="F244" s="764"/>
      <c r="G244" s="764"/>
      <c r="H244" s="764"/>
      <c r="I244" s="764"/>
      <c r="J244" s="764"/>
      <c r="K244" s="764"/>
      <c r="L244" s="764"/>
      <c r="M244" s="764"/>
      <c r="N244" s="764"/>
      <c r="O244" s="764"/>
      <c r="P244" s="764"/>
      <c r="Q244" s="764"/>
      <c r="R244" s="764"/>
      <c r="S244" s="764"/>
      <c r="T244" s="764"/>
      <c r="U244" s="764"/>
      <c r="V244" s="764"/>
      <c r="W244" s="764"/>
      <c r="X244" s="764"/>
      <c r="Y244" s="764"/>
      <c r="Z244" s="764"/>
      <c r="AA244" s="764"/>
      <c r="AB244" s="764"/>
      <c r="AC244" s="764"/>
      <c r="AS244" s="765"/>
      <c r="AT244" s="765"/>
      <c r="AU244" s="765"/>
      <c r="AV244" s="765"/>
      <c r="AW244" s="765"/>
      <c r="AX244" s="765"/>
      <c r="AY244" s="764"/>
      <c r="AZ244" s="764"/>
    </row>
    <row r="245" spans="1:52" ht="12.75" customHeight="1">
      <c r="A245" s="764"/>
      <c r="B245" s="764"/>
      <c r="C245" s="764"/>
      <c r="D245" s="764"/>
      <c r="E245" s="764"/>
      <c r="F245" s="764"/>
      <c r="G245" s="764"/>
      <c r="H245" s="764"/>
      <c r="I245" s="764"/>
      <c r="J245" s="764"/>
      <c r="K245" s="764"/>
      <c r="L245" s="764"/>
      <c r="M245" s="764"/>
      <c r="N245" s="764"/>
      <c r="O245" s="764"/>
      <c r="P245" s="764"/>
      <c r="Q245" s="764"/>
      <c r="R245" s="764"/>
      <c r="S245" s="764"/>
      <c r="T245" s="764"/>
      <c r="U245" s="764"/>
      <c r="V245" s="764"/>
      <c r="W245" s="764"/>
      <c r="X245" s="764"/>
      <c r="Y245" s="764"/>
      <c r="Z245" s="764"/>
      <c r="AA245" s="764"/>
      <c r="AB245" s="764"/>
      <c r="AC245" s="764"/>
      <c r="AS245" s="765"/>
      <c r="AT245" s="765"/>
      <c r="AU245" s="765"/>
      <c r="AV245" s="765"/>
      <c r="AW245" s="764"/>
      <c r="AX245" s="765"/>
      <c r="AY245" s="764"/>
      <c r="AZ245" s="764"/>
    </row>
    <row r="246" spans="1:52" ht="12.75" customHeight="1">
      <c r="A246" s="764"/>
      <c r="B246" s="764"/>
      <c r="C246" s="764"/>
      <c r="D246" s="764"/>
      <c r="E246" s="764"/>
      <c r="F246" s="764"/>
      <c r="G246" s="764"/>
      <c r="H246" s="764"/>
      <c r="I246" s="764"/>
      <c r="J246" s="764"/>
      <c r="K246" s="764"/>
      <c r="L246" s="764"/>
      <c r="M246" s="764"/>
      <c r="N246" s="764"/>
      <c r="O246" s="764"/>
      <c r="P246" s="764"/>
      <c r="Q246" s="764"/>
      <c r="R246" s="764"/>
      <c r="S246" s="764"/>
      <c r="T246" s="764"/>
      <c r="U246" s="764"/>
      <c r="V246" s="764"/>
      <c r="W246" s="764"/>
      <c r="X246" s="764"/>
      <c r="Y246" s="764"/>
      <c r="Z246" s="764"/>
      <c r="AA246" s="764"/>
      <c r="AB246" s="764"/>
      <c r="AC246" s="764"/>
      <c r="AS246" s="765"/>
      <c r="AT246" s="765"/>
      <c r="AU246" s="765"/>
      <c r="AV246" s="765"/>
      <c r="AW246" s="765"/>
      <c r="AX246" s="765"/>
      <c r="AY246" s="764"/>
      <c r="AZ246" s="764"/>
    </row>
    <row r="247" spans="1:52" ht="12.75" customHeight="1">
      <c r="A247" s="764"/>
      <c r="B247" s="764"/>
      <c r="C247" s="764"/>
      <c r="D247" s="764"/>
      <c r="E247" s="764"/>
      <c r="F247" s="764"/>
      <c r="G247" s="764"/>
      <c r="H247" s="764"/>
      <c r="I247" s="764"/>
      <c r="J247" s="764"/>
      <c r="K247" s="764"/>
      <c r="L247" s="764"/>
      <c r="M247" s="764"/>
      <c r="N247" s="764"/>
      <c r="O247" s="764"/>
      <c r="P247" s="764"/>
      <c r="Q247" s="764"/>
      <c r="R247" s="764"/>
      <c r="S247" s="764"/>
      <c r="T247" s="764"/>
      <c r="U247" s="764"/>
      <c r="V247" s="764"/>
      <c r="W247" s="764"/>
      <c r="X247" s="764"/>
      <c r="Y247" s="764"/>
      <c r="Z247" s="764"/>
      <c r="AA247" s="764"/>
      <c r="AB247" s="764"/>
      <c r="AC247" s="764"/>
      <c r="AS247" s="765"/>
      <c r="AT247" s="765"/>
      <c r="AU247" s="765"/>
      <c r="AV247" s="765"/>
      <c r="AW247" s="765"/>
      <c r="AX247" s="765"/>
      <c r="AY247" s="764"/>
      <c r="AZ247" s="764"/>
    </row>
    <row r="248" spans="1:52" ht="12.75" customHeight="1">
      <c r="A248" s="764"/>
      <c r="B248" s="764"/>
      <c r="C248" s="764"/>
      <c r="D248" s="764"/>
      <c r="E248" s="764"/>
      <c r="F248" s="764"/>
      <c r="G248" s="764"/>
      <c r="H248" s="764"/>
      <c r="I248" s="764"/>
      <c r="J248" s="764"/>
      <c r="K248" s="764"/>
      <c r="L248" s="764"/>
      <c r="M248" s="764"/>
      <c r="N248" s="764"/>
      <c r="O248" s="764"/>
      <c r="P248" s="764"/>
      <c r="Q248" s="764"/>
      <c r="R248" s="764"/>
      <c r="S248" s="764"/>
      <c r="T248" s="764"/>
      <c r="U248" s="764"/>
      <c r="V248" s="764"/>
      <c r="W248" s="764"/>
      <c r="X248" s="764"/>
      <c r="Y248" s="764"/>
      <c r="Z248" s="764"/>
      <c r="AA248" s="764"/>
      <c r="AB248" s="764"/>
      <c r="AC248" s="764"/>
      <c r="AS248" s="765"/>
      <c r="AT248" s="765"/>
      <c r="AU248" s="765"/>
      <c r="AV248" s="765"/>
      <c r="AW248" s="765"/>
      <c r="AX248" s="765"/>
      <c r="AY248" s="764"/>
      <c r="AZ248" s="764"/>
    </row>
    <row r="249" spans="1:52" ht="12.75" customHeight="1">
      <c r="A249" s="764"/>
      <c r="B249" s="764"/>
      <c r="C249" s="764"/>
      <c r="D249" s="764"/>
      <c r="E249" s="764"/>
      <c r="F249" s="764"/>
      <c r="G249" s="764"/>
      <c r="H249" s="764"/>
      <c r="I249" s="764"/>
      <c r="J249" s="764"/>
      <c r="K249" s="764"/>
      <c r="L249" s="764"/>
      <c r="M249" s="764"/>
      <c r="N249" s="764"/>
      <c r="O249" s="764"/>
      <c r="P249" s="764"/>
      <c r="Q249" s="764"/>
      <c r="R249" s="764"/>
      <c r="S249" s="764"/>
      <c r="T249" s="764"/>
      <c r="U249" s="764"/>
      <c r="V249" s="764"/>
      <c r="W249" s="764"/>
      <c r="X249" s="764"/>
      <c r="Y249" s="764"/>
      <c r="Z249" s="764"/>
      <c r="AA249" s="764"/>
      <c r="AB249" s="764"/>
      <c r="AC249" s="764"/>
      <c r="AS249" s="765"/>
      <c r="AT249" s="765"/>
      <c r="AU249" s="765"/>
      <c r="AV249" s="765"/>
      <c r="AW249" s="765"/>
      <c r="AX249" s="765"/>
      <c r="AY249" s="764"/>
      <c r="AZ249" s="764"/>
    </row>
    <row r="250" spans="1:52" ht="12.75" customHeight="1">
      <c r="A250" s="764"/>
      <c r="B250" s="764"/>
      <c r="C250" s="764"/>
      <c r="D250" s="764"/>
      <c r="E250" s="764"/>
      <c r="F250" s="764"/>
      <c r="G250" s="764"/>
      <c r="H250" s="764"/>
      <c r="I250" s="764"/>
      <c r="J250" s="764"/>
      <c r="K250" s="764"/>
      <c r="L250" s="764"/>
      <c r="M250" s="764"/>
      <c r="N250" s="764"/>
      <c r="O250" s="764"/>
      <c r="P250" s="764"/>
      <c r="Q250" s="764"/>
      <c r="R250" s="764"/>
      <c r="S250" s="764"/>
      <c r="T250" s="764"/>
      <c r="U250" s="764"/>
      <c r="V250" s="764"/>
      <c r="W250" s="764"/>
      <c r="X250" s="764"/>
      <c r="Y250" s="764"/>
      <c r="Z250" s="764"/>
      <c r="AA250" s="764"/>
      <c r="AB250" s="764"/>
      <c r="AC250" s="764"/>
      <c r="AS250" s="765"/>
      <c r="AT250" s="765"/>
      <c r="AU250" s="765"/>
      <c r="AV250" s="765"/>
      <c r="AW250" s="765"/>
      <c r="AX250" s="765"/>
      <c r="AY250" s="764"/>
      <c r="AZ250" s="764"/>
    </row>
    <row r="251" spans="1:52" ht="12.75" customHeight="1">
      <c r="A251" s="764"/>
      <c r="B251" s="764"/>
      <c r="C251" s="764"/>
      <c r="D251" s="764"/>
      <c r="E251" s="764"/>
      <c r="F251" s="764"/>
      <c r="G251" s="764"/>
      <c r="H251" s="764"/>
      <c r="I251" s="764"/>
      <c r="J251" s="764"/>
      <c r="K251" s="764"/>
      <c r="L251" s="764"/>
      <c r="M251" s="764"/>
      <c r="N251" s="764"/>
      <c r="O251" s="764"/>
      <c r="P251" s="764"/>
      <c r="Q251" s="764"/>
      <c r="R251" s="764"/>
      <c r="S251" s="764"/>
      <c r="T251" s="764"/>
      <c r="U251" s="764"/>
      <c r="V251" s="764"/>
      <c r="W251" s="764"/>
      <c r="X251" s="764"/>
      <c r="Y251" s="764"/>
      <c r="Z251" s="764"/>
      <c r="AA251" s="764"/>
      <c r="AB251" s="764"/>
      <c r="AC251" s="764"/>
      <c r="AS251" s="765"/>
      <c r="AT251" s="765"/>
      <c r="AU251" s="765"/>
      <c r="AV251" s="765"/>
      <c r="AW251" s="765"/>
      <c r="AX251" s="765"/>
      <c r="AY251" s="764"/>
      <c r="AZ251" s="764"/>
    </row>
    <row r="252" spans="1:52" ht="12.75" customHeight="1">
      <c r="A252" s="764"/>
      <c r="B252" s="764"/>
      <c r="C252" s="764"/>
      <c r="D252" s="764"/>
      <c r="E252" s="764"/>
      <c r="F252" s="764"/>
      <c r="G252" s="764"/>
      <c r="H252" s="764"/>
      <c r="I252" s="764"/>
      <c r="J252" s="764"/>
      <c r="K252" s="764"/>
      <c r="L252" s="764"/>
      <c r="M252" s="764"/>
      <c r="N252" s="764"/>
      <c r="O252" s="764"/>
      <c r="P252" s="764"/>
      <c r="Q252" s="764"/>
      <c r="R252" s="764"/>
      <c r="S252" s="764"/>
      <c r="T252" s="764"/>
      <c r="U252" s="764"/>
      <c r="V252" s="764"/>
      <c r="W252" s="764"/>
      <c r="X252" s="764"/>
      <c r="Y252" s="764"/>
      <c r="Z252" s="764"/>
      <c r="AA252" s="764"/>
      <c r="AB252" s="764"/>
      <c r="AC252" s="764"/>
      <c r="AS252" s="765"/>
      <c r="AT252" s="765"/>
      <c r="AU252" s="765"/>
      <c r="AV252" s="765"/>
      <c r="AW252" s="765"/>
      <c r="AX252" s="765"/>
      <c r="AY252" s="764"/>
      <c r="AZ252" s="764"/>
    </row>
    <row r="253" spans="1:52" ht="12.75" customHeight="1">
      <c r="A253" s="764"/>
      <c r="B253" s="764"/>
      <c r="C253" s="764"/>
      <c r="D253" s="764"/>
      <c r="E253" s="764"/>
      <c r="F253" s="764"/>
      <c r="G253" s="764"/>
      <c r="H253" s="764"/>
      <c r="I253" s="764"/>
      <c r="J253" s="764"/>
      <c r="K253" s="764"/>
      <c r="L253" s="764"/>
      <c r="M253" s="764"/>
      <c r="N253" s="764"/>
      <c r="O253" s="764"/>
      <c r="P253" s="764"/>
      <c r="Q253" s="764"/>
      <c r="R253" s="764"/>
      <c r="S253" s="764"/>
      <c r="T253" s="764"/>
      <c r="U253" s="764"/>
      <c r="V253" s="764"/>
      <c r="W253" s="764"/>
      <c r="X253" s="764"/>
      <c r="Y253" s="764"/>
      <c r="Z253" s="764"/>
      <c r="AA253" s="764"/>
      <c r="AB253" s="764"/>
      <c r="AC253" s="764"/>
      <c r="AS253" s="765"/>
      <c r="AT253" s="765"/>
      <c r="AU253" s="765"/>
      <c r="AV253" s="765"/>
      <c r="AW253" s="765"/>
      <c r="AX253" s="765"/>
      <c r="AY253" s="764"/>
      <c r="AZ253" s="764"/>
    </row>
    <row r="254" spans="1:52" ht="12.75" customHeight="1">
      <c r="A254" s="764"/>
      <c r="B254" s="764"/>
      <c r="C254" s="764"/>
      <c r="D254" s="764"/>
      <c r="E254" s="764"/>
      <c r="F254" s="764"/>
      <c r="G254" s="764"/>
      <c r="H254" s="764"/>
      <c r="I254" s="764"/>
      <c r="J254" s="764"/>
      <c r="K254" s="764"/>
      <c r="L254" s="764"/>
      <c r="M254" s="764"/>
      <c r="N254" s="764"/>
      <c r="O254" s="764"/>
      <c r="P254" s="764"/>
      <c r="Q254" s="764"/>
      <c r="R254" s="764"/>
      <c r="S254" s="764"/>
      <c r="T254" s="764"/>
      <c r="U254" s="764"/>
      <c r="V254" s="764"/>
      <c r="W254" s="764"/>
      <c r="X254" s="764"/>
      <c r="Y254" s="764"/>
      <c r="Z254" s="764"/>
      <c r="AA254" s="764"/>
      <c r="AB254" s="764"/>
      <c r="AC254" s="764"/>
      <c r="AS254" s="765"/>
      <c r="AT254" s="765"/>
      <c r="AU254" s="765"/>
      <c r="AV254" s="765"/>
      <c r="AW254" s="765"/>
      <c r="AX254" s="765"/>
      <c r="AY254" s="764"/>
      <c r="AZ254" s="764"/>
    </row>
    <row r="255" spans="1:52" ht="12.75" customHeight="1">
      <c r="A255" s="764"/>
      <c r="B255" s="764"/>
      <c r="C255" s="764"/>
      <c r="D255" s="764"/>
      <c r="E255" s="764"/>
      <c r="F255" s="764"/>
      <c r="G255" s="764"/>
      <c r="H255" s="764"/>
      <c r="I255" s="764"/>
      <c r="J255" s="764"/>
      <c r="K255" s="764"/>
      <c r="L255" s="764"/>
      <c r="M255" s="764"/>
      <c r="N255" s="764"/>
      <c r="O255" s="764"/>
      <c r="P255" s="764"/>
      <c r="Q255" s="764"/>
      <c r="R255" s="764"/>
      <c r="S255" s="764"/>
      <c r="T255" s="764"/>
      <c r="U255" s="764"/>
      <c r="V255" s="764"/>
      <c r="W255" s="764"/>
      <c r="X255" s="764"/>
      <c r="Y255" s="764"/>
      <c r="Z255" s="764"/>
      <c r="AA255" s="764"/>
      <c r="AB255" s="764"/>
      <c r="AC255" s="764"/>
      <c r="AS255" s="765"/>
      <c r="AT255" s="765"/>
      <c r="AU255" s="765"/>
      <c r="AV255" s="765"/>
      <c r="AW255" s="765"/>
      <c r="AX255" s="765"/>
      <c r="AY255" s="764"/>
      <c r="AZ255" s="764"/>
    </row>
    <row r="256" spans="1:52" ht="12.75" customHeight="1">
      <c r="A256" s="764"/>
      <c r="B256" s="764"/>
      <c r="C256" s="764"/>
      <c r="D256" s="764"/>
      <c r="E256" s="764"/>
      <c r="F256" s="764"/>
      <c r="G256" s="764"/>
      <c r="H256" s="764"/>
      <c r="I256" s="764"/>
      <c r="J256" s="764"/>
      <c r="K256" s="764"/>
      <c r="L256" s="764"/>
      <c r="M256" s="764"/>
      <c r="N256" s="764"/>
      <c r="O256" s="764"/>
      <c r="P256" s="764"/>
      <c r="Q256" s="764"/>
      <c r="R256" s="764"/>
      <c r="S256" s="764"/>
      <c r="T256" s="764"/>
      <c r="U256" s="764"/>
      <c r="V256" s="764"/>
      <c r="W256" s="764"/>
      <c r="X256" s="764"/>
      <c r="Y256" s="764"/>
      <c r="Z256" s="764"/>
      <c r="AA256" s="764"/>
      <c r="AB256" s="764"/>
      <c r="AC256" s="764"/>
      <c r="AS256" s="765"/>
      <c r="AT256" s="765"/>
      <c r="AU256" s="765"/>
      <c r="AV256" s="765"/>
      <c r="AW256" s="765"/>
      <c r="AX256" s="765"/>
      <c r="AY256" s="764"/>
      <c r="AZ256" s="764"/>
    </row>
    <row r="257" spans="1:52" ht="12.75" customHeight="1">
      <c r="A257" s="764"/>
      <c r="B257" s="764"/>
      <c r="C257" s="764"/>
      <c r="D257" s="764"/>
      <c r="E257" s="764"/>
      <c r="F257" s="764"/>
      <c r="G257" s="764"/>
      <c r="H257" s="764"/>
      <c r="I257" s="764"/>
      <c r="J257" s="764"/>
      <c r="K257" s="764"/>
      <c r="L257" s="764"/>
      <c r="M257" s="764"/>
      <c r="N257" s="764"/>
      <c r="O257" s="764"/>
      <c r="P257" s="764"/>
      <c r="Q257" s="764"/>
      <c r="R257" s="764"/>
      <c r="S257" s="764"/>
      <c r="T257" s="764"/>
      <c r="U257" s="764"/>
      <c r="V257" s="764"/>
      <c r="W257" s="764"/>
      <c r="X257" s="764"/>
      <c r="Y257" s="764"/>
      <c r="Z257" s="764"/>
      <c r="AA257" s="764"/>
      <c r="AB257" s="764"/>
      <c r="AC257" s="764"/>
      <c r="AS257" s="765"/>
      <c r="AT257" s="765"/>
      <c r="AU257" s="765"/>
      <c r="AV257" s="765"/>
      <c r="AW257" s="765"/>
      <c r="AX257" s="765"/>
      <c r="AY257" s="764"/>
      <c r="AZ257" s="764"/>
    </row>
    <row r="258" spans="1:52" ht="12.75" customHeight="1">
      <c r="A258" s="764"/>
      <c r="B258" s="764"/>
      <c r="C258" s="764"/>
      <c r="D258" s="764"/>
      <c r="E258" s="764"/>
      <c r="F258" s="764"/>
      <c r="G258" s="764"/>
      <c r="H258" s="764"/>
      <c r="I258" s="764"/>
      <c r="J258" s="764"/>
      <c r="K258" s="764"/>
      <c r="L258" s="764"/>
      <c r="M258" s="764"/>
      <c r="N258" s="764"/>
      <c r="O258" s="764"/>
      <c r="P258" s="764"/>
      <c r="Q258" s="764"/>
      <c r="R258" s="764"/>
      <c r="S258" s="764"/>
      <c r="T258" s="764"/>
      <c r="U258" s="764"/>
      <c r="V258" s="764"/>
      <c r="W258" s="764"/>
      <c r="X258" s="764"/>
      <c r="Y258" s="764"/>
      <c r="Z258" s="764"/>
      <c r="AA258" s="764"/>
      <c r="AB258" s="764"/>
      <c r="AC258" s="764"/>
      <c r="AS258" s="765"/>
      <c r="AT258" s="765"/>
      <c r="AU258" s="765"/>
      <c r="AV258" s="765"/>
      <c r="AW258" s="765"/>
      <c r="AX258" s="765"/>
      <c r="AY258" s="764"/>
      <c r="AZ258" s="764"/>
    </row>
    <row r="259" spans="1:52" ht="12.75" customHeight="1">
      <c r="A259" s="764"/>
      <c r="B259" s="764"/>
      <c r="C259" s="764"/>
      <c r="D259" s="764"/>
      <c r="E259" s="764"/>
      <c r="F259" s="764"/>
      <c r="G259" s="764"/>
      <c r="H259" s="764"/>
      <c r="I259" s="764"/>
      <c r="J259" s="764"/>
      <c r="K259" s="764"/>
      <c r="L259" s="764"/>
      <c r="M259" s="764"/>
      <c r="N259" s="764"/>
      <c r="O259" s="764"/>
      <c r="P259" s="764"/>
      <c r="Q259" s="764"/>
      <c r="R259" s="764"/>
      <c r="S259" s="764"/>
      <c r="T259" s="764"/>
      <c r="U259" s="764"/>
      <c r="V259" s="764"/>
      <c r="W259" s="764"/>
      <c r="X259" s="764"/>
      <c r="Y259" s="764"/>
      <c r="Z259" s="764"/>
      <c r="AA259" s="764"/>
      <c r="AB259" s="764"/>
      <c r="AC259" s="764"/>
      <c r="AS259" s="765"/>
      <c r="AT259" s="765"/>
      <c r="AU259" s="765"/>
      <c r="AV259" s="765"/>
      <c r="AW259" s="765"/>
      <c r="AX259" s="765"/>
      <c r="AY259" s="764"/>
      <c r="AZ259" s="764"/>
    </row>
    <row r="260" spans="1:52" ht="12.75" customHeight="1">
      <c r="A260" s="764"/>
      <c r="B260" s="764"/>
      <c r="C260" s="764"/>
      <c r="D260" s="764"/>
      <c r="E260" s="764"/>
      <c r="F260" s="764"/>
      <c r="G260" s="764"/>
      <c r="H260" s="764"/>
      <c r="I260" s="764"/>
      <c r="J260" s="764"/>
      <c r="K260" s="764"/>
      <c r="L260" s="764"/>
      <c r="M260" s="764"/>
      <c r="N260" s="764"/>
      <c r="O260" s="764"/>
      <c r="P260" s="764"/>
      <c r="Q260" s="764"/>
      <c r="R260" s="764"/>
      <c r="S260" s="764"/>
      <c r="T260" s="764"/>
      <c r="U260" s="764"/>
      <c r="V260" s="764"/>
      <c r="W260" s="764"/>
      <c r="X260" s="764"/>
      <c r="Y260" s="764"/>
      <c r="Z260" s="764"/>
      <c r="AA260" s="764"/>
      <c r="AB260" s="764"/>
      <c r="AC260" s="764"/>
      <c r="AS260" s="765"/>
      <c r="AT260" s="765"/>
      <c r="AU260" s="765"/>
      <c r="AV260" s="765"/>
      <c r="AW260" s="765"/>
      <c r="AX260" s="765"/>
      <c r="AY260" s="764"/>
      <c r="AZ260" s="764"/>
    </row>
    <row r="261" spans="1:52" ht="12.75" customHeight="1">
      <c r="A261" s="764"/>
      <c r="B261" s="764"/>
      <c r="C261" s="764"/>
      <c r="D261" s="764"/>
      <c r="E261" s="764"/>
      <c r="F261" s="764"/>
      <c r="G261" s="764"/>
      <c r="H261" s="764"/>
      <c r="I261" s="764"/>
      <c r="J261" s="764"/>
      <c r="K261" s="764"/>
      <c r="L261" s="764"/>
      <c r="M261" s="764"/>
      <c r="N261" s="764"/>
      <c r="O261" s="764"/>
      <c r="P261" s="764"/>
      <c r="Q261" s="764"/>
      <c r="R261" s="764"/>
      <c r="S261" s="764"/>
      <c r="T261" s="764"/>
      <c r="U261" s="764"/>
      <c r="V261" s="764"/>
      <c r="W261" s="764"/>
      <c r="X261" s="764"/>
      <c r="Y261" s="764"/>
      <c r="Z261" s="764"/>
      <c r="AA261" s="764"/>
      <c r="AB261" s="764"/>
      <c r="AC261" s="764"/>
      <c r="AS261" s="765"/>
      <c r="AT261" s="765"/>
      <c r="AU261" s="765"/>
      <c r="AV261" s="765"/>
      <c r="AW261" s="765"/>
      <c r="AX261" s="765"/>
      <c r="AY261" s="764"/>
      <c r="AZ261" s="764"/>
    </row>
    <row r="262" spans="1:52" ht="12.75" customHeight="1">
      <c r="A262" s="764"/>
      <c r="B262" s="764"/>
      <c r="C262" s="764"/>
      <c r="D262" s="764"/>
      <c r="E262" s="764"/>
      <c r="F262" s="764"/>
      <c r="G262" s="764"/>
      <c r="H262" s="764"/>
      <c r="I262" s="764"/>
      <c r="J262" s="764"/>
      <c r="K262" s="764"/>
      <c r="L262" s="764"/>
      <c r="M262" s="764"/>
      <c r="N262" s="764"/>
      <c r="O262" s="764"/>
      <c r="P262" s="764"/>
      <c r="Q262" s="764"/>
      <c r="R262" s="764"/>
      <c r="S262" s="764"/>
      <c r="T262" s="764"/>
      <c r="U262" s="764"/>
      <c r="V262" s="764"/>
      <c r="W262" s="764"/>
      <c r="X262" s="764"/>
      <c r="Y262" s="764"/>
      <c r="Z262" s="764"/>
      <c r="AA262" s="764"/>
      <c r="AB262" s="764"/>
      <c r="AC262" s="764"/>
      <c r="AS262" s="765"/>
      <c r="AT262" s="765"/>
      <c r="AU262" s="765"/>
      <c r="AV262" s="765"/>
      <c r="AW262" s="765"/>
      <c r="AX262" s="765"/>
      <c r="AY262" s="764"/>
      <c r="AZ262" s="764"/>
    </row>
    <row r="263" spans="1:52" ht="12.75" customHeight="1">
      <c r="A263" s="764"/>
      <c r="B263" s="764"/>
      <c r="C263" s="764"/>
      <c r="D263" s="764"/>
      <c r="E263" s="764"/>
      <c r="F263" s="764"/>
      <c r="G263" s="764"/>
      <c r="H263" s="764"/>
      <c r="I263" s="764"/>
      <c r="J263" s="764"/>
      <c r="K263" s="764"/>
      <c r="L263" s="764"/>
      <c r="M263" s="764"/>
      <c r="N263" s="764"/>
      <c r="O263" s="764"/>
      <c r="P263" s="764"/>
      <c r="Q263" s="764"/>
      <c r="R263" s="764"/>
      <c r="S263" s="764"/>
      <c r="T263" s="764"/>
      <c r="U263" s="764"/>
      <c r="V263" s="764"/>
      <c r="W263" s="764"/>
      <c r="X263" s="764"/>
      <c r="Y263" s="764"/>
      <c r="Z263" s="764"/>
      <c r="AA263" s="764"/>
      <c r="AB263" s="764"/>
      <c r="AC263" s="764"/>
      <c r="AS263" s="765"/>
      <c r="AT263" s="765"/>
      <c r="AU263" s="765"/>
      <c r="AV263" s="765"/>
      <c r="AW263" s="765"/>
      <c r="AX263" s="765"/>
      <c r="AY263" s="764"/>
      <c r="AZ263" s="764"/>
    </row>
    <row r="264" spans="1:52" ht="12.75" customHeight="1">
      <c r="A264" s="764"/>
      <c r="B264" s="764"/>
      <c r="C264" s="764"/>
      <c r="D264" s="764"/>
      <c r="E264" s="764"/>
      <c r="F264" s="764"/>
      <c r="G264" s="764"/>
      <c r="H264" s="764"/>
      <c r="I264" s="764"/>
      <c r="J264" s="764"/>
      <c r="K264" s="764"/>
      <c r="L264" s="764"/>
      <c r="M264" s="764"/>
      <c r="N264" s="764"/>
      <c r="O264" s="764"/>
      <c r="P264" s="764"/>
      <c r="Q264" s="764"/>
      <c r="R264" s="764"/>
      <c r="S264" s="764"/>
      <c r="T264" s="764"/>
      <c r="U264" s="764"/>
      <c r="V264" s="764"/>
      <c r="W264" s="764"/>
      <c r="X264" s="764"/>
      <c r="Y264" s="764"/>
      <c r="Z264" s="764"/>
      <c r="AA264" s="764"/>
      <c r="AB264" s="764"/>
      <c r="AC264" s="764"/>
      <c r="AS264" s="765"/>
      <c r="AT264" s="765"/>
      <c r="AU264" s="765"/>
      <c r="AV264" s="765"/>
      <c r="AW264" s="765"/>
      <c r="AX264" s="765"/>
      <c r="AY264" s="764"/>
      <c r="AZ264" s="764"/>
    </row>
    <row r="265" spans="1:52" ht="12.75" customHeight="1">
      <c r="A265" s="764"/>
      <c r="B265" s="764"/>
      <c r="C265" s="764"/>
      <c r="D265" s="764"/>
      <c r="E265" s="764"/>
      <c r="F265" s="764"/>
      <c r="G265" s="764"/>
      <c r="H265" s="764"/>
      <c r="I265" s="764"/>
      <c r="J265" s="764"/>
      <c r="K265" s="764"/>
      <c r="L265" s="764"/>
      <c r="M265" s="764"/>
      <c r="N265" s="764"/>
      <c r="O265" s="764"/>
      <c r="P265" s="764"/>
      <c r="Q265" s="764"/>
      <c r="R265" s="764"/>
      <c r="S265" s="764"/>
      <c r="T265" s="764"/>
      <c r="U265" s="764"/>
      <c r="V265" s="764"/>
      <c r="W265" s="764"/>
      <c r="X265" s="764"/>
      <c r="Y265" s="764"/>
      <c r="Z265" s="764"/>
      <c r="AA265" s="764"/>
      <c r="AB265" s="764"/>
      <c r="AC265" s="764"/>
      <c r="AS265" s="765"/>
      <c r="AT265" s="765"/>
      <c r="AU265" s="765"/>
      <c r="AV265" s="765"/>
      <c r="AW265" s="765"/>
      <c r="AX265" s="765"/>
      <c r="AY265" s="764"/>
      <c r="AZ265" s="764"/>
    </row>
    <row r="266" spans="1:52" ht="12.75" customHeight="1">
      <c r="A266" s="764"/>
      <c r="B266" s="764"/>
      <c r="C266" s="764"/>
      <c r="D266" s="764"/>
      <c r="E266" s="764"/>
      <c r="F266" s="764"/>
      <c r="G266" s="764"/>
      <c r="H266" s="764"/>
      <c r="I266" s="764"/>
      <c r="J266" s="764"/>
      <c r="K266" s="764"/>
      <c r="L266" s="764"/>
      <c r="M266" s="764"/>
      <c r="N266" s="764"/>
      <c r="O266" s="764"/>
      <c r="P266" s="764"/>
      <c r="Q266" s="764"/>
      <c r="R266" s="764"/>
      <c r="S266" s="764"/>
      <c r="T266" s="764"/>
      <c r="U266" s="764"/>
      <c r="V266" s="764"/>
      <c r="W266" s="764"/>
      <c r="X266" s="764"/>
      <c r="Y266" s="764"/>
      <c r="Z266" s="764"/>
      <c r="AA266" s="764"/>
      <c r="AB266" s="764"/>
      <c r="AC266" s="764"/>
      <c r="AS266" s="764"/>
      <c r="AT266" s="764"/>
      <c r="AU266" s="764"/>
      <c r="AV266" s="764"/>
      <c r="AW266" s="764"/>
      <c r="AX266" s="765"/>
      <c r="AY266" s="764"/>
      <c r="AZ266" s="764"/>
    </row>
    <row r="267" spans="1:52" ht="12.75" customHeight="1">
      <c r="A267" s="764"/>
      <c r="B267" s="764"/>
      <c r="C267" s="764"/>
      <c r="D267" s="764"/>
      <c r="E267" s="764"/>
      <c r="F267" s="764"/>
      <c r="G267" s="764"/>
      <c r="H267" s="764"/>
      <c r="I267" s="764"/>
      <c r="J267" s="764"/>
      <c r="K267" s="764"/>
      <c r="L267" s="764"/>
      <c r="M267" s="764"/>
      <c r="N267" s="764"/>
      <c r="O267" s="764"/>
      <c r="P267" s="764"/>
      <c r="Q267" s="764"/>
      <c r="R267" s="764"/>
      <c r="S267" s="764"/>
      <c r="T267" s="764"/>
      <c r="U267" s="764"/>
      <c r="V267" s="764"/>
      <c r="W267" s="764"/>
      <c r="X267" s="764"/>
      <c r="Y267" s="764"/>
      <c r="Z267" s="764"/>
      <c r="AA267" s="764"/>
      <c r="AB267" s="764"/>
      <c r="AC267" s="764"/>
      <c r="AS267" s="765"/>
      <c r="AT267" s="765"/>
      <c r="AU267" s="765"/>
      <c r="AV267" s="765"/>
      <c r="AW267" s="765"/>
      <c r="AX267" s="764"/>
      <c r="AY267" s="764"/>
      <c r="AZ267" s="764"/>
    </row>
    <row r="268" spans="1:52" ht="12.75" customHeight="1">
      <c r="A268" s="764"/>
      <c r="B268" s="764"/>
      <c r="C268" s="764"/>
      <c r="D268" s="764"/>
      <c r="E268" s="764"/>
      <c r="F268" s="764"/>
      <c r="G268" s="764"/>
      <c r="H268" s="764"/>
      <c r="I268" s="764"/>
      <c r="J268" s="764"/>
      <c r="K268" s="764"/>
      <c r="L268" s="764"/>
      <c r="M268" s="764"/>
      <c r="N268" s="764"/>
      <c r="O268" s="764"/>
      <c r="P268" s="764"/>
      <c r="Q268" s="764"/>
      <c r="R268" s="764"/>
      <c r="S268" s="764"/>
      <c r="T268" s="764"/>
      <c r="U268" s="764"/>
      <c r="V268" s="764"/>
      <c r="W268" s="764"/>
      <c r="X268" s="764"/>
      <c r="Y268" s="764"/>
      <c r="Z268" s="764"/>
      <c r="AA268" s="764"/>
      <c r="AB268" s="764"/>
      <c r="AC268" s="764"/>
      <c r="AS268" s="765"/>
      <c r="AT268" s="765"/>
      <c r="AU268" s="765"/>
      <c r="AV268" s="765"/>
      <c r="AW268" s="765"/>
      <c r="AX268" s="765"/>
      <c r="AY268" s="764"/>
      <c r="AZ268" s="764"/>
    </row>
    <row r="269" spans="1:52" ht="12.75" customHeight="1">
      <c r="A269" s="764"/>
      <c r="B269" s="764"/>
      <c r="C269" s="764"/>
      <c r="D269" s="764"/>
      <c r="E269" s="764"/>
      <c r="F269" s="764"/>
      <c r="G269" s="764"/>
      <c r="H269" s="764"/>
      <c r="I269" s="764"/>
      <c r="J269" s="764"/>
      <c r="K269" s="764"/>
      <c r="L269" s="764"/>
      <c r="M269" s="764"/>
      <c r="N269" s="764"/>
      <c r="O269" s="764"/>
      <c r="P269" s="764"/>
      <c r="Q269" s="764"/>
      <c r="R269" s="764"/>
      <c r="S269" s="764"/>
      <c r="T269" s="764"/>
      <c r="U269" s="764"/>
      <c r="V269" s="764"/>
      <c r="W269" s="764"/>
      <c r="X269" s="764"/>
      <c r="Y269" s="764"/>
      <c r="Z269" s="764"/>
      <c r="AA269" s="764"/>
      <c r="AB269" s="764"/>
      <c r="AC269" s="764"/>
      <c r="AS269" s="765"/>
      <c r="AT269" s="765"/>
      <c r="AU269" s="765"/>
      <c r="AV269" s="765"/>
      <c r="AW269" s="765"/>
      <c r="AX269" s="765"/>
      <c r="AY269" s="764"/>
      <c r="AZ269" s="764"/>
    </row>
    <row r="270" spans="1:52" ht="12.75" customHeight="1">
      <c r="A270" s="764"/>
      <c r="B270" s="764"/>
      <c r="C270" s="764"/>
      <c r="D270" s="764"/>
      <c r="E270" s="764"/>
      <c r="F270" s="764"/>
      <c r="G270" s="764"/>
      <c r="H270" s="764"/>
      <c r="I270" s="764"/>
      <c r="J270" s="764"/>
      <c r="K270" s="764"/>
      <c r="L270" s="764"/>
      <c r="M270" s="764"/>
      <c r="N270" s="764"/>
      <c r="O270" s="764"/>
      <c r="P270" s="764"/>
      <c r="Q270" s="764"/>
      <c r="R270" s="764"/>
      <c r="S270" s="764"/>
      <c r="T270" s="764"/>
      <c r="U270" s="764"/>
      <c r="V270" s="764"/>
      <c r="W270" s="764"/>
      <c r="X270" s="764"/>
      <c r="Y270" s="764"/>
      <c r="Z270" s="764"/>
      <c r="AA270" s="764"/>
      <c r="AB270" s="764"/>
      <c r="AC270" s="764"/>
      <c r="AS270" s="765"/>
      <c r="AT270" s="765"/>
      <c r="AU270" s="765"/>
      <c r="AV270" s="765"/>
      <c r="AW270" s="765"/>
      <c r="AX270" s="765"/>
      <c r="AY270" s="764"/>
      <c r="AZ270" s="764"/>
    </row>
    <row r="271" spans="1:52" ht="12.75" customHeight="1">
      <c r="A271" s="764"/>
      <c r="B271" s="764"/>
      <c r="C271" s="764"/>
      <c r="D271" s="764"/>
      <c r="E271" s="764"/>
      <c r="F271" s="764"/>
      <c r="G271" s="764"/>
      <c r="H271" s="764"/>
      <c r="I271" s="764"/>
      <c r="J271" s="764"/>
      <c r="K271" s="764"/>
      <c r="L271" s="764"/>
      <c r="M271" s="764"/>
      <c r="N271" s="764"/>
      <c r="O271" s="764"/>
      <c r="P271" s="764"/>
      <c r="Q271" s="764"/>
      <c r="R271" s="764"/>
      <c r="S271" s="764"/>
      <c r="T271" s="764"/>
      <c r="U271" s="764"/>
      <c r="V271" s="764"/>
      <c r="W271" s="764"/>
      <c r="X271" s="764"/>
      <c r="Y271" s="764"/>
      <c r="Z271" s="764"/>
      <c r="AA271" s="764"/>
      <c r="AB271" s="764"/>
      <c r="AC271" s="764"/>
      <c r="AS271" s="765"/>
      <c r="AT271" s="765"/>
      <c r="AU271" s="765"/>
      <c r="AV271" s="765"/>
      <c r="AW271" s="765"/>
      <c r="AX271" s="765"/>
      <c r="AY271" s="764"/>
      <c r="AZ271" s="764"/>
    </row>
    <row r="272" spans="1:52" ht="12.75" customHeight="1">
      <c r="A272" s="764"/>
      <c r="B272" s="764"/>
      <c r="C272" s="764"/>
      <c r="D272" s="764"/>
      <c r="E272" s="764"/>
      <c r="F272" s="764"/>
      <c r="G272" s="764"/>
      <c r="H272" s="764"/>
      <c r="I272" s="764"/>
      <c r="J272" s="764"/>
      <c r="K272" s="764"/>
      <c r="L272" s="764"/>
      <c r="M272" s="764"/>
      <c r="N272" s="764"/>
      <c r="O272" s="764"/>
      <c r="P272" s="764"/>
      <c r="Q272" s="764"/>
      <c r="R272" s="764"/>
      <c r="S272" s="764"/>
      <c r="T272" s="764"/>
      <c r="U272" s="764"/>
      <c r="V272" s="764"/>
      <c r="W272" s="764"/>
      <c r="X272" s="764"/>
      <c r="Y272" s="764"/>
      <c r="Z272" s="764"/>
      <c r="AA272" s="764"/>
      <c r="AB272" s="764"/>
      <c r="AC272" s="764"/>
      <c r="AS272" s="765"/>
      <c r="AT272" s="765"/>
      <c r="AU272" s="765"/>
      <c r="AV272" s="765"/>
      <c r="AW272" s="765"/>
      <c r="AX272" s="765"/>
      <c r="AY272" s="764"/>
      <c r="AZ272" s="764"/>
    </row>
    <row r="273" spans="1:52" ht="12.75" customHeight="1">
      <c r="A273" s="764"/>
      <c r="B273" s="764"/>
      <c r="C273" s="764"/>
      <c r="D273" s="764"/>
      <c r="E273" s="764"/>
      <c r="F273" s="764"/>
      <c r="G273" s="764"/>
      <c r="H273" s="764"/>
      <c r="I273" s="764"/>
      <c r="J273" s="764"/>
      <c r="K273" s="764"/>
      <c r="L273" s="764"/>
      <c r="M273" s="764"/>
      <c r="N273" s="764"/>
      <c r="O273" s="764"/>
      <c r="P273" s="764"/>
      <c r="Q273" s="764"/>
      <c r="R273" s="764"/>
      <c r="S273" s="764"/>
      <c r="T273" s="764"/>
      <c r="U273" s="764"/>
      <c r="V273" s="764"/>
      <c r="W273" s="764"/>
      <c r="X273" s="764"/>
      <c r="Y273" s="764"/>
      <c r="Z273" s="764"/>
      <c r="AA273" s="764"/>
      <c r="AB273" s="764"/>
      <c r="AC273" s="764"/>
      <c r="AS273" s="765"/>
      <c r="AT273" s="765"/>
      <c r="AU273" s="765"/>
      <c r="AV273" s="765"/>
      <c r="AW273" s="765"/>
      <c r="AX273" s="765"/>
      <c r="AY273" s="764"/>
      <c r="AZ273" s="764"/>
    </row>
    <row r="274" spans="1:52" ht="12.75" customHeight="1">
      <c r="A274" s="764"/>
      <c r="B274" s="764"/>
      <c r="C274" s="764"/>
      <c r="D274" s="764"/>
      <c r="E274" s="764"/>
      <c r="F274" s="764"/>
      <c r="G274" s="764"/>
      <c r="H274" s="764"/>
      <c r="I274" s="764"/>
      <c r="J274" s="764"/>
      <c r="K274" s="764"/>
      <c r="L274" s="764"/>
      <c r="M274" s="764"/>
      <c r="N274" s="764"/>
      <c r="O274" s="764"/>
      <c r="P274" s="764"/>
      <c r="Q274" s="764"/>
      <c r="R274" s="764"/>
      <c r="S274" s="764"/>
      <c r="T274" s="764"/>
      <c r="U274" s="764"/>
      <c r="V274" s="764"/>
      <c r="W274" s="764"/>
      <c r="X274" s="764"/>
      <c r="Y274" s="764"/>
      <c r="Z274" s="764"/>
      <c r="AA274" s="764"/>
      <c r="AB274" s="764"/>
      <c r="AC274" s="764"/>
      <c r="AS274" s="765"/>
      <c r="AT274" s="765"/>
      <c r="AU274" s="765"/>
      <c r="AV274" s="765"/>
      <c r="AW274" s="765"/>
      <c r="AX274" s="765"/>
      <c r="AY274" s="764"/>
      <c r="AZ274" s="764"/>
    </row>
    <row r="275" spans="1:52" ht="12.75" customHeight="1">
      <c r="A275" s="764"/>
      <c r="B275" s="764"/>
      <c r="C275" s="764"/>
      <c r="D275" s="764"/>
      <c r="E275" s="764"/>
      <c r="F275" s="764"/>
      <c r="G275" s="764"/>
      <c r="H275" s="764"/>
      <c r="I275" s="764"/>
      <c r="J275" s="764"/>
      <c r="K275" s="764"/>
      <c r="L275" s="764"/>
      <c r="M275" s="764"/>
      <c r="N275" s="764"/>
      <c r="O275" s="764"/>
      <c r="P275" s="764"/>
      <c r="Q275" s="764"/>
      <c r="R275" s="764"/>
      <c r="S275" s="764"/>
      <c r="T275" s="764"/>
      <c r="U275" s="764"/>
      <c r="V275" s="764"/>
      <c r="W275" s="764"/>
      <c r="X275" s="764"/>
      <c r="Y275" s="764"/>
      <c r="Z275" s="764"/>
      <c r="AA275" s="764"/>
      <c r="AB275" s="764"/>
      <c r="AC275" s="764"/>
      <c r="AS275" s="765"/>
      <c r="AT275" s="765"/>
      <c r="AU275" s="765"/>
      <c r="AV275" s="765"/>
      <c r="AW275" s="765"/>
      <c r="AX275" s="765"/>
      <c r="AY275" s="764"/>
      <c r="AZ275" s="764"/>
    </row>
    <row r="276" spans="1:52" ht="12.75" customHeight="1">
      <c r="A276" s="764"/>
      <c r="B276" s="764"/>
      <c r="C276" s="764"/>
      <c r="D276" s="764"/>
      <c r="E276" s="764"/>
      <c r="F276" s="764"/>
      <c r="G276" s="764"/>
      <c r="H276" s="764"/>
      <c r="I276" s="764"/>
      <c r="J276" s="764"/>
      <c r="K276" s="764"/>
      <c r="L276" s="764"/>
      <c r="M276" s="764"/>
      <c r="N276" s="764"/>
      <c r="O276" s="764"/>
      <c r="P276" s="764"/>
      <c r="Q276" s="764"/>
      <c r="R276" s="764"/>
      <c r="S276" s="764"/>
      <c r="T276" s="764"/>
      <c r="U276" s="764"/>
      <c r="V276" s="764"/>
      <c r="W276" s="764"/>
      <c r="X276" s="764"/>
      <c r="Y276" s="764"/>
      <c r="Z276" s="764"/>
      <c r="AA276" s="764"/>
      <c r="AB276" s="764"/>
      <c r="AC276" s="764"/>
      <c r="AS276" s="765"/>
      <c r="AT276" s="765"/>
      <c r="AU276" s="765"/>
      <c r="AV276" s="765"/>
      <c r="AW276" s="765"/>
      <c r="AX276" s="765"/>
      <c r="AY276" s="764"/>
      <c r="AZ276" s="764"/>
    </row>
    <row r="277" spans="1:52" ht="12.75" customHeight="1">
      <c r="A277" s="764"/>
      <c r="B277" s="764"/>
      <c r="C277" s="764"/>
      <c r="D277" s="764"/>
      <c r="E277" s="764"/>
      <c r="F277" s="764"/>
      <c r="G277" s="764"/>
      <c r="H277" s="764"/>
      <c r="I277" s="764"/>
      <c r="J277" s="764"/>
      <c r="K277" s="764"/>
      <c r="L277" s="764"/>
      <c r="M277" s="764"/>
      <c r="N277" s="764"/>
      <c r="O277" s="764"/>
      <c r="P277" s="764"/>
      <c r="Q277" s="764"/>
      <c r="R277" s="764"/>
      <c r="S277" s="764"/>
      <c r="T277" s="764"/>
      <c r="U277" s="764"/>
      <c r="V277" s="764"/>
      <c r="W277" s="764"/>
      <c r="X277" s="764"/>
      <c r="Y277" s="764"/>
      <c r="Z277" s="764"/>
      <c r="AA277" s="764"/>
      <c r="AB277" s="764"/>
      <c r="AC277" s="764"/>
      <c r="AS277" s="765"/>
      <c r="AT277" s="765"/>
      <c r="AU277" s="765"/>
      <c r="AV277" s="765"/>
      <c r="AW277" s="765"/>
      <c r="AX277" s="764"/>
      <c r="AY277" s="764"/>
      <c r="AZ277" s="764"/>
    </row>
    <row r="278" spans="1:52" ht="12.75" customHeight="1">
      <c r="A278" s="764"/>
      <c r="B278" s="764"/>
      <c r="C278" s="764"/>
      <c r="D278" s="764"/>
      <c r="E278" s="764"/>
      <c r="F278" s="764"/>
      <c r="G278" s="764"/>
      <c r="H278" s="764"/>
      <c r="I278" s="764"/>
      <c r="J278" s="764"/>
      <c r="K278" s="764"/>
      <c r="L278" s="764"/>
      <c r="M278" s="764"/>
      <c r="N278" s="764"/>
      <c r="O278" s="764"/>
      <c r="P278" s="764"/>
      <c r="Q278" s="764"/>
      <c r="R278" s="764"/>
      <c r="S278" s="764"/>
      <c r="T278" s="764"/>
      <c r="U278" s="764"/>
      <c r="V278" s="764"/>
      <c r="W278" s="764"/>
      <c r="X278" s="764"/>
      <c r="Y278" s="764"/>
      <c r="Z278" s="764"/>
      <c r="AA278" s="764"/>
      <c r="AB278" s="764"/>
      <c r="AC278" s="764"/>
      <c r="AS278" s="764"/>
      <c r="AT278" s="764"/>
      <c r="AU278" s="764"/>
      <c r="AV278" s="764"/>
      <c r="AW278" s="764"/>
      <c r="AX278" s="765"/>
      <c r="AY278" s="764"/>
      <c r="AZ278" s="764"/>
    </row>
    <row r="279" spans="1:52" ht="12.75" customHeight="1">
      <c r="A279" s="764"/>
      <c r="B279" s="764"/>
      <c r="C279" s="764"/>
      <c r="D279" s="764"/>
      <c r="E279" s="764"/>
      <c r="F279" s="764"/>
      <c r="G279" s="764"/>
      <c r="H279" s="764"/>
      <c r="I279" s="764"/>
      <c r="J279" s="764"/>
      <c r="K279" s="764"/>
      <c r="L279" s="764"/>
      <c r="M279" s="764"/>
      <c r="N279" s="764"/>
      <c r="O279" s="764"/>
      <c r="P279" s="764"/>
      <c r="Q279" s="764"/>
      <c r="R279" s="764"/>
      <c r="S279" s="764"/>
      <c r="T279" s="764"/>
      <c r="U279" s="764"/>
      <c r="V279" s="764"/>
      <c r="W279" s="764"/>
      <c r="X279" s="764"/>
      <c r="Y279" s="764"/>
      <c r="Z279" s="764"/>
      <c r="AA279" s="764"/>
      <c r="AB279" s="764"/>
      <c r="AC279" s="764"/>
      <c r="AS279" s="764"/>
      <c r="AT279" s="764"/>
      <c r="AU279" s="764"/>
      <c r="AV279" s="764"/>
      <c r="AW279" s="764"/>
      <c r="AX279" s="765"/>
      <c r="AY279" s="764"/>
      <c r="AZ279" s="764"/>
    </row>
    <row r="280" spans="1:52" ht="12.75" customHeight="1">
      <c r="A280" s="764"/>
      <c r="B280" s="764"/>
      <c r="C280" s="764"/>
      <c r="D280" s="764"/>
      <c r="E280" s="764"/>
      <c r="F280" s="764"/>
      <c r="G280" s="764"/>
      <c r="H280" s="764"/>
      <c r="I280" s="764"/>
      <c r="J280" s="764"/>
      <c r="K280" s="764"/>
      <c r="L280" s="764"/>
      <c r="M280" s="764"/>
      <c r="N280" s="764"/>
      <c r="O280" s="764"/>
      <c r="P280" s="764"/>
      <c r="Q280" s="764"/>
      <c r="R280" s="764"/>
      <c r="S280" s="764"/>
      <c r="T280" s="764"/>
      <c r="U280" s="764"/>
      <c r="V280" s="764"/>
      <c r="W280" s="764"/>
      <c r="X280" s="764"/>
      <c r="Y280" s="764"/>
      <c r="Z280" s="764"/>
      <c r="AA280" s="764"/>
      <c r="AB280" s="764"/>
      <c r="AC280" s="764"/>
      <c r="AS280" s="765"/>
      <c r="AT280" s="765"/>
      <c r="AU280" s="765"/>
      <c r="AV280" s="765"/>
      <c r="AW280" s="765"/>
      <c r="AX280" s="765"/>
      <c r="AY280" s="764"/>
      <c r="AZ280" s="764"/>
    </row>
    <row r="281" spans="1:52" ht="12.75" customHeight="1">
      <c r="A281" s="764"/>
      <c r="B281" s="764"/>
      <c r="C281" s="764"/>
      <c r="D281" s="764"/>
      <c r="E281" s="764"/>
      <c r="F281" s="764"/>
      <c r="G281" s="764"/>
      <c r="H281" s="764"/>
      <c r="I281" s="764"/>
      <c r="J281" s="764"/>
      <c r="K281" s="764"/>
      <c r="L281" s="764"/>
      <c r="M281" s="764"/>
      <c r="N281" s="764"/>
      <c r="O281" s="764"/>
      <c r="P281" s="764"/>
      <c r="Q281" s="764"/>
      <c r="R281" s="764"/>
      <c r="S281" s="764"/>
      <c r="T281" s="764"/>
      <c r="U281" s="764"/>
      <c r="V281" s="764"/>
      <c r="W281" s="764"/>
      <c r="X281" s="764"/>
      <c r="Y281" s="764"/>
      <c r="Z281" s="764"/>
      <c r="AA281" s="764"/>
      <c r="AB281" s="764"/>
      <c r="AC281" s="764"/>
      <c r="AS281" s="765"/>
      <c r="AT281" s="765"/>
      <c r="AU281" s="765"/>
      <c r="AV281" s="765"/>
      <c r="AW281" s="765"/>
      <c r="AX281" s="765"/>
      <c r="AY281" s="764"/>
      <c r="AZ281" s="764"/>
    </row>
    <row r="282" spans="1:52" ht="12.75" customHeight="1">
      <c r="A282" s="764"/>
      <c r="B282" s="764"/>
      <c r="C282" s="764"/>
      <c r="D282" s="764"/>
      <c r="E282" s="764"/>
      <c r="F282" s="764"/>
      <c r="G282" s="764"/>
      <c r="H282" s="764"/>
      <c r="I282" s="764"/>
      <c r="J282" s="764"/>
      <c r="K282" s="764"/>
      <c r="L282" s="764"/>
      <c r="M282" s="764"/>
      <c r="N282" s="764"/>
      <c r="O282" s="764"/>
      <c r="P282" s="764"/>
      <c r="Q282" s="764"/>
      <c r="R282" s="764"/>
      <c r="S282" s="764"/>
      <c r="T282" s="764"/>
      <c r="U282" s="764"/>
      <c r="V282" s="764"/>
      <c r="W282" s="764"/>
      <c r="X282" s="764"/>
      <c r="Y282" s="764"/>
      <c r="Z282" s="764"/>
      <c r="AA282" s="764"/>
      <c r="AB282" s="764"/>
      <c r="AC282" s="764"/>
      <c r="AS282" s="765"/>
      <c r="AT282" s="765"/>
      <c r="AU282" s="765"/>
      <c r="AV282" s="765"/>
      <c r="AW282" s="765"/>
      <c r="AX282" s="765"/>
      <c r="AY282" s="764"/>
      <c r="AZ282" s="764"/>
    </row>
    <row r="283" spans="1:52" ht="12.75" customHeight="1">
      <c r="A283" s="764"/>
      <c r="B283" s="764"/>
      <c r="C283" s="764"/>
      <c r="D283" s="764"/>
      <c r="E283" s="764"/>
      <c r="F283" s="764"/>
      <c r="G283" s="764"/>
      <c r="H283" s="764"/>
      <c r="I283" s="764"/>
      <c r="J283" s="764"/>
      <c r="K283" s="764"/>
      <c r="L283" s="764"/>
      <c r="M283" s="764"/>
      <c r="N283" s="764"/>
      <c r="O283" s="764"/>
      <c r="P283" s="764"/>
      <c r="Q283" s="764"/>
      <c r="R283" s="764"/>
      <c r="S283" s="764"/>
      <c r="T283" s="764"/>
      <c r="U283" s="764"/>
      <c r="V283" s="764"/>
      <c r="W283" s="764"/>
      <c r="X283" s="764"/>
      <c r="Y283" s="764"/>
      <c r="Z283" s="764"/>
      <c r="AA283" s="764"/>
      <c r="AB283" s="764"/>
      <c r="AC283" s="764"/>
      <c r="AS283" s="765"/>
      <c r="AT283" s="765"/>
      <c r="AU283" s="765"/>
      <c r="AV283" s="765"/>
      <c r="AW283" s="765"/>
      <c r="AX283" s="764"/>
      <c r="AY283" s="764"/>
      <c r="AZ283" s="764"/>
    </row>
    <row r="284" spans="1:52" ht="12.75" customHeight="1">
      <c r="A284" s="764"/>
      <c r="B284" s="764"/>
      <c r="C284" s="764"/>
      <c r="D284" s="764"/>
      <c r="E284" s="764"/>
      <c r="F284" s="764"/>
      <c r="G284" s="764"/>
      <c r="H284" s="764"/>
      <c r="I284" s="764"/>
      <c r="J284" s="764"/>
      <c r="K284" s="764"/>
      <c r="L284" s="764"/>
      <c r="M284" s="764"/>
      <c r="N284" s="764"/>
      <c r="O284" s="764"/>
      <c r="P284" s="764"/>
      <c r="Q284" s="764"/>
      <c r="R284" s="764"/>
      <c r="S284" s="764"/>
      <c r="T284" s="764"/>
      <c r="U284" s="764"/>
      <c r="V284" s="764"/>
      <c r="W284" s="764"/>
      <c r="X284" s="764"/>
      <c r="Y284" s="764"/>
      <c r="Z284" s="764"/>
      <c r="AA284" s="764"/>
      <c r="AB284" s="764"/>
      <c r="AC284" s="764"/>
      <c r="AS284" s="765"/>
      <c r="AT284" s="765"/>
      <c r="AU284" s="765"/>
      <c r="AV284" s="765"/>
      <c r="AW284" s="765"/>
      <c r="AX284" s="765"/>
      <c r="AY284" s="764"/>
      <c r="AZ284" s="764"/>
    </row>
    <row r="285" spans="1:52" ht="12.75" customHeight="1">
      <c r="A285" s="764"/>
      <c r="B285" s="764"/>
      <c r="C285" s="764"/>
      <c r="D285" s="764"/>
      <c r="E285" s="764"/>
      <c r="F285" s="764"/>
      <c r="G285" s="764"/>
      <c r="H285" s="764"/>
      <c r="I285" s="764"/>
      <c r="J285" s="764"/>
      <c r="K285" s="764"/>
      <c r="L285" s="764"/>
      <c r="M285" s="764"/>
      <c r="N285" s="764"/>
      <c r="O285" s="764"/>
      <c r="P285" s="764"/>
      <c r="Q285" s="764"/>
      <c r="R285" s="764"/>
      <c r="S285" s="764"/>
      <c r="T285" s="764"/>
      <c r="U285" s="764"/>
      <c r="V285" s="764"/>
      <c r="W285" s="764"/>
      <c r="X285" s="764"/>
      <c r="Y285" s="764"/>
      <c r="Z285" s="764"/>
      <c r="AA285" s="764"/>
      <c r="AB285" s="764"/>
      <c r="AC285" s="764"/>
      <c r="AS285" s="765"/>
      <c r="AT285" s="765"/>
      <c r="AU285" s="765"/>
      <c r="AV285" s="765"/>
      <c r="AW285" s="765"/>
      <c r="AX285" s="765"/>
      <c r="AY285" s="764"/>
      <c r="AZ285" s="764"/>
    </row>
    <row r="286" spans="1:52" ht="12.75" customHeight="1">
      <c r="A286" s="764"/>
      <c r="B286" s="764"/>
      <c r="C286" s="764"/>
      <c r="D286" s="764"/>
      <c r="E286" s="764"/>
      <c r="F286" s="764"/>
      <c r="G286" s="764"/>
      <c r="H286" s="764"/>
      <c r="I286" s="764"/>
      <c r="J286" s="764"/>
      <c r="K286" s="764"/>
      <c r="L286" s="764"/>
      <c r="M286" s="764"/>
      <c r="N286" s="764"/>
      <c r="O286" s="764"/>
      <c r="P286" s="764"/>
      <c r="Q286" s="764"/>
      <c r="R286" s="764"/>
      <c r="S286" s="764"/>
      <c r="T286" s="764"/>
      <c r="U286" s="764"/>
      <c r="V286" s="764"/>
      <c r="W286" s="764"/>
      <c r="X286" s="764"/>
      <c r="Y286" s="764"/>
      <c r="Z286" s="764"/>
      <c r="AA286" s="764"/>
      <c r="AB286" s="764"/>
      <c r="AC286" s="764"/>
      <c r="AS286" s="765"/>
      <c r="AT286" s="765"/>
      <c r="AU286" s="765"/>
      <c r="AV286" s="765"/>
      <c r="AW286" s="765"/>
      <c r="AX286" s="765"/>
      <c r="AY286" s="764"/>
      <c r="AZ286" s="764"/>
    </row>
    <row r="287" spans="1:52" ht="12.75" customHeight="1">
      <c r="A287" s="764"/>
      <c r="B287" s="764"/>
      <c r="C287" s="764"/>
      <c r="D287" s="764"/>
      <c r="E287" s="764"/>
      <c r="F287" s="764"/>
      <c r="G287" s="764"/>
      <c r="H287" s="764"/>
      <c r="I287" s="764"/>
      <c r="J287" s="764"/>
      <c r="K287" s="764"/>
      <c r="L287" s="764"/>
      <c r="M287" s="764"/>
      <c r="N287" s="764"/>
      <c r="O287" s="764"/>
      <c r="P287" s="764"/>
      <c r="Q287" s="764"/>
      <c r="R287" s="764"/>
      <c r="S287" s="764"/>
      <c r="T287" s="764"/>
      <c r="U287" s="764"/>
      <c r="V287" s="764"/>
      <c r="W287" s="764"/>
      <c r="X287" s="764"/>
      <c r="Y287" s="764"/>
      <c r="Z287" s="764"/>
      <c r="AA287" s="764"/>
      <c r="AB287" s="764"/>
      <c r="AC287" s="764"/>
      <c r="AS287" s="764"/>
      <c r="AT287" s="764"/>
      <c r="AU287" s="764"/>
      <c r="AV287" s="764"/>
      <c r="AW287" s="764"/>
      <c r="AX287" s="765"/>
      <c r="AY287" s="764"/>
      <c r="AZ287" s="764"/>
    </row>
    <row r="288" spans="1:52" ht="12.75" customHeight="1">
      <c r="A288" s="764"/>
      <c r="B288" s="764"/>
      <c r="C288" s="764"/>
      <c r="D288" s="764"/>
      <c r="E288" s="764"/>
      <c r="F288" s="764"/>
      <c r="G288" s="764"/>
      <c r="H288" s="764"/>
      <c r="I288" s="764"/>
      <c r="J288" s="764"/>
      <c r="K288" s="764"/>
      <c r="L288" s="764"/>
      <c r="M288" s="764"/>
      <c r="N288" s="764"/>
      <c r="O288" s="764"/>
      <c r="P288" s="764"/>
      <c r="Q288" s="764"/>
      <c r="R288" s="764"/>
      <c r="S288" s="764"/>
      <c r="T288" s="764"/>
      <c r="U288" s="764"/>
      <c r="V288" s="764"/>
      <c r="W288" s="764"/>
      <c r="X288" s="764"/>
      <c r="Y288" s="764"/>
      <c r="Z288" s="764"/>
      <c r="AA288" s="764"/>
      <c r="AB288" s="764"/>
      <c r="AC288" s="764"/>
      <c r="AS288" s="765"/>
      <c r="AT288" s="765"/>
      <c r="AU288" s="765"/>
      <c r="AV288" s="765"/>
      <c r="AW288" s="765"/>
      <c r="AX288" s="765"/>
      <c r="AY288" s="764"/>
      <c r="AZ288" s="764"/>
    </row>
    <row r="289" spans="1:52" ht="12.75" customHeight="1">
      <c r="A289" s="764"/>
      <c r="B289" s="764"/>
      <c r="C289" s="764"/>
      <c r="D289" s="764"/>
      <c r="E289" s="764"/>
      <c r="F289" s="764"/>
      <c r="G289" s="764"/>
      <c r="H289" s="764"/>
      <c r="I289" s="764"/>
      <c r="J289" s="764"/>
      <c r="K289" s="764"/>
      <c r="L289" s="764"/>
      <c r="M289" s="764"/>
      <c r="N289" s="764"/>
      <c r="O289" s="764"/>
      <c r="P289" s="764"/>
      <c r="Q289" s="764"/>
      <c r="R289" s="764"/>
      <c r="S289" s="764"/>
      <c r="T289" s="764"/>
      <c r="U289" s="764"/>
      <c r="V289" s="764"/>
      <c r="W289" s="764"/>
      <c r="X289" s="764"/>
      <c r="Y289" s="764"/>
      <c r="Z289" s="764"/>
      <c r="AA289" s="764"/>
      <c r="AB289" s="764"/>
      <c r="AC289" s="764"/>
      <c r="AS289" s="765"/>
      <c r="AT289" s="765"/>
      <c r="AU289" s="765"/>
      <c r="AV289" s="765"/>
      <c r="AW289" s="765"/>
      <c r="AX289" s="765"/>
      <c r="AY289" s="764"/>
      <c r="AZ289" s="764"/>
    </row>
    <row r="290" spans="1:52" ht="12.75" customHeight="1">
      <c r="A290" s="764"/>
      <c r="B290" s="764"/>
      <c r="C290" s="764"/>
      <c r="D290" s="764"/>
      <c r="E290" s="764"/>
      <c r="F290" s="764"/>
      <c r="G290" s="764"/>
      <c r="H290" s="764"/>
      <c r="I290" s="764"/>
      <c r="J290" s="764"/>
      <c r="K290" s="764"/>
      <c r="L290" s="764"/>
      <c r="M290" s="764"/>
      <c r="N290" s="764"/>
      <c r="O290" s="764"/>
      <c r="P290" s="764"/>
      <c r="Q290" s="764"/>
      <c r="R290" s="764"/>
      <c r="S290" s="764"/>
      <c r="T290" s="764"/>
      <c r="U290" s="764"/>
      <c r="V290" s="764"/>
      <c r="W290" s="764"/>
      <c r="X290" s="764"/>
      <c r="Y290" s="764"/>
      <c r="Z290" s="764"/>
      <c r="AA290" s="764"/>
      <c r="AB290" s="764"/>
      <c r="AC290" s="764"/>
      <c r="AS290" s="765"/>
      <c r="AT290" s="765"/>
      <c r="AU290" s="765"/>
      <c r="AV290" s="765"/>
      <c r="AW290" s="765"/>
      <c r="AX290" s="765"/>
      <c r="AY290" s="764"/>
      <c r="AZ290" s="764"/>
    </row>
    <row r="291" spans="1:52" ht="12.75" customHeight="1">
      <c r="A291" s="764"/>
      <c r="B291" s="764"/>
      <c r="C291" s="764"/>
      <c r="D291" s="764"/>
      <c r="E291" s="764"/>
      <c r="F291" s="764"/>
      <c r="G291" s="764"/>
      <c r="H291" s="764"/>
      <c r="I291" s="764"/>
      <c r="J291" s="764"/>
      <c r="K291" s="764"/>
      <c r="L291" s="764"/>
      <c r="M291" s="764"/>
      <c r="N291" s="764"/>
      <c r="O291" s="764"/>
      <c r="P291" s="764"/>
      <c r="Q291" s="764"/>
      <c r="R291" s="764"/>
      <c r="S291" s="764"/>
      <c r="T291" s="764"/>
      <c r="U291" s="764"/>
      <c r="V291" s="764"/>
      <c r="W291" s="764"/>
      <c r="X291" s="764"/>
      <c r="Y291" s="764"/>
      <c r="Z291" s="764"/>
      <c r="AA291" s="764"/>
      <c r="AB291" s="764"/>
      <c r="AC291" s="764"/>
      <c r="AS291" s="764"/>
      <c r="AT291" s="765"/>
      <c r="AU291" s="765"/>
      <c r="AV291" s="764"/>
      <c r="AW291" s="765"/>
      <c r="AX291" s="765"/>
      <c r="AY291" s="764"/>
      <c r="AZ291" s="764"/>
    </row>
    <row r="292" spans="1:52" ht="12.75" customHeight="1">
      <c r="A292" s="764"/>
      <c r="B292" s="764"/>
      <c r="C292" s="764"/>
      <c r="D292" s="764"/>
      <c r="E292" s="764"/>
      <c r="F292" s="764"/>
      <c r="G292" s="764"/>
      <c r="H292" s="764"/>
      <c r="I292" s="764"/>
      <c r="J292" s="764"/>
      <c r="K292" s="764"/>
      <c r="L292" s="764"/>
      <c r="M292" s="764"/>
      <c r="N292" s="764"/>
      <c r="O292" s="764"/>
      <c r="P292" s="764"/>
      <c r="Q292" s="764"/>
      <c r="R292" s="764"/>
      <c r="S292" s="764"/>
      <c r="T292" s="764"/>
      <c r="U292" s="764"/>
      <c r="V292" s="764"/>
      <c r="W292" s="764"/>
      <c r="X292" s="764"/>
      <c r="Y292" s="764"/>
      <c r="Z292" s="764"/>
      <c r="AA292" s="764"/>
      <c r="AB292" s="764"/>
      <c r="AC292" s="764"/>
      <c r="AS292" s="765"/>
      <c r="AT292" s="765"/>
      <c r="AU292" s="765"/>
      <c r="AV292" s="765"/>
      <c r="AW292" s="765"/>
      <c r="AX292" s="765"/>
      <c r="AY292" s="764"/>
      <c r="AZ292" s="764"/>
    </row>
    <row r="293" spans="1:52" ht="12.75" customHeight="1">
      <c r="A293" s="764"/>
      <c r="B293" s="764"/>
      <c r="C293" s="764"/>
      <c r="D293" s="764"/>
      <c r="E293" s="764"/>
      <c r="F293" s="764"/>
      <c r="G293" s="764"/>
      <c r="H293" s="764"/>
      <c r="I293" s="764"/>
      <c r="J293" s="764"/>
      <c r="K293" s="764"/>
      <c r="L293" s="764"/>
      <c r="M293" s="764"/>
      <c r="N293" s="764"/>
      <c r="O293" s="764"/>
      <c r="P293" s="764"/>
      <c r="Q293" s="764"/>
      <c r="R293" s="764"/>
      <c r="S293" s="764"/>
      <c r="T293" s="764"/>
      <c r="U293" s="764"/>
      <c r="V293" s="764"/>
      <c r="W293" s="764"/>
      <c r="X293" s="764"/>
      <c r="Y293" s="764"/>
      <c r="Z293" s="764"/>
      <c r="AA293" s="764"/>
      <c r="AB293" s="764"/>
      <c r="AC293" s="764"/>
      <c r="AS293" s="765"/>
      <c r="AT293" s="765"/>
      <c r="AU293" s="765"/>
      <c r="AV293" s="765"/>
      <c r="AW293" s="765"/>
      <c r="AX293" s="765"/>
      <c r="AY293" s="764"/>
      <c r="AZ293" s="764"/>
    </row>
    <row r="294" spans="1:52" ht="12.75" customHeight="1">
      <c r="A294" s="764"/>
      <c r="B294" s="764"/>
      <c r="C294" s="764"/>
      <c r="D294" s="764"/>
      <c r="E294" s="764"/>
      <c r="F294" s="764"/>
      <c r="G294" s="764"/>
      <c r="H294" s="764"/>
      <c r="I294" s="764"/>
      <c r="J294" s="764"/>
      <c r="K294" s="764"/>
      <c r="L294" s="764"/>
      <c r="M294" s="764"/>
      <c r="N294" s="764"/>
      <c r="O294" s="764"/>
      <c r="P294" s="764"/>
      <c r="Q294" s="764"/>
      <c r="R294" s="764"/>
      <c r="S294" s="764"/>
      <c r="T294" s="764"/>
      <c r="U294" s="764"/>
      <c r="V294" s="764"/>
      <c r="W294" s="764"/>
      <c r="X294" s="764"/>
      <c r="Y294" s="764"/>
      <c r="Z294" s="764"/>
      <c r="AA294" s="764"/>
      <c r="AB294" s="764"/>
      <c r="AC294" s="764"/>
      <c r="AS294" s="765"/>
      <c r="AT294" s="765"/>
      <c r="AU294" s="765"/>
      <c r="AV294" s="765"/>
      <c r="AW294" s="765"/>
      <c r="AX294" s="765"/>
      <c r="AY294" s="764"/>
      <c r="AZ294" s="764"/>
    </row>
    <row r="295" spans="1:52" ht="12.75" customHeight="1">
      <c r="A295" s="764"/>
      <c r="B295" s="764"/>
      <c r="C295" s="764"/>
      <c r="D295" s="764"/>
      <c r="E295" s="764"/>
      <c r="F295" s="764"/>
      <c r="G295" s="764"/>
      <c r="H295" s="764"/>
      <c r="I295" s="764"/>
      <c r="J295" s="764"/>
      <c r="K295" s="764"/>
      <c r="L295" s="764"/>
      <c r="M295" s="764"/>
      <c r="N295" s="764"/>
      <c r="O295" s="764"/>
      <c r="P295" s="764"/>
      <c r="Q295" s="764"/>
      <c r="R295" s="764"/>
      <c r="S295" s="764"/>
      <c r="T295" s="764"/>
      <c r="U295" s="764"/>
      <c r="V295" s="764"/>
      <c r="W295" s="764"/>
      <c r="X295" s="764"/>
      <c r="Y295" s="764"/>
      <c r="Z295" s="764"/>
      <c r="AA295" s="764"/>
      <c r="AB295" s="764"/>
      <c r="AC295" s="764"/>
      <c r="AS295" s="765"/>
      <c r="AT295" s="765"/>
      <c r="AU295" s="765"/>
      <c r="AV295" s="765"/>
      <c r="AW295" s="765"/>
      <c r="AX295" s="765"/>
      <c r="AY295" s="764"/>
      <c r="AZ295" s="764"/>
    </row>
    <row r="296" spans="1:52" ht="12.75" customHeight="1">
      <c r="A296" s="764"/>
      <c r="B296" s="764"/>
      <c r="C296" s="764"/>
      <c r="D296" s="764"/>
      <c r="E296" s="764"/>
      <c r="F296" s="764"/>
      <c r="G296" s="764"/>
      <c r="H296" s="764"/>
      <c r="I296" s="764"/>
      <c r="J296" s="764"/>
      <c r="K296" s="764"/>
      <c r="L296" s="764"/>
      <c r="M296" s="764"/>
      <c r="N296" s="764"/>
      <c r="O296" s="764"/>
      <c r="P296" s="764"/>
      <c r="Q296" s="764"/>
      <c r="R296" s="764"/>
      <c r="S296" s="764"/>
      <c r="T296" s="764"/>
      <c r="U296" s="764"/>
      <c r="V296" s="764"/>
      <c r="W296" s="764"/>
      <c r="X296" s="764"/>
      <c r="Y296" s="764"/>
      <c r="Z296" s="764"/>
      <c r="AA296" s="764"/>
      <c r="AB296" s="764"/>
      <c r="AC296" s="764"/>
      <c r="AS296" s="765"/>
      <c r="AT296" s="765"/>
      <c r="AU296" s="765"/>
      <c r="AV296" s="765"/>
      <c r="AW296" s="765"/>
      <c r="AX296" s="765"/>
      <c r="AY296" s="764"/>
      <c r="AZ296" s="764"/>
    </row>
    <row r="297" spans="1:52" ht="12.75" customHeight="1">
      <c r="A297" s="764"/>
      <c r="B297" s="764"/>
      <c r="C297" s="764"/>
      <c r="D297" s="764"/>
      <c r="E297" s="764"/>
      <c r="F297" s="764"/>
      <c r="G297" s="764"/>
      <c r="H297" s="764"/>
      <c r="I297" s="764"/>
      <c r="J297" s="764"/>
      <c r="K297" s="764"/>
      <c r="L297" s="764"/>
      <c r="M297" s="764"/>
      <c r="N297" s="764"/>
      <c r="O297" s="764"/>
      <c r="P297" s="764"/>
      <c r="Q297" s="764"/>
      <c r="R297" s="764"/>
      <c r="S297" s="764"/>
      <c r="T297" s="764"/>
      <c r="U297" s="764"/>
      <c r="V297" s="764"/>
      <c r="W297" s="764"/>
      <c r="X297" s="764"/>
      <c r="Y297" s="764"/>
      <c r="Z297" s="764"/>
      <c r="AA297" s="764"/>
      <c r="AB297" s="764"/>
      <c r="AC297" s="764"/>
      <c r="AS297" s="765"/>
      <c r="AT297" s="765"/>
      <c r="AU297" s="765"/>
      <c r="AV297" s="765"/>
      <c r="AW297" s="765"/>
      <c r="AX297" s="765"/>
      <c r="AY297" s="764"/>
      <c r="AZ297" s="764"/>
    </row>
    <row r="298" spans="1:52" ht="12.75" customHeight="1">
      <c r="A298" s="764"/>
      <c r="B298" s="764"/>
      <c r="C298" s="764"/>
      <c r="D298" s="764"/>
      <c r="E298" s="764"/>
      <c r="F298" s="764"/>
      <c r="G298" s="764"/>
      <c r="H298" s="764"/>
      <c r="I298" s="764"/>
      <c r="J298" s="764"/>
      <c r="K298" s="764"/>
      <c r="L298" s="764"/>
      <c r="M298" s="764"/>
      <c r="N298" s="764"/>
      <c r="O298" s="764"/>
      <c r="P298" s="764"/>
      <c r="Q298" s="764"/>
      <c r="R298" s="764"/>
      <c r="S298" s="764"/>
      <c r="T298" s="764"/>
      <c r="U298" s="764"/>
      <c r="V298" s="764"/>
      <c r="W298" s="764"/>
      <c r="X298" s="764"/>
      <c r="Y298" s="764"/>
      <c r="Z298" s="764"/>
      <c r="AA298" s="764"/>
      <c r="AB298" s="764"/>
      <c r="AC298" s="764"/>
      <c r="AS298" s="764"/>
      <c r="AT298" s="764"/>
      <c r="AU298" s="764"/>
      <c r="AV298" s="764"/>
      <c r="AW298" s="764"/>
      <c r="AX298" s="764"/>
      <c r="AY298" s="764"/>
      <c r="AZ298" s="764"/>
    </row>
    <row r="299" spans="1:52" ht="12.75" customHeight="1">
      <c r="A299" s="764"/>
      <c r="B299" s="764"/>
      <c r="C299" s="764"/>
      <c r="D299" s="764"/>
      <c r="E299" s="764"/>
      <c r="F299" s="764"/>
      <c r="G299" s="764"/>
      <c r="H299" s="764"/>
      <c r="I299" s="764"/>
      <c r="J299" s="764"/>
      <c r="K299" s="764"/>
      <c r="L299" s="764"/>
      <c r="M299" s="764"/>
      <c r="N299" s="764"/>
      <c r="O299" s="764"/>
      <c r="P299" s="764"/>
      <c r="Q299" s="764"/>
      <c r="R299" s="764"/>
      <c r="S299" s="764"/>
      <c r="T299" s="764"/>
      <c r="U299" s="764"/>
      <c r="V299" s="764"/>
      <c r="W299" s="764"/>
      <c r="X299" s="764"/>
      <c r="Y299" s="764"/>
      <c r="Z299" s="764"/>
      <c r="AA299" s="764"/>
      <c r="AB299" s="764"/>
      <c r="AC299" s="764"/>
      <c r="AS299" s="765"/>
      <c r="AT299" s="765"/>
      <c r="AU299" s="765"/>
      <c r="AV299" s="765"/>
      <c r="AW299" s="765"/>
      <c r="AX299" s="765"/>
      <c r="AY299" s="764"/>
      <c r="AZ299" s="764"/>
    </row>
    <row r="300" spans="1:52" ht="12.75" customHeight="1">
      <c r="A300" s="764"/>
      <c r="B300" s="764"/>
      <c r="C300" s="764"/>
      <c r="D300" s="764"/>
      <c r="E300" s="764"/>
      <c r="F300" s="764"/>
      <c r="G300" s="764"/>
      <c r="H300" s="764"/>
      <c r="I300" s="764"/>
      <c r="J300" s="764"/>
      <c r="K300" s="764"/>
      <c r="L300" s="764"/>
      <c r="M300" s="764"/>
      <c r="N300" s="764"/>
      <c r="O300" s="764"/>
      <c r="P300" s="764"/>
      <c r="Q300" s="764"/>
      <c r="R300" s="764"/>
      <c r="S300" s="764"/>
      <c r="T300" s="764"/>
      <c r="U300" s="764"/>
      <c r="V300" s="764"/>
      <c r="W300" s="764"/>
      <c r="X300" s="764"/>
      <c r="Y300" s="764"/>
      <c r="Z300" s="764"/>
      <c r="AA300" s="764"/>
      <c r="AB300" s="764"/>
      <c r="AC300" s="764"/>
      <c r="AS300" s="765"/>
      <c r="AT300" s="765"/>
      <c r="AU300" s="765"/>
      <c r="AV300" s="765"/>
      <c r="AW300" s="765"/>
      <c r="AX300" s="765"/>
      <c r="AY300" s="764"/>
      <c r="AZ300" s="764"/>
    </row>
    <row r="301" spans="1:52" ht="12.75" customHeight="1">
      <c r="A301" s="764"/>
      <c r="B301" s="764"/>
      <c r="C301" s="764"/>
      <c r="D301" s="764"/>
      <c r="E301" s="764"/>
      <c r="F301" s="764"/>
      <c r="G301" s="764"/>
      <c r="H301" s="764"/>
      <c r="I301" s="764"/>
      <c r="J301" s="764"/>
      <c r="K301" s="764"/>
      <c r="L301" s="764"/>
      <c r="M301" s="764"/>
      <c r="N301" s="764"/>
      <c r="O301" s="764"/>
      <c r="P301" s="764"/>
      <c r="Q301" s="764"/>
      <c r="R301" s="764"/>
      <c r="S301" s="764"/>
      <c r="T301" s="764"/>
      <c r="U301" s="764"/>
      <c r="V301" s="764"/>
      <c r="W301" s="764"/>
      <c r="X301" s="764"/>
      <c r="Y301" s="764"/>
      <c r="Z301" s="764"/>
      <c r="AA301" s="764"/>
      <c r="AB301" s="764"/>
      <c r="AC301" s="764"/>
      <c r="AS301" s="765"/>
      <c r="AT301" s="765"/>
      <c r="AU301" s="765"/>
      <c r="AV301" s="765"/>
      <c r="AW301" s="765"/>
      <c r="AX301" s="765"/>
      <c r="AY301" s="764"/>
      <c r="AZ301" s="764"/>
    </row>
    <row r="302" spans="1:52" ht="12.75" customHeight="1">
      <c r="A302" s="764"/>
      <c r="B302" s="764"/>
      <c r="C302" s="764"/>
      <c r="D302" s="764"/>
      <c r="E302" s="764"/>
      <c r="F302" s="764"/>
      <c r="G302" s="764"/>
      <c r="H302" s="764"/>
      <c r="I302" s="764"/>
      <c r="J302" s="764"/>
      <c r="K302" s="764"/>
      <c r="L302" s="764"/>
      <c r="M302" s="764"/>
      <c r="N302" s="764"/>
      <c r="O302" s="764"/>
      <c r="P302" s="764"/>
      <c r="Q302" s="764"/>
      <c r="R302" s="764"/>
      <c r="S302" s="764"/>
      <c r="T302" s="764"/>
      <c r="U302" s="764"/>
      <c r="V302" s="764"/>
      <c r="W302" s="764"/>
      <c r="X302" s="764"/>
      <c r="Y302" s="764"/>
      <c r="Z302" s="764"/>
      <c r="AA302" s="764"/>
      <c r="AB302" s="764"/>
      <c r="AC302" s="764"/>
      <c r="AS302" s="765"/>
      <c r="AT302" s="765"/>
      <c r="AU302" s="765"/>
      <c r="AV302" s="765"/>
      <c r="AW302" s="765"/>
      <c r="AX302" s="765"/>
      <c r="AY302" s="764"/>
      <c r="AZ302" s="764"/>
    </row>
    <row r="303" spans="1:52" ht="12.75" customHeight="1">
      <c r="A303" s="764"/>
      <c r="B303" s="764"/>
      <c r="C303" s="764"/>
      <c r="D303" s="764"/>
      <c r="E303" s="764"/>
      <c r="F303" s="764"/>
      <c r="G303" s="764"/>
      <c r="H303" s="764"/>
      <c r="I303" s="764"/>
      <c r="J303" s="764"/>
      <c r="K303" s="764"/>
      <c r="L303" s="764"/>
      <c r="M303" s="764"/>
      <c r="N303" s="764"/>
      <c r="O303" s="764"/>
      <c r="P303" s="764"/>
      <c r="Q303" s="764"/>
      <c r="R303" s="764"/>
      <c r="S303" s="764"/>
      <c r="T303" s="764"/>
      <c r="U303" s="764"/>
      <c r="V303" s="764"/>
      <c r="W303" s="764"/>
      <c r="X303" s="764"/>
      <c r="Y303" s="764"/>
      <c r="Z303" s="764"/>
      <c r="AA303" s="764"/>
      <c r="AB303" s="764"/>
      <c r="AC303" s="764"/>
      <c r="AS303" s="765"/>
      <c r="AT303" s="765"/>
      <c r="AU303" s="765"/>
      <c r="AV303" s="765"/>
      <c r="AW303" s="765"/>
      <c r="AX303" s="765"/>
      <c r="AY303" s="764"/>
      <c r="AZ303" s="764"/>
    </row>
    <row r="304" spans="1:52" ht="12.75" customHeight="1">
      <c r="A304" s="764"/>
      <c r="B304" s="764"/>
      <c r="C304" s="764"/>
      <c r="D304" s="764"/>
      <c r="E304" s="764"/>
      <c r="F304" s="764"/>
      <c r="G304" s="764"/>
      <c r="H304" s="764"/>
      <c r="I304" s="764"/>
      <c r="J304" s="764"/>
      <c r="K304" s="764"/>
      <c r="L304" s="764"/>
      <c r="M304" s="764"/>
      <c r="N304" s="764"/>
      <c r="O304" s="764"/>
      <c r="P304" s="764"/>
      <c r="Q304" s="764"/>
      <c r="R304" s="764"/>
      <c r="S304" s="764"/>
      <c r="T304" s="764"/>
      <c r="U304" s="764"/>
      <c r="V304" s="764"/>
      <c r="W304" s="764"/>
      <c r="X304" s="764"/>
      <c r="Y304" s="764"/>
      <c r="Z304" s="764"/>
      <c r="AA304" s="764"/>
      <c r="AB304" s="764"/>
      <c r="AC304" s="764"/>
      <c r="AS304" s="765"/>
      <c r="AT304" s="765"/>
      <c r="AU304" s="765"/>
      <c r="AV304" s="765"/>
      <c r="AW304" s="765"/>
      <c r="AX304" s="764"/>
      <c r="AY304" s="764"/>
      <c r="AZ304" s="764"/>
    </row>
    <row r="305" spans="1:52" ht="12.75" customHeight="1">
      <c r="A305" s="764"/>
      <c r="B305" s="764"/>
      <c r="C305" s="764"/>
      <c r="D305" s="764"/>
      <c r="E305" s="764"/>
      <c r="F305" s="764"/>
      <c r="G305" s="764"/>
      <c r="H305" s="764"/>
      <c r="I305" s="764"/>
      <c r="J305" s="764"/>
      <c r="K305" s="764"/>
      <c r="L305" s="764"/>
      <c r="M305" s="764"/>
      <c r="N305" s="764"/>
      <c r="O305" s="764"/>
      <c r="P305" s="764"/>
      <c r="Q305" s="764"/>
      <c r="R305" s="764"/>
      <c r="S305" s="764"/>
      <c r="T305" s="764"/>
      <c r="U305" s="764"/>
      <c r="V305" s="764"/>
      <c r="W305" s="764"/>
      <c r="X305" s="764"/>
      <c r="Y305" s="764"/>
      <c r="Z305" s="764"/>
      <c r="AA305" s="764"/>
      <c r="AB305" s="764"/>
      <c r="AC305" s="764"/>
      <c r="AS305" s="765"/>
      <c r="AT305" s="765"/>
      <c r="AU305" s="765"/>
      <c r="AV305" s="765"/>
      <c r="AW305" s="765"/>
      <c r="AX305" s="765"/>
      <c r="AY305" s="764"/>
      <c r="AZ305" s="764"/>
    </row>
    <row r="306" spans="1:52" ht="12.75" customHeight="1">
      <c r="A306" s="764"/>
      <c r="B306" s="764"/>
      <c r="C306" s="764"/>
      <c r="D306" s="764"/>
      <c r="E306" s="764"/>
      <c r="F306" s="764"/>
      <c r="G306" s="764"/>
      <c r="H306" s="764"/>
      <c r="I306" s="764"/>
      <c r="J306" s="764"/>
      <c r="K306" s="764"/>
      <c r="L306" s="764"/>
      <c r="M306" s="764"/>
      <c r="N306" s="764"/>
      <c r="O306" s="764"/>
      <c r="P306" s="764"/>
      <c r="Q306" s="764"/>
      <c r="R306" s="764"/>
      <c r="S306" s="764"/>
      <c r="T306" s="764"/>
      <c r="U306" s="764"/>
      <c r="V306" s="764"/>
      <c r="W306" s="764"/>
      <c r="X306" s="764"/>
      <c r="Y306" s="764"/>
      <c r="Z306" s="764"/>
      <c r="AA306" s="764"/>
      <c r="AB306" s="764"/>
      <c r="AC306" s="764"/>
      <c r="AS306" s="765"/>
      <c r="AT306" s="765"/>
      <c r="AU306" s="765"/>
      <c r="AV306" s="765"/>
      <c r="AW306" s="765"/>
      <c r="AX306" s="765"/>
      <c r="AY306" s="764"/>
      <c r="AZ306" s="764"/>
    </row>
    <row r="307" spans="1:52" ht="12.75" customHeight="1">
      <c r="A307" s="764"/>
      <c r="B307" s="764"/>
      <c r="C307" s="764"/>
      <c r="D307" s="764"/>
      <c r="E307" s="764"/>
      <c r="F307" s="764"/>
      <c r="G307" s="764"/>
      <c r="H307" s="764"/>
      <c r="I307" s="764"/>
      <c r="J307" s="764"/>
      <c r="K307" s="764"/>
      <c r="L307" s="764"/>
      <c r="M307" s="764"/>
      <c r="N307" s="764"/>
      <c r="O307" s="764"/>
      <c r="P307" s="764"/>
      <c r="Q307" s="764"/>
      <c r="R307" s="764"/>
      <c r="S307" s="764"/>
      <c r="T307" s="764"/>
      <c r="U307" s="764"/>
      <c r="V307" s="764"/>
      <c r="W307" s="764"/>
      <c r="X307" s="764"/>
      <c r="Y307" s="764"/>
      <c r="Z307" s="764"/>
      <c r="AA307" s="764"/>
      <c r="AB307" s="764"/>
      <c r="AC307" s="764"/>
      <c r="AS307" s="765"/>
      <c r="AT307" s="765"/>
      <c r="AU307" s="764"/>
      <c r="AV307" s="765"/>
      <c r="AW307" s="765"/>
      <c r="AX307" s="765"/>
      <c r="AY307" s="764"/>
      <c r="AZ307" s="764"/>
    </row>
    <row r="308" spans="1:52" ht="12.75" customHeight="1">
      <c r="A308" s="764"/>
      <c r="B308" s="764"/>
      <c r="C308" s="764"/>
      <c r="D308" s="764"/>
      <c r="E308" s="764"/>
      <c r="F308" s="764"/>
      <c r="G308" s="764"/>
      <c r="H308" s="764"/>
      <c r="I308" s="764"/>
      <c r="J308" s="764"/>
      <c r="K308" s="764"/>
      <c r="L308" s="764"/>
      <c r="M308" s="764"/>
      <c r="N308" s="764"/>
      <c r="O308" s="764"/>
      <c r="P308" s="764"/>
      <c r="Q308" s="764"/>
      <c r="R308" s="764"/>
      <c r="S308" s="764"/>
      <c r="T308" s="764"/>
      <c r="U308" s="764"/>
      <c r="V308" s="764"/>
      <c r="W308" s="764"/>
      <c r="X308" s="764"/>
      <c r="Y308" s="764"/>
      <c r="Z308" s="764"/>
      <c r="AA308" s="764"/>
      <c r="AB308" s="764"/>
      <c r="AC308" s="764"/>
      <c r="AS308" s="765"/>
      <c r="AT308" s="765"/>
      <c r="AU308" s="765"/>
      <c r="AV308" s="765"/>
      <c r="AW308" s="765"/>
      <c r="AX308" s="765"/>
      <c r="AY308" s="764"/>
      <c r="AZ308" s="764"/>
    </row>
    <row r="309" spans="1:52" ht="12.75" customHeight="1">
      <c r="A309" s="764"/>
      <c r="B309" s="764"/>
      <c r="C309" s="764"/>
      <c r="D309" s="764"/>
      <c r="E309" s="764"/>
      <c r="F309" s="764"/>
      <c r="G309" s="764"/>
      <c r="H309" s="764"/>
      <c r="I309" s="764"/>
      <c r="J309" s="764"/>
      <c r="K309" s="764"/>
      <c r="L309" s="764"/>
      <c r="M309" s="764"/>
      <c r="N309" s="764"/>
      <c r="O309" s="764"/>
      <c r="P309" s="764"/>
      <c r="Q309" s="764"/>
      <c r="R309" s="764"/>
      <c r="S309" s="764"/>
      <c r="T309" s="764"/>
      <c r="U309" s="764"/>
      <c r="V309" s="764"/>
      <c r="W309" s="764"/>
      <c r="X309" s="764"/>
      <c r="Y309" s="764"/>
      <c r="Z309" s="764"/>
      <c r="AA309" s="764"/>
      <c r="AB309" s="764"/>
      <c r="AC309" s="764"/>
      <c r="AS309" s="765"/>
      <c r="AT309" s="765"/>
      <c r="AU309" s="765"/>
      <c r="AV309" s="765"/>
      <c r="AW309" s="765"/>
      <c r="AX309" s="765"/>
      <c r="AY309" s="764"/>
      <c r="AZ309" s="764"/>
    </row>
    <row r="310" spans="1:52" ht="12.75" customHeight="1">
      <c r="A310" s="764"/>
      <c r="B310" s="764"/>
      <c r="C310" s="764"/>
      <c r="D310" s="764"/>
      <c r="E310" s="764"/>
      <c r="F310" s="764"/>
      <c r="G310" s="764"/>
      <c r="H310" s="764"/>
      <c r="I310" s="764"/>
      <c r="J310" s="764"/>
      <c r="K310" s="764"/>
      <c r="L310" s="764"/>
      <c r="M310" s="764"/>
      <c r="N310" s="764"/>
      <c r="O310" s="764"/>
      <c r="P310" s="764"/>
      <c r="Q310" s="764"/>
      <c r="R310" s="764"/>
      <c r="S310" s="764"/>
      <c r="T310" s="764"/>
      <c r="U310" s="764"/>
      <c r="V310" s="764"/>
      <c r="W310" s="764"/>
      <c r="X310" s="764"/>
      <c r="Y310" s="764"/>
      <c r="Z310" s="764"/>
      <c r="AA310" s="764"/>
      <c r="AB310" s="764"/>
      <c r="AC310" s="764"/>
      <c r="AS310" s="765"/>
      <c r="AT310" s="765"/>
      <c r="AU310" s="765"/>
      <c r="AV310" s="765"/>
      <c r="AW310" s="765"/>
      <c r="AX310" s="765"/>
      <c r="AY310" s="764"/>
      <c r="AZ310" s="764"/>
    </row>
    <row r="311" spans="1:52" ht="12.75" customHeight="1">
      <c r="A311" s="764"/>
      <c r="B311" s="764"/>
      <c r="C311" s="764"/>
      <c r="D311" s="764"/>
      <c r="E311" s="764"/>
      <c r="F311" s="764"/>
      <c r="G311" s="764"/>
      <c r="H311" s="764"/>
      <c r="I311" s="764"/>
      <c r="J311" s="764"/>
      <c r="K311" s="764"/>
      <c r="L311" s="764"/>
      <c r="M311" s="764"/>
      <c r="N311" s="764"/>
      <c r="O311" s="764"/>
      <c r="P311" s="764"/>
      <c r="Q311" s="764"/>
      <c r="R311" s="764"/>
      <c r="S311" s="764"/>
      <c r="T311" s="764"/>
      <c r="U311" s="764"/>
      <c r="V311" s="764"/>
      <c r="W311" s="764"/>
      <c r="X311" s="764"/>
      <c r="Y311" s="764"/>
      <c r="Z311" s="764"/>
      <c r="AA311" s="764"/>
      <c r="AB311" s="764"/>
      <c r="AC311" s="764"/>
      <c r="AS311" s="765"/>
      <c r="AT311" s="765"/>
      <c r="AU311" s="765"/>
      <c r="AV311" s="765"/>
      <c r="AW311" s="765"/>
      <c r="AX311" s="765"/>
      <c r="AY311" s="764"/>
      <c r="AZ311" s="764"/>
    </row>
    <row r="312" spans="1:52" ht="12.75" customHeight="1">
      <c r="A312" s="764"/>
      <c r="B312" s="764"/>
      <c r="C312" s="764"/>
      <c r="D312" s="764"/>
      <c r="E312" s="764"/>
      <c r="F312" s="764"/>
      <c r="G312" s="764"/>
      <c r="H312" s="764"/>
      <c r="I312" s="764"/>
      <c r="J312" s="764"/>
      <c r="K312" s="764"/>
      <c r="L312" s="764"/>
      <c r="M312" s="764"/>
      <c r="N312" s="764"/>
      <c r="O312" s="764"/>
      <c r="P312" s="764"/>
      <c r="Q312" s="764"/>
      <c r="R312" s="764"/>
      <c r="S312" s="764"/>
      <c r="T312" s="764"/>
      <c r="U312" s="764"/>
      <c r="V312" s="764"/>
      <c r="W312" s="764"/>
      <c r="X312" s="764"/>
      <c r="Y312" s="764"/>
      <c r="Z312" s="764"/>
      <c r="AA312" s="764"/>
      <c r="AB312" s="764"/>
      <c r="AC312" s="764"/>
      <c r="AS312" s="765"/>
      <c r="AT312" s="765"/>
      <c r="AU312" s="765"/>
      <c r="AV312" s="765"/>
      <c r="AW312" s="765"/>
      <c r="AX312" s="765"/>
      <c r="AY312" s="764"/>
      <c r="AZ312" s="764"/>
    </row>
    <row r="313" spans="1:52" ht="12.75" customHeight="1">
      <c r="A313" s="764"/>
      <c r="B313" s="764"/>
      <c r="C313" s="764"/>
      <c r="D313" s="764"/>
      <c r="E313" s="764"/>
      <c r="F313" s="764"/>
      <c r="G313" s="764"/>
      <c r="H313" s="764"/>
      <c r="I313" s="764"/>
      <c r="J313" s="764"/>
      <c r="K313" s="764"/>
      <c r="L313" s="764"/>
      <c r="M313" s="764"/>
      <c r="N313" s="764"/>
      <c r="O313" s="764"/>
      <c r="P313" s="764"/>
      <c r="Q313" s="764"/>
      <c r="R313" s="764"/>
      <c r="S313" s="764"/>
      <c r="T313" s="764"/>
      <c r="U313" s="764"/>
      <c r="V313" s="764"/>
      <c r="W313" s="764"/>
      <c r="X313" s="764"/>
      <c r="Y313" s="764"/>
      <c r="Z313" s="764"/>
      <c r="AA313" s="764"/>
      <c r="AB313" s="764"/>
      <c r="AC313" s="764"/>
      <c r="AS313" s="765"/>
      <c r="AT313" s="765"/>
      <c r="AU313" s="765"/>
      <c r="AV313" s="765"/>
      <c r="AW313" s="765"/>
      <c r="AX313" s="765"/>
      <c r="AY313" s="764"/>
      <c r="AZ313" s="764"/>
    </row>
    <row r="314" spans="1:52" ht="12.75" customHeight="1">
      <c r="A314" s="764"/>
      <c r="B314" s="764"/>
      <c r="C314" s="764"/>
      <c r="D314" s="764"/>
      <c r="E314" s="764"/>
      <c r="F314" s="764"/>
      <c r="G314" s="764"/>
      <c r="H314" s="764"/>
      <c r="I314" s="764"/>
      <c r="J314" s="764"/>
      <c r="K314" s="764"/>
      <c r="L314" s="764"/>
      <c r="M314" s="764"/>
      <c r="N314" s="764"/>
      <c r="O314" s="764"/>
      <c r="P314" s="764"/>
      <c r="Q314" s="764"/>
      <c r="R314" s="764"/>
      <c r="S314" s="764"/>
      <c r="T314" s="764"/>
      <c r="U314" s="764"/>
      <c r="V314" s="764"/>
      <c r="W314" s="764"/>
      <c r="X314" s="764"/>
      <c r="Y314" s="764"/>
      <c r="Z314" s="764"/>
      <c r="AA314" s="764"/>
      <c r="AB314" s="764"/>
      <c r="AC314" s="764"/>
      <c r="AS314" s="765"/>
      <c r="AT314" s="765"/>
      <c r="AU314" s="765"/>
      <c r="AV314" s="765"/>
      <c r="AW314" s="765"/>
      <c r="AX314" s="765"/>
      <c r="AY314" s="764"/>
      <c r="AZ314" s="764"/>
    </row>
    <row r="315" spans="1:52" ht="12.75" customHeight="1">
      <c r="A315" s="764"/>
      <c r="B315" s="764"/>
      <c r="C315" s="764"/>
      <c r="D315" s="764"/>
      <c r="E315" s="764"/>
      <c r="F315" s="764"/>
      <c r="G315" s="764"/>
      <c r="H315" s="764"/>
      <c r="I315" s="764"/>
      <c r="J315" s="764"/>
      <c r="K315" s="764"/>
      <c r="L315" s="764"/>
      <c r="M315" s="764"/>
      <c r="N315" s="764"/>
      <c r="O315" s="764"/>
      <c r="P315" s="764"/>
      <c r="Q315" s="764"/>
      <c r="R315" s="764"/>
      <c r="S315" s="764"/>
      <c r="T315" s="764"/>
      <c r="U315" s="764"/>
      <c r="V315" s="764"/>
      <c r="W315" s="764"/>
      <c r="X315" s="764"/>
      <c r="Y315" s="764"/>
      <c r="Z315" s="764"/>
      <c r="AA315" s="764"/>
      <c r="AB315" s="764"/>
      <c r="AC315" s="764"/>
      <c r="AS315" s="765"/>
      <c r="AT315" s="765"/>
      <c r="AU315" s="765"/>
      <c r="AV315" s="765"/>
      <c r="AW315" s="765"/>
      <c r="AX315" s="765"/>
      <c r="AY315" s="764"/>
      <c r="AZ315" s="764"/>
    </row>
    <row r="316" spans="1:52" ht="12.75" customHeight="1">
      <c r="A316" s="764"/>
      <c r="B316" s="764"/>
      <c r="C316" s="764"/>
      <c r="D316" s="764"/>
      <c r="E316" s="764"/>
      <c r="F316" s="764"/>
      <c r="G316" s="764"/>
      <c r="H316" s="764"/>
      <c r="I316" s="764"/>
      <c r="J316" s="764"/>
      <c r="K316" s="764"/>
      <c r="L316" s="764"/>
      <c r="M316" s="764"/>
      <c r="N316" s="764"/>
      <c r="O316" s="764"/>
      <c r="P316" s="764"/>
      <c r="Q316" s="764"/>
      <c r="R316" s="764"/>
      <c r="S316" s="764"/>
      <c r="T316" s="764"/>
      <c r="U316" s="764"/>
      <c r="V316" s="764"/>
      <c r="W316" s="764"/>
      <c r="X316" s="764"/>
      <c r="Y316" s="764"/>
      <c r="Z316" s="764"/>
      <c r="AA316" s="764"/>
      <c r="AB316" s="764"/>
      <c r="AC316" s="764"/>
      <c r="AS316" s="765"/>
      <c r="AT316" s="765"/>
      <c r="AU316" s="765"/>
      <c r="AV316" s="765"/>
      <c r="AW316" s="765"/>
      <c r="AX316" s="765"/>
      <c r="AY316" s="764"/>
      <c r="AZ316" s="764"/>
    </row>
    <row r="317" spans="1:52" ht="12.75" customHeight="1">
      <c r="A317" s="764"/>
      <c r="B317" s="764"/>
      <c r="C317" s="764"/>
      <c r="D317" s="764"/>
      <c r="E317" s="764"/>
      <c r="F317" s="764"/>
      <c r="G317" s="764"/>
      <c r="H317" s="764"/>
      <c r="I317" s="764"/>
      <c r="J317" s="764"/>
      <c r="K317" s="764"/>
      <c r="L317" s="764"/>
      <c r="M317" s="764"/>
      <c r="N317" s="764"/>
      <c r="O317" s="764"/>
      <c r="P317" s="764"/>
      <c r="Q317" s="764"/>
      <c r="R317" s="764"/>
      <c r="S317" s="764"/>
      <c r="T317" s="764"/>
      <c r="U317" s="764"/>
      <c r="V317" s="764"/>
      <c r="W317" s="764"/>
      <c r="X317" s="764"/>
      <c r="Y317" s="764"/>
      <c r="Z317" s="764"/>
      <c r="AA317" s="764"/>
      <c r="AB317" s="764"/>
      <c r="AC317" s="764"/>
      <c r="AS317" s="765"/>
      <c r="AT317" s="765"/>
      <c r="AU317" s="764"/>
      <c r="AV317" s="765"/>
      <c r="AW317" s="764"/>
      <c r="AX317" s="765"/>
      <c r="AY317" s="764"/>
      <c r="AZ317" s="764"/>
    </row>
    <row r="318" spans="1:52" ht="12.75" customHeight="1">
      <c r="A318" s="764"/>
      <c r="B318" s="764"/>
      <c r="C318" s="764"/>
      <c r="D318" s="764"/>
      <c r="E318" s="764"/>
      <c r="F318" s="764"/>
      <c r="G318" s="764"/>
      <c r="H318" s="764"/>
      <c r="I318" s="764"/>
      <c r="J318" s="764"/>
      <c r="K318" s="764"/>
      <c r="L318" s="764"/>
      <c r="M318" s="764"/>
      <c r="N318" s="764"/>
      <c r="O318" s="764"/>
      <c r="P318" s="764"/>
      <c r="Q318" s="764"/>
      <c r="R318" s="764"/>
      <c r="S318" s="764"/>
      <c r="T318" s="764"/>
      <c r="U318" s="764"/>
      <c r="V318" s="764"/>
      <c r="W318" s="764"/>
      <c r="X318" s="764"/>
      <c r="Y318" s="764"/>
      <c r="Z318" s="764"/>
      <c r="AA318" s="764"/>
      <c r="AB318" s="764"/>
      <c r="AC318" s="764"/>
      <c r="AS318" s="765"/>
      <c r="AT318" s="765"/>
      <c r="AU318" s="765"/>
      <c r="AV318" s="765"/>
      <c r="AW318" s="765"/>
      <c r="AX318" s="765"/>
      <c r="AY318" s="764"/>
      <c r="AZ318" s="764"/>
    </row>
    <row r="319" spans="1:52" ht="12.75" customHeight="1">
      <c r="A319" s="764"/>
      <c r="B319" s="764"/>
      <c r="C319" s="764"/>
      <c r="D319" s="764"/>
      <c r="E319" s="764"/>
      <c r="F319" s="764"/>
      <c r="G319" s="764"/>
      <c r="H319" s="764"/>
      <c r="I319" s="764"/>
      <c r="J319" s="764"/>
      <c r="K319" s="764"/>
      <c r="L319" s="764"/>
      <c r="M319" s="764"/>
      <c r="N319" s="764"/>
      <c r="O319" s="764"/>
      <c r="P319" s="764"/>
      <c r="Q319" s="764"/>
      <c r="R319" s="764"/>
      <c r="S319" s="764"/>
      <c r="T319" s="764"/>
      <c r="U319" s="764"/>
      <c r="V319" s="764"/>
      <c r="W319" s="764"/>
      <c r="X319" s="764"/>
      <c r="Y319" s="764"/>
      <c r="Z319" s="764"/>
      <c r="AA319" s="764"/>
      <c r="AB319" s="764"/>
      <c r="AC319" s="764"/>
      <c r="AS319" s="765"/>
      <c r="AT319" s="765"/>
      <c r="AU319" s="765"/>
      <c r="AV319" s="765"/>
      <c r="AW319" s="765"/>
      <c r="AX319" s="764"/>
      <c r="AY319" s="764"/>
      <c r="AZ319" s="764"/>
    </row>
    <row r="320" spans="1:52" ht="12.75" customHeight="1">
      <c r="A320" s="764"/>
      <c r="B320" s="764"/>
      <c r="C320" s="764"/>
      <c r="D320" s="764"/>
      <c r="E320" s="764"/>
      <c r="F320" s="764"/>
      <c r="G320" s="764"/>
      <c r="H320" s="764"/>
      <c r="I320" s="764"/>
      <c r="J320" s="764"/>
      <c r="K320" s="764"/>
      <c r="L320" s="764"/>
      <c r="M320" s="764"/>
      <c r="N320" s="764"/>
      <c r="O320" s="764"/>
      <c r="P320" s="764"/>
      <c r="Q320" s="764"/>
      <c r="R320" s="764"/>
      <c r="S320" s="764"/>
      <c r="T320" s="764"/>
      <c r="U320" s="764"/>
      <c r="V320" s="764"/>
      <c r="W320" s="764"/>
      <c r="X320" s="764"/>
      <c r="Y320" s="764"/>
      <c r="Z320" s="764"/>
      <c r="AA320" s="764"/>
      <c r="AB320" s="764"/>
      <c r="AC320" s="764"/>
      <c r="AS320" s="765"/>
      <c r="AT320" s="765"/>
      <c r="AU320" s="765"/>
      <c r="AV320" s="765"/>
      <c r="AW320" s="765"/>
      <c r="AX320" s="765"/>
      <c r="AY320" s="764"/>
      <c r="AZ320" s="764"/>
    </row>
    <row r="321" spans="1:52" ht="12.75" customHeight="1">
      <c r="A321" s="764"/>
      <c r="B321" s="764"/>
      <c r="C321" s="764"/>
      <c r="D321" s="764"/>
      <c r="E321" s="764"/>
      <c r="F321" s="764"/>
      <c r="G321" s="764"/>
      <c r="H321" s="764"/>
      <c r="I321" s="764"/>
      <c r="J321" s="764"/>
      <c r="K321" s="764"/>
      <c r="L321" s="764"/>
      <c r="M321" s="764"/>
      <c r="N321" s="764"/>
      <c r="O321" s="764"/>
      <c r="P321" s="764"/>
      <c r="Q321" s="764"/>
      <c r="R321" s="764"/>
      <c r="S321" s="764"/>
      <c r="T321" s="764"/>
      <c r="U321" s="764"/>
      <c r="V321" s="764"/>
      <c r="W321" s="764"/>
      <c r="X321" s="764"/>
      <c r="Y321" s="764"/>
      <c r="Z321" s="764"/>
      <c r="AA321" s="764"/>
      <c r="AB321" s="764"/>
      <c r="AC321" s="764"/>
      <c r="AS321" s="765"/>
      <c r="AT321" s="765"/>
      <c r="AU321" s="765"/>
      <c r="AV321" s="765"/>
      <c r="AW321" s="765"/>
      <c r="AX321" s="765"/>
      <c r="AY321" s="764"/>
      <c r="AZ321" s="764"/>
    </row>
    <row r="322" spans="1:52" ht="12.75" customHeight="1">
      <c r="A322" s="764"/>
      <c r="B322" s="764"/>
      <c r="C322" s="764"/>
      <c r="D322" s="764"/>
      <c r="E322" s="764"/>
      <c r="F322" s="764"/>
      <c r="G322" s="764"/>
      <c r="H322" s="764"/>
      <c r="I322" s="764"/>
      <c r="J322" s="764"/>
      <c r="K322" s="764"/>
      <c r="L322" s="764"/>
      <c r="M322" s="764"/>
      <c r="N322" s="764"/>
      <c r="O322" s="764"/>
      <c r="P322" s="764"/>
      <c r="Q322" s="764"/>
      <c r="R322" s="764"/>
      <c r="S322" s="764"/>
      <c r="T322" s="764"/>
      <c r="U322" s="764"/>
      <c r="V322" s="764"/>
      <c r="W322" s="764"/>
      <c r="X322" s="764"/>
      <c r="Y322" s="764"/>
      <c r="Z322" s="764"/>
      <c r="AA322" s="764"/>
      <c r="AB322" s="764"/>
      <c r="AC322" s="764"/>
      <c r="AS322" s="765"/>
      <c r="AT322" s="765"/>
      <c r="AU322" s="765"/>
      <c r="AV322" s="765"/>
      <c r="AW322" s="765"/>
      <c r="AX322" s="765"/>
      <c r="AY322" s="764"/>
      <c r="AZ322" s="764"/>
    </row>
    <row r="323" spans="1:52" ht="12.75" customHeight="1">
      <c r="A323" s="764"/>
      <c r="B323" s="764"/>
      <c r="C323" s="764"/>
      <c r="D323" s="764"/>
      <c r="E323" s="764"/>
      <c r="F323" s="764"/>
      <c r="G323" s="764"/>
      <c r="H323" s="764"/>
      <c r="I323" s="764"/>
      <c r="J323" s="764"/>
      <c r="K323" s="764"/>
      <c r="L323" s="764"/>
      <c r="M323" s="764"/>
      <c r="N323" s="764"/>
      <c r="O323" s="764"/>
      <c r="P323" s="764"/>
      <c r="Q323" s="764"/>
      <c r="R323" s="764"/>
      <c r="S323" s="764"/>
      <c r="T323" s="764"/>
      <c r="U323" s="764"/>
      <c r="V323" s="764"/>
      <c r="W323" s="764"/>
      <c r="X323" s="764"/>
      <c r="Y323" s="764"/>
      <c r="Z323" s="764"/>
      <c r="AA323" s="764"/>
      <c r="AB323" s="764"/>
      <c r="AC323" s="764"/>
      <c r="AS323" s="765"/>
      <c r="AT323" s="765"/>
      <c r="AU323" s="765"/>
      <c r="AV323" s="765"/>
      <c r="AW323" s="765"/>
      <c r="AX323" s="765"/>
      <c r="AY323" s="764"/>
      <c r="AZ323" s="764"/>
    </row>
    <row r="324" spans="1:52" ht="12.75" customHeight="1">
      <c r="A324" s="764"/>
      <c r="B324" s="764"/>
      <c r="C324" s="764"/>
      <c r="D324" s="764"/>
      <c r="E324" s="764"/>
      <c r="F324" s="764"/>
      <c r="G324" s="764"/>
      <c r="H324" s="764"/>
      <c r="I324" s="764"/>
      <c r="J324" s="764"/>
      <c r="K324" s="764"/>
      <c r="L324" s="764"/>
      <c r="M324" s="764"/>
      <c r="N324" s="764"/>
      <c r="O324" s="764"/>
      <c r="P324" s="764"/>
      <c r="Q324" s="764"/>
      <c r="R324" s="764"/>
      <c r="S324" s="764"/>
      <c r="T324" s="764"/>
      <c r="U324" s="764"/>
      <c r="V324" s="764"/>
      <c r="W324" s="764"/>
      <c r="X324" s="764"/>
      <c r="Y324" s="764"/>
      <c r="Z324" s="764"/>
      <c r="AA324" s="764"/>
      <c r="AB324" s="764"/>
      <c r="AC324" s="764"/>
      <c r="AS324" s="765"/>
      <c r="AT324" s="765"/>
      <c r="AU324" s="765"/>
      <c r="AV324" s="765"/>
      <c r="AW324" s="765"/>
      <c r="AX324" s="765"/>
      <c r="AY324" s="764"/>
      <c r="AZ324" s="764"/>
    </row>
    <row r="325" spans="1:52" ht="12.75" customHeight="1">
      <c r="A325" s="764"/>
      <c r="B325" s="764"/>
      <c r="C325" s="764"/>
      <c r="D325" s="764"/>
      <c r="E325" s="764"/>
      <c r="F325" s="764"/>
      <c r="G325" s="764"/>
      <c r="H325" s="764"/>
      <c r="I325" s="764"/>
      <c r="J325" s="764"/>
      <c r="K325" s="764"/>
      <c r="L325" s="764"/>
      <c r="M325" s="764"/>
      <c r="N325" s="764"/>
      <c r="O325" s="764"/>
      <c r="P325" s="764"/>
      <c r="Q325" s="764"/>
      <c r="R325" s="764"/>
      <c r="S325" s="764"/>
      <c r="T325" s="764"/>
      <c r="U325" s="764"/>
      <c r="V325" s="764"/>
      <c r="W325" s="764"/>
      <c r="X325" s="764"/>
      <c r="Y325" s="764"/>
      <c r="Z325" s="764"/>
      <c r="AA325" s="764"/>
      <c r="AB325" s="764"/>
      <c r="AC325" s="764"/>
      <c r="AS325" s="765"/>
      <c r="AT325" s="765"/>
      <c r="AU325" s="765"/>
      <c r="AV325" s="765"/>
      <c r="AW325" s="765"/>
      <c r="AX325" s="764"/>
      <c r="AY325" s="764"/>
      <c r="AZ325" s="764"/>
    </row>
    <row r="326" spans="1:52" ht="12.75" customHeight="1">
      <c r="A326" s="764"/>
      <c r="B326" s="764"/>
      <c r="C326" s="764"/>
      <c r="D326" s="764"/>
      <c r="E326" s="764"/>
      <c r="F326" s="764"/>
      <c r="G326" s="764"/>
      <c r="H326" s="764"/>
      <c r="I326" s="764"/>
      <c r="J326" s="764"/>
      <c r="K326" s="764"/>
      <c r="L326" s="764"/>
      <c r="M326" s="764"/>
      <c r="N326" s="764"/>
      <c r="O326" s="764"/>
      <c r="P326" s="764"/>
      <c r="Q326" s="764"/>
      <c r="R326" s="764"/>
      <c r="S326" s="764"/>
      <c r="T326" s="764"/>
      <c r="U326" s="764"/>
      <c r="V326" s="764"/>
      <c r="W326" s="764"/>
      <c r="X326" s="764"/>
      <c r="Y326" s="764"/>
      <c r="Z326" s="764"/>
      <c r="AA326" s="764"/>
      <c r="AB326" s="764"/>
      <c r="AC326" s="764"/>
      <c r="AS326" s="764"/>
      <c r="AT326" s="764"/>
      <c r="AU326" s="764"/>
      <c r="AV326" s="764"/>
      <c r="AW326" s="764"/>
      <c r="AX326" s="764"/>
      <c r="AY326" s="764"/>
      <c r="AZ326" s="764"/>
    </row>
    <row r="327" spans="1:52" ht="12.75" customHeight="1">
      <c r="A327" s="764"/>
      <c r="B327" s="764"/>
      <c r="C327" s="764"/>
      <c r="D327" s="764"/>
      <c r="E327" s="764"/>
      <c r="F327" s="764"/>
      <c r="G327" s="764"/>
      <c r="H327" s="764"/>
      <c r="I327" s="764"/>
      <c r="J327" s="764"/>
      <c r="K327" s="764"/>
      <c r="L327" s="764"/>
      <c r="M327" s="764"/>
      <c r="N327" s="764"/>
      <c r="O327" s="764"/>
      <c r="P327" s="764"/>
      <c r="Q327" s="764"/>
      <c r="R327" s="764"/>
      <c r="S327" s="764"/>
      <c r="T327" s="764"/>
      <c r="U327" s="764"/>
      <c r="V327" s="764"/>
      <c r="W327" s="764"/>
      <c r="X327" s="764"/>
      <c r="Y327" s="764"/>
      <c r="Z327" s="764"/>
      <c r="AA327" s="764"/>
      <c r="AB327" s="764"/>
      <c r="AC327" s="764"/>
    </row>
  </sheetData>
  <mergeCells count="20">
    <mergeCell ref="F1:J1"/>
    <mergeCell ref="K1:O1"/>
    <mergeCell ref="P1:T1"/>
    <mergeCell ref="U1:W1"/>
    <mergeCell ref="Y1:AB1"/>
    <mergeCell ref="AD1:AD12"/>
    <mergeCell ref="AE1:AI1"/>
    <mergeCell ref="AJ1:AL1"/>
    <mergeCell ref="AM1:AN1"/>
    <mergeCell ref="AE10:AI10"/>
    <mergeCell ref="AJ10:AN10"/>
    <mergeCell ref="AH11:AI11"/>
    <mergeCell ref="AH12:AI12"/>
    <mergeCell ref="AE9:AI9"/>
    <mergeCell ref="AE14:AI14"/>
    <mergeCell ref="AJ14:AL14"/>
    <mergeCell ref="AM14:AN14"/>
    <mergeCell ref="AE13:AI13"/>
    <mergeCell ref="AJ13:AL13"/>
    <mergeCell ref="AM13:AN13"/>
  </mergeCells>
  <conditionalFormatting sqref="AJ14:AN14">
    <cfRule type="cellIs" dxfId="43" priority="2" operator="lessThan">
      <formula>0</formula>
    </cfRule>
    <cfRule type="cellIs" dxfId="42" priority="3" operator="greaterThan">
      <formula>0</formula>
    </cfRule>
  </conditionalFormatting>
  <conditionalFormatting sqref="AY4:AZ102">
    <cfRule type="cellIs" dxfId="41" priority="1" operator="equal">
      <formula>0</formula>
    </cfRule>
  </conditionalFormatting>
  <dataValidations count="1">
    <dataValidation allowBlank="1" showInputMessage="1" showErrorMessage="1" prompt="Average: 0.5347106581265141" sqref="I3:I102" xr:uid="{441619D8-68EF-4763-B7AA-BE34DD4CF6E1}"/>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A82E0-A099-472F-B885-77443363F881}">
  <sheetPr>
    <tabColor rgb="FF00B050"/>
  </sheetPr>
  <dimension ref="A1:AM100"/>
  <sheetViews>
    <sheetView showGridLines="0" topLeftCell="B19" zoomScale="80" zoomScaleNormal="80" workbookViewId="0">
      <selection activeCell="C18" sqref="C18"/>
    </sheetView>
  </sheetViews>
  <sheetFormatPr defaultColWidth="11.42578125" defaultRowHeight="12.75"/>
  <cols>
    <col min="1" max="1" width="3" style="65" bestFit="1" customWidth="1"/>
    <col min="2" max="2" width="69.140625" style="65" customWidth="1"/>
    <col min="3" max="4" width="12.7109375" style="65" customWidth="1"/>
    <col min="5" max="5" width="11.42578125" style="65" bestFit="1" customWidth="1"/>
    <col min="6" max="6" width="11" style="65" customWidth="1"/>
    <col min="7" max="7" width="10.28515625" style="65" customWidth="1"/>
    <col min="8" max="8" width="30.42578125" style="349" customWidth="1"/>
    <col min="9" max="9" width="28.7109375" style="349" customWidth="1"/>
    <col min="10" max="10" width="64.28515625" style="65" customWidth="1"/>
    <col min="11" max="11" width="34.7109375" style="65" bestFit="1" customWidth="1"/>
    <col min="12" max="12" width="21.28515625" style="65" customWidth="1"/>
    <col min="13" max="13" width="19.7109375" style="65" customWidth="1"/>
    <col min="14" max="14" width="20.7109375" style="65" bestFit="1" customWidth="1"/>
    <col min="15" max="16" width="20.7109375" style="65" customWidth="1"/>
    <col min="17" max="18" width="19.7109375" style="65" hidden="1" customWidth="1"/>
    <col min="19" max="19" width="22.28515625" style="65" hidden="1" customWidth="1"/>
    <col min="20" max="20" width="11.42578125" style="65" customWidth="1"/>
    <col min="21" max="23" width="18.7109375" style="65" bestFit="1" customWidth="1"/>
    <col min="24" max="24" width="20.28515625" style="65" bestFit="1" customWidth="1"/>
    <col min="25" max="25" width="18.42578125" style="65" bestFit="1" customWidth="1"/>
    <col min="26" max="26" width="18.7109375" style="65" bestFit="1" customWidth="1"/>
    <col min="27" max="27" width="16.42578125" style="65" bestFit="1" customWidth="1"/>
    <col min="28" max="28" width="18.7109375" style="65" bestFit="1" customWidth="1"/>
    <col min="29" max="29" width="20.28515625" style="65" bestFit="1" customWidth="1"/>
    <col min="30" max="30" width="13.7109375" style="65" bestFit="1" customWidth="1"/>
    <col min="31" max="33" width="18.7109375" style="65" bestFit="1" customWidth="1"/>
    <col min="34" max="34" width="20.28515625" style="65" bestFit="1" customWidth="1"/>
    <col min="35" max="35" width="11.42578125" style="65" bestFit="1" customWidth="1"/>
    <col min="36" max="36" width="20.28515625" style="65" bestFit="1" customWidth="1"/>
    <col min="37" max="37" width="13.7109375" style="65" bestFit="1" customWidth="1"/>
    <col min="38" max="39" width="11.42578125" style="65"/>
    <col min="40" max="42" width="12.7109375" style="65" bestFit="1" customWidth="1"/>
    <col min="43" max="43" width="13.7109375" style="65" bestFit="1" customWidth="1"/>
    <col min="44" max="45" width="11.42578125" style="65"/>
    <col min="46" max="46" width="13.7109375" style="65" bestFit="1" customWidth="1"/>
    <col min="47" max="16384" width="11.42578125" style="65"/>
  </cols>
  <sheetData>
    <row r="1" spans="1:37">
      <c r="B1" s="183" t="s">
        <v>577</v>
      </c>
      <c r="C1" s="69"/>
      <c r="D1" s="69"/>
      <c r="E1" s="69"/>
      <c r="F1" s="69"/>
      <c r="G1" s="69"/>
      <c r="H1" s="344"/>
      <c r="I1" s="344"/>
      <c r="J1" s="69"/>
    </row>
    <row r="2" spans="1:37" ht="13.5" thickBot="1">
      <c r="B2" s="75" t="s">
        <v>578</v>
      </c>
      <c r="C2" s="184" t="s">
        <v>579</v>
      </c>
      <c r="D2" s="69"/>
      <c r="E2" s="69"/>
      <c r="F2" s="69"/>
      <c r="G2" s="69"/>
      <c r="H2" s="344"/>
      <c r="I2" s="344"/>
      <c r="J2" s="69"/>
      <c r="U2"/>
      <c r="V2" s="351"/>
      <c r="W2" s="351"/>
      <c r="X2" s="351"/>
      <c r="Y2" s="351"/>
      <c r="Z2" s="351"/>
      <c r="AA2" s="351"/>
      <c r="AB2" s="351"/>
      <c r="AC2" s="351"/>
      <c r="AD2" s="351"/>
      <c r="AE2" s="351"/>
      <c r="AF2" s="351"/>
      <c r="AG2" s="351"/>
      <c r="AH2" s="351"/>
      <c r="AI2" s="351"/>
      <c r="AJ2" s="351"/>
    </row>
    <row r="3" spans="1:37" ht="21" thickBot="1">
      <c r="B3" s="1445" t="s">
        <v>580</v>
      </c>
      <c r="C3" s="1445"/>
      <c r="D3" s="1445"/>
      <c r="E3" s="1445"/>
      <c r="F3" s="1445"/>
      <c r="G3" s="1445"/>
      <c r="H3" s="1445"/>
      <c r="I3" s="1445"/>
      <c r="J3" s="1445"/>
      <c r="K3" s="1446" t="s">
        <v>581</v>
      </c>
      <c r="L3" s="1446"/>
      <c r="M3" s="1446"/>
      <c r="N3" s="1446"/>
      <c r="O3" s="1446"/>
      <c r="P3" s="1446"/>
      <c r="Q3" s="1446"/>
      <c r="R3" s="1446"/>
      <c r="S3" s="1446"/>
      <c r="U3" s="351"/>
      <c r="V3" s="351"/>
      <c r="W3" s="351"/>
      <c r="X3" s="351"/>
      <c r="Y3" s="351"/>
      <c r="Z3" s="351"/>
      <c r="AA3" s="351"/>
      <c r="AB3" s="351"/>
      <c r="AC3" s="351"/>
      <c r="AD3" s="351"/>
      <c r="AE3" s="351"/>
      <c r="AF3" s="351"/>
      <c r="AG3" s="351"/>
      <c r="AH3" s="351"/>
      <c r="AI3" s="351"/>
      <c r="AJ3" s="351"/>
    </row>
    <row r="4" spans="1:37" ht="48" customHeight="1" thickBot="1">
      <c r="B4" s="174" t="s">
        <v>582</v>
      </c>
      <c r="C4" s="204" t="s">
        <v>583</v>
      </c>
      <c r="D4" s="204" t="s">
        <v>584</v>
      </c>
      <c r="E4" s="204" t="s">
        <v>585</v>
      </c>
      <c r="F4" s="204" t="s">
        <v>586</v>
      </c>
      <c r="G4" s="204" t="s">
        <v>587</v>
      </c>
      <c r="H4" s="175" t="s">
        <v>588</v>
      </c>
      <c r="I4" s="175" t="s">
        <v>589</v>
      </c>
      <c r="J4" s="176" t="s">
        <v>590</v>
      </c>
      <c r="K4" s="174" t="s">
        <v>582</v>
      </c>
      <c r="L4" s="528" t="e" vm="1">
        <f>Peers!C8</f>
        <v>#VALUE!</v>
      </c>
      <c r="M4" s="527" t="e" vm="4">
        <f>Peers!D8</f>
        <v>#VALUE!</v>
      </c>
      <c r="N4" s="527" t="e" vm="5">
        <f>Peers!E8</f>
        <v>#VALUE!</v>
      </c>
      <c r="O4" s="527" t="e" vm="6">
        <f>Peers!F8</f>
        <v>#VALUE!</v>
      </c>
      <c r="P4" s="527" t="e" vm="7">
        <f>Peers!G8</f>
        <v>#VALUE!</v>
      </c>
      <c r="Q4" s="527" t="e">
        <f>Peers!#REF!</f>
        <v>#REF!</v>
      </c>
      <c r="R4" s="207" t="e">
        <f>Peers!#REF!</f>
        <v>#REF!</v>
      </c>
      <c r="S4" s="207" t="e">
        <f>Peers!#REF!</f>
        <v>#REF!</v>
      </c>
      <c r="T4" s="570" t="s">
        <v>235</v>
      </c>
      <c r="U4" s="351"/>
      <c r="V4" s="351"/>
      <c r="W4" s="351"/>
      <c r="X4" s="351"/>
      <c r="Y4" s="351"/>
      <c r="Z4" s="351"/>
      <c r="AA4" s="351"/>
      <c r="AB4" s="351"/>
      <c r="AC4" s="351"/>
      <c r="AD4" s="351"/>
      <c r="AE4" s="351"/>
      <c r="AF4" s="351"/>
      <c r="AG4" s="351"/>
      <c r="AH4" s="351"/>
      <c r="AI4" s="351"/>
      <c r="AJ4" s="351"/>
    </row>
    <row r="5" spans="1:37" ht="14.25" thickBot="1">
      <c r="B5" s="185" t="s">
        <v>591</v>
      </c>
      <c r="C5" s="186"/>
      <c r="D5" s="187"/>
      <c r="E5" s="187"/>
      <c r="F5" s="187"/>
      <c r="G5" s="187"/>
      <c r="H5" s="345"/>
      <c r="I5" s="345"/>
      <c r="J5" s="188"/>
      <c r="K5" s="185" t="s">
        <v>592</v>
      </c>
      <c r="L5" s="187"/>
      <c r="M5" s="187"/>
      <c r="N5" s="187"/>
      <c r="O5" s="187"/>
      <c r="P5" s="187"/>
      <c r="Q5" s="187"/>
      <c r="R5" s="188"/>
      <c r="S5" s="188"/>
      <c r="T5" s="187"/>
    </row>
    <row r="6" spans="1:37" ht="48" thickBot="1">
      <c r="A6" s="65">
        <v>1</v>
      </c>
      <c r="B6" s="179" t="s">
        <v>593</v>
      </c>
      <c r="C6" s="177" t="str">
        <f>VLOOKUP($B$2,'[2]Sector Impact'!$K$4:$AA$16,A6+1,FALSE)</f>
        <v>Very High</v>
      </c>
      <c r="D6" s="177" t="s">
        <v>12</v>
      </c>
      <c r="E6" s="865" t="s">
        <v>594</v>
      </c>
      <c r="F6" s="878" t="s">
        <v>12</v>
      </c>
      <c r="G6" s="879"/>
      <c r="H6" s="178" t="s">
        <v>595</v>
      </c>
      <c r="I6" s="178" t="s">
        <v>596</v>
      </c>
      <c r="J6" s="178" t="s">
        <v>597</v>
      </c>
      <c r="K6" s="179" t="s">
        <v>598</v>
      </c>
      <c r="L6" s="884">
        <f t="shared" ref="L6:Q9" si="0">IFERROR(L12/L$11,"N/A")</f>
        <v>3.2684741825469574</v>
      </c>
      <c r="M6" s="884">
        <f t="shared" si="0"/>
        <v>0.71261419303587981</v>
      </c>
      <c r="N6" s="884">
        <f t="shared" si="0"/>
        <v>6.3034110754032637</v>
      </c>
      <c r="O6" s="884">
        <f t="shared" si="0"/>
        <v>10.906262412286509</v>
      </c>
      <c r="P6" s="884">
        <f t="shared" si="0"/>
        <v>16.778896247240617</v>
      </c>
      <c r="Q6" s="573" t="str">
        <f t="shared" si="0"/>
        <v>N/A</v>
      </c>
      <c r="R6" s="572" t="e">
        <f t="shared" ref="R6:S9" si="1">R12/R$11</f>
        <v>#DIV/0!</v>
      </c>
      <c r="S6" s="572" t="e">
        <f t="shared" si="1"/>
        <v>#DIV/0!</v>
      </c>
      <c r="T6" s="893">
        <f>IFERROR(AVERAGE(L6:Q6),"")</f>
        <v>7.5939316221026445</v>
      </c>
    </row>
    <row r="7" spans="1:37" s="69" customFormat="1" ht="36.75" thickBot="1">
      <c r="A7" s="69">
        <v>2</v>
      </c>
      <c r="B7" s="179" t="s">
        <v>599</v>
      </c>
      <c r="C7" s="177" t="str">
        <f>VLOOKUP($B$2,'[2]Sector Impact'!$K$4:$AA$16,A7+1,FALSE)</f>
        <v>Very High</v>
      </c>
      <c r="D7" s="865" t="s">
        <v>25</v>
      </c>
      <c r="E7" s="865" t="s">
        <v>600</v>
      </c>
      <c r="F7" s="878" t="s">
        <v>12</v>
      </c>
      <c r="G7" s="880"/>
      <c r="H7" s="178" t="s">
        <v>25</v>
      </c>
      <c r="I7" s="178" t="s">
        <v>601</v>
      </c>
      <c r="J7" s="178" t="s">
        <v>602</v>
      </c>
      <c r="K7" s="179" t="s">
        <v>603</v>
      </c>
      <c r="L7" s="884" t="str">
        <f t="shared" si="0"/>
        <v>N/A</v>
      </c>
      <c r="M7" s="884">
        <f t="shared" si="0"/>
        <v>35.617188534357211</v>
      </c>
      <c r="N7" s="884">
        <f t="shared" si="0"/>
        <v>34.755541318342928</v>
      </c>
      <c r="O7" s="884">
        <f t="shared" si="0"/>
        <v>81.937640672580429</v>
      </c>
      <c r="P7" s="884" t="str">
        <f t="shared" si="0"/>
        <v>N/A</v>
      </c>
      <c r="Q7" s="573" t="str">
        <f t="shared" si="0"/>
        <v>N/A</v>
      </c>
      <c r="R7" s="572" t="e">
        <f t="shared" si="1"/>
        <v>#DIV/0!</v>
      </c>
      <c r="S7" s="572" t="e">
        <f t="shared" si="1"/>
        <v>#DIV/0!</v>
      </c>
      <c r="T7" s="893">
        <f t="shared" ref="T7:T9" si="2">IFERROR(AVERAGE(L7:Q7),"")</f>
        <v>50.770123508426856</v>
      </c>
      <c r="U7" s="65"/>
      <c r="V7" s="65"/>
      <c r="W7" s="65"/>
      <c r="X7" s="65"/>
      <c r="Y7" s="65"/>
      <c r="Z7" s="65"/>
      <c r="AA7" s="65"/>
      <c r="AB7" s="65"/>
      <c r="AC7" s="65"/>
      <c r="AD7" s="65"/>
      <c r="AE7" s="65"/>
      <c r="AF7" s="65"/>
      <c r="AG7" s="65"/>
      <c r="AH7" s="65"/>
      <c r="AI7" s="65"/>
      <c r="AJ7" s="65"/>
    </row>
    <row r="8" spans="1:37" ht="25.5" thickBot="1">
      <c r="A8" s="65">
        <v>3</v>
      </c>
      <c r="B8" s="179" t="s">
        <v>604</v>
      </c>
      <c r="C8" s="177" t="str">
        <f>VLOOKUP($B$2,'[2]Sector Impact'!$K$4:$AA$16,A8+1,FALSE)</f>
        <v>Very High</v>
      </c>
      <c r="D8" s="865" t="s">
        <v>12</v>
      </c>
      <c r="E8" s="865" t="s">
        <v>600</v>
      </c>
      <c r="F8" s="878" t="s">
        <v>25</v>
      </c>
      <c r="G8" s="881"/>
      <c r="H8" s="178" t="s">
        <v>605</v>
      </c>
      <c r="I8" s="178" t="s">
        <v>601</v>
      </c>
      <c r="J8" s="178" t="s">
        <v>606</v>
      </c>
      <c r="K8" s="179" t="s">
        <v>607</v>
      </c>
      <c r="L8" s="884">
        <f t="shared" si="0"/>
        <v>100.0222276627362</v>
      </c>
      <c r="M8" s="884">
        <f t="shared" si="0"/>
        <v>79.359195021845622</v>
      </c>
      <c r="N8" s="884" t="str">
        <f t="shared" si="0"/>
        <v>N/A</v>
      </c>
      <c r="O8" s="884">
        <f t="shared" si="0"/>
        <v>84.993399973520454</v>
      </c>
      <c r="P8" s="884" t="str">
        <f t="shared" si="0"/>
        <v>N/A</v>
      </c>
      <c r="Q8" s="573" t="str">
        <f t="shared" si="0"/>
        <v>N/A</v>
      </c>
      <c r="R8" s="572" t="e">
        <f t="shared" si="1"/>
        <v>#DIV/0!</v>
      </c>
      <c r="S8" s="572" t="e">
        <f t="shared" si="1"/>
        <v>#DIV/0!</v>
      </c>
      <c r="T8" s="893">
        <f>IFERROR(AVERAGE(L8:Q8),"N/A")</f>
        <v>88.124940886034096</v>
      </c>
    </row>
    <row r="9" spans="1:37" ht="25.5" thickBot="1">
      <c r="A9" s="65">
        <v>4</v>
      </c>
      <c r="B9" s="179" t="s">
        <v>608</v>
      </c>
      <c r="C9" s="177" t="str">
        <f>VLOOKUP($B$2,'[2]Sector Impact'!$K$4:$AA$16,A9+1,FALSE)</f>
        <v>High</v>
      </c>
      <c r="D9" s="177" t="s">
        <v>12</v>
      </c>
      <c r="E9" s="865" t="s">
        <v>600</v>
      </c>
      <c r="F9" s="878" t="s">
        <v>12</v>
      </c>
      <c r="G9" s="880"/>
      <c r="H9" s="178" t="s">
        <v>609</v>
      </c>
      <c r="I9" s="550" t="s">
        <v>610</v>
      </c>
      <c r="J9" s="180" t="s">
        <v>611</v>
      </c>
      <c r="K9" s="179" t="s">
        <v>612</v>
      </c>
      <c r="L9" s="884" t="str">
        <f t="shared" si="0"/>
        <v>N/A</v>
      </c>
      <c r="M9" s="884">
        <f t="shared" si="0"/>
        <v>5.2375049649146037</v>
      </c>
      <c r="N9" s="884">
        <f t="shared" si="0"/>
        <v>3.2827028200014468</v>
      </c>
      <c r="O9" s="884">
        <f t="shared" si="0"/>
        <v>8.1590096650337607</v>
      </c>
      <c r="P9" s="884" t="str">
        <f t="shared" si="0"/>
        <v>N/A</v>
      </c>
      <c r="Q9" s="573" t="str">
        <f t="shared" si="0"/>
        <v>N/A</v>
      </c>
      <c r="R9" s="572" t="e">
        <f t="shared" si="1"/>
        <v>#DIV/0!</v>
      </c>
      <c r="S9" s="572" t="e">
        <f t="shared" si="1"/>
        <v>#DIV/0!</v>
      </c>
      <c r="T9" s="893">
        <f t="shared" si="2"/>
        <v>5.5597391499832698</v>
      </c>
    </row>
    <row r="10" spans="1:37" ht="14.25" thickBot="1">
      <c r="A10" s="65">
        <v>5</v>
      </c>
      <c r="B10" s="179" t="s">
        <v>613</v>
      </c>
      <c r="C10" s="177" t="str">
        <f>VLOOKUP($B$2,'[2]Sector Impact'!$K$4:$AA$16,A10+1,FALSE)</f>
        <v>High</v>
      </c>
      <c r="D10" s="177" t="s">
        <v>25</v>
      </c>
      <c r="E10" s="177" t="s">
        <v>614</v>
      </c>
      <c r="F10" s="189" t="s">
        <v>25</v>
      </c>
      <c r="G10" s="879"/>
      <c r="H10" s="178" t="s">
        <v>615</v>
      </c>
      <c r="I10" s="178" t="s">
        <v>615</v>
      </c>
      <c r="J10" s="866" t="s">
        <v>616</v>
      </c>
      <c r="K10" s="185" t="s">
        <v>617</v>
      </c>
      <c r="L10" s="187"/>
      <c r="M10" s="187"/>
      <c r="N10" s="187"/>
      <c r="O10" s="187"/>
      <c r="P10" s="744"/>
      <c r="Q10" s="187"/>
      <c r="R10" s="187"/>
      <c r="S10" s="188"/>
    </row>
    <row r="11" spans="1:37" ht="18.75" thickBot="1">
      <c r="B11" s="185" t="s">
        <v>618</v>
      </c>
      <c r="C11" s="182"/>
      <c r="D11" s="182"/>
      <c r="E11" s="190"/>
      <c r="F11" s="649"/>
      <c r="G11" s="191"/>
      <c r="H11" s="346"/>
      <c r="I11" s="346"/>
      <c r="J11" s="192"/>
      <c r="K11" s="179" t="s">
        <v>619</v>
      </c>
      <c r="L11" s="870">
        <v>35127.4</v>
      </c>
      <c r="M11" s="870">
        <v>60424</v>
      </c>
      <c r="N11" s="871">
        <v>96773</v>
      </c>
      <c r="O11" s="871">
        <v>60424</v>
      </c>
      <c r="P11" s="872">
        <v>56625</v>
      </c>
      <c r="Q11" s="571">
        <f>Peers!H60</f>
        <v>0</v>
      </c>
      <c r="R11" s="571">
        <f>Peers!I60</f>
        <v>0</v>
      </c>
      <c r="S11" s="571">
        <f>Peers!J60</f>
        <v>0</v>
      </c>
      <c r="T11" s="562"/>
    </row>
    <row r="12" spans="1:37" ht="24.75" thickBot="1">
      <c r="A12" s="65">
        <v>6</v>
      </c>
      <c r="B12" s="179" t="s">
        <v>620</v>
      </c>
      <c r="C12" s="177" t="str">
        <f>VLOOKUP($B$2,'Sector Impact'!$K$4:$AA$16,A12+1,FALSE)</f>
        <v>Low</v>
      </c>
      <c r="D12" s="177"/>
      <c r="E12" s="177"/>
      <c r="F12" s="189"/>
      <c r="G12" s="437"/>
      <c r="H12" s="178" t="s">
        <v>621</v>
      </c>
      <c r="I12" s="550" t="s">
        <v>601</v>
      </c>
      <c r="J12" s="193"/>
      <c r="K12" s="179" t="s">
        <v>622</v>
      </c>
      <c r="L12" s="873">
        <f>271+114542</f>
        <v>114813</v>
      </c>
      <c r="M12" s="874">
        <v>43059</v>
      </c>
      <c r="N12" s="874">
        <f>202000+408000</f>
        <v>610000</v>
      </c>
      <c r="O12" s="874">
        <v>659000</v>
      </c>
      <c r="P12" s="874">
        <v>950105</v>
      </c>
      <c r="Q12" s="743"/>
      <c r="R12" s="574"/>
      <c r="S12" s="574"/>
      <c r="T12" s="575"/>
    </row>
    <row r="13" spans="1:37" ht="70.5" thickBot="1">
      <c r="A13" s="65">
        <v>7</v>
      </c>
      <c r="B13" s="179" t="s">
        <v>623</v>
      </c>
      <c r="C13" s="177" t="str">
        <f>VLOOKUP($B$2,'[2]Sector Impact'!$K$4:$AA$16,A13+1,FALSE)</f>
        <v>Medium</v>
      </c>
      <c r="D13" s="177" t="s">
        <v>25</v>
      </c>
      <c r="E13" s="177" t="s">
        <v>594</v>
      </c>
      <c r="F13" s="194" t="s">
        <v>12</v>
      </c>
      <c r="G13" s="882"/>
      <c r="H13" s="178" t="s">
        <v>624</v>
      </c>
      <c r="I13" s="550" t="s">
        <v>601</v>
      </c>
      <c r="J13" s="195" t="s">
        <v>625</v>
      </c>
      <c r="K13" s="179" t="s">
        <v>626</v>
      </c>
      <c r="L13" s="894" t="s">
        <v>615</v>
      </c>
      <c r="M13" s="873">
        <v>2152133</v>
      </c>
      <c r="N13" s="873">
        <v>3363398</v>
      </c>
      <c r="O13" s="873">
        <v>4951000</v>
      </c>
      <c r="P13" s="894" t="s">
        <v>615</v>
      </c>
      <c r="Q13" s="743"/>
      <c r="R13" s="574"/>
      <c r="S13" s="574"/>
      <c r="T13" s="575"/>
    </row>
    <row r="14" spans="1:37" ht="18.75" thickBot="1">
      <c r="A14" s="65">
        <v>8</v>
      </c>
      <c r="B14" s="196" t="s">
        <v>627</v>
      </c>
      <c r="C14" s="177" t="str">
        <f>VLOOKUP($B$2,'[2]Sector Impact'!$K$4:$AA$16,A14+1,FALSE)</f>
        <v>High</v>
      </c>
      <c r="D14" s="177" t="s">
        <v>25</v>
      </c>
      <c r="E14" s="177" t="s">
        <v>594</v>
      </c>
      <c r="F14" s="189" t="s">
        <v>12</v>
      </c>
      <c r="G14" s="882"/>
      <c r="H14" s="178" t="s">
        <v>624</v>
      </c>
      <c r="I14" s="550" t="s">
        <v>601</v>
      </c>
      <c r="J14" s="195" t="s">
        <v>628</v>
      </c>
      <c r="K14" s="179" t="s">
        <v>629</v>
      </c>
      <c r="L14" s="873">
        <v>3513520.8</v>
      </c>
      <c r="M14" s="873">
        <v>4795200</v>
      </c>
      <c r="N14" s="894" t="s">
        <v>615</v>
      </c>
      <c r="O14" s="873">
        <v>5135641.2</v>
      </c>
      <c r="P14" s="894" t="s">
        <v>615</v>
      </c>
      <c r="Q14" s="743"/>
      <c r="R14" s="574"/>
      <c r="S14" s="574"/>
      <c r="T14" s="575"/>
    </row>
    <row r="15" spans="1:37" ht="18.75" thickBot="1">
      <c r="A15" s="65">
        <v>9</v>
      </c>
      <c r="B15" s="196" t="s">
        <v>630</v>
      </c>
      <c r="C15" s="177" t="str">
        <f>VLOOKUP($B$2,'[2]Sector Impact'!$K$4:$AA$16,A15+1,FALSE)</f>
        <v>Very High</v>
      </c>
      <c r="D15" s="177" t="s">
        <v>25</v>
      </c>
      <c r="E15" s="177" t="s">
        <v>614</v>
      </c>
      <c r="F15" s="189" t="s">
        <v>12</v>
      </c>
      <c r="G15" s="879"/>
      <c r="H15" s="548" t="s">
        <v>624</v>
      </c>
      <c r="I15" s="548" t="s">
        <v>601</v>
      </c>
      <c r="J15" s="195" t="s">
        <v>631</v>
      </c>
      <c r="K15" s="179" t="s">
        <v>632</v>
      </c>
      <c r="L15" s="894" t="s">
        <v>615</v>
      </c>
      <c r="M15" s="873">
        <v>316471</v>
      </c>
      <c r="N15" s="873">
        <v>317677</v>
      </c>
      <c r="O15" s="873">
        <v>493000</v>
      </c>
      <c r="P15" s="894" t="s">
        <v>615</v>
      </c>
      <c r="Q15" s="743"/>
      <c r="R15" s="574"/>
      <c r="S15" s="574"/>
      <c r="T15" s="575"/>
      <c r="AK15" s="558"/>
    </row>
    <row r="16" spans="1:37" ht="36" thickBot="1">
      <c r="A16" s="65">
        <v>10</v>
      </c>
      <c r="B16" s="179" t="s">
        <v>633</v>
      </c>
      <c r="C16" s="177" t="str">
        <f>VLOOKUP($B$2,'[2]Sector Impact'!$K$4:$AA$16,A16+1,FALSE)</f>
        <v>Medium</v>
      </c>
      <c r="D16" s="177" t="s">
        <v>12</v>
      </c>
      <c r="E16" s="177" t="s">
        <v>594</v>
      </c>
      <c r="F16" s="189" t="s">
        <v>12</v>
      </c>
      <c r="G16" s="883"/>
      <c r="H16" s="178" t="s">
        <v>634</v>
      </c>
      <c r="I16" s="347" t="s">
        <v>635</v>
      </c>
      <c r="J16" s="867" t="s">
        <v>636</v>
      </c>
      <c r="K16" s="185" t="s">
        <v>637</v>
      </c>
      <c r="L16" s="887"/>
      <c r="M16" s="187"/>
      <c r="N16" s="187"/>
      <c r="O16" s="187"/>
      <c r="P16" s="745"/>
      <c r="Q16" s="187"/>
      <c r="R16" s="188"/>
      <c r="S16" s="188"/>
    </row>
    <row r="17" spans="1:39" ht="13.5" thickBot="1">
      <c r="A17" s="65">
        <v>11</v>
      </c>
      <c r="B17" s="179" t="s">
        <v>638</v>
      </c>
      <c r="C17" s="177" t="str">
        <f>VLOOKUP($B$2,'[2]Sector Impact'!$K$4:$AA$16,A17+1,FALSE)</f>
        <v>Very High</v>
      </c>
      <c r="D17" s="197" t="s">
        <v>25</v>
      </c>
      <c r="E17" s="197" t="s">
        <v>614</v>
      </c>
      <c r="F17" s="197" t="s">
        <v>25</v>
      </c>
      <c r="G17" s="879"/>
      <c r="H17" s="178" t="s">
        <v>624</v>
      </c>
      <c r="I17" s="347" t="s">
        <v>601</v>
      </c>
      <c r="J17" s="195" t="s">
        <v>639</v>
      </c>
      <c r="K17" s="179" t="s">
        <v>640</v>
      </c>
      <c r="L17" s="895">
        <v>66</v>
      </c>
      <c r="M17" s="895">
        <v>72</v>
      </c>
      <c r="N17" s="895">
        <v>70</v>
      </c>
      <c r="O17" s="895">
        <v>84</v>
      </c>
      <c r="P17" s="895">
        <v>88</v>
      </c>
      <c r="Q17" s="576"/>
      <c r="R17" s="205"/>
      <c r="S17" s="205"/>
      <c r="T17" s="351"/>
      <c r="AK17" s="351"/>
      <c r="AL17" s="351"/>
      <c r="AM17" s="351"/>
    </row>
    <row r="18" spans="1:39" ht="47.25" thickBot="1">
      <c r="A18" s="65">
        <v>12</v>
      </c>
      <c r="B18" s="179" t="s">
        <v>641</v>
      </c>
      <c r="C18" s="177" t="str">
        <f>VLOOKUP($B$2,'[2]Sector Impact'!$K$4:$AA$16,A18+1,FALSE)</f>
        <v>Medium</v>
      </c>
      <c r="D18" s="177" t="s">
        <v>12</v>
      </c>
      <c r="E18" s="177" t="s">
        <v>594</v>
      </c>
      <c r="F18" s="189" t="s">
        <v>25</v>
      </c>
      <c r="G18" s="879"/>
      <c r="H18" s="548" t="s">
        <v>624</v>
      </c>
      <c r="I18" s="548" t="s">
        <v>601</v>
      </c>
      <c r="J18" s="868" t="s">
        <v>642</v>
      </c>
      <c r="K18" s="179" t="s">
        <v>643</v>
      </c>
      <c r="L18" s="895">
        <v>24.4</v>
      </c>
      <c r="M18" s="895">
        <v>18.600000000000001</v>
      </c>
      <c r="N18" s="895">
        <v>25.3</v>
      </c>
      <c r="O18" s="895">
        <v>19.899999999999999</v>
      </c>
      <c r="P18" s="895">
        <v>22.4</v>
      </c>
      <c r="Q18" s="576"/>
      <c r="R18" s="205"/>
      <c r="S18" s="205"/>
      <c r="T18" s="351"/>
      <c r="AK18" s="351"/>
      <c r="AL18" s="351"/>
      <c r="AM18" s="351"/>
    </row>
    <row r="19" spans="1:39" ht="128.25" thickBot="1">
      <c r="A19" s="65">
        <v>13</v>
      </c>
      <c r="B19" s="179" t="s">
        <v>644</v>
      </c>
      <c r="C19" s="177" t="str">
        <f>VLOOKUP($B$2,'[2]Sector Impact'!$K$4:$AA$16,A19+1,FALSE)</f>
        <v>Very High</v>
      </c>
      <c r="D19" s="177" t="s">
        <v>25</v>
      </c>
      <c r="E19" s="177" t="s">
        <v>594</v>
      </c>
      <c r="F19" s="189" t="s">
        <v>12</v>
      </c>
      <c r="G19" s="879"/>
      <c r="H19" s="178" t="s">
        <v>624</v>
      </c>
      <c r="I19" s="347" t="s">
        <v>601</v>
      </c>
      <c r="J19" s="195" t="s">
        <v>645</v>
      </c>
      <c r="K19" s="179" t="s">
        <v>646</v>
      </c>
      <c r="L19" s="895" t="s">
        <v>647</v>
      </c>
      <c r="M19" s="895" t="s">
        <v>647</v>
      </c>
      <c r="N19" s="895" t="s">
        <v>648</v>
      </c>
      <c r="O19" s="895" t="s">
        <v>649</v>
      </c>
      <c r="P19" s="895" t="s">
        <v>648</v>
      </c>
      <c r="Q19" s="576"/>
      <c r="R19" s="206"/>
      <c r="S19" s="206"/>
      <c r="T19" s="351"/>
      <c r="AK19" s="351"/>
      <c r="AL19" s="351"/>
      <c r="AM19" s="351"/>
    </row>
    <row r="20" spans="1:39" ht="24.75" thickBot="1">
      <c r="A20" s="65">
        <v>14</v>
      </c>
      <c r="B20" s="179" t="s">
        <v>650</v>
      </c>
      <c r="C20" s="177" t="str">
        <f>VLOOKUP($B$2,'[2]Sector Impact'!$K$4:$AA$16,A20+1,FALSE)</f>
        <v>Very High</v>
      </c>
      <c r="D20" s="177" t="s">
        <v>12</v>
      </c>
      <c r="E20" s="177" t="s">
        <v>594</v>
      </c>
      <c r="F20" s="878" t="s">
        <v>12</v>
      </c>
      <c r="G20" s="879"/>
      <c r="H20" s="548" t="s">
        <v>651</v>
      </c>
      <c r="I20" s="548" t="s">
        <v>601</v>
      </c>
      <c r="J20" s="195" t="s">
        <v>652</v>
      </c>
      <c r="K20" s="179" t="s">
        <v>653</v>
      </c>
      <c r="L20" s="895" t="s">
        <v>654</v>
      </c>
      <c r="M20" s="895" t="s">
        <v>655</v>
      </c>
      <c r="N20" s="895" t="s">
        <v>656</v>
      </c>
      <c r="O20" s="895" t="s">
        <v>657</v>
      </c>
      <c r="P20" s="895" t="s">
        <v>654</v>
      </c>
      <c r="Q20" s="576"/>
      <c r="R20" s="205"/>
      <c r="S20" s="205"/>
      <c r="V20" s="73"/>
    </row>
    <row r="21" spans="1:39" ht="24.75" thickBot="1">
      <c r="A21" s="65">
        <v>15</v>
      </c>
      <c r="B21" s="179" t="s">
        <v>658</v>
      </c>
      <c r="C21" s="177" t="str">
        <f>VLOOKUP($B$2,'[2]Sector Impact'!$K$4:$AA$16,A21+1,FALSE)</f>
        <v>Very High</v>
      </c>
      <c r="D21" s="177" t="s">
        <v>12</v>
      </c>
      <c r="E21" s="177" t="s">
        <v>594</v>
      </c>
      <c r="F21" s="189" t="s">
        <v>12</v>
      </c>
      <c r="G21" s="879"/>
      <c r="H21" s="178" t="s">
        <v>659</v>
      </c>
      <c r="I21" s="347" t="s">
        <v>601</v>
      </c>
      <c r="J21" s="195" t="s">
        <v>660</v>
      </c>
      <c r="V21" s="73"/>
    </row>
    <row r="22" spans="1:39" ht="13.5" thickBot="1">
      <c r="A22" s="65">
        <v>16</v>
      </c>
      <c r="B22" s="179" t="s">
        <v>661</v>
      </c>
      <c r="C22" s="181" t="str">
        <f>VLOOKUP($B$2,'[2]Sector Impact'!$K$4:$AA$16,A22+1,FALSE)</f>
        <v>High</v>
      </c>
      <c r="D22" s="177" t="s">
        <v>12</v>
      </c>
      <c r="E22" s="177" t="s">
        <v>600</v>
      </c>
      <c r="F22" s="189" t="s">
        <v>25</v>
      </c>
      <c r="G22" s="881"/>
      <c r="H22" s="548" t="s">
        <v>624</v>
      </c>
      <c r="I22" s="548" t="s">
        <v>601</v>
      </c>
      <c r="J22" s="180" t="s">
        <v>662</v>
      </c>
      <c r="V22" s="73"/>
    </row>
    <row r="23" spans="1:39" ht="14.25" thickBot="1">
      <c r="B23" s="185" t="s">
        <v>663</v>
      </c>
      <c r="C23" s="198"/>
      <c r="D23" s="182"/>
      <c r="E23" s="190"/>
      <c r="F23" s="190"/>
      <c r="G23" s="191"/>
      <c r="H23" s="346"/>
      <c r="I23" s="346"/>
      <c r="J23" s="192"/>
      <c r="K23" s="1447" t="s">
        <v>664</v>
      </c>
      <c r="L23" s="1448"/>
      <c r="M23" s="1449"/>
      <c r="U23"/>
      <c r="V23"/>
      <c r="W23"/>
      <c r="X23"/>
      <c r="Y23"/>
      <c r="Z23"/>
      <c r="AA23"/>
      <c r="AB23"/>
      <c r="AC23"/>
    </row>
    <row r="24" spans="1:39" ht="13.5" thickBot="1">
      <c r="A24" s="65">
        <v>17</v>
      </c>
      <c r="B24" s="179" t="s">
        <v>665</v>
      </c>
      <c r="C24" s="199"/>
      <c r="D24" s="200"/>
      <c r="E24" s="194" t="s">
        <v>600</v>
      </c>
      <c r="F24" s="194" t="s">
        <v>12</v>
      </c>
      <c r="G24" s="880"/>
      <c r="H24" s="178" t="s">
        <v>624</v>
      </c>
      <c r="I24" s="347" t="s">
        <v>601</v>
      </c>
      <c r="J24" s="201" t="s">
        <v>666</v>
      </c>
      <c r="K24" s="227" t="s">
        <v>667</v>
      </c>
      <c r="L24" s="66" t="s">
        <v>668</v>
      </c>
      <c r="M24" s="67" t="s">
        <v>669</v>
      </c>
      <c r="P24" s="435" t="s">
        <v>246</v>
      </c>
      <c r="U24"/>
      <c r="V24"/>
      <c r="W24"/>
      <c r="X24"/>
      <c r="Y24"/>
      <c r="Z24"/>
      <c r="AA24"/>
      <c r="AB24"/>
      <c r="AC24"/>
    </row>
    <row r="25" spans="1:39" ht="13.5" thickBot="1">
      <c r="A25" s="65">
        <v>18</v>
      </c>
      <c r="B25" s="179" t="s">
        <v>670</v>
      </c>
      <c r="C25" s="199"/>
      <c r="D25" s="200"/>
      <c r="E25" s="194" t="s">
        <v>594</v>
      </c>
      <c r="F25" s="194" t="s">
        <v>12</v>
      </c>
      <c r="G25" s="879"/>
      <c r="H25" s="178" t="s">
        <v>624</v>
      </c>
      <c r="I25" s="347" t="s">
        <v>601</v>
      </c>
      <c r="J25" s="869" t="s">
        <v>671</v>
      </c>
      <c r="K25" s="168" t="s">
        <v>672</v>
      </c>
      <c r="L25" s="169" t="s">
        <v>614</v>
      </c>
      <c r="M25" s="1450" t="s">
        <v>673</v>
      </c>
      <c r="P25" s="436"/>
    </row>
    <row r="26" spans="1:39" ht="15.75" customHeight="1" thickBot="1">
      <c r="A26" s="65">
        <v>19</v>
      </c>
      <c r="B26" s="179" t="s">
        <v>674</v>
      </c>
      <c r="C26" s="199"/>
      <c r="D26" s="200"/>
      <c r="E26" s="194" t="s">
        <v>600</v>
      </c>
      <c r="F26" s="194" t="s">
        <v>25</v>
      </c>
      <c r="G26" s="880"/>
      <c r="H26" s="178" t="s">
        <v>624</v>
      </c>
      <c r="I26" s="347" t="s">
        <v>601</v>
      </c>
      <c r="J26" s="201" t="s">
        <v>675</v>
      </c>
      <c r="K26" s="168" t="s">
        <v>600</v>
      </c>
      <c r="L26" s="169" t="s">
        <v>594</v>
      </c>
      <c r="M26" s="1451"/>
      <c r="P26" s="437"/>
    </row>
    <row r="27" spans="1:39" ht="13.5" thickBot="1">
      <c r="A27" s="65">
        <v>20</v>
      </c>
      <c r="B27" s="179" t="s">
        <v>676</v>
      </c>
      <c r="C27" s="199"/>
      <c r="D27" s="200"/>
      <c r="E27" s="194" t="s">
        <v>614</v>
      </c>
      <c r="F27" s="194" t="s">
        <v>25</v>
      </c>
      <c r="G27" s="879"/>
      <c r="H27" s="178" t="s">
        <v>624</v>
      </c>
      <c r="I27" s="347" t="s">
        <v>601</v>
      </c>
      <c r="J27" s="201" t="s">
        <v>677</v>
      </c>
      <c r="K27" s="170" t="s">
        <v>678</v>
      </c>
      <c r="L27" s="171" t="s">
        <v>600</v>
      </c>
      <c r="M27" s="1451"/>
      <c r="N27" s="65" t="s">
        <v>309</v>
      </c>
      <c r="P27" s="438"/>
    </row>
    <row r="28" spans="1:39" ht="13.5" thickBot="1">
      <c r="A28" s="65">
        <v>21</v>
      </c>
      <c r="B28" s="179" t="s">
        <v>679</v>
      </c>
      <c r="C28" s="199"/>
      <c r="D28" s="200"/>
      <c r="E28" s="194" t="s">
        <v>614</v>
      </c>
      <c r="F28" s="194" t="s">
        <v>25</v>
      </c>
      <c r="G28" s="879"/>
      <c r="H28" s="178" t="s">
        <v>624</v>
      </c>
      <c r="I28" s="347" t="s">
        <v>601</v>
      </c>
      <c r="J28" s="195" t="s">
        <v>680</v>
      </c>
      <c r="K28" s="172" t="s">
        <v>681</v>
      </c>
      <c r="L28" s="173" t="s">
        <v>682</v>
      </c>
      <c r="M28" s="1452"/>
    </row>
    <row r="29" spans="1:39" ht="13.5" thickBot="1">
      <c r="A29" s="65">
        <v>22</v>
      </c>
      <c r="B29" s="179" t="s">
        <v>683</v>
      </c>
      <c r="C29" s="199"/>
      <c r="D29" s="200"/>
      <c r="E29" s="194" t="s">
        <v>614</v>
      </c>
      <c r="F29" s="194" t="s">
        <v>25</v>
      </c>
      <c r="G29" s="879"/>
      <c r="H29" s="178" t="s">
        <v>624</v>
      </c>
      <c r="I29" s="347" t="s">
        <v>601</v>
      </c>
      <c r="J29" s="195" t="s">
        <v>684</v>
      </c>
    </row>
    <row r="30" spans="1:39" ht="13.5" thickBot="1">
      <c r="A30" s="65">
        <v>23</v>
      </c>
      <c r="B30" s="179" t="s">
        <v>685</v>
      </c>
      <c r="C30" s="199"/>
      <c r="D30" s="200"/>
      <c r="E30" s="194" t="s">
        <v>600</v>
      </c>
      <c r="F30" s="194" t="s">
        <v>25</v>
      </c>
      <c r="G30" s="879"/>
      <c r="H30" s="178" t="s">
        <v>624</v>
      </c>
      <c r="I30" s="347" t="s">
        <v>601</v>
      </c>
      <c r="J30" s="201" t="s">
        <v>686</v>
      </c>
    </row>
    <row r="31" spans="1:39" ht="28.35" customHeight="1" thickBot="1">
      <c r="A31" s="65">
        <v>24</v>
      </c>
      <c r="B31" s="202" t="s">
        <v>687</v>
      </c>
      <c r="C31" s="199"/>
      <c r="D31" s="200"/>
      <c r="E31" s="194" t="s">
        <v>614</v>
      </c>
      <c r="F31" s="194" t="s">
        <v>25</v>
      </c>
      <c r="G31" s="879"/>
      <c r="H31" s="178" t="s">
        <v>624</v>
      </c>
      <c r="I31" s="347" t="s">
        <v>601</v>
      </c>
      <c r="J31" s="193" t="s">
        <v>688</v>
      </c>
      <c r="L31" s="411"/>
    </row>
    <row r="32" spans="1:39" ht="13.5" thickBot="1">
      <c r="A32" s="65">
        <v>25</v>
      </c>
      <c r="B32" s="179" t="s">
        <v>689</v>
      </c>
      <c r="C32" s="199"/>
      <c r="D32" s="194" t="s">
        <v>25</v>
      </c>
      <c r="E32" s="194" t="s">
        <v>600</v>
      </c>
      <c r="F32" s="194" t="s">
        <v>25</v>
      </c>
      <c r="G32" s="880"/>
      <c r="H32" s="178" t="s">
        <v>624</v>
      </c>
      <c r="I32" s="347" t="s">
        <v>601</v>
      </c>
      <c r="J32" s="195" t="s">
        <v>690</v>
      </c>
      <c r="L32" s="412"/>
    </row>
    <row r="33" spans="1:21" ht="13.5" thickBot="1">
      <c r="A33" s="65">
        <v>26</v>
      </c>
      <c r="B33" s="179" t="s">
        <v>691</v>
      </c>
      <c r="C33" s="199"/>
      <c r="D33" s="194" t="s">
        <v>25</v>
      </c>
      <c r="E33" s="194" t="s">
        <v>682</v>
      </c>
      <c r="F33" s="194" t="s">
        <v>25</v>
      </c>
      <c r="G33" s="881"/>
      <c r="H33" s="178" t="s">
        <v>624</v>
      </c>
      <c r="I33" s="347" t="s">
        <v>601</v>
      </c>
      <c r="J33" s="195" t="s">
        <v>692</v>
      </c>
      <c r="L33" s="260"/>
      <c r="N33" s="260"/>
      <c r="O33" s="260"/>
      <c r="P33" s="260"/>
    </row>
    <row r="34" spans="1:21" ht="17.25" customHeight="1" thickBot="1">
      <c r="A34" s="65">
        <v>27</v>
      </c>
      <c r="B34" s="179" t="s">
        <v>693</v>
      </c>
      <c r="C34" s="199"/>
      <c r="D34" s="203" t="s">
        <v>25</v>
      </c>
      <c r="E34" s="194" t="s">
        <v>600</v>
      </c>
      <c r="F34" s="194" t="s">
        <v>25</v>
      </c>
      <c r="G34" s="880"/>
      <c r="H34" s="178" t="s">
        <v>624</v>
      </c>
      <c r="I34" s="347" t="s">
        <v>601</v>
      </c>
      <c r="J34" s="195" t="s">
        <v>694</v>
      </c>
      <c r="L34" s="261"/>
      <c r="N34" s="261"/>
      <c r="O34" s="261"/>
      <c r="P34" s="261"/>
    </row>
    <row r="35" spans="1:21">
      <c r="B35" s="72"/>
      <c r="C35" s="72"/>
      <c r="D35" s="72"/>
      <c r="E35" s="72"/>
      <c r="F35" s="72"/>
      <c r="G35" s="72"/>
      <c r="H35" s="348"/>
      <c r="I35" s="348"/>
      <c r="J35" s="72"/>
      <c r="M35" s="551"/>
    </row>
    <row r="36" spans="1:21" ht="18">
      <c r="B36" s="74"/>
    </row>
    <row r="37" spans="1:21">
      <c r="K37"/>
    </row>
    <row r="38" spans="1:21">
      <c r="C38"/>
      <c r="D38"/>
      <c r="E38"/>
      <c r="J38"/>
      <c r="K38"/>
      <c r="L38"/>
      <c r="M38"/>
      <c r="N38"/>
      <c r="O38"/>
      <c r="P38"/>
      <c r="Q38"/>
      <c r="R38"/>
      <c r="S38"/>
      <c r="T38"/>
    </row>
    <row r="39" spans="1:21">
      <c r="C39" s="259"/>
      <c r="D39" s="147"/>
      <c r="E39"/>
      <c r="J39"/>
      <c r="M39"/>
      <c r="N39"/>
      <c r="O39"/>
      <c r="P39"/>
      <c r="Q39"/>
      <c r="R39"/>
      <c r="S39"/>
      <c r="T39"/>
      <c r="U39" s="660"/>
    </row>
    <row r="40" spans="1:21">
      <c r="C40" s="531"/>
      <c r="D40" s="532"/>
      <c r="F40" s="531"/>
      <c r="G40" s="657"/>
      <c r="U40" s="351"/>
    </row>
    <row r="41" spans="1:21">
      <c r="C41" s="531"/>
      <c r="D41" s="532"/>
      <c r="U41" s="352"/>
    </row>
    <row r="42" spans="1:21">
      <c r="C42" s="531"/>
      <c r="D42" s="532"/>
      <c r="U42" s="352"/>
    </row>
    <row r="43" spans="1:21">
      <c r="D43" s="531"/>
      <c r="U43" s="352"/>
    </row>
    <row r="44" spans="1:21">
      <c r="U44" s="352"/>
    </row>
    <row r="45" spans="1:21">
      <c r="U45" s="352"/>
    </row>
    <row r="46" spans="1:21">
      <c r="C46"/>
      <c r="D46"/>
      <c r="E46" s="350"/>
      <c r="F46" s="350"/>
      <c r="U46" s="352"/>
    </row>
    <row r="47" spans="1:21">
      <c r="C47"/>
      <c r="D47" s="259"/>
      <c r="E47" s="544"/>
      <c r="F47" s="545"/>
      <c r="G47" s="531"/>
      <c r="U47" s="352"/>
    </row>
    <row r="48" spans="1:21">
      <c r="D48" s="531"/>
      <c r="E48" s="544"/>
      <c r="F48" s="544"/>
      <c r="G48" s="531"/>
      <c r="U48" s="352"/>
    </row>
    <row r="49" spans="4:21">
      <c r="E49" s="349"/>
      <c r="F49" s="349"/>
      <c r="U49" s="352"/>
    </row>
    <row r="50" spans="4:21">
      <c r="U50" s="352"/>
    </row>
    <row r="51" spans="4:21">
      <c r="U51" s="659"/>
    </row>
    <row r="52" spans="4:21">
      <c r="U52" s="352"/>
    </row>
    <row r="53" spans="4:21">
      <c r="U53" s="352"/>
    </row>
    <row r="54" spans="4:21">
      <c r="D54" s="532"/>
      <c r="E54" s="532"/>
      <c r="F54" s="531"/>
      <c r="N54" s="660"/>
      <c r="O54" s="660"/>
      <c r="P54" s="660"/>
      <c r="Q54" s="660"/>
      <c r="R54" s="660"/>
      <c r="S54" s="660"/>
      <c r="T54" s="660"/>
      <c r="U54" s="352"/>
    </row>
    <row r="55" spans="4:21">
      <c r="Q55" s="351"/>
      <c r="R55" s="351"/>
      <c r="S55" s="351"/>
      <c r="T55" s="351"/>
      <c r="U55" s="352"/>
    </row>
    <row r="56" spans="4:21">
      <c r="N56" s="352"/>
      <c r="O56" s="352"/>
      <c r="P56" s="352"/>
      <c r="Q56" s="352"/>
      <c r="R56" s="352"/>
      <c r="S56" s="352"/>
      <c r="T56" s="352"/>
      <c r="U56" s="352"/>
    </row>
    <row r="57" spans="4:21">
      <c r="N57" s="352"/>
      <c r="O57" s="352"/>
      <c r="P57" s="352"/>
      <c r="Q57" s="352"/>
      <c r="R57" s="352"/>
      <c r="S57" s="352"/>
      <c r="T57" s="352"/>
      <c r="U57" s="352"/>
    </row>
    <row r="58" spans="4:21">
      <c r="N58" s="352"/>
      <c r="O58" s="352"/>
      <c r="P58" s="352"/>
      <c r="Q58" s="352"/>
      <c r="R58" s="352"/>
      <c r="S58" s="352"/>
      <c r="T58" s="352"/>
      <c r="U58" s="352"/>
    </row>
    <row r="59" spans="4:21">
      <c r="N59" s="352"/>
      <c r="O59" s="352"/>
      <c r="P59" s="352"/>
      <c r="Q59" s="352"/>
      <c r="R59" s="352"/>
      <c r="S59" s="352"/>
      <c r="T59" s="352"/>
      <c r="U59" s="352"/>
    </row>
    <row r="60" spans="4:21">
      <c r="N60" s="352"/>
      <c r="O60" s="352"/>
      <c r="P60" s="352"/>
      <c r="Q60" s="352"/>
      <c r="R60" s="352"/>
      <c r="S60" s="352"/>
      <c r="T60" s="352"/>
      <c r="U60" s="352"/>
    </row>
    <row r="61" spans="4:21">
      <c r="G61" s="657"/>
      <c r="N61" s="352"/>
      <c r="O61" s="352"/>
      <c r="P61" s="352"/>
      <c r="Q61" s="352"/>
      <c r="R61" s="352"/>
      <c r="S61" s="352"/>
      <c r="T61" s="352"/>
      <c r="U61" s="352"/>
    </row>
    <row r="62" spans="4:21">
      <c r="N62" s="352"/>
      <c r="O62" s="352"/>
      <c r="P62" s="352"/>
      <c r="Q62" s="352"/>
      <c r="R62" s="352"/>
      <c r="S62" s="352"/>
      <c r="T62" s="352"/>
      <c r="U62" s="352"/>
    </row>
    <row r="63" spans="4:21">
      <c r="N63" s="352"/>
      <c r="O63" s="352"/>
      <c r="P63" s="352"/>
      <c r="Q63" s="352"/>
      <c r="R63" s="352"/>
      <c r="S63" s="352"/>
      <c r="T63" s="352"/>
      <c r="U63" s="659"/>
    </row>
    <row r="64" spans="4:21">
      <c r="N64" s="352"/>
      <c r="O64" s="352"/>
      <c r="P64" s="352"/>
      <c r="Q64" s="352"/>
      <c r="R64" s="352"/>
      <c r="S64" s="352"/>
      <c r="T64" s="352"/>
      <c r="U64" s="352"/>
    </row>
    <row r="65" spans="14:21">
      <c r="N65" s="352"/>
      <c r="O65" s="352"/>
      <c r="P65" s="352"/>
      <c r="Q65" s="352"/>
      <c r="R65" s="352"/>
      <c r="S65" s="352"/>
      <c r="T65" s="352"/>
      <c r="U65" s="352"/>
    </row>
    <row r="66" spans="14:21">
      <c r="N66" s="659"/>
      <c r="O66" s="659"/>
      <c r="P66" s="659"/>
      <c r="Q66" s="659"/>
      <c r="R66" s="659"/>
      <c r="S66" s="659"/>
      <c r="T66" s="659"/>
      <c r="U66" s="352"/>
    </row>
    <row r="67" spans="14:21">
      <c r="N67" s="352"/>
      <c r="O67" s="352"/>
      <c r="P67" s="352"/>
      <c r="Q67" s="352"/>
      <c r="R67" s="352"/>
      <c r="S67" s="352"/>
      <c r="T67" s="352"/>
      <c r="U67" s="352"/>
    </row>
    <row r="68" spans="14:21">
      <c r="N68" s="352"/>
      <c r="O68" s="352"/>
      <c r="P68" s="352"/>
      <c r="Q68" s="352"/>
      <c r="R68" s="352"/>
      <c r="S68" s="352"/>
      <c r="T68" s="352"/>
      <c r="U68" s="352"/>
    </row>
    <row r="69" spans="14:21">
      <c r="N69" s="352"/>
      <c r="O69" s="352"/>
      <c r="P69" s="352"/>
      <c r="Q69" s="352"/>
      <c r="R69" s="352"/>
      <c r="S69" s="352"/>
      <c r="T69" s="352"/>
      <c r="U69" s="352"/>
    </row>
    <row r="70" spans="14:21">
      <c r="N70" s="352"/>
      <c r="O70" s="352"/>
      <c r="P70" s="352"/>
      <c r="Q70" s="352"/>
      <c r="R70" s="352"/>
      <c r="S70" s="352"/>
      <c r="T70" s="352"/>
      <c r="U70" s="352"/>
    </row>
    <row r="71" spans="14:21">
      <c r="N71" s="352"/>
      <c r="O71" s="352"/>
      <c r="P71" s="352"/>
      <c r="Q71" s="352"/>
      <c r="R71" s="352"/>
      <c r="S71" s="352"/>
      <c r="T71" s="352"/>
      <c r="U71" s="352"/>
    </row>
    <row r="72" spans="14:21">
      <c r="N72" s="352"/>
      <c r="O72" s="352"/>
      <c r="P72" s="352"/>
      <c r="Q72" s="352"/>
      <c r="R72" s="352"/>
      <c r="S72" s="352"/>
      <c r="T72" s="352"/>
      <c r="U72" s="352"/>
    </row>
    <row r="73" spans="14:21">
      <c r="N73" s="352"/>
      <c r="O73" s="352"/>
      <c r="P73" s="352"/>
      <c r="Q73" s="352"/>
      <c r="R73" s="352"/>
      <c r="S73" s="352"/>
      <c r="T73" s="352"/>
      <c r="U73" s="352"/>
    </row>
    <row r="74" spans="14:21">
      <c r="N74" s="353"/>
      <c r="O74" s="353"/>
      <c r="P74" s="353"/>
      <c r="Q74" s="352"/>
      <c r="R74" s="352"/>
      <c r="S74" s="352"/>
      <c r="T74" s="352"/>
      <c r="U74" s="352"/>
    </row>
    <row r="75" spans="14:21">
      <c r="N75" s="353"/>
      <c r="O75" s="353"/>
      <c r="P75" s="353"/>
      <c r="Q75" s="352"/>
      <c r="R75" s="352"/>
      <c r="S75" s="352"/>
      <c r="T75" s="352"/>
      <c r="U75" s="659"/>
    </row>
    <row r="76" spans="14:21">
      <c r="N76" s="353"/>
      <c r="O76" s="353"/>
      <c r="P76" s="353"/>
      <c r="Q76" s="352"/>
      <c r="R76" s="352"/>
      <c r="S76" s="352"/>
      <c r="T76" s="352"/>
      <c r="U76" s="352"/>
    </row>
    <row r="77" spans="14:21">
      <c r="N77" s="352"/>
      <c r="O77" s="352"/>
      <c r="P77" s="352"/>
      <c r="Q77" s="352"/>
      <c r="R77" s="352"/>
      <c r="S77" s="352"/>
      <c r="T77" s="352"/>
      <c r="U77" s="352"/>
    </row>
    <row r="78" spans="14:21">
      <c r="N78" s="659"/>
      <c r="O78" s="659"/>
      <c r="P78" s="659"/>
      <c r="Q78" s="659"/>
      <c r="R78" s="659"/>
      <c r="S78" s="659"/>
      <c r="T78" s="659"/>
      <c r="U78" s="352"/>
    </row>
    <row r="79" spans="14:21">
      <c r="N79" s="352"/>
      <c r="O79" s="352"/>
      <c r="P79" s="352"/>
      <c r="Q79" s="352"/>
      <c r="R79" s="352"/>
      <c r="S79" s="352"/>
      <c r="T79" s="352"/>
      <c r="U79" s="352"/>
    </row>
    <row r="80" spans="14:21">
      <c r="N80" s="352"/>
      <c r="O80" s="352"/>
      <c r="P80" s="352"/>
      <c r="Q80" s="352"/>
      <c r="R80" s="352"/>
      <c r="S80" s="352"/>
      <c r="T80" s="352"/>
      <c r="U80" s="352"/>
    </row>
    <row r="81" spans="14:21">
      <c r="N81" s="352"/>
      <c r="O81" s="352"/>
      <c r="P81" s="352"/>
      <c r="Q81" s="352"/>
      <c r="R81" s="352"/>
      <c r="S81" s="352"/>
      <c r="T81" s="352"/>
      <c r="U81" s="352"/>
    </row>
    <row r="82" spans="14:21">
      <c r="N82" s="352"/>
      <c r="O82" s="352"/>
      <c r="P82" s="352"/>
      <c r="Q82" s="352"/>
      <c r="R82" s="352"/>
      <c r="S82" s="352"/>
      <c r="T82" s="352"/>
      <c r="U82" s="352"/>
    </row>
    <row r="83" spans="14:21">
      <c r="N83" s="352"/>
      <c r="O83" s="352"/>
      <c r="P83" s="352"/>
      <c r="Q83" s="352"/>
      <c r="R83" s="352"/>
      <c r="S83" s="352"/>
      <c r="T83" s="352"/>
      <c r="U83" s="352"/>
    </row>
    <row r="84" spans="14:21">
      <c r="N84" s="352"/>
      <c r="O84" s="352"/>
      <c r="P84" s="352"/>
      <c r="Q84" s="352"/>
      <c r="R84" s="352"/>
      <c r="S84" s="352"/>
      <c r="T84" s="352"/>
      <c r="U84" s="352"/>
    </row>
    <row r="85" spans="14:21">
      <c r="N85" s="352"/>
      <c r="O85" s="352"/>
      <c r="P85" s="352"/>
      <c r="Q85" s="352"/>
      <c r="R85" s="352"/>
      <c r="S85" s="352"/>
      <c r="T85" s="352"/>
      <c r="U85" s="352"/>
    </row>
    <row r="86" spans="14:21">
      <c r="N86" s="353"/>
      <c r="O86" s="353"/>
      <c r="P86" s="353"/>
      <c r="Q86" s="352"/>
      <c r="R86" s="352"/>
      <c r="S86" s="352"/>
      <c r="T86" s="352"/>
    </row>
    <row r="87" spans="14:21">
      <c r="N87" s="353"/>
      <c r="O87" s="353"/>
      <c r="P87" s="353"/>
      <c r="Q87" s="352"/>
      <c r="R87" s="352"/>
      <c r="S87" s="352"/>
      <c r="T87" s="352"/>
    </row>
    <row r="88" spans="14:21">
      <c r="N88" s="353"/>
      <c r="O88" s="353"/>
      <c r="P88" s="353"/>
      <c r="Q88" s="352"/>
      <c r="R88" s="352"/>
      <c r="S88" s="352"/>
      <c r="T88" s="352"/>
    </row>
    <row r="89" spans="14:21">
      <c r="N89" s="352"/>
      <c r="O89" s="352"/>
      <c r="P89" s="352"/>
      <c r="Q89" s="352"/>
      <c r="R89" s="352"/>
      <c r="S89" s="352"/>
      <c r="T89" s="352"/>
    </row>
    <row r="90" spans="14:21">
      <c r="N90" s="659"/>
      <c r="O90" s="659"/>
      <c r="P90" s="659"/>
      <c r="Q90" s="659"/>
      <c r="R90" s="659"/>
      <c r="S90" s="659"/>
      <c r="T90" s="659"/>
    </row>
    <row r="91" spans="14:21">
      <c r="N91" s="352"/>
      <c r="O91" s="352"/>
      <c r="P91" s="352"/>
      <c r="Q91" s="352"/>
      <c r="R91" s="352"/>
      <c r="S91" s="352"/>
      <c r="T91" s="352"/>
    </row>
    <row r="92" spans="14:21">
      <c r="N92" s="353"/>
      <c r="O92" s="353"/>
      <c r="P92" s="353"/>
      <c r="Q92" s="352"/>
      <c r="R92" s="352"/>
      <c r="S92" s="352"/>
      <c r="T92" s="352"/>
    </row>
    <row r="93" spans="14:21">
      <c r="N93" s="353"/>
      <c r="O93" s="353"/>
      <c r="P93" s="353"/>
      <c r="Q93" s="352"/>
      <c r="R93" s="352"/>
      <c r="S93" s="352"/>
      <c r="T93" s="352"/>
    </row>
    <row r="94" spans="14:21">
      <c r="N94" s="353"/>
      <c r="O94" s="353"/>
      <c r="P94" s="353"/>
      <c r="Q94" s="352"/>
      <c r="R94" s="352"/>
      <c r="S94" s="352"/>
      <c r="T94" s="352"/>
    </row>
    <row r="95" spans="14:21">
      <c r="N95" s="353"/>
      <c r="O95" s="353"/>
      <c r="P95" s="353"/>
      <c r="Q95" s="352"/>
      <c r="R95" s="352"/>
      <c r="S95" s="352"/>
      <c r="T95" s="352"/>
    </row>
    <row r="96" spans="14:21">
      <c r="N96" s="353"/>
      <c r="O96" s="353"/>
      <c r="P96" s="353"/>
      <c r="Q96" s="352"/>
      <c r="R96" s="352"/>
      <c r="S96" s="352"/>
      <c r="T96" s="352"/>
    </row>
    <row r="97" spans="14:20">
      <c r="N97" s="353"/>
      <c r="O97" s="353"/>
      <c r="P97" s="353"/>
      <c r="Q97" s="352"/>
      <c r="R97" s="352"/>
      <c r="S97" s="352"/>
      <c r="T97" s="352"/>
    </row>
    <row r="98" spans="14:20">
      <c r="N98" s="353"/>
      <c r="O98" s="353"/>
      <c r="P98" s="353"/>
      <c r="Q98" s="352"/>
      <c r="R98" s="352"/>
      <c r="S98" s="352"/>
      <c r="T98" s="352"/>
    </row>
    <row r="99" spans="14:20">
      <c r="N99" s="353"/>
      <c r="O99" s="353"/>
      <c r="P99" s="353"/>
      <c r="Q99" s="352"/>
      <c r="R99" s="352"/>
      <c r="S99" s="352"/>
      <c r="T99" s="352"/>
    </row>
    <row r="100" spans="14:20">
      <c r="N100" s="353"/>
      <c r="O100" s="353"/>
      <c r="P100" s="353"/>
      <c r="Q100" s="352"/>
      <c r="R100" s="352"/>
      <c r="S100" s="352"/>
      <c r="T100" s="352"/>
    </row>
  </sheetData>
  <mergeCells count="4">
    <mergeCell ref="B3:J3"/>
    <mergeCell ref="K3:S3"/>
    <mergeCell ref="K23:M23"/>
    <mergeCell ref="M25:M28"/>
  </mergeCells>
  <conditionalFormatting sqref="C10:G10">
    <cfRule type="expression" dxfId="40" priority="12">
      <formula>$C$10="Low"</formula>
    </cfRule>
  </conditionalFormatting>
  <conditionalFormatting sqref="D6:F6">
    <cfRule type="expression" dxfId="39" priority="16">
      <formula>$C$6="Low"</formula>
    </cfRule>
  </conditionalFormatting>
  <conditionalFormatting sqref="D12:F12 J12">
    <cfRule type="expression" dxfId="38" priority="86">
      <formula>$C$12="Low"</formula>
    </cfRule>
  </conditionalFormatting>
  <conditionalFormatting sqref="D7:G7">
    <cfRule type="expression" dxfId="37" priority="15">
      <formula>$C$7="Low"</formula>
    </cfRule>
  </conditionalFormatting>
  <conditionalFormatting sqref="D8:G8">
    <cfRule type="expression" dxfId="36" priority="14">
      <formula>$C$8="Low"</formula>
    </cfRule>
  </conditionalFormatting>
  <conditionalFormatting sqref="D9:G9">
    <cfRule type="expression" dxfId="35" priority="13">
      <formula>$C$9="Low"</formula>
    </cfRule>
  </conditionalFormatting>
  <conditionalFormatting sqref="D13:G13">
    <cfRule type="expression" dxfId="34" priority="10">
      <formula>$C$13="Low"</formula>
    </cfRule>
  </conditionalFormatting>
  <conditionalFormatting sqref="D14:G14">
    <cfRule type="expression" dxfId="33" priority="9">
      <formula>$C$14="Low"</formula>
    </cfRule>
  </conditionalFormatting>
  <conditionalFormatting sqref="D16:G16">
    <cfRule type="expression" dxfId="32" priority="7">
      <formula>$C$16="Low"</formula>
    </cfRule>
  </conditionalFormatting>
  <conditionalFormatting sqref="D17:G17">
    <cfRule type="expression" dxfId="31" priority="6">
      <formula>$C$17="Low"</formula>
    </cfRule>
  </conditionalFormatting>
  <conditionalFormatting sqref="D19:G19">
    <cfRule type="expression" dxfId="30" priority="4">
      <formula>$C$19="Low"</formula>
    </cfRule>
  </conditionalFormatting>
  <conditionalFormatting sqref="D21:G21">
    <cfRule type="expression" dxfId="29" priority="2">
      <formula>$C$21="Low"</formula>
    </cfRule>
  </conditionalFormatting>
  <conditionalFormatting sqref="D15:J15">
    <cfRule type="expression" dxfId="28" priority="8">
      <formula>$C$15="Low"</formula>
    </cfRule>
  </conditionalFormatting>
  <conditionalFormatting sqref="D18:J18">
    <cfRule type="expression" dxfId="27" priority="5">
      <formula>$C$18="Low"</formula>
    </cfRule>
  </conditionalFormatting>
  <conditionalFormatting sqref="D20:J20">
    <cfRule type="expression" dxfId="26" priority="3">
      <formula>$C$20="Low"</formula>
    </cfRule>
  </conditionalFormatting>
  <conditionalFormatting sqref="D22:J22">
    <cfRule type="expression" dxfId="25" priority="1">
      <formula>$C$22="Low"</formula>
    </cfRule>
  </conditionalFormatting>
  <conditionalFormatting sqref="G6">
    <cfRule type="expression" dxfId="24" priority="11">
      <formula>$C$7="Low"</formula>
    </cfRule>
  </conditionalFormatting>
  <conditionalFormatting sqref="H16:H17">
    <cfRule type="expression" dxfId="23" priority="23">
      <formula>$C$6="Low"</formula>
    </cfRule>
  </conditionalFormatting>
  <conditionalFormatting sqref="H19">
    <cfRule type="expression" dxfId="22" priority="22">
      <formula>$C$6="Low"</formula>
    </cfRule>
  </conditionalFormatting>
  <conditionalFormatting sqref="H21">
    <cfRule type="expression" dxfId="21" priority="21">
      <formula>$C$6="Low"</formula>
    </cfRule>
  </conditionalFormatting>
  <conditionalFormatting sqref="H24:H34">
    <cfRule type="expression" dxfId="20" priority="17">
      <formula>$C$6="Low"</formula>
    </cfRule>
  </conditionalFormatting>
  <conditionalFormatting sqref="H7:I10">
    <cfRule type="expression" dxfId="19" priority="38">
      <formula>$C$6="Low"</formula>
    </cfRule>
  </conditionalFormatting>
  <conditionalFormatting sqref="H12:I14">
    <cfRule type="expression" dxfId="18" priority="19">
      <formula>$C$6="Low"</formula>
    </cfRule>
  </conditionalFormatting>
  <conditionalFormatting sqref="H6:J6">
    <cfRule type="expression" dxfId="17" priority="42">
      <formula>$C$6="Low"</formula>
    </cfRule>
  </conditionalFormatting>
  <conditionalFormatting sqref="I17">
    <cfRule type="expression" dxfId="16" priority="27">
      <formula>$C$16="Low"</formula>
    </cfRule>
  </conditionalFormatting>
  <conditionalFormatting sqref="I19">
    <cfRule type="expression" dxfId="15" priority="26">
      <formula>$C$16="Low"</formula>
    </cfRule>
  </conditionalFormatting>
  <conditionalFormatting sqref="I21">
    <cfRule type="expression" dxfId="14" priority="25">
      <formula>$C$16="Low"</formula>
    </cfRule>
  </conditionalFormatting>
  <conditionalFormatting sqref="I24:I34">
    <cfRule type="expression" dxfId="13" priority="18">
      <formula>$C$16="Low"</formula>
    </cfRule>
  </conditionalFormatting>
  <conditionalFormatting sqref="I16:J16">
    <cfRule type="expression" dxfId="12" priority="34">
      <formula>$C$16="Low"</formula>
    </cfRule>
  </conditionalFormatting>
  <conditionalFormatting sqref="J7">
    <cfRule type="expression" dxfId="11" priority="41">
      <formula>$C$7="Low"</formula>
    </cfRule>
  </conditionalFormatting>
  <conditionalFormatting sqref="J8">
    <cfRule type="expression" dxfId="10" priority="40">
      <formula>$C$8="Low"</formula>
    </cfRule>
  </conditionalFormatting>
  <conditionalFormatting sqref="J9:J10">
    <cfRule type="expression" dxfId="9" priority="39">
      <formula>$C$9="Low"</formula>
    </cfRule>
  </conditionalFormatting>
  <conditionalFormatting sqref="J13">
    <cfRule type="expression" dxfId="8" priority="37">
      <formula>$C$13="Low"</formula>
    </cfRule>
  </conditionalFormatting>
  <conditionalFormatting sqref="J14">
    <cfRule type="expression" dxfId="7" priority="36">
      <formula>$C$14="Low"</formula>
    </cfRule>
  </conditionalFormatting>
  <conditionalFormatting sqref="J17">
    <cfRule type="expression" dxfId="6" priority="33">
      <formula>$C$17="Low"</formula>
    </cfRule>
  </conditionalFormatting>
  <conditionalFormatting sqref="J19">
    <cfRule type="expression" dxfId="5" priority="20">
      <formula>$C$17="Low"</formula>
    </cfRule>
  </conditionalFormatting>
  <conditionalFormatting sqref="J20">
    <cfRule type="expression" dxfId="4" priority="31">
      <formula>$C$19="Low"</formula>
    </cfRule>
  </conditionalFormatting>
  <conditionalFormatting sqref="J21">
    <cfRule type="expression" dxfId="3" priority="29">
      <formula>$C$21="Low"</formula>
    </cfRule>
  </conditionalFormatting>
  <dataValidations count="4">
    <dataValidation type="list" showInputMessage="1" showErrorMessage="1" sqref="B2" xr:uid="{A02853CE-D21D-44BD-9939-055BC887EFBD}">
      <formula1>Sectors</formula1>
    </dataValidation>
    <dataValidation type="list" allowBlank="1" showInputMessage="1" showErrorMessage="1" sqref="E6:E10 E12:E22 E24:E34" xr:uid="{21B53BAA-5CFE-4F77-8669-06D93A31F2C2}">
      <formula1>$L$25:$L$28</formula1>
    </dataValidation>
    <dataValidation type="list" allowBlank="1" showInputMessage="1" showErrorMessage="1" sqref="F12 C11 D11:D12" xr:uid="{3F3EAFB5-AA53-4ACB-815F-B2974A5D886C}">
      <formula1>#REF!</formula1>
    </dataValidation>
    <dataValidation type="list" allowBlank="1" showInputMessage="1" showErrorMessage="1" sqref="D6:D10 F6:F10 D13:D22 F13:F22 F24:F34 D32:D34" xr:uid="{A26A225F-3CD6-4B83-9603-D1FC5A4D4FCF}">
      <formula1>$T$1:$T$2</formula1>
    </dataValidation>
  </dataValidations>
  <pageMargins left="0.7" right="0.7" top="0.75" bottom="0.75" header="0.3" footer="0.3"/>
  <pageSetup paperSize="9" orientation="portrait" horizontalDpi="4294967293" verticalDpi="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4">
    <tabColor rgb="FF0070C0"/>
  </sheetPr>
  <dimension ref="A1:AN92"/>
  <sheetViews>
    <sheetView showGridLines="0" tabSelected="1" topLeftCell="A53" zoomScale="74" zoomScaleNormal="99" workbookViewId="0">
      <selection activeCell="H52" sqref="H52"/>
    </sheetView>
  </sheetViews>
  <sheetFormatPr defaultColWidth="11.42578125" defaultRowHeight="12.75" outlineLevelCol="1"/>
  <cols>
    <col min="1" max="1" width="24.42578125" bestFit="1" customWidth="1"/>
    <col min="2" max="2" width="11.42578125" customWidth="1" outlineLevel="1"/>
    <col min="3" max="3" width="32.140625" customWidth="1" outlineLevel="1"/>
    <col min="4" max="4" width="20" customWidth="1" outlineLevel="1"/>
    <col min="5" max="5" width="24" customWidth="1"/>
    <col min="6" max="6" width="27.28515625" customWidth="1"/>
    <col min="7" max="7" width="14.140625" style="2" customWidth="1"/>
    <col min="8" max="8" width="12.42578125" style="2" customWidth="1"/>
    <col min="9" max="11" width="11.28515625" style="2" customWidth="1"/>
    <col min="12" max="12" width="19" style="2" customWidth="1"/>
    <col min="13" max="14" width="24.28515625" style="2" bestFit="1" customWidth="1"/>
    <col min="15" max="15" width="23.28515625" style="2" bestFit="1" customWidth="1"/>
    <col min="16" max="25" width="24.28515625" style="2" bestFit="1" customWidth="1"/>
    <col min="26" max="28" width="23.28515625" style="2" bestFit="1" customWidth="1"/>
    <col min="29" max="30" width="24.28515625" style="2" bestFit="1" customWidth="1"/>
    <col min="31" max="32" width="23.28515625" style="2" bestFit="1" customWidth="1"/>
    <col min="33" max="33" width="14.42578125" customWidth="1"/>
  </cols>
  <sheetData>
    <row r="1" spans="1:40" ht="21" customHeight="1">
      <c r="A1" s="1458" t="s">
        <v>695</v>
      </c>
      <c r="B1" s="1458"/>
      <c r="C1" s="1458"/>
      <c r="D1" s="1458"/>
      <c r="E1" s="1458"/>
      <c r="F1" s="1458"/>
      <c r="G1" s="1458"/>
      <c r="H1" s="1458"/>
      <c r="I1" s="1458"/>
      <c r="J1" s="1458"/>
      <c r="K1" s="1458"/>
      <c r="L1" s="1458"/>
      <c r="M1" s="1458"/>
      <c r="N1" s="1458"/>
      <c r="O1" s="1458"/>
      <c r="P1" s="1458"/>
      <c r="Q1" s="1458"/>
      <c r="R1" s="1458"/>
      <c r="S1" s="1458"/>
      <c r="T1" s="1458"/>
      <c r="U1" s="1458"/>
      <c r="V1" s="1458"/>
      <c r="W1" s="1458"/>
      <c r="X1" s="1458"/>
      <c r="Y1" s="1458"/>
      <c r="Z1" s="1458"/>
      <c r="AA1" s="1458"/>
      <c r="AB1" s="1458"/>
      <c r="AC1" s="1458"/>
      <c r="AD1" s="1458"/>
      <c r="AE1" s="1458"/>
      <c r="AF1" s="1458"/>
      <c r="AG1" s="10"/>
      <c r="AH1" s="10"/>
      <c r="AI1" s="10"/>
      <c r="AJ1" s="10"/>
      <c r="AK1" s="10"/>
      <c r="AL1" s="10"/>
      <c r="AM1" s="10"/>
      <c r="AN1" s="10"/>
    </row>
    <row r="2" spans="1:40" ht="3.75" customHeight="1" thickBot="1">
      <c r="A2" s="1458"/>
      <c r="B2" s="1458"/>
      <c r="C2" s="1458"/>
      <c r="D2" s="1458"/>
      <c r="E2" s="1458"/>
      <c r="F2" s="1458"/>
      <c r="G2" s="1458"/>
      <c r="H2" s="1458"/>
      <c r="I2" s="1458"/>
      <c r="J2" s="1458"/>
      <c r="K2" s="1458"/>
      <c r="L2" s="1458"/>
      <c r="M2" s="1458"/>
      <c r="N2" s="1458"/>
      <c r="O2" s="1458"/>
      <c r="P2" s="1458"/>
      <c r="Q2" s="1458"/>
      <c r="R2" s="1458"/>
      <c r="S2" s="1458"/>
      <c r="T2" s="1458"/>
      <c r="U2" s="1458"/>
      <c r="V2" s="1458"/>
      <c r="W2" s="1458"/>
      <c r="X2" s="1458"/>
      <c r="Y2" s="1458"/>
      <c r="Z2" s="1458"/>
      <c r="AA2" s="1458"/>
      <c r="AB2" s="1458"/>
      <c r="AC2" s="1458"/>
      <c r="AD2" s="1458"/>
      <c r="AE2" s="1458"/>
      <c r="AF2" s="1458"/>
      <c r="AG2" s="354"/>
      <c r="AH2" s="10"/>
      <c r="AI2" s="10"/>
      <c r="AJ2" s="10"/>
      <c r="AK2" s="10"/>
      <c r="AL2" s="10"/>
      <c r="AM2" s="10"/>
      <c r="AN2" s="10"/>
    </row>
    <row r="3" spans="1:40" ht="19.5" thickBot="1">
      <c r="A3" s="208"/>
      <c r="B3" s="208"/>
      <c r="C3" s="208"/>
      <c r="D3" s="208"/>
      <c r="E3" s="208"/>
      <c r="F3" s="208"/>
      <c r="G3" s="1464" t="s">
        <v>696</v>
      </c>
      <c r="H3" s="1464"/>
      <c r="I3" s="1464"/>
      <c r="J3" s="1464"/>
      <c r="K3" s="1465" t="s">
        <v>697</v>
      </c>
      <c r="L3" s="1465"/>
      <c r="M3" s="1465"/>
      <c r="N3" s="1465"/>
      <c r="O3" s="1465"/>
      <c r="P3" s="1465"/>
      <c r="Q3" s="1465"/>
      <c r="R3" s="1465"/>
      <c r="S3" s="1465"/>
      <c r="T3" s="1465"/>
      <c r="U3" s="1465"/>
      <c r="V3" s="1465"/>
      <c r="W3" s="1465"/>
      <c r="X3" s="1465"/>
      <c r="Y3" s="1465"/>
      <c r="Z3" s="1465"/>
      <c r="AA3" s="1465"/>
      <c r="AB3" s="1465"/>
      <c r="AC3" s="1465"/>
      <c r="AD3" s="1465"/>
      <c r="AE3" s="1465"/>
      <c r="AF3" s="1465"/>
      <c r="AG3" s="354"/>
      <c r="AH3" s="10"/>
      <c r="AI3" s="10"/>
      <c r="AJ3" s="10"/>
      <c r="AK3" s="10"/>
      <c r="AL3" s="10"/>
      <c r="AM3" s="10"/>
      <c r="AN3" s="10"/>
    </row>
    <row r="4" spans="1:40" ht="15">
      <c r="A4" s="231" t="s">
        <v>698</v>
      </c>
      <c r="B4" s="234" t="s">
        <v>699</v>
      </c>
      <c r="C4" s="235" t="s">
        <v>700</v>
      </c>
      <c r="D4" s="244" t="str">
        <f>OP!J19-2&amp;" (Real)"</f>
        <v>2021 (Real)</v>
      </c>
      <c r="E4" s="244" t="str">
        <f>OP!J19-1&amp;" (Real)"</f>
        <v>2022 (Real)</v>
      </c>
      <c r="F4" s="245" t="str">
        <f>OP!J19&amp;" (Real)"</f>
        <v>2023 (Real)</v>
      </c>
      <c r="G4" s="244">
        <f>OP!J19+1</f>
        <v>2024</v>
      </c>
      <c r="H4" s="244">
        <f>G4+1</f>
        <v>2025</v>
      </c>
      <c r="I4" s="244">
        <f t="shared" ref="I4:AF4" si="0">H4+1</f>
        <v>2026</v>
      </c>
      <c r="J4" s="245">
        <f t="shared" si="0"/>
        <v>2027</v>
      </c>
      <c r="K4" s="246">
        <f t="shared" si="0"/>
        <v>2028</v>
      </c>
      <c r="L4" s="246">
        <f t="shared" si="0"/>
        <v>2029</v>
      </c>
      <c r="M4" s="246">
        <f t="shared" si="0"/>
        <v>2030</v>
      </c>
      <c r="N4" s="246">
        <f t="shared" si="0"/>
        <v>2031</v>
      </c>
      <c r="O4" s="246">
        <f t="shared" si="0"/>
        <v>2032</v>
      </c>
      <c r="P4" s="246">
        <f t="shared" si="0"/>
        <v>2033</v>
      </c>
      <c r="Q4" s="246">
        <f t="shared" si="0"/>
        <v>2034</v>
      </c>
      <c r="R4" s="246">
        <f t="shared" si="0"/>
        <v>2035</v>
      </c>
      <c r="S4" s="246">
        <f t="shared" si="0"/>
        <v>2036</v>
      </c>
      <c r="T4" s="246">
        <f t="shared" si="0"/>
        <v>2037</v>
      </c>
      <c r="U4" s="246">
        <f t="shared" si="0"/>
        <v>2038</v>
      </c>
      <c r="V4" s="246">
        <f t="shared" si="0"/>
        <v>2039</v>
      </c>
      <c r="W4" s="246">
        <f t="shared" si="0"/>
        <v>2040</v>
      </c>
      <c r="X4" s="246">
        <f t="shared" si="0"/>
        <v>2041</v>
      </c>
      <c r="Y4" s="246">
        <f t="shared" si="0"/>
        <v>2042</v>
      </c>
      <c r="Z4" s="246">
        <f t="shared" si="0"/>
        <v>2043</v>
      </c>
      <c r="AA4" s="246">
        <f t="shared" si="0"/>
        <v>2044</v>
      </c>
      <c r="AB4" s="246">
        <f t="shared" si="0"/>
        <v>2045</v>
      </c>
      <c r="AC4" s="246">
        <f t="shared" si="0"/>
        <v>2046</v>
      </c>
      <c r="AD4" s="246">
        <f t="shared" si="0"/>
        <v>2047</v>
      </c>
      <c r="AE4" s="246">
        <f t="shared" si="0"/>
        <v>2048</v>
      </c>
      <c r="AF4" s="247">
        <f t="shared" si="0"/>
        <v>2049</v>
      </c>
      <c r="AG4" s="354"/>
      <c r="AH4" s="10"/>
      <c r="AI4" s="10"/>
      <c r="AJ4" s="10"/>
      <c r="AK4" s="10"/>
      <c r="AL4" s="10"/>
      <c r="AM4" s="10"/>
      <c r="AN4" s="10"/>
    </row>
    <row r="5" spans="1:40">
      <c r="A5" s="1313" t="s">
        <v>701</v>
      </c>
      <c r="B5" s="236">
        <v>1</v>
      </c>
      <c r="C5" s="242" t="s">
        <v>702</v>
      </c>
      <c r="D5" s="250">
        <f>'Fin. Data'!D6</f>
        <v>0.25591328955096371</v>
      </c>
      <c r="E5" s="273">
        <f>+E6/D6-1</f>
        <v>0.22523594932403701</v>
      </c>
      <c r="F5" s="273">
        <v>0.21884108258154047</v>
      </c>
      <c r="G5" s="1038">
        <f>G6/F6-1</f>
        <v>2.0466440013194642E-2</v>
      </c>
      <c r="H5" s="1141">
        <f>H6/G6-1</f>
        <v>7.6419971068605763E-2</v>
      </c>
      <c r="I5" s="1141">
        <f t="shared" ref="I5:AE5" si="1">I6/H6-1</f>
        <v>5.1025579438134683E-2</v>
      </c>
      <c r="J5" s="1144">
        <f t="shared" si="1"/>
        <v>4.9663170208983365E-2</v>
      </c>
      <c r="K5" s="1142">
        <f t="shared" si="1"/>
        <v>3.736675684379942E-2</v>
      </c>
      <c r="L5" s="1141">
        <f t="shared" si="1"/>
        <v>4.4108116956145249E-2</v>
      </c>
      <c r="M5" s="1141">
        <f t="shared" si="1"/>
        <v>2.3122733332429979E-2</v>
      </c>
      <c r="N5" s="1141">
        <f t="shared" si="1"/>
        <v>2.2777014476485613E-2</v>
      </c>
      <c r="O5" s="1141">
        <f t="shared" si="1"/>
        <v>2.6484696326854351E-2</v>
      </c>
      <c r="P5" s="1141">
        <f t="shared" si="1"/>
        <v>5.8380805427667326E-2</v>
      </c>
      <c r="Q5" s="1141">
        <f t="shared" si="1"/>
        <v>0.1157256984811017</v>
      </c>
      <c r="R5" s="1141">
        <f t="shared" si="1"/>
        <v>0.10348957940843273</v>
      </c>
      <c r="S5" s="1141">
        <f t="shared" si="1"/>
        <v>0.11142415978902287</v>
      </c>
      <c r="T5" s="1141">
        <f t="shared" si="1"/>
        <v>0.15094863920152934</v>
      </c>
      <c r="U5" s="1141">
        <f t="shared" si="1"/>
        <v>0.14257145777770575</v>
      </c>
      <c r="V5" s="1141">
        <f t="shared" si="1"/>
        <v>8.0828639799894519E-2</v>
      </c>
      <c r="W5" s="1141">
        <f t="shared" si="1"/>
        <v>-1.8603754059994926E-2</v>
      </c>
      <c r="X5" s="1141">
        <f t="shared" si="1"/>
        <v>-2.3947203466536671E-2</v>
      </c>
      <c r="Y5" s="1141">
        <f t="shared" si="1"/>
        <v>-1.9603003798812524E-2</v>
      </c>
      <c r="Z5" s="1141">
        <f t="shared" si="1"/>
        <v>6.4835611749129995E-3</v>
      </c>
      <c r="AA5" s="1141">
        <f t="shared" si="1"/>
        <v>7.889500000727967E-3</v>
      </c>
      <c r="AB5" s="1141">
        <f t="shared" si="1"/>
        <v>5.9523129195048208E-2</v>
      </c>
      <c r="AC5" s="1141">
        <f t="shared" si="1"/>
        <v>0.11808684527284785</v>
      </c>
      <c r="AD5" s="1141">
        <f t="shared" si="1"/>
        <v>0.10870441132227571</v>
      </c>
      <c r="AE5" s="1141">
        <f t="shared" si="1"/>
        <v>8.1218713078855753E-2</v>
      </c>
      <c r="AF5" s="1144">
        <v>0.02</v>
      </c>
      <c r="AG5" s="302"/>
      <c r="AH5" s="10"/>
      <c r="AI5" s="10"/>
      <c r="AJ5" s="10"/>
      <c r="AK5" s="10"/>
      <c r="AL5" s="10"/>
      <c r="AM5" s="10"/>
      <c r="AN5" s="10"/>
    </row>
    <row r="6" spans="1:40" ht="15">
      <c r="A6" s="1313"/>
      <c r="B6" s="236">
        <v>2</v>
      </c>
      <c r="C6" s="230" t="s">
        <v>703</v>
      </c>
      <c r="D6" s="496">
        <f>Inputs!D6</f>
        <v>23522</v>
      </c>
      <c r="E6" s="734">
        <f>Inputs!C6</f>
        <v>28820</v>
      </c>
      <c r="F6" s="829">
        <f>Inputs!B6</f>
        <v>35127</v>
      </c>
      <c r="G6" s="803">
        <f>Assumptions!M259</f>
        <v>35845.924638343487</v>
      </c>
      <c r="H6" s="830">
        <f>Assumptions!N259</f>
        <v>38585.269162133118</v>
      </c>
      <c r="I6" s="830">
        <f>Assumptions!O259</f>
        <v>40554.104878907354</v>
      </c>
      <c r="J6" s="607">
        <f>Assumptions!P259</f>
        <v>42568.15029218149</v>
      </c>
      <c r="K6" s="1143">
        <f>Assumptions!Q259</f>
        <v>44158.784013439748</v>
      </c>
      <c r="L6" s="830">
        <f>Assumptions!R259</f>
        <v>46106.544823345706</v>
      </c>
      <c r="M6" s="830">
        <f>Assumptions!S259</f>
        <v>47172.654164175663</v>
      </c>
      <c r="N6" s="830">
        <f>Assumptions!T259</f>
        <v>48247.106390967347</v>
      </c>
      <c r="O6" s="830">
        <f>Assumptions!U259</f>
        <v>49524.916352381551</v>
      </c>
      <c r="P6" s="830">
        <f>Assumptions!V259</f>
        <v>52416.220857771441</v>
      </c>
      <c r="Q6" s="830">
        <f>Assumptions!W259</f>
        <v>58482.124628276732</v>
      </c>
      <c r="R6" s="830">
        <f>Assumptions!X259</f>
        <v>64534.415108968642</v>
      </c>
      <c r="S6" s="830">
        <f>Assumptions!Y259</f>
        <v>71725.10808996149</v>
      </c>
      <c r="T6" s="830">
        <f>Assumptions!Z259</f>
        <v>82551.915552723774</v>
      </c>
      <c r="U6" s="830">
        <f>Assumptions!AA259</f>
        <v>94321.462495417654</v>
      </c>
      <c r="V6" s="830">
        <f>Assumptions!AB259</f>
        <v>101945.33801285904</v>
      </c>
      <c r="W6" s="830">
        <f>Assumptions!AC259</f>
        <v>100048.77201690475</v>
      </c>
      <c r="X6" s="830">
        <f>Assumptions!AD259</f>
        <v>97652.883716838798</v>
      </c>
      <c r="Y6" s="830">
        <f>Assumptions!AE259</f>
        <v>95738.593866372612</v>
      </c>
      <c r="Z6" s="830">
        <f>Assumptions!AF259</f>
        <v>96359.320896505393</v>
      </c>
      <c r="AA6" s="830">
        <f>Assumptions!AG259</f>
        <v>97119.547758788525</v>
      </c>
      <c r="AB6" s="830">
        <f>Assumptions!AH259</f>
        <v>102900.40714739956</v>
      </c>
      <c r="AC6" s="830">
        <f>Assumptions!AI259</f>
        <v>115051.59160472757</v>
      </c>
      <c r="AD6" s="830">
        <f>Assumptions!AJ259</f>
        <v>127558.20714181036</v>
      </c>
      <c r="AE6" s="830">
        <f>Assumptions!AK259</f>
        <v>137918.32056851429</v>
      </c>
      <c r="AF6" s="607">
        <f>AE6*(1+AF5)</f>
        <v>140676.68697988457</v>
      </c>
      <c r="AG6" s="355"/>
      <c r="AH6" s="10"/>
      <c r="AI6" s="10"/>
      <c r="AJ6" s="10"/>
      <c r="AK6" s="10"/>
      <c r="AL6" s="10"/>
      <c r="AM6" s="10"/>
      <c r="AN6" s="10"/>
    </row>
    <row r="7" spans="1:40">
      <c r="A7" s="1313"/>
      <c r="B7" s="236">
        <v>3</v>
      </c>
      <c r="C7" s="79" t="s">
        <v>326</v>
      </c>
      <c r="D7" s="270">
        <f>D8/D6</f>
        <v>0.10377518918459315</v>
      </c>
      <c r="E7" s="808">
        <f t="shared" ref="E7" si="2">E8/E6</f>
        <v>0.13514920194309507</v>
      </c>
      <c r="F7" s="274">
        <f>F8/F6</f>
        <v>0.16645315569220259</v>
      </c>
      <c r="G7" s="1103">
        <v>0.185</v>
      </c>
      <c r="H7" s="1104">
        <v>0.18</v>
      </c>
      <c r="I7" s="1104">
        <v>0.17</v>
      </c>
      <c r="J7" s="1105">
        <v>0.16</v>
      </c>
      <c r="K7" s="1106">
        <v>0.15</v>
      </c>
      <c r="L7" s="1104">
        <f>$K$7</f>
        <v>0.15</v>
      </c>
      <c r="M7" s="1104">
        <f t="shared" ref="M7:AF7" si="3">$K$7</f>
        <v>0.15</v>
      </c>
      <c r="N7" s="1104">
        <f t="shared" si="3"/>
        <v>0.15</v>
      </c>
      <c r="O7" s="1104">
        <f t="shared" si="3"/>
        <v>0.15</v>
      </c>
      <c r="P7" s="1104">
        <f t="shared" si="3"/>
        <v>0.15</v>
      </c>
      <c r="Q7" s="1104">
        <f t="shared" si="3"/>
        <v>0.15</v>
      </c>
      <c r="R7" s="1104">
        <f t="shared" si="3"/>
        <v>0.15</v>
      </c>
      <c r="S7" s="1104">
        <f t="shared" si="3"/>
        <v>0.15</v>
      </c>
      <c r="T7" s="1104">
        <f t="shared" si="3"/>
        <v>0.15</v>
      </c>
      <c r="U7" s="1104">
        <f t="shared" si="3"/>
        <v>0.15</v>
      </c>
      <c r="V7" s="1104">
        <f t="shared" si="3"/>
        <v>0.15</v>
      </c>
      <c r="W7" s="1104">
        <f t="shared" si="3"/>
        <v>0.15</v>
      </c>
      <c r="X7" s="1104">
        <f t="shared" si="3"/>
        <v>0.15</v>
      </c>
      <c r="Y7" s="1104">
        <f t="shared" si="3"/>
        <v>0.15</v>
      </c>
      <c r="Z7" s="1104">
        <f t="shared" si="3"/>
        <v>0.15</v>
      </c>
      <c r="AA7" s="1104">
        <f t="shared" si="3"/>
        <v>0.15</v>
      </c>
      <c r="AB7" s="1104">
        <f t="shared" si="3"/>
        <v>0.15</v>
      </c>
      <c r="AC7" s="1104">
        <f t="shared" si="3"/>
        <v>0.15</v>
      </c>
      <c r="AD7" s="1104">
        <f t="shared" si="3"/>
        <v>0.15</v>
      </c>
      <c r="AE7" s="1104">
        <f t="shared" si="3"/>
        <v>0.15</v>
      </c>
      <c r="AF7" s="1105">
        <f t="shared" si="3"/>
        <v>0.15</v>
      </c>
      <c r="AG7" s="302"/>
      <c r="AH7" s="10"/>
      <c r="AI7" s="10"/>
      <c r="AJ7" s="10"/>
      <c r="AK7" s="10"/>
      <c r="AL7" s="10"/>
      <c r="AM7" s="10"/>
      <c r="AN7" s="10"/>
    </row>
    <row r="8" spans="1:40" ht="15.95" customHeight="1">
      <c r="A8" s="1313"/>
      <c r="B8" s="236">
        <v>4</v>
      </c>
      <c r="C8" s="217" t="s">
        <v>71</v>
      </c>
      <c r="D8" s="804">
        <f>'Fin. Data'!D16</f>
        <v>2441</v>
      </c>
      <c r="E8" s="591">
        <f>'Fin. Data'!C16</f>
        <v>3895</v>
      </c>
      <c r="F8" s="806">
        <f>'Fin. Data'!B16</f>
        <v>5847</v>
      </c>
      <c r="G8" s="584">
        <f>G7*G6</f>
        <v>6631.4960580935449</v>
      </c>
      <c r="H8" s="618">
        <f t="shared" ref="H8:AF8" si="4">H7*H6</f>
        <v>6945.3484491839608</v>
      </c>
      <c r="I8" s="618">
        <f t="shared" si="4"/>
        <v>6894.1978294142509</v>
      </c>
      <c r="J8" s="800">
        <f t="shared" si="4"/>
        <v>6810.9040467490386</v>
      </c>
      <c r="K8" s="584">
        <f t="shared" si="4"/>
        <v>6623.8176020159617</v>
      </c>
      <c r="L8" s="585">
        <f t="shared" si="4"/>
        <v>6915.9817235018554</v>
      </c>
      <c r="M8" s="585">
        <f t="shared" si="4"/>
        <v>7075.8981246263493</v>
      </c>
      <c r="N8" s="585">
        <f t="shared" si="4"/>
        <v>7237.065958645102</v>
      </c>
      <c r="O8" s="585">
        <f t="shared" si="4"/>
        <v>7428.7374528572327</v>
      </c>
      <c r="P8" s="585">
        <f t="shared" si="4"/>
        <v>7862.4331286657161</v>
      </c>
      <c r="Q8" s="585">
        <f t="shared" si="4"/>
        <v>8772.3186942415086</v>
      </c>
      <c r="R8" s="585">
        <f t="shared" si="4"/>
        <v>9680.1622663452963</v>
      </c>
      <c r="S8" s="585">
        <f t="shared" si="4"/>
        <v>10758.766213494224</v>
      </c>
      <c r="T8" s="585">
        <f t="shared" si="4"/>
        <v>12382.787332908565</v>
      </c>
      <c r="U8" s="585">
        <f t="shared" si="4"/>
        <v>14148.219374312648</v>
      </c>
      <c r="V8" s="585">
        <f t="shared" si="4"/>
        <v>15291.800701928854</v>
      </c>
      <c r="W8" s="585">
        <f t="shared" si="4"/>
        <v>15007.315802535712</v>
      </c>
      <c r="X8" s="585">
        <f t="shared" si="4"/>
        <v>14647.932557525819</v>
      </c>
      <c r="Y8" s="585">
        <f t="shared" si="4"/>
        <v>14360.789079955892</v>
      </c>
      <c r="Z8" s="585">
        <f t="shared" si="4"/>
        <v>14453.898134475809</v>
      </c>
      <c r="AA8" s="585">
        <f t="shared" si="4"/>
        <v>14567.932163818279</v>
      </c>
      <c r="AB8" s="585">
        <f t="shared" si="4"/>
        <v>15435.061072109933</v>
      </c>
      <c r="AC8" s="585">
        <f t="shared" si="4"/>
        <v>17257.738740709134</v>
      </c>
      <c r="AD8" s="585">
        <f t="shared" si="4"/>
        <v>19133.731071271552</v>
      </c>
      <c r="AE8" s="800">
        <f t="shared" si="4"/>
        <v>20687.748085277144</v>
      </c>
      <c r="AF8" s="582">
        <f t="shared" si="4"/>
        <v>21101.503046982685</v>
      </c>
      <c r="AG8" s="341"/>
      <c r="AH8" s="7"/>
      <c r="AI8" s="7"/>
      <c r="AJ8" s="7"/>
      <c r="AK8" s="10"/>
      <c r="AL8" s="10"/>
      <c r="AM8" s="10"/>
      <c r="AN8" s="10"/>
    </row>
    <row r="9" spans="1:40" ht="15.95" customHeight="1">
      <c r="A9" s="1313"/>
      <c r="B9" s="236" t="s">
        <v>704</v>
      </c>
      <c r="C9" s="230" t="s">
        <v>705</v>
      </c>
      <c r="D9" s="805">
        <f>-Inputs!D129</f>
        <v>-969</v>
      </c>
      <c r="E9" s="622">
        <f>-Inputs!C129</f>
        <v>-561</v>
      </c>
      <c r="F9" s="807">
        <f>-Inputs!B129</f>
        <v>-591</v>
      </c>
      <c r="G9" s="332">
        <f>-$D$53*DCF!F40</f>
        <v>-530.01972300026875</v>
      </c>
      <c r="H9" s="310">
        <f>-$D$53*DCF!G40</f>
        <v>-576.83270081843636</v>
      </c>
      <c r="I9" s="310">
        <f>-$D$53*DCF!H40</f>
        <v>-627.22312504710362</v>
      </c>
      <c r="J9" s="801">
        <f>-$D$53*DCF!I40</f>
        <v>-680.18474987017203</v>
      </c>
      <c r="K9" s="586">
        <f>-$E$53*DCF!J40</f>
        <v>-674.67945652130629</v>
      </c>
      <c r="L9" s="587">
        <f>-$E$53*DCF!K40</f>
        <v>-740.78001122418698</v>
      </c>
      <c r="M9" s="587">
        <f>-$E$53*DCF!L40</f>
        <v>-809.79613692476835</v>
      </c>
      <c r="N9" s="587">
        <f>-$E$53*DCF!M40</f>
        <v>-880.40810409556184</v>
      </c>
      <c r="O9" s="587">
        <f>-$E$53*DCF!N40</f>
        <v>-952.62840106481747</v>
      </c>
      <c r="P9" s="587">
        <f>-$E$53*DCF!O40</f>
        <v>-1026.7614306679391</v>
      </c>
      <c r="Q9" s="587">
        <f>-$E$53*DCF!P40</f>
        <v>-1105.2224062480841</v>
      </c>
      <c r="R9" s="587">
        <f>-$E$53*DCF!Q40</f>
        <v>-1192.7633330307503</v>
      </c>
      <c r="S9" s="587">
        <f>-$E$53*DCF!R40</f>
        <v>-1289.3638335071789</v>
      </c>
      <c r="T9" s="587">
        <f>-$E$53*DCF!S40</f>
        <v>-1396.7279635843925</v>
      </c>
      <c r="U9" s="587">
        <f>-$E$53*DCF!T40</f>
        <v>-1520.2985629958175</v>
      </c>
      <c r="V9" s="587">
        <f>-$E$53*DCF!U40</f>
        <v>-1661.4868029037943</v>
      </c>
      <c r="W9" s="587">
        <f>-$E$53*DCF!V40</f>
        <v>-1814.0870961992739</v>
      </c>
      <c r="X9" s="587">
        <f>-$E$53*DCF!W40</f>
        <v>-1963.8484511688016</v>
      </c>
      <c r="Y9" s="587">
        <f>-$E$53*DCF!X40</f>
        <v>-2110.0234404994499</v>
      </c>
      <c r="Z9" s="587">
        <f>-$E$53*DCF!Y40</f>
        <v>-2253.3329609589578</v>
      </c>
      <c r="AA9" s="587">
        <f>-$E$53*DCF!Z40</f>
        <v>-2397.5716374613121</v>
      </c>
      <c r="AB9" s="587">
        <f>-$E$53*DCF!AA40</f>
        <v>-2542.9482850020372</v>
      </c>
      <c r="AC9" s="587">
        <f>-$E$53*DCF!AB40</f>
        <v>-2696.9782055162718</v>
      </c>
      <c r="AD9" s="587">
        <f>-$E$53*DCF!AC40</f>
        <v>-2869.1970334216603</v>
      </c>
      <c r="AE9" s="587">
        <f>-$E$53*DCF!AD40</f>
        <v>-3060.1368076331155</v>
      </c>
      <c r="AF9" s="588">
        <f>-$E$53*DCF!AE40</f>
        <v>-3266.5844645815928</v>
      </c>
      <c r="AG9" s="342">
        <f>SUM(D9:AF9)</f>
        <v>-42760.885123947046</v>
      </c>
      <c r="AH9" s="7"/>
      <c r="AI9" s="7"/>
      <c r="AJ9" s="7"/>
      <c r="AK9" s="10"/>
      <c r="AL9" s="10"/>
      <c r="AM9" s="10"/>
      <c r="AN9" s="10"/>
    </row>
    <row r="10" spans="1:40" ht="15.95" hidden="1" customHeight="1">
      <c r="A10" s="1313"/>
      <c r="B10" s="236" t="s">
        <v>706</v>
      </c>
      <c r="C10" s="316" t="s">
        <v>707</v>
      </c>
      <c r="D10" s="567">
        <v>0</v>
      </c>
      <c r="E10" s="809">
        <v>0</v>
      </c>
      <c r="F10" s="623">
        <v>0</v>
      </c>
      <c r="G10" s="332">
        <f>F38*0</f>
        <v>0</v>
      </c>
      <c r="H10" s="589">
        <f t="shared" ref="H10:AF10" si="5">G38*0</f>
        <v>0</v>
      </c>
      <c r="I10" s="589">
        <f t="shared" si="5"/>
        <v>0</v>
      </c>
      <c r="J10" s="590">
        <f t="shared" si="5"/>
        <v>0</v>
      </c>
      <c r="K10" s="899">
        <f t="shared" si="5"/>
        <v>0</v>
      </c>
      <c r="L10" s="589">
        <f t="shared" si="5"/>
        <v>0</v>
      </c>
      <c r="M10" s="589">
        <f t="shared" si="5"/>
        <v>0</v>
      </c>
      <c r="N10" s="589">
        <f t="shared" si="5"/>
        <v>0</v>
      </c>
      <c r="O10" s="589">
        <f t="shared" si="5"/>
        <v>0</v>
      </c>
      <c r="P10" s="589">
        <f t="shared" si="5"/>
        <v>0</v>
      </c>
      <c r="Q10" s="589">
        <f t="shared" si="5"/>
        <v>0</v>
      </c>
      <c r="R10" s="589">
        <f t="shared" si="5"/>
        <v>0</v>
      </c>
      <c r="S10" s="589">
        <f t="shared" si="5"/>
        <v>0</v>
      </c>
      <c r="T10" s="589">
        <f t="shared" si="5"/>
        <v>0</v>
      </c>
      <c r="U10" s="589">
        <f t="shared" si="5"/>
        <v>0</v>
      </c>
      <c r="V10" s="589">
        <f t="shared" si="5"/>
        <v>0</v>
      </c>
      <c r="W10" s="589">
        <f t="shared" si="5"/>
        <v>0</v>
      </c>
      <c r="X10" s="589">
        <f t="shared" si="5"/>
        <v>0</v>
      </c>
      <c r="Y10" s="589">
        <f t="shared" si="5"/>
        <v>0</v>
      </c>
      <c r="Z10" s="589">
        <f t="shared" si="5"/>
        <v>0</v>
      </c>
      <c r="AA10" s="589">
        <f t="shared" si="5"/>
        <v>0</v>
      </c>
      <c r="AB10" s="589">
        <f t="shared" si="5"/>
        <v>0</v>
      </c>
      <c r="AC10" s="589">
        <f t="shared" si="5"/>
        <v>0</v>
      </c>
      <c r="AD10" s="589">
        <f t="shared" si="5"/>
        <v>0</v>
      </c>
      <c r="AE10" s="802">
        <f t="shared" si="5"/>
        <v>0</v>
      </c>
      <c r="AF10" s="590">
        <f t="shared" si="5"/>
        <v>0</v>
      </c>
      <c r="AG10" s="341"/>
      <c r="AH10" s="7"/>
      <c r="AI10" s="7"/>
      <c r="AJ10" s="7"/>
    </row>
    <row r="11" spans="1:40" ht="15.95" customHeight="1">
      <c r="A11" s="1313"/>
      <c r="B11" s="236" t="s">
        <v>708</v>
      </c>
      <c r="C11" s="230" t="s">
        <v>709</v>
      </c>
      <c r="D11" s="567">
        <f>D20</f>
        <v>-15</v>
      </c>
      <c r="E11" s="622">
        <f>E20</f>
        <v>-17</v>
      </c>
      <c r="F11" s="623">
        <f>F20</f>
        <v>-21</v>
      </c>
      <c r="G11" s="900">
        <f>-G6*$D$55</f>
        <v>-25.09214724684044</v>
      </c>
      <c r="H11" s="901">
        <f>-H6*$D$55</f>
        <v>-27.009688413493183</v>
      </c>
      <c r="I11" s="901">
        <f>-I6*$D$55</f>
        <v>-28.387873415235148</v>
      </c>
      <c r="J11" s="902">
        <f>-J6*$D$55</f>
        <v>-29.797705204527041</v>
      </c>
      <c r="K11" s="332">
        <f>-K6*$E$55</f>
        <v>-30.911148809407823</v>
      </c>
      <c r="L11" s="589">
        <f>-L6*$E$55</f>
        <v>-32.274581376341992</v>
      </c>
      <c r="M11" s="589">
        <f t="shared" ref="M11:AE11" si="6">-M6*$E$55</f>
        <v>-33.020857914922964</v>
      </c>
      <c r="N11" s="589">
        <f t="shared" si="6"/>
        <v>-33.772974473677145</v>
      </c>
      <c r="O11" s="589">
        <f t="shared" si="6"/>
        <v>-34.667441446667084</v>
      </c>
      <c r="P11" s="589">
        <f t="shared" si="6"/>
        <v>-36.691354600440008</v>
      </c>
      <c r="Q11" s="589">
        <f t="shared" si="6"/>
        <v>-40.937487239793711</v>
      </c>
      <c r="R11" s="589">
        <f t="shared" si="6"/>
        <v>-45.174090576278047</v>
      </c>
      <c r="S11" s="589">
        <f t="shared" si="6"/>
        <v>-50.207575662973042</v>
      </c>
      <c r="T11" s="589">
        <f t="shared" si="6"/>
        <v>-57.786340886906643</v>
      </c>
      <c r="U11" s="589">
        <f t="shared" si="6"/>
        <v>-66.025023746792357</v>
      </c>
      <c r="V11" s="589">
        <f t="shared" si="6"/>
        <v>-71.361736609001326</v>
      </c>
      <c r="W11" s="589">
        <f t="shared" si="6"/>
        <v>-70.03414041183332</v>
      </c>
      <c r="X11" s="589">
        <f t="shared" si="6"/>
        <v>-68.357018601787161</v>
      </c>
      <c r="Y11" s="589">
        <f t="shared" si="6"/>
        <v>-67.017015706460825</v>
      </c>
      <c r="Z11" s="589">
        <f t="shared" si="6"/>
        <v>-67.451524627553781</v>
      </c>
      <c r="AA11" s="589">
        <f t="shared" si="6"/>
        <v>-67.983683431151974</v>
      </c>
      <c r="AB11" s="589">
        <f t="shared" si="6"/>
        <v>-72.030285003179685</v>
      </c>
      <c r="AC11" s="589">
        <f t="shared" si="6"/>
        <v>-80.536114123309304</v>
      </c>
      <c r="AD11" s="589">
        <f t="shared" si="6"/>
        <v>-89.290744999267247</v>
      </c>
      <c r="AE11" s="589">
        <f t="shared" si="6"/>
        <v>-96.542824397960004</v>
      </c>
      <c r="AF11" s="590">
        <f>-AF6*$E$55</f>
        <v>-98.473680885919194</v>
      </c>
      <c r="AG11" s="341"/>
      <c r="AH11" s="7"/>
      <c r="AI11" s="7"/>
      <c r="AJ11" s="7"/>
      <c r="AK11" s="10"/>
      <c r="AL11" s="10"/>
      <c r="AM11" s="10"/>
      <c r="AN11" s="10"/>
    </row>
    <row r="12" spans="1:40" ht="15">
      <c r="A12" s="1313"/>
      <c r="B12" s="236">
        <v>6</v>
      </c>
      <c r="C12" s="217" t="s">
        <v>63</v>
      </c>
      <c r="D12" s="271">
        <f t="shared" ref="D12:AF12" si="7">D8-D9-D10</f>
        <v>3410</v>
      </c>
      <c r="E12" s="591">
        <f t="shared" si="7"/>
        <v>4456</v>
      </c>
      <c r="F12" s="624">
        <f t="shared" si="7"/>
        <v>6438</v>
      </c>
      <c r="G12" s="905">
        <f>G8-G9-G10</f>
        <v>7161.5157810938135</v>
      </c>
      <c r="H12" s="906">
        <f t="shared" si="7"/>
        <v>7522.1811500023969</v>
      </c>
      <c r="I12" s="906">
        <f t="shared" si="7"/>
        <v>7521.420954461355</v>
      </c>
      <c r="J12" s="907">
        <f t="shared" si="7"/>
        <v>7491.0887966192104</v>
      </c>
      <c r="K12" s="908">
        <f t="shared" si="7"/>
        <v>7298.4970585372685</v>
      </c>
      <c r="L12" s="909">
        <f t="shared" si="7"/>
        <v>7656.7617347260421</v>
      </c>
      <c r="M12" s="909">
        <f t="shared" si="7"/>
        <v>7885.694261551118</v>
      </c>
      <c r="N12" s="909">
        <f t="shared" si="7"/>
        <v>8117.4740627406636</v>
      </c>
      <c r="O12" s="909">
        <f t="shared" si="7"/>
        <v>8381.3658539220505</v>
      </c>
      <c r="P12" s="909">
        <f t="shared" si="7"/>
        <v>8889.194559333655</v>
      </c>
      <c r="Q12" s="909">
        <f t="shared" si="7"/>
        <v>9877.5411004895923</v>
      </c>
      <c r="R12" s="909">
        <f t="shared" si="7"/>
        <v>10872.925599376047</v>
      </c>
      <c r="S12" s="909">
        <f t="shared" si="7"/>
        <v>12048.130047001403</v>
      </c>
      <c r="T12" s="909">
        <f t="shared" si="7"/>
        <v>13779.515296492958</v>
      </c>
      <c r="U12" s="909">
        <f t="shared" si="7"/>
        <v>15668.517937308465</v>
      </c>
      <c r="V12" s="909">
        <f t="shared" si="7"/>
        <v>16953.28750483265</v>
      </c>
      <c r="W12" s="909">
        <f t="shared" si="7"/>
        <v>16821.402898734985</v>
      </c>
      <c r="X12" s="909">
        <f t="shared" si="7"/>
        <v>16611.781008694619</v>
      </c>
      <c r="Y12" s="909">
        <f t="shared" si="7"/>
        <v>16470.812520455343</v>
      </c>
      <c r="Z12" s="909">
        <f t="shared" si="7"/>
        <v>16707.231095434767</v>
      </c>
      <c r="AA12" s="909">
        <f t="shared" si="7"/>
        <v>16965.503801279592</v>
      </c>
      <c r="AB12" s="909">
        <f t="shared" si="7"/>
        <v>17978.009357111969</v>
      </c>
      <c r="AC12" s="909">
        <f t="shared" si="7"/>
        <v>19954.716946225406</v>
      </c>
      <c r="AD12" s="909">
        <f t="shared" si="7"/>
        <v>22002.928104693212</v>
      </c>
      <c r="AE12" s="910">
        <f t="shared" si="7"/>
        <v>23747.884892910261</v>
      </c>
      <c r="AF12" s="907">
        <f t="shared" si="7"/>
        <v>24368.087511564278</v>
      </c>
      <c r="AG12" s="265"/>
      <c r="AH12" s="7"/>
      <c r="AI12" s="7"/>
      <c r="AJ12" s="7"/>
      <c r="AK12" s="10"/>
      <c r="AL12" s="10"/>
      <c r="AM12" s="10"/>
      <c r="AN12" s="10"/>
    </row>
    <row r="13" spans="1:40" ht="15">
      <c r="A13" s="1313"/>
      <c r="B13" s="937">
        <v>7</v>
      </c>
      <c r="C13" s="230" t="s">
        <v>710</v>
      </c>
      <c r="D13" s="338">
        <f>'Fin. Data'!D14</f>
        <v>-63</v>
      </c>
      <c r="E13" s="339">
        <f>'Fin. Data'!C14</f>
        <v>-46</v>
      </c>
      <c r="F13" s="340">
        <f>'Fin. Data'!B14</f>
        <v>-129</v>
      </c>
      <c r="G13" s="586">
        <f>F43*($D$58)-F44*$D$57</f>
        <v>-421.21292333988322</v>
      </c>
      <c r="H13" s="587">
        <f t="shared" ref="H13:J13" si="8">G43*($D$58)-G44*$D$57</f>
        <v>-339.3823604650176</v>
      </c>
      <c r="I13" s="587">
        <f t="shared" si="8"/>
        <v>-260.15798703715689</v>
      </c>
      <c r="J13" s="588">
        <f t="shared" si="8"/>
        <v>-173.74362561737439</v>
      </c>
      <c r="K13" s="586">
        <f>J43*($E$58)-J44*$E$57</f>
        <v>-267.86408714928473</v>
      </c>
      <c r="L13" s="1061">
        <f>K43*($E$58)-K44*$E$57</f>
        <v>-245.29272571159788</v>
      </c>
      <c r="M13" s="1061">
        <f t="shared" ref="M13:AF13" si="9">L43*($E$58)-L44*$E$57</f>
        <v>-244.44210432567229</v>
      </c>
      <c r="N13" s="1061">
        <f t="shared" si="9"/>
        <v>-232.2496271964277</v>
      </c>
      <c r="O13" s="1061">
        <f t="shared" si="9"/>
        <v>-218.15259801251443</v>
      </c>
      <c r="P13" s="1061">
        <f t="shared" si="9"/>
        <v>-203.02008631882961</v>
      </c>
      <c r="Q13" s="1061">
        <f t="shared" si="9"/>
        <v>-198.2257575007261</v>
      </c>
      <c r="R13" s="1061">
        <f t="shared" si="9"/>
        <v>-215.97993791514352</v>
      </c>
      <c r="S13" s="1061">
        <f t="shared" si="9"/>
        <v>-228.44735339594172</v>
      </c>
      <c r="T13" s="1061">
        <f t="shared" si="9"/>
        <v>-244.78264316480011</v>
      </c>
      <c r="U13" s="1061">
        <f t="shared" si="9"/>
        <v>-283.7679529129183</v>
      </c>
      <c r="V13" s="1061">
        <f t="shared" si="9"/>
        <v>-321.73305380057354</v>
      </c>
      <c r="W13" s="1061">
        <f t="shared" si="9"/>
        <v>-319.10697813593083</v>
      </c>
      <c r="X13" s="1061">
        <f t="shared" si="9"/>
        <v>-237.40803616968992</v>
      </c>
      <c r="Y13" s="1061">
        <f t="shared" si="9"/>
        <v>-148.0283710613628</v>
      </c>
      <c r="Z13" s="1061">
        <f t="shared" si="9"/>
        <v>-57.900498833129404</v>
      </c>
      <c r="AA13" s="1061">
        <f t="shared" si="9"/>
        <v>18.479645412872287</v>
      </c>
      <c r="AB13" s="1061">
        <f t="shared" si="9"/>
        <v>99.314498491561608</v>
      </c>
      <c r="AC13" s="1061">
        <f t="shared" si="9"/>
        <v>149.94960888345759</v>
      </c>
      <c r="AD13" s="1061">
        <f t="shared" si="9"/>
        <v>163.6264632315806</v>
      </c>
      <c r="AE13" s="1061">
        <f t="shared" si="9"/>
        <v>185.99132203395243</v>
      </c>
      <c r="AF13" s="588">
        <f t="shared" si="9"/>
        <v>234.47972631307016</v>
      </c>
      <c r="AG13" s="341"/>
      <c r="AH13" s="7"/>
      <c r="AI13" s="7"/>
      <c r="AJ13" s="7"/>
      <c r="AK13" s="10"/>
      <c r="AL13" s="10"/>
      <c r="AM13" s="10"/>
      <c r="AN13" s="10"/>
    </row>
    <row r="14" spans="1:40" ht="15" hidden="1">
      <c r="A14" s="1313"/>
      <c r="B14" s="236">
        <v>8</v>
      </c>
      <c r="C14" s="230" t="s">
        <v>711</v>
      </c>
      <c r="D14" s="272">
        <f>'Fin. Data'!D15</f>
        <v>0</v>
      </c>
      <c r="E14" s="269">
        <f>'Fin. Data'!C15</f>
        <v>0</v>
      </c>
      <c r="F14" s="275">
        <f>'Fin. Data'!B15</f>
        <v>0</v>
      </c>
      <c r="G14" s="398">
        <f>AVERAGE(D14:F14)*(1+G5)</f>
        <v>0</v>
      </c>
      <c r="H14" s="618">
        <f t="shared" ref="H14:AF14" si="10">AVERAGE(E14:G14)*(1+H5)</f>
        <v>0</v>
      </c>
      <c r="I14" s="618">
        <f t="shared" si="10"/>
        <v>0</v>
      </c>
      <c r="J14" s="583">
        <f>AVERAGE(G14:I14)*(1+J5)</f>
        <v>0</v>
      </c>
      <c r="K14" s="398">
        <f t="shared" si="10"/>
        <v>0</v>
      </c>
      <c r="L14" s="618">
        <f t="shared" si="10"/>
        <v>0</v>
      </c>
      <c r="M14" s="618">
        <f t="shared" si="10"/>
        <v>0</v>
      </c>
      <c r="N14" s="618">
        <f t="shared" si="10"/>
        <v>0</v>
      </c>
      <c r="O14" s="618">
        <f t="shared" si="10"/>
        <v>0</v>
      </c>
      <c r="P14" s="618">
        <f t="shared" si="10"/>
        <v>0</v>
      </c>
      <c r="Q14" s="618">
        <f t="shared" si="10"/>
        <v>0</v>
      </c>
      <c r="R14" s="618">
        <f t="shared" si="10"/>
        <v>0</v>
      </c>
      <c r="S14" s="618">
        <f t="shared" si="10"/>
        <v>0</v>
      </c>
      <c r="T14" s="618">
        <f t="shared" si="10"/>
        <v>0</v>
      </c>
      <c r="U14" s="618">
        <f t="shared" si="10"/>
        <v>0</v>
      </c>
      <c r="V14" s="618">
        <f t="shared" si="10"/>
        <v>0</v>
      </c>
      <c r="W14" s="618">
        <f t="shared" si="10"/>
        <v>0</v>
      </c>
      <c r="X14" s="618">
        <f t="shared" si="10"/>
        <v>0</v>
      </c>
      <c r="Y14" s="618">
        <f t="shared" si="10"/>
        <v>0</v>
      </c>
      <c r="Z14" s="618">
        <f t="shared" si="10"/>
        <v>0</v>
      </c>
      <c r="AA14" s="618">
        <f t="shared" si="10"/>
        <v>0</v>
      </c>
      <c r="AB14" s="618">
        <f t="shared" si="10"/>
        <v>0</v>
      </c>
      <c r="AC14" s="618">
        <f t="shared" si="10"/>
        <v>0</v>
      </c>
      <c r="AD14" s="618">
        <f t="shared" si="10"/>
        <v>0</v>
      </c>
      <c r="AE14" s="618">
        <f t="shared" si="10"/>
        <v>0</v>
      </c>
      <c r="AF14" s="583">
        <f t="shared" si="10"/>
        <v>0</v>
      </c>
      <c r="AG14" s="341"/>
      <c r="AH14" s="7"/>
      <c r="AI14" s="7"/>
      <c r="AJ14" s="7"/>
      <c r="AK14" s="10"/>
      <c r="AL14" s="10"/>
      <c r="AM14" s="10"/>
      <c r="AN14" s="10"/>
    </row>
    <row r="15" spans="1:40" ht="15">
      <c r="A15" s="1313"/>
      <c r="B15" s="236">
        <v>9</v>
      </c>
      <c r="C15" s="217" t="s">
        <v>712</v>
      </c>
      <c r="D15" s="271">
        <f t="shared" ref="D15:AF15" si="11">D8+D13+D14</f>
        <v>2378</v>
      </c>
      <c r="E15" s="591">
        <f t="shared" si="11"/>
        <v>3849</v>
      </c>
      <c r="F15" s="624">
        <f>F8+F13+F14</f>
        <v>5718</v>
      </c>
      <c r="G15" s="271">
        <f>G8+G13+G14</f>
        <v>6210.2831347536612</v>
      </c>
      <c r="H15" s="591">
        <f>H8+H13+H14</f>
        <v>6605.966088718943</v>
      </c>
      <c r="I15" s="591">
        <f t="shared" si="11"/>
        <v>6634.0398423770939</v>
      </c>
      <c r="J15" s="592">
        <f t="shared" si="11"/>
        <v>6637.1604211316644</v>
      </c>
      <c r="K15" s="271">
        <f t="shared" si="11"/>
        <v>6355.9535148666773</v>
      </c>
      <c r="L15" s="591">
        <f t="shared" si="11"/>
        <v>6670.6889977902574</v>
      </c>
      <c r="M15" s="591">
        <f t="shared" si="11"/>
        <v>6831.4560203006768</v>
      </c>
      <c r="N15" s="591">
        <f t="shared" si="11"/>
        <v>7004.8163314486746</v>
      </c>
      <c r="O15" s="591">
        <f t="shared" si="11"/>
        <v>7210.5848548447184</v>
      </c>
      <c r="P15" s="591">
        <f t="shared" si="11"/>
        <v>7659.4130423468869</v>
      </c>
      <c r="Q15" s="591">
        <f t="shared" si="11"/>
        <v>8574.0929367407825</v>
      </c>
      <c r="R15" s="591">
        <f t="shared" si="11"/>
        <v>9464.1823284301536</v>
      </c>
      <c r="S15" s="591">
        <f t="shared" si="11"/>
        <v>10530.318860098283</v>
      </c>
      <c r="T15" s="591">
        <f t="shared" si="11"/>
        <v>12138.004689743764</v>
      </c>
      <c r="U15" s="591">
        <f t="shared" si="11"/>
        <v>13864.45142139973</v>
      </c>
      <c r="V15" s="591">
        <f t="shared" si="11"/>
        <v>14970.067648128281</v>
      </c>
      <c r="W15" s="591">
        <f t="shared" si="11"/>
        <v>14688.20882439978</v>
      </c>
      <c r="X15" s="591">
        <f t="shared" si="11"/>
        <v>14410.524521356128</v>
      </c>
      <c r="Y15" s="591">
        <f t="shared" si="11"/>
        <v>14212.76070889453</v>
      </c>
      <c r="Z15" s="591">
        <f t="shared" si="11"/>
        <v>14395.99763564268</v>
      </c>
      <c r="AA15" s="591">
        <f t="shared" si="11"/>
        <v>14586.411809231151</v>
      </c>
      <c r="AB15" s="591">
        <f t="shared" si="11"/>
        <v>15534.375570601494</v>
      </c>
      <c r="AC15" s="591">
        <f t="shared" si="11"/>
        <v>17407.68834959259</v>
      </c>
      <c r="AD15" s="591">
        <f t="shared" si="11"/>
        <v>19297.357534503131</v>
      </c>
      <c r="AE15" s="591">
        <f t="shared" si="11"/>
        <v>20873.739407311095</v>
      </c>
      <c r="AF15" s="592">
        <f t="shared" si="11"/>
        <v>21335.982773295756</v>
      </c>
      <c r="AG15" s="341"/>
      <c r="AH15" s="7"/>
      <c r="AI15" s="7"/>
      <c r="AJ15" s="7"/>
      <c r="AK15" s="10"/>
      <c r="AL15" s="10"/>
      <c r="AM15" s="10"/>
      <c r="AN15" s="10"/>
    </row>
    <row r="16" spans="1:40" ht="15">
      <c r="A16" s="1313"/>
      <c r="B16" s="236">
        <v>10</v>
      </c>
      <c r="C16" s="230" t="s">
        <v>713</v>
      </c>
      <c r="D16" s="335">
        <f>'Fin. Data'!D21</f>
        <v>-527</v>
      </c>
      <c r="E16" s="336">
        <f>'Fin. Data'!C21</f>
        <v>-837</v>
      </c>
      <c r="F16" s="337">
        <f>'Fin. Data'!B21</f>
        <v>-1117</v>
      </c>
      <c r="G16" s="332">
        <f>-(1*$D$56)*G15</f>
        <v>-1304.1594582982689</v>
      </c>
      <c r="H16" s="310">
        <f>-(1*$D$56)*H15</f>
        <v>-1387.2528786309779</v>
      </c>
      <c r="I16" s="310">
        <f t="shared" ref="I16:J16" si="12">-(1*$D$56)*I15</f>
        <v>-1393.1483668991896</v>
      </c>
      <c r="J16" s="311">
        <f t="shared" si="12"/>
        <v>-1393.8036884376495</v>
      </c>
      <c r="K16" s="309">
        <f>-(1*$E$56)*K15</f>
        <v>-1716.1074490140029</v>
      </c>
      <c r="L16" s="310">
        <f>-(1*$E$56)*L15</f>
        <v>-1801.0860294033696</v>
      </c>
      <c r="M16" s="310">
        <f t="shared" ref="M16:AF16" si="13">-(1*$E$56)*M15</f>
        <v>-1844.4931254811829</v>
      </c>
      <c r="N16" s="310">
        <f t="shared" si="13"/>
        <v>-1891.3004094911423</v>
      </c>
      <c r="O16" s="310">
        <f t="shared" si="13"/>
        <v>-1946.8579108080742</v>
      </c>
      <c r="P16" s="310">
        <f t="shared" si="13"/>
        <v>-2068.0415214336595</v>
      </c>
      <c r="Q16" s="310">
        <f t="shared" si="13"/>
        <v>-2315.0050929200115</v>
      </c>
      <c r="R16" s="310">
        <f t="shared" si="13"/>
        <v>-2555.3292286761416</v>
      </c>
      <c r="S16" s="310">
        <f t="shared" si="13"/>
        <v>-2843.1860922265364</v>
      </c>
      <c r="T16" s="310">
        <f t="shared" si="13"/>
        <v>-3277.2612662308165</v>
      </c>
      <c r="U16" s="310">
        <f t="shared" si="13"/>
        <v>-3743.4018837779272</v>
      </c>
      <c r="V16" s="310">
        <f t="shared" si="13"/>
        <v>-4041.918264994636</v>
      </c>
      <c r="W16" s="310">
        <f t="shared" si="13"/>
        <v>-3965.816382587941</v>
      </c>
      <c r="X16" s="310">
        <f t="shared" si="13"/>
        <v>-3890.8416207661548</v>
      </c>
      <c r="Y16" s="310">
        <f t="shared" si="13"/>
        <v>-3837.4453914015235</v>
      </c>
      <c r="Z16" s="310">
        <f t="shared" si="13"/>
        <v>-3886.9193616235239</v>
      </c>
      <c r="AA16" s="310">
        <f t="shared" si="13"/>
        <v>-3938.331188492411</v>
      </c>
      <c r="AB16" s="310">
        <f t="shared" si="13"/>
        <v>-4194.2814040624035</v>
      </c>
      <c r="AC16" s="310">
        <f t="shared" si="13"/>
        <v>-4700.0758543900001</v>
      </c>
      <c r="AD16" s="310">
        <f t="shared" si="13"/>
        <v>-5210.2865343158455</v>
      </c>
      <c r="AE16" s="310">
        <f t="shared" si="13"/>
        <v>-5635.9096399739965</v>
      </c>
      <c r="AF16" s="311">
        <f t="shared" si="13"/>
        <v>-5760.7153487898549</v>
      </c>
      <c r="AG16" s="341"/>
      <c r="AH16" s="7"/>
      <c r="AI16" s="7"/>
      <c r="AJ16" s="7"/>
      <c r="AK16" s="10"/>
      <c r="AL16" s="10"/>
      <c r="AM16" s="10"/>
      <c r="AN16" s="10"/>
    </row>
    <row r="17" spans="1:40" ht="15.75" thickBot="1">
      <c r="A17" s="1313"/>
      <c r="B17" s="237">
        <v>11</v>
      </c>
      <c r="C17" s="243" t="s">
        <v>714</v>
      </c>
      <c r="D17" s="593">
        <f>'Fin. Data'!D23</f>
        <v>1852</v>
      </c>
      <c r="E17" s="493">
        <f>'Fin. Data'!C23</f>
        <v>3012</v>
      </c>
      <c r="F17" s="493">
        <f>'Fin. Data'!B23</f>
        <v>4601</v>
      </c>
      <c r="G17" s="593">
        <f>G16+G15</f>
        <v>4906.1236764553923</v>
      </c>
      <c r="H17" s="594">
        <f>H16+H15</f>
        <v>5218.7132100879653</v>
      </c>
      <c r="I17" s="594">
        <f t="shared" ref="I17:AF17" si="14">I16+I15</f>
        <v>5240.8914754779044</v>
      </c>
      <c r="J17" s="595">
        <f t="shared" si="14"/>
        <v>5243.3567326940147</v>
      </c>
      <c r="K17" s="593">
        <f t="shared" si="14"/>
        <v>4639.8460658526747</v>
      </c>
      <c r="L17" s="594">
        <f t="shared" si="14"/>
        <v>4869.6029683868874</v>
      </c>
      <c r="M17" s="594">
        <f t="shared" si="14"/>
        <v>4986.9628948194941</v>
      </c>
      <c r="N17" s="594">
        <f t="shared" si="14"/>
        <v>5113.5159219575326</v>
      </c>
      <c r="O17" s="594">
        <f t="shared" si="14"/>
        <v>5263.7269440366445</v>
      </c>
      <c r="P17" s="594">
        <f t="shared" si="14"/>
        <v>5591.3715209132279</v>
      </c>
      <c r="Q17" s="594">
        <f t="shared" si="14"/>
        <v>6259.087843820771</v>
      </c>
      <c r="R17" s="594">
        <f t="shared" si="14"/>
        <v>6908.853099754012</v>
      </c>
      <c r="S17" s="594">
        <f t="shared" si="14"/>
        <v>7687.1327678717462</v>
      </c>
      <c r="T17" s="594">
        <f t="shared" si="14"/>
        <v>8860.7434235129476</v>
      </c>
      <c r="U17" s="594">
        <f t="shared" si="14"/>
        <v>10121.049537621802</v>
      </c>
      <c r="V17" s="594">
        <f t="shared" si="14"/>
        <v>10928.149383133645</v>
      </c>
      <c r="W17" s="594">
        <f t="shared" si="14"/>
        <v>10722.39244181184</v>
      </c>
      <c r="X17" s="594">
        <f t="shared" si="14"/>
        <v>10519.682900589974</v>
      </c>
      <c r="Y17" s="594">
        <f t="shared" si="14"/>
        <v>10375.315317493007</v>
      </c>
      <c r="Z17" s="594">
        <f t="shared" si="14"/>
        <v>10509.078274019155</v>
      </c>
      <c r="AA17" s="594">
        <f t="shared" si="14"/>
        <v>10648.08062073874</v>
      </c>
      <c r="AB17" s="594">
        <f t="shared" si="14"/>
        <v>11340.094166539091</v>
      </c>
      <c r="AC17" s="594">
        <f t="shared" si="14"/>
        <v>12707.612495202589</v>
      </c>
      <c r="AD17" s="594">
        <f t="shared" si="14"/>
        <v>14087.071000187287</v>
      </c>
      <c r="AE17" s="594">
        <f t="shared" si="14"/>
        <v>15237.829767337098</v>
      </c>
      <c r="AF17" s="595">
        <f t="shared" si="14"/>
        <v>15575.267424505902</v>
      </c>
      <c r="AG17" s="341"/>
      <c r="AH17" s="7"/>
      <c r="AI17" s="7"/>
      <c r="AJ17" s="7"/>
      <c r="AK17" s="10"/>
      <c r="AL17" s="10"/>
      <c r="AM17" s="10"/>
      <c r="AN17" s="10"/>
    </row>
    <row r="18" spans="1:40" ht="15">
      <c r="A18" s="221"/>
      <c r="B18" s="232"/>
      <c r="C18" s="233" t="s">
        <v>715</v>
      </c>
      <c r="D18" s="241" t="s">
        <v>715</v>
      </c>
      <c r="E18" s="241" t="s">
        <v>715</v>
      </c>
      <c r="F18" s="241" t="s">
        <v>715</v>
      </c>
      <c r="G18" s="238" t="s">
        <v>715</v>
      </c>
      <c r="H18" s="238" t="s">
        <v>715</v>
      </c>
      <c r="I18" s="238" t="s">
        <v>715</v>
      </c>
      <c r="J18" s="238" t="s">
        <v>715</v>
      </c>
      <c r="K18" s="238" t="s">
        <v>715</v>
      </c>
      <c r="L18" s="238" t="s">
        <v>715</v>
      </c>
      <c r="M18" s="238" t="s">
        <v>715</v>
      </c>
      <c r="N18" s="238" t="s">
        <v>715</v>
      </c>
      <c r="O18" s="238" t="s">
        <v>715</v>
      </c>
      <c r="P18" s="238" t="s">
        <v>715</v>
      </c>
      <c r="Q18" s="238" t="s">
        <v>715</v>
      </c>
      <c r="R18" s="238" t="s">
        <v>715</v>
      </c>
      <c r="S18" s="238" t="s">
        <v>715</v>
      </c>
      <c r="T18" s="238" t="s">
        <v>715</v>
      </c>
      <c r="U18" s="238" t="s">
        <v>715</v>
      </c>
      <c r="V18" s="238" t="s">
        <v>715</v>
      </c>
      <c r="W18" s="238" t="s">
        <v>715</v>
      </c>
      <c r="X18" s="238" t="s">
        <v>715</v>
      </c>
      <c r="Y18" s="238" t="s">
        <v>715</v>
      </c>
      <c r="Z18" s="238" t="s">
        <v>715</v>
      </c>
      <c r="AA18" s="238" t="s">
        <v>715</v>
      </c>
      <c r="AB18" s="238" t="s">
        <v>715</v>
      </c>
      <c r="AC18" s="238" t="s">
        <v>715</v>
      </c>
      <c r="AD18" s="238" t="s">
        <v>715</v>
      </c>
      <c r="AE18" s="238" t="s">
        <v>715</v>
      </c>
      <c r="AF18" s="248" t="s">
        <v>715</v>
      </c>
      <c r="AG18" s="341"/>
      <c r="AH18" s="7"/>
      <c r="AI18" s="7"/>
      <c r="AJ18" s="7"/>
      <c r="AK18" s="10"/>
      <c r="AL18" s="10"/>
      <c r="AM18" s="10"/>
      <c r="AN18" s="10"/>
    </row>
    <row r="19" spans="1:40" ht="15">
      <c r="A19" s="1462" t="s">
        <v>716</v>
      </c>
      <c r="B19" s="210">
        <v>12</v>
      </c>
      <c r="C19" s="316" t="s">
        <v>717</v>
      </c>
      <c r="D19" s="651">
        <f>Inputs!D59-Inputs!D62</f>
        <v>2538.1999999999998</v>
      </c>
      <c r="E19" s="652">
        <f>Inputs!C59-Inputs!C62</f>
        <v>3574.1</v>
      </c>
      <c r="F19" s="831">
        <f>Inputs!B59-Inputs!B62</f>
        <v>5271.5</v>
      </c>
      <c r="G19" s="823">
        <f>G17-G10-G9-G11</f>
        <v>5461.2355467025018</v>
      </c>
      <c r="H19" s="824">
        <f>H17-H10-H9-H11</f>
        <v>5822.5555993198941</v>
      </c>
      <c r="I19" s="824">
        <f t="shared" ref="I19:AE19" si="15">I17-I10-I9-I11</f>
        <v>5896.5024739402434</v>
      </c>
      <c r="J19" s="825">
        <f t="shared" si="15"/>
        <v>5953.3391877687136</v>
      </c>
      <c r="K19" s="823">
        <f t="shared" si="15"/>
        <v>5345.4366711833882</v>
      </c>
      <c r="L19" s="824">
        <f t="shared" si="15"/>
        <v>5642.6575609874162</v>
      </c>
      <c r="M19" s="824">
        <f t="shared" si="15"/>
        <v>5829.7798896591858</v>
      </c>
      <c r="N19" s="824">
        <f t="shared" si="15"/>
        <v>6027.6970005267713</v>
      </c>
      <c r="O19" s="824">
        <f t="shared" si="15"/>
        <v>6251.0227865481293</v>
      </c>
      <c r="P19" s="824">
        <f t="shared" si="15"/>
        <v>6654.8243061816065</v>
      </c>
      <c r="Q19" s="824">
        <f t="shared" si="15"/>
        <v>7405.2477373086485</v>
      </c>
      <c r="R19" s="824">
        <f t="shared" si="15"/>
        <v>8146.79052336104</v>
      </c>
      <c r="S19" s="824">
        <f t="shared" si="15"/>
        <v>9026.7041770418982</v>
      </c>
      <c r="T19" s="824">
        <f t="shared" si="15"/>
        <v>10315.257727984246</v>
      </c>
      <c r="U19" s="824">
        <f t="shared" si="15"/>
        <v>11707.373124364411</v>
      </c>
      <c r="V19" s="824">
        <f t="shared" si="15"/>
        <v>12660.99792264644</v>
      </c>
      <c r="W19" s="824">
        <f t="shared" si="15"/>
        <v>12606.513678422947</v>
      </c>
      <c r="X19" s="824">
        <f t="shared" si="15"/>
        <v>12551.888370360564</v>
      </c>
      <c r="Y19" s="824">
        <f t="shared" si="15"/>
        <v>12552.355773698917</v>
      </c>
      <c r="Z19" s="824">
        <f t="shared" si="15"/>
        <v>12829.862759605667</v>
      </c>
      <c r="AA19" s="824">
        <f t="shared" si="15"/>
        <v>13113.635941631203</v>
      </c>
      <c r="AB19" s="824">
        <f t="shared" si="15"/>
        <v>13955.072736544309</v>
      </c>
      <c r="AC19" s="824">
        <f t="shared" si="15"/>
        <v>15485.126814842171</v>
      </c>
      <c r="AD19" s="824">
        <f t="shared" si="15"/>
        <v>17045.558778608214</v>
      </c>
      <c r="AE19" s="825">
        <f t="shared" si="15"/>
        <v>18394.509399368173</v>
      </c>
      <c r="AF19" s="826">
        <f>AF17-AF10-AF9-AF11</f>
        <v>18940.325569973415</v>
      </c>
      <c r="AG19" s="341"/>
      <c r="AH19" s="7"/>
      <c r="AI19" s="7"/>
      <c r="AJ19" s="7"/>
      <c r="AK19" s="10"/>
      <c r="AL19" s="10"/>
      <c r="AM19" s="10"/>
      <c r="AN19" s="10"/>
    </row>
    <row r="20" spans="1:40" ht="15">
      <c r="A20" s="1463"/>
      <c r="B20" s="210">
        <v>13</v>
      </c>
      <c r="C20" s="230" t="s">
        <v>718</v>
      </c>
      <c r="D20" s="653">
        <f>-Inputs!D103</f>
        <v>-15</v>
      </c>
      <c r="E20" s="654">
        <f>-Inputs!C103</f>
        <v>-17</v>
      </c>
      <c r="F20" s="655">
        <f>-Inputs!B103</f>
        <v>-21</v>
      </c>
      <c r="G20" s="606">
        <f>G11</f>
        <v>-25.09214724684044</v>
      </c>
      <c r="H20" s="606">
        <f t="shared" ref="H20:AF20" si="16">H11</f>
        <v>-27.009688413493183</v>
      </c>
      <c r="I20" s="606">
        <f t="shared" si="16"/>
        <v>-28.387873415235148</v>
      </c>
      <c r="J20" s="812">
        <f t="shared" si="16"/>
        <v>-29.797705204527041</v>
      </c>
      <c r="K20" s="605">
        <f t="shared" si="16"/>
        <v>-30.911148809407823</v>
      </c>
      <c r="L20" s="606">
        <f t="shared" si="16"/>
        <v>-32.274581376341992</v>
      </c>
      <c r="M20" s="606">
        <f t="shared" si="16"/>
        <v>-33.020857914922964</v>
      </c>
      <c r="N20" s="606">
        <f t="shared" si="16"/>
        <v>-33.772974473677145</v>
      </c>
      <c r="O20" s="606">
        <f t="shared" si="16"/>
        <v>-34.667441446667084</v>
      </c>
      <c r="P20" s="606">
        <f t="shared" si="16"/>
        <v>-36.691354600440008</v>
      </c>
      <c r="Q20" s="606">
        <f t="shared" si="16"/>
        <v>-40.937487239793711</v>
      </c>
      <c r="R20" s="606">
        <f t="shared" si="16"/>
        <v>-45.174090576278047</v>
      </c>
      <c r="S20" s="606">
        <f t="shared" si="16"/>
        <v>-50.207575662973042</v>
      </c>
      <c r="T20" s="606">
        <f t="shared" si="16"/>
        <v>-57.786340886906643</v>
      </c>
      <c r="U20" s="606">
        <f t="shared" si="16"/>
        <v>-66.025023746792357</v>
      </c>
      <c r="V20" s="606">
        <f t="shared" si="16"/>
        <v>-71.361736609001326</v>
      </c>
      <c r="W20" s="606">
        <f t="shared" si="16"/>
        <v>-70.03414041183332</v>
      </c>
      <c r="X20" s="606">
        <f t="shared" si="16"/>
        <v>-68.357018601787161</v>
      </c>
      <c r="Y20" s="606">
        <f t="shared" si="16"/>
        <v>-67.017015706460825</v>
      </c>
      <c r="Z20" s="606">
        <f t="shared" si="16"/>
        <v>-67.451524627553781</v>
      </c>
      <c r="AA20" s="606">
        <f t="shared" si="16"/>
        <v>-67.983683431151974</v>
      </c>
      <c r="AB20" s="606">
        <f t="shared" si="16"/>
        <v>-72.030285003179685</v>
      </c>
      <c r="AC20" s="606">
        <f t="shared" si="16"/>
        <v>-80.536114123309304</v>
      </c>
      <c r="AD20" s="606">
        <f t="shared" si="16"/>
        <v>-89.290744999267247</v>
      </c>
      <c r="AE20" s="812">
        <f t="shared" si="16"/>
        <v>-96.542824397960004</v>
      </c>
      <c r="AF20" s="607">
        <f t="shared" si="16"/>
        <v>-98.473680885919194</v>
      </c>
      <c r="AG20" s="341"/>
      <c r="AH20" s="7"/>
      <c r="AI20" s="7"/>
      <c r="AJ20" s="7"/>
      <c r="AK20" s="10"/>
      <c r="AL20" s="10"/>
      <c r="AM20" s="10"/>
      <c r="AN20" s="10"/>
    </row>
    <row r="21" spans="1:40" ht="15">
      <c r="A21" s="1463"/>
      <c r="B21" s="210">
        <v>14</v>
      </c>
      <c r="C21" s="230" t="s">
        <v>719</v>
      </c>
      <c r="D21" s="254">
        <f>Inputs!D62</f>
        <v>-351.5</v>
      </c>
      <c r="E21" s="253">
        <f>Inputs!C62</f>
        <v>-547.1</v>
      </c>
      <c r="F21" s="403">
        <f>Inputs!B62</f>
        <v>-1081.5</v>
      </c>
      <c r="G21" s="280">
        <f>-$D$60*(G6-F6)</f>
        <v>-71.892463834348746</v>
      </c>
      <c r="H21" s="280">
        <f>-$D$60*(H6-G6)</f>
        <v>-273.93445237896304</v>
      </c>
      <c r="I21" s="280">
        <f>-$D$60*(I6-H6)</f>
        <v>-196.88357167742362</v>
      </c>
      <c r="J21" s="600">
        <f>-$D$60*(J6-I6)</f>
        <v>-201.40454132741363</v>
      </c>
      <c r="K21" s="281">
        <f>-$E$60*(K6-J6)</f>
        <v>-127.25069770066068</v>
      </c>
      <c r="L21" s="280">
        <f>-$E$60*(L6-K6)</f>
        <v>-155.82086479247664</v>
      </c>
      <c r="M21" s="280">
        <f t="shared" ref="M21:AE21" si="17">-$E$60*(M6-L6)</f>
        <v>-85.288747266396527</v>
      </c>
      <c r="N21" s="280">
        <f t="shared" si="17"/>
        <v>-85.956178143334697</v>
      </c>
      <c r="O21" s="280">
        <f t="shared" si="17"/>
        <v>-102.22479691313639</v>
      </c>
      <c r="P21" s="280">
        <f t="shared" si="17"/>
        <v>-231.30436043119116</v>
      </c>
      <c r="Q21" s="280">
        <f t="shared" si="17"/>
        <v>-485.27230164042328</v>
      </c>
      <c r="R21" s="280">
        <f t="shared" si="17"/>
        <v>-484.18323845535286</v>
      </c>
      <c r="S21" s="280">
        <f t="shared" si="17"/>
        <v>-575.25543847942788</v>
      </c>
      <c r="T21" s="280">
        <f t="shared" si="17"/>
        <v>-866.14459702098281</v>
      </c>
      <c r="U21" s="280">
        <f t="shared" si="17"/>
        <v>-941.5637554155104</v>
      </c>
      <c r="V21" s="280">
        <f t="shared" si="17"/>
        <v>-609.9100413953106</v>
      </c>
      <c r="W21" s="280">
        <f t="shared" si="17"/>
        <v>151.72527967634261</v>
      </c>
      <c r="X21" s="280">
        <f t="shared" si="17"/>
        <v>191.67106400527643</v>
      </c>
      <c r="Y21" s="280">
        <f t="shared" si="17"/>
        <v>153.14318803729489</v>
      </c>
      <c r="Z21" s="280">
        <f t="shared" si="17"/>
        <v>-49.658162410622467</v>
      </c>
      <c r="AA21" s="280">
        <f t="shared" si="17"/>
        <v>-60.818148982650598</v>
      </c>
      <c r="AB21" s="280">
        <f t="shared" si="17"/>
        <v>-462.46875108888258</v>
      </c>
      <c r="AC21" s="280">
        <f t="shared" si="17"/>
        <v>-972.09475658624081</v>
      </c>
      <c r="AD21" s="280">
        <f t="shared" si="17"/>
        <v>-1000.5292429666233</v>
      </c>
      <c r="AE21" s="280">
        <f t="shared" si="17"/>
        <v>-828.80907413631451</v>
      </c>
      <c r="AF21" s="405">
        <f>-$E$60*(AF6-AE6)</f>
        <v>-220.66931290962268</v>
      </c>
      <c r="AG21" s="341"/>
      <c r="AH21" s="7"/>
      <c r="AI21" s="7"/>
      <c r="AJ21" s="7"/>
      <c r="AK21" s="10"/>
      <c r="AL21" s="10"/>
      <c r="AM21" s="10"/>
      <c r="AN21" s="10"/>
    </row>
    <row r="22" spans="1:40" ht="15">
      <c r="A22" s="1463"/>
      <c r="B22" s="210">
        <v>15</v>
      </c>
      <c r="C22" s="239" t="s">
        <v>720</v>
      </c>
      <c r="D22" s="601">
        <f>D19+D20+D21</f>
        <v>2171.6999999999998</v>
      </c>
      <c r="E22" s="602">
        <f t="shared" ref="E22:AE22" si="18">E19+E20+E21</f>
        <v>3010</v>
      </c>
      <c r="F22" s="604">
        <f t="shared" si="18"/>
        <v>4169</v>
      </c>
      <c r="G22" s="596">
        <f>G19+G20+G21</f>
        <v>5364.2509356213122</v>
      </c>
      <c r="H22" s="597">
        <f t="shared" si="18"/>
        <v>5521.6114585274381</v>
      </c>
      <c r="I22" s="597">
        <f t="shared" si="18"/>
        <v>5671.2310288475846</v>
      </c>
      <c r="J22" s="598">
        <f t="shared" si="18"/>
        <v>5722.1369412367731</v>
      </c>
      <c r="K22" s="596">
        <f t="shared" si="18"/>
        <v>5187.2748246733199</v>
      </c>
      <c r="L22" s="597">
        <f t="shared" si="18"/>
        <v>5454.5621148185974</v>
      </c>
      <c r="M22" s="597">
        <f t="shared" si="18"/>
        <v>5711.4702844778658</v>
      </c>
      <c r="N22" s="597">
        <f t="shared" si="18"/>
        <v>5907.9678479097593</v>
      </c>
      <c r="O22" s="597">
        <f t="shared" si="18"/>
        <v>6114.1305481883255</v>
      </c>
      <c r="P22" s="597">
        <f t="shared" si="18"/>
        <v>6386.8285911499752</v>
      </c>
      <c r="Q22" s="597">
        <f t="shared" si="18"/>
        <v>6879.0379484284313</v>
      </c>
      <c r="R22" s="597">
        <f t="shared" si="18"/>
        <v>7617.4331943294092</v>
      </c>
      <c r="S22" s="597">
        <f t="shared" si="18"/>
        <v>8401.2411628994978</v>
      </c>
      <c r="T22" s="597">
        <f t="shared" si="18"/>
        <v>9391.3267900763567</v>
      </c>
      <c r="U22" s="597">
        <f t="shared" si="18"/>
        <v>10699.784345202108</v>
      </c>
      <c r="V22" s="597">
        <f t="shared" si="18"/>
        <v>11979.726144642127</v>
      </c>
      <c r="W22" s="597">
        <f t="shared" si="18"/>
        <v>12688.204817687456</v>
      </c>
      <c r="X22" s="597">
        <f t="shared" si="18"/>
        <v>12675.202415764054</v>
      </c>
      <c r="Y22" s="597">
        <f t="shared" si="18"/>
        <v>12638.481946029751</v>
      </c>
      <c r="Z22" s="597">
        <f>Z19+Z20+Z21</f>
        <v>12712.753072567491</v>
      </c>
      <c r="AA22" s="597">
        <f t="shared" si="18"/>
        <v>12984.8341092174</v>
      </c>
      <c r="AB22" s="597">
        <f t="shared" si="18"/>
        <v>13420.573700452245</v>
      </c>
      <c r="AC22" s="597">
        <f t="shared" si="18"/>
        <v>14432.495944132621</v>
      </c>
      <c r="AD22" s="597">
        <f t="shared" si="18"/>
        <v>15955.738790642325</v>
      </c>
      <c r="AE22" s="598">
        <f t="shared" si="18"/>
        <v>17469.157500833899</v>
      </c>
      <c r="AF22" s="599">
        <f>AF19+AF20+AF21</f>
        <v>18621.182576177871</v>
      </c>
      <c r="AG22" s="341"/>
      <c r="AH22" s="7"/>
      <c r="AI22" s="7"/>
      <c r="AJ22" s="7"/>
      <c r="AK22" s="10"/>
      <c r="AL22" s="10"/>
      <c r="AM22" s="10"/>
      <c r="AN22" s="10"/>
    </row>
    <row r="23" spans="1:40" ht="15">
      <c r="A23" s="1463"/>
      <c r="B23" s="210">
        <v>16</v>
      </c>
      <c r="C23" s="230" t="s">
        <v>721</v>
      </c>
      <c r="D23" s="834">
        <f>'Fin. Data'!D32</f>
        <v>-559.1</v>
      </c>
      <c r="E23" s="262">
        <f>'Fin. Data'!C32</f>
        <v>-525</v>
      </c>
      <c r="F23" s="404">
        <f>'Fin. Data'!B32</f>
        <v>-695</v>
      </c>
      <c r="G23" s="281">
        <f>-G6*$D$62</f>
        <v>-716.9184927668698</v>
      </c>
      <c r="H23" s="810">
        <f>-H6*$D$62</f>
        <v>-771.70538324266238</v>
      </c>
      <c r="I23" s="810">
        <f>-I6*$D$62</f>
        <v>-811.08209757814711</v>
      </c>
      <c r="J23" s="600">
        <f>-J6*$D$62</f>
        <v>-851.36300584362982</v>
      </c>
      <c r="K23" s="281">
        <f>-K6*$E$62</f>
        <v>-1103.9696003359938</v>
      </c>
      <c r="L23" s="280">
        <f>-L6*$E$62</f>
        <v>-1152.6636205836428</v>
      </c>
      <c r="M23" s="280">
        <f t="shared" ref="M23:AE23" si="19">-M6*$E$62</f>
        <v>-1179.3163541043916</v>
      </c>
      <c r="N23" s="280">
        <f t="shared" si="19"/>
        <v>-1206.1776597741837</v>
      </c>
      <c r="O23" s="280">
        <f t="shared" si="19"/>
        <v>-1238.1229088095388</v>
      </c>
      <c r="P23" s="280">
        <f t="shared" si="19"/>
        <v>-1310.405521444286</v>
      </c>
      <c r="Q23" s="280">
        <f t="shared" si="19"/>
        <v>-1462.0531157069183</v>
      </c>
      <c r="R23" s="280">
        <f t="shared" si="19"/>
        <v>-1613.3603777242161</v>
      </c>
      <c r="S23" s="280">
        <f t="shared" si="19"/>
        <v>-1793.1277022490374</v>
      </c>
      <c r="T23" s="280">
        <f t="shared" si="19"/>
        <v>-2063.7978888180946</v>
      </c>
      <c r="U23" s="280">
        <f t="shared" si="19"/>
        <v>-2358.0365623854414</v>
      </c>
      <c r="V23" s="280">
        <f t="shared" si="19"/>
        <v>-2548.6334503214762</v>
      </c>
      <c r="W23" s="280">
        <f t="shared" si="19"/>
        <v>-2501.2193004226192</v>
      </c>
      <c r="X23" s="280">
        <f t="shared" si="19"/>
        <v>-2441.3220929209701</v>
      </c>
      <c r="Y23" s="280">
        <f t="shared" si="19"/>
        <v>-2393.4648466593153</v>
      </c>
      <c r="Z23" s="280">
        <f t="shared" si="19"/>
        <v>-2408.9830224126349</v>
      </c>
      <c r="AA23" s="280">
        <f t="shared" si="19"/>
        <v>-2427.988693969713</v>
      </c>
      <c r="AB23" s="280">
        <f t="shared" si="19"/>
        <v>-2572.5101786849891</v>
      </c>
      <c r="AC23" s="280">
        <f t="shared" si="19"/>
        <v>-2876.2897901181896</v>
      </c>
      <c r="AD23" s="280">
        <f t="shared" si="19"/>
        <v>-3188.9551785452591</v>
      </c>
      <c r="AE23" s="280">
        <f t="shared" si="19"/>
        <v>-3447.9580142128575</v>
      </c>
      <c r="AF23" s="405">
        <f>-AF6*$E$62</f>
        <v>-3516.9171744971145</v>
      </c>
      <c r="AG23" s="342">
        <f>SUM(D23:AF23)</f>
        <v>-51735.442034132182</v>
      </c>
      <c r="AH23" s="7"/>
      <c r="AI23" s="7"/>
      <c r="AJ23" s="7"/>
      <c r="AK23" s="10"/>
      <c r="AL23" s="10"/>
      <c r="AM23" s="10"/>
      <c r="AN23" s="10"/>
    </row>
    <row r="24" spans="1:40" ht="15">
      <c r="A24" s="1463"/>
      <c r="B24" s="210">
        <v>17</v>
      </c>
      <c r="C24" s="230" t="s">
        <v>722</v>
      </c>
      <c r="D24" s="254">
        <f>'Fin. Data'!D33</f>
        <v>-1249.8000000000002</v>
      </c>
      <c r="E24" s="833">
        <f>'Fin. Data'!C33</f>
        <v>-1035.8</v>
      </c>
      <c r="F24" s="403">
        <f>'Fin. Data'!B33</f>
        <v>-731.1</v>
      </c>
      <c r="G24" s="661">
        <f>G6*$D$63</f>
        <v>0</v>
      </c>
      <c r="H24" s="280">
        <f>H6*$D$63</f>
        <v>0</v>
      </c>
      <c r="I24" s="280">
        <f>I6*$D$63</f>
        <v>0</v>
      </c>
      <c r="J24" s="799">
        <f>J6*$D$63</f>
        <v>0</v>
      </c>
      <c r="K24" s="661">
        <f>-K6*$E$63</f>
        <v>-441.58784013439748</v>
      </c>
      <c r="L24" s="280">
        <f>-L6*$E$63</f>
        <v>-461.06544823345706</v>
      </c>
      <c r="M24" s="280">
        <f t="shared" ref="M24:AE24" si="20">-M6*$E$63</f>
        <v>-471.72654164175663</v>
      </c>
      <c r="N24" s="280">
        <f t="shared" si="20"/>
        <v>-482.47106390967349</v>
      </c>
      <c r="O24" s="280">
        <f t="shared" si="20"/>
        <v>-495.24916352381553</v>
      </c>
      <c r="P24" s="280">
        <f t="shared" si="20"/>
        <v>-524.16220857771441</v>
      </c>
      <c r="Q24" s="280">
        <f t="shared" si="20"/>
        <v>-584.82124628276733</v>
      </c>
      <c r="R24" s="280">
        <f t="shared" si="20"/>
        <v>-645.34415108968642</v>
      </c>
      <c r="S24" s="280">
        <f t="shared" si="20"/>
        <v>-717.25108089961486</v>
      </c>
      <c r="T24" s="280">
        <f t="shared" si="20"/>
        <v>-825.51915552723779</v>
      </c>
      <c r="U24" s="280">
        <f t="shared" si="20"/>
        <v>-943.21462495417654</v>
      </c>
      <c r="V24" s="280">
        <f t="shared" si="20"/>
        <v>-1019.4533801285904</v>
      </c>
      <c r="W24" s="280">
        <f t="shared" si="20"/>
        <v>-1000.4877201690475</v>
      </c>
      <c r="X24" s="280">
        <f t="shared" si="20"/>
        <v>-976.52883716838801</v>
      </c>
      <c r="Y24" s="280">
        <f t="shared" si="20"/>
        <v>-957.38593866372617</v>
      </c>
      <c r="Z24" s="280">
        <f t="shared" si="20"/>
        <v>-963.59320896505392</v>
      </c>
      <c r="AA24" s="280">
        <f t="shared" si="20"/>
        <v>-971.19547758788531</v>
      </c>
      <c r="AB24" s="280">
        <f t="shared" si="20"/>
        <v>-1029.0040714739955</v>
      </c>
      <c r="AC24" s="280">
        <f t="shared" si="20"/>
        <v>-1150.5159160472756</v>
      </c>
      <c r="AD24" s="280">
        <f t="shared" si="20"/>
        <v>-1275.5820714181036</v>
      </c>
      <c r="AE24" s="280">
        <f t="shared" si="20"/>
        <v>-1379.1832056851429</v>
      </c>
      <c r="AF24" s="405">
        <f>-AF6*$E$63</f>
        <v>-1406.7668697988458</v>
      </c>
      <c r="AG24" s="341"/>
      <c r="AH24" s="343">
        <f>AG9-AG23</f>
        <v>8974.5569101851361</v>
      </c>
      <c r="AI24" s="7"/>
      <c r="AJ24" s="7"/>
      <c r="AK24" s="10"/>
      <c r="AL24" s="10"/>
      <c r="AM24" s="10"/>
      <c r="AN24" s="10"/>
    </row>
    <row r="25" spans="1:40" ht="15">
      <c r="A25" s="1463"/>
      <c r="B25" s="210">
        <v>18</v>
      </c>
      <c r="C25" s="230" t="s">
        <v>723</v>
      </c>
      <c r="D25" s="835">
        <f>Inputs!D67</f>
        <v>446.20000000000016</v>
      </c>
      <c r="E25" s="253">
        <f>Inputs!C67</f>
        <v>-472.20000000000005</v>
      </c>
      <c r="F25" s="403">
        <f>Inputs!B67</f>
        <v>-1444.9</v>
      </c>
      <c r="G25" s="281">
        <f>(1+G5)*AVERAGE(D25:F25)</f>
        <v>-500.33469553846936</v>
      </c>
      <c r="H25" s="606">
        <f t="shared" ref="H25:AF25" si="21">(1+H5)*AVERAGE(E25:G25)</f>
        <v>-867.39166167725432</v>
      </c>
      <c r="I25" s="606">
        <f t="shared" si="21"/>
        <v>-985.38074894520867</v>
      </c>
      <c r="J25" s="600">
        <f>(1+J5)*AVERAGE(G25:I25)</f>
        <v>-823.32328829805704</v>
      </c>
      <c r="K25" s="281">
        <f t="shared" si="21"/>
        <v>-925.3642387309402</v>
      </c>
      <c r="L25" s="280">
        <f t="shared" si="21"/>
        <v>-951.55429308565419</v>
      </c>
      <c r="M25" s="280">
        <f t="shared" si="21"/>
        <v>-920.89293055141263</v>
      </c>
      <c r="N25" s="280">
        <f t="shared" si="21"/>
        <v>-953.84575151628019</v>
      </c>
      <c r="O25" s="280">
        <f t="shared" si="21"/>
        <v>-967.04882877700175</v>
      </c>
      <c r="P25" s="280">
        <f t="shared" si="21"/>
        <v>-1002.5644515273647</v>
      </c>
      <c r="Q25" s="280">
        <f t="shared" si="21"/>
        <v>-1087.259456752992</v>
      </c>
      <c r="R25" s="280">
        <f t="shared" si="21"/>
        <v>-1124.4090703068432</v>
      </c>
      <c r="S25" s="280">
        <f t="shared" si="21"/>
        <v>-1190.7920625308157</v>
      </c>
      <c r="T25" s="280">
        <f t="shared" si="21"/>
        <v>-1305.3524618420645</v>
      </c>
      <c r="U25" s="280">
        <f t="shared" si="21"/>
        <v>-1378.9137328785082</v>
      </c>
      <c r="V25" s="280">
        <f t="shared" si="21"/>
        <v>-1396.0913151101227</v>
      </c>
      <c r="W25" s="280">
        <f t="shared" si="21"/>
        <v>-1334.8158474136505</v>
      </c>
      <c r="X25" s="280">
        <f t="shared" si="21"/>
        <v>-1337.1340594030196</v>
      </c>
      <c r="Y25" s="280">
        <f t="shared" si="21"/>
        <v>-1329.4317981332119</v>
      </c>
      <c r="Z25" s="280">
        <f t="shared" si="21"/>
        <v>-1342.4416360060341</v>
      </c>
      <c r="AA25" s="280">
        <f t="shared" si="21"/>
        <v>-1346.8788527218285</v>
      </c>
      <c r="AB25" s="280">
        <f t="shared" si="21"/>
        <v>-1419.3203328116006</v>
      </c>
      <c r="AC25" s="280">
        <f t="shared" si="21"/>
        <v>-1531.2724181714334</v>
      </c>
      <c r="AD25" s="280">
        <f t="shared" si="21"/>
        <v>-1588.208574853265</v>
      </c>
      <c r="AE25" s="600">
        <f t="shared" si="21"/>
        <v>-1635.8123094804423</v>
      </c>
      <c r="AF25" s="405">
        <f t="shared" si="21"/>
        <v>-1616.7997228517479</v>
      </c>
      <c r="AG25" s="265"/>
      <c r="AH25" s="7"/>
      <c r="AI25" s="7"/>
      <c r="AJ25" s="7"/>
      <c r="AK25" s="10"/>
      <c r="AL25" s="10"/>
      <c r="AM25" s="10"/>
      <c r="AN25" s="10"/>
    </row>
    <row r="26" spans="1:40" ht="15">
      <c r="A26" s="1463"/>
      <c r="B26" s="210">
        <v>19</v>
      </c>
      <c r="C26" s="239" t="s">
        <v>724</v>
      </c>
      <c r="D26" s="601">
        <f t="shared" ref="D26:AF26" si="22">D23+D24+D25</f>
        <v>-1362.6999999999998</v>
      </c>
      <c r="E26" s="602">
        <f t="shared" si="22"/>
        <v>-2033</v>
      </c>
      <c r="F26" s="604">
        <f t="shared" si="22"/>
        <v>-2871</v>
      </c>
      <c r="G26" s="601">
        <f>G23+G24+G25</f>
        <v>-1217.2531883053391</v>
      </c>
      <c r="H26" s="602">
        <f t="shared" si="22"/>
        <v>-1639.0970449199167</v>
      </c>
      <c r="I26" s="602">
        <f t="shared" si="22"/>
        <v>-1796.4628465233559</v>
      </c>
      <c r="J26" s="314">
        <f t="shared" si="22"/>
        <v>-1674.6862941416869</v>
      </c>
      <c r="K26" s="601">
        <f t="shared" si="22"/>
        <v>-2470.9216792013317</v>
      </c>
      <c r="L26" s="602">
        <f t="shared" si="22"/>
        <v>-2565.2833619027542</v>
      </c>
      <c r="M26" s="602">
        <f t="shared" si="22"/>
        <v>-2571.9358262975607</v>
      </c>
      <c r="N26" s="602">
        <f t="shared" si="22"/>
        <v>-2642.4944752001375</v>
      </c>
      <c r="O26" s="602">
        <f t="shared" si="22"/>
        <v>-2700.4209011103558</v>
      </c>
      <c r="P26" s="602">
        <f t="shared" si="22"/>
        <v>-2837.1321815493652</v>
      </c>
      <c r="Q26" s="602">
        <f t="shared" si="22"/>
        <v>-3134.1338187426777</v>
      </c>
      <c r="R26" s="602">
        <f t="shared" si="22"/>
        <v>-3383.1135991207457</v>
      </c>
      <c r="S26" s="602">
        <f t="shared" si="22"/>
        <v>-3701.1708456794681</v>
      </c>
      <c r="T26" s="602">
        <f t="shared" si="22"/>
        <v>-4194.669506187397</v>
      </c>
      <c r="U26" s="602">
        <f t="shared" si="22"/>
        <v>-4680.1649202181261</v>
      </c>
      <c r="V26" s="602">
        <f t="shared" si="22"/>
        <v>-4964.1781455601886</v>
      </c>
      <c r="W26" s="602">
        <f t="shared" si="22"/>
        <v>-4836.5228680053169</v>
      </c>
      <c r="X26" s="602">
        <f t="shared" si="22"/>
        <v>-4754.9849894923782</v>
      </c>
      <c r="Y26" s="602">
        <f t="shared" si="22"/>
        <v>-4680.2825834562536</v>
      </c>
      <c r="Z26" s="602">
        <f t="shared" si="22"/>
        <v>-4715.0178673837227</v>
      </c>
      <c r="AA26" s="602">
        <f t="shared" si="22"/>
        <v>-4746.0630242794268</v>
      </c>
      <c r="AB26" s="602">
        <f t="shared" si="22"/>
        <v>-5020.834582970585</v>
      </c>
      <c r="AC26" s="602">
        <f t="shared" si="22"/>
        <v>-5558.0781243368983</v>
      </c>
      <c r="AD26" s="602">
        <f t="shared" si="22"/>
        <v>-6052.7458248166276</v>
      </c>
      <c r="AE26" s="603">
        <f t="shared" si="22"/>
        <v>-6462.9535293784429</v>
      </c>
      <c r="AF26" s="604">
        <f t="shared" si="22"/>
        <v>-6540.483767147708</v>
      </c>
      <c r="AG26" s="341"/>
      <c r="AH26" s="7"/>
      <c r="AI26" s="7"/>
      <c r="AJ26" s="7"/>
      <c r="AK26" s="10"/>
      <c r="AL26" s="10"/>
      <c r="AM26" s="10"/>
      <c r="AN26" s="10"/>
    </row>
    <row r="27" spans="1:40" ht="15">
      <c r="A27" s="1463"/>
      <c r="B27" s="210">
        <v>20</v>
      </c>
      <c r="C27" s="230" t="s">
        <v>725</v>
      </c>
      <c r="D27" s="254">
        <f>Inputs!D71+Inputs!D72</f>
        <v>0</v>
      </c>
      <c r="E27" s="253">
        <f>Inputs!C71+Inputs!C72</f>
        <v>0</v>
      </c>
      <c r="F27" s="403">
        <f>Inputs!B71+Inputs!B72</f>
        <v>0</v>
      </c>
      <c r="G27" s="903">
        <f>-G6*$D$66</f>
        <v>0</v>
      </c>
      <c r="H27" s="903">
        <f>-H6*$D$66</f>
        <v>0</v>
      </c>
      <c r="I27" s="912">
        <f>-I6*$D$66</f>
        <v>0</v>
      </c>
      <c r="J27" s="913">
        <f>-J6*$D$66</f>
        <v>0</v>
      </c>
      <c r="K27" s="911">
        <f t="shared" ref="K27:AF27" si="23">-K6*$E$66</f>
        <v>-82.791686652806177</v>
      </c>
      <c r="L27" s="903">
        <f t="shared" si="23"/>
        <v>-86.44347205068469</v>
      </c>
      <c r="M27" s="903">
        <f t="shared" si="23"/>
        <v>-88.442281403242035</v>
      </c>
      <c r="N27" s="903">
        <f t="shared" si="23"/>
        <v>-90.456732527097103</v>
      </c>
      <c r="O27" s="903">
        <f t="shared" si="23"/>
        <v>-92.852451618796763</v>
      </c>
      <c r="P27" s="903">
        <f t="shared" si="23"/>
        <v>-98.273252530235638</v>
      </c>
      <c r="Q27" s="903">
        <f t="shared" si="23"/>
        <v>-109.64599332130685</v>
      </c>
      <c r="R27" s="903">
        <f t="shared" si="23"/>
        <v>-120.99321105394873</v>
      </c>
      <c r="S27" s="903">
        <f t="shared" si="23"/>
        <v>-134.47477793581086</v>
      </c>
      <c r="T27" s="903">
        <f t="shared" si="23"/>
        <v>-154.77356267214935</v>
      </c>
      <c r="U27" s="903">
        <f t="shared" si="23"/>
        <v>-176.83985512776678</v>
      </c>
      <c r="V27" s="903">
        <f t="shared" si="23"/>
        <v>-191.13358008015459</v>
      </c>
      <c r="W27" s="903">
        <f t="shared" si="23"/>
        <v>-187.57777796373705</v>
      </c>
      <c r="X27" s="903">
        <f t="shared" si="23"/>
        <v>-183.0858147490386</v>
      </c>
      <c r="Y27" s="903">
        <f t="shared" si="23"/>
        <v>-179.49678282700452</v>
      </c>
      <c r="Z27" s="903">
        <f t="shared" si="23"/>
        <v>-180.66056119916348</v>
      </c>
      <c r="AA27" s="903">
        <f t="shared" si="23"/>
        <v>-182.08588269687581</v>
      </c>
      <c r="AB27" s="903">
        <f t="shared" si="23"/>
        <v>-192.92420421723634</v>
      </c>
      <c r="AC27" s="903">
        <f t="shared" si="23"/>
        <v>-215.70601487002443</v>
      </c>
      <c r="AD27" s="903">
        <f t="shared" si="23"/>
        <v>-239.15421023514449</v>
      </c>
      <c r="AE27" s="330">
        <f t="shared" si="23"/>
        <v>-258.57800741783302</v>
      </c>
      <c r="AF27" s="913">
        <f t="shared" si="23"/>
        <v>-263.74956756618968</v>
      </c>
      <c r="AG27" s="341"/>
      <c r="AH27" s="7"/>
      <c r="AI27" s="7"/>
      <c r="AJ27" s="7"/>
      <c r="AK27" s="10"/>
      <c r="AL27" s="10"/>
      <c r="AM27" s="10"/>
      <c r="AN27" s="10"/>
    </row>
    <row r="28" spans="1:40" ht="15">
      <c r="A28" s="1463"/>
      <c r="B28" s="210">
        <v>21</v>
      </c>
      <c r="C28" s="230" t="s">
        <v>726</v>
      </c>
      <c r="D28" s="254">
        <f>+SUM(Inputs!D69:D70)</f>
        <v>-210.90000000000009</v>
      </c>
      <c r="E28" s="253">
        <f>+SUM(Inputs!C69:C70)</f>
        <v>1275.9999999999995</v>
      </c>
      <c r="F28" s="403">
        <f>+SUM(Inputs!B69:B70)</f>
        <v>2572.8000000000002</v>
      </c>
      <c r="G28" s="281">
        <f>G44-F44</f>
        <v>1812.7557020460099</v>
      </c>
      <c r="H28" s="280">
        <f t="shared" ref="H28:AF28" si="24">H44-G44</f>
        <v>539.70126794306452</v>
      </c>
      <c r="I28" s="280">
        <f t="shared" si="24"/>
        <v>-266.00970311494893</v>
      </c>
      <c r="J28" s="600">
        <f>J44-I44</f>
        <v>-324.90478788194014</v>
      </c>
      <c r="K28" s="281">
        <f>K44-J44</f>
        <v>-659.72878009594024</v>
      </c>
      <c r="L28" s="280">
        <f t="shared" si="24"/>
        <v>496.56248985649836</v>
      </c>
      <c r="M28" s="280">
        <f t="shared" si="24"/>
        <v>213.60918456304535</v>
      </c>
      <c r="N28" s="280">
        <f t="shared" si="24"/>
        <v>208.48353326353936</v>
      </c>
      <c r="O28" s="280">
        <f t="shared" si="24"/>
        <v>261.05636490686084</v>
      </c>
      <c r="P28" s="280">
        <f t="shared" si="24"/>
        <v>721.74282872688491</v>
      </c>
      <c r="Q28" s="280">
        <f t="shared" si="24"/>
        <v>1611.6971887522595</v>
      </c>
      <c r="R28" s="280">
        <f t="shared" si="24"/>
        <v>1569.1755934761277</v>
      </c>
      <c r="S28" s="280">
        <f t="shared" si="24"/>
        <v>1846.7469278210847</v>
      </c>
      <c r="T28" s="280">
        <f t="shared" si="24"/>
        <v>2794.3313101973072</v>
      </c>
      <c r="U28" s="280">
        <f t="shared" si="24"/>
        <v>2981.7430164369907</v>
      </c>
      <c r="V28" s="280">
        <f t="shared" si="24"/>
        <v>1816.0755164121147</v>
      </c>
      <c r="W28" s="280">
        <f t="shared" si="24"/>
        <v>-704.41541235853219</v>
      </c>
      <c r="X28" s="280">
        <f t="shared" si="24"/>
        <v>-822.14376521951999</v>
      </c>
      <c r="Y28" s="280">
        <f t="shared" si="24"/>
        <v>-688.11082204214472</v>
      </c>
      <c r="Z28" s="280">
        <f t="shared" si="24"/>
        <v>-50.022745709382434</v>
      </c>
      <c r="AA28" s="280">
        <f t="shared" si="24"/>
        <v>-19.925579984603246</v>
      </c>
      <c r="AB28" s="280">
        <f t="shared" si="24"/>
        <v>1180.1282482580282</v>
      </c>
      <c r="AC28" s="280">
        <f t="shared" si="24"/>
        <v>2653.22150220392</v>
      </c>
      <c r="AD28" s="280">
        <f t="shared" si="24"/>
        <v>2672.1217152763784</v>
      </c>
      <c r="AE28" s="600">
        <f t="shared" si="24"/>
        <v>2116.7417858227709</v>
      </c>
      <c r="AF28" s="405">
        <f t="shared" si="24"/>
        <v>353.49868779053941</v>
      </c>
      <c r="AG28" s="341"/>
      <c r="AH28" s="7"/>
      <c r="AI28" s="7"/>
      <c r="AJ28" s="7"/>
      <c r="AK28" s="10"/>
      <c r="AL28" s="10"/>
      <c r="AM28" s="10"/>
      <c r="AN28" s="10"/>
    </row>
    <row r="29" spans="1:40" ht="15">
      <c r="A29" s="1463"/>
      <c r="B29" s="210">
        <v>22</v>
      </c>
      <c r="C29" s="230" t="s">
        <v>727</v>
      </c>
      <c r="D29" s="263">
        <f>'Fin. Data'!D28</f>
        <v>-1.5</v>
      </c>
      <c r="E29" s="253">
        <f>'Fin. Data'!C28</f>
        <v>-2.1</v>
      </c>
      <c r="F29" s="404">
        <f>'Fin. Data'!B28</f>
        <v>-3.5</v>
      </c>
      <c r="G29" s="281">
        <f>-G17*$D$65</f>
        <v>0</v>
      </c>
      <c r="H29" s="280">
        <f>-H17*$D$65</f>
        <v>0</v>
      </c>
      <c r="I29" s="280">
        <f>-I17*$D$65</f>
        <v>0</v>
      </c>
      <c r="J29" s="811">
        <f>-J17*$D$65</f>
        <v>0</v>
      </c>
      <c r="K29" s="281">
        <f t="shared" ref="K29:AF29" si="25">-K17*$E$65</f>
        <v>-75.026096411014677</v>
      </c>
      <c r="L29" s="280">
        <f t="shared" si="25"/>
        <v>-78.741254904631674</v>
      </c>
      <c r="M29" s="280">
        <f t="shared" si="25"/>
        <v>-80.638959490161753</v>
      </c>
      <c r="N29" s="280">
        <f t="shared" si="25"/>
        <v>-82.685316089153659</v>
      </c>
      <c r="O29" s="280">
        <f t="shared" si="25"/>
        <v>-85.114221372767517</v>
      </c>
      <c r="P29" s="280">
        <f t="shared" si="25"/>
        <v>-90.41221903570748</v>
      </c>
      <c r="Q29" s="280">
        <f t="shared" si="25"/>
        <v>-101.20916111237598</v>
      </c>
      <c r="R29" s="280">
        <f t="shared" si="25"/>
        <v>-111.71583526584624</v>
      </c>
      <c r="S29" s="280">
        <f t="shared" si="25"/>
        <v>-124.30058152384584</v>
      </c>
      <c r="T29" s="280">
        <f t="shared" si="25"/>
        <v>-143.27781157618585</v>
      </c>
      <c r="U29" s="280">
        <f t="shared" si="25"/>
        <v>-163.65690318450743</v>
      </c>
      <c r="V29" s="280">
        <f t="shared" si="25"/>
        <v>-176.7076703787761</v>
      </c>
      <c r="W29" s="280">
        <f t="shared" si="25"/>
        <v>-173.38059014858138</v>
      </c>
      <c r="X29" s="280">
        <f t="shared" si="25"/>
        <v>-170.10278623713859</v>
      </c>
      <c r="Y29" s="280">
        <f t="shared" si="25"/>
        <v>-167.76836909175691</v>
      </c>
      <c r="Z29" s="280">
        <f t="shared" si="25"/>
        <v>-169.93130991568032</v>
      </c>
      <c r="AA29" s="280">
        <f t="shared" si="25"/>
        <v>-172.17897143684422</v>
      </c>
      <c r="AB29" s="280">
        <f t="shared" si="25"/>
        <v>-183.36879848456636</v>
      </c>
      <c r="AC29" s="280">
        <f t="shared" si="25"/>
        <v>-205.48150664642264</v>
      </c>
      <c r="AD29" s="280">
        <f t="shared" si="25"/>
        <v>-227.78728690746595</v>
      </c>
      <c r="AE29" s="600">
        <f t="shared" si="25"/>
        <v>-246.39500297921367</v>
      </c>
      <c r="AF29" s="405">
        <f t="shared" si="25"/>
        <v>-251.85135429780016</v>
      </c>
      <c r="AG29" s="341"/>
      <c r="AH29" s="7"/>
      <c r="AI29" s="7"/>
      <c r="AJ29" s="7"/>
      <c r="AK29" s="10"/>
      <c r="AL29" s="10"/>
      <c r="AM29" s="10"/>
      <c r="AN29" s="10"/>
    </row>
    <row r="30" spans="1:40" s="7" customFormat="1" ht="15">
      <c r="A30" s="1463"/>
      <c r="B30" s="210">
        <v>23</v>
      </c>
      <c r="C30" s="230" t="s">
        <v>728</v>
      </c>
      <c r="D30" s="254">
        <f>'Fin. Data'!D27</f>
        <v>-708</v>
      </c>
      <c r="E30" s="253">
        <f>'Fin. Data'!C27</f>
        <v>-1004.7</v>
      </c>
      <c r="F30" s="403">
        <f>'Fin. Data'!B27</f>
        <v>-1518.6</v>
      </c>
      <c r="G30" s="281">
        <f>-$D$64*G17</f>
        <v>-1710.4608794082446</v>
      </c>
      <c r="H30" s="280">
        <f>-$D$64*H17</f>
        <v>-1819.4414522292864</v>
      </c>
      <c r="I30" s="600">
        <f t="shared" ref="I30" si="26">-$D$64*I17</f>
        <v>-1827.1736371117579</v>
      </c>
      <c r="J30" s="405">
        <f>-$D$64*J17</f>
        <v>-1828.0331193229529</v>
      </c>
      <c r="K30" s="799">
        <f>-$E$64*K17</f>
        <v>-2299.3929150398626</v>
      </c>
      <c r="L30" s="280">
        <f t="shared" ref="L30:AE30" si="27">-$E$64*L17</f>
        <v>-2413.2547514824009</v>
      </c>
      <c r="M30" s="280">
        <f t="shared" si="27"/>
        <v>-2471.4154274011062</v>
      </c>
      <c r="N30" s="280">
        <f t="shared" si="27"/>
        <v>-2534.1319765814023</v>
      </c>
      <c r="O30" s="280">
        <f t="shared" si="27"/>
        <v>-2608.5728427281397</v>
      </c>
      <c r="P30" s="280">
        <f t="shared" si="27"/>
        <v>-2770.9453887196628</v>
      </c>
      <c r="Q30" s="280">
        <f t="shared" si="27"/>
        <v>-3101.8490782729755</v>
      </c>
      <c r="R30" s="280">
        <f t="shared" si="27"/>
        <v>-3423.8566631641329</v>
      </c>
      <c r="S30" s="280">
        <f t="shared" si="27"/>
        <v>-3809.5528111376584</v>
      </c>
      <c r="T30" s="280">
        <f t="shared" si="27"/>
        <v>-4391.1652155786542</v>
      </c>
      <c r="U30" s="280">
        <f t="shared" si="27"/>
        <v>-5015.7417442895821</v>
      </c>
      <c r="V30" s="280">
        <f t="shared" si="27"/>
        <v>-5415.7204591348655</v>
      </c>
      <c r="W30" s="280">
        <f t="shared" si="27"/>
        <v>-5313.752409682198</v>
      </c>
      <c r="X30" s="280">
        <f t="shared" si="27"/>
        <v>-5213.2945763228317</v>
      </c>
      <c r="Y30" s="280">
        <f t="shared" si="27"/>
        <v>-5141.7495739621572</v>
      </c>
      <c r="Z30" s="280">
        <f t="shared" si="27"/>
        <v>-5208.0391857651493</v>
      </c>
      <c r="AA30" s="280">
        <f t="shared" si="27"/>
        <v>-5276.9253097193905</v>
      </c>
      <c r="AB30" s="280">
        <f t="shared" si="27"/>
        <v>-5619.8701017967805</v>
      </c>
      <c r="AC30" s="280">
        <f t="shared" si="27"/>
        <v>-6297.5783514859086</v>
      </c>
      <c r="AD30" s="280">
        <f t="shared" si="27"/>
        <v>-6981.2038571459507</v>
      </c>
      <c r="AE30" s="600">
        <f t="shared" si="27"/>
        <v>-7551.491431032955</v>
      </c>
      <c r="AF30" s="405">
        <f>-$E$64*AF17</f>
        <v>-7718.7171853250884</v>
      </c>
      <c r="AG30" s="341"/>
      <c r="AK30" s="10"/>
      <c r="AL30" s="10"/>
      <c r="AM30" s="10"/>
      <c r="AN30" s="10"/>
    </row>
    <row r="31" spans="1:40" s="3" customFormat="1" ht="15">
      <c r="A31" s="1463"/>
      <c r="B31" s="210">
        <v>24</v>
      </c>
      <c r="C31" s="230" t="s">
        <v>729</v>
      </c>
      <c r="D31" s="281">
        <f>Inputs!D75</f>
        <v>37.5</v>
      </c>
      <c r="E31" s="280">
        <f>Inputs!C75</f>
        <v>35.700000000000593</v>
      </c>
      <c r="F31" s="405">
        <f>Inputs!B75</f>
        <v>51.499999999999545</v>
      </c>
      <c r="G31" s="281">
        <f t="shared" ref="G31:AF31" si="28">(1+G5)*AVERAGE(D31:F31)</f>
        <v>42.417388356548507</v>
      </c>
      <c r="H31" s="280">
        <f t="shared" si="28"/>
        <v>46.507581808248112</v>
      </c>
      <c r="I31" s="280">
        <f t="shared" si="28"/>
        <v>49.196745211679229</v>
      </c>
      <c r="J31" s="812">
        <f>(1+J5)*AVERAGE(G31:I31)</f>
        <v>48.327092545591498</v>
      </c>
      <c r="K31" s="605">
        <f t="shared" si="28"/>
        <v>49.80446886609694</v>
      </c>
      <c r="L31" s="606">
        <f t="shared" si="28"/>
        <v>51.275560267620669</v>
      </c>
      <c r="M31" s="606">
        <f t="shared" si="28"/>
        <v>50.953940903955235</v>
      </c>
      <c r="N31" s="606">
        <f t="shared" si="28"/>
        <v>51.832283324712833</v>
      </c>
      <c r="O31" s="606">
        <f t="shared" si="28"/>
        <v>52.714021358082071</v>
      </c>
      <c r="P31" s="606">
        <f t="shared" si="28"/>
        <v>54.859491722768226</v>
      </c>
      <c r="Q31" s="606">
        <f t="shared" si="28"/>
        <v>59.284381178844413</v>
      </c>
      <c r="R31" s="606">
        <f t="shared" si="28"/>
        <v>61.375315852535749</v>
      </c>
      <c r="S31" s="606">
        <f t="shared" si="28"/>
        <v>65.025422295976767</v>
      </c>
      <c r="T31" s="606">
        <f t="shared" si="28"/>
        <v>71.23801180326501</v>
      </c>
      <c r="U31" s="606">
        <f t="shared" si="28"/>
        <v>75.272131548588646</v>
      </c>
      <c r="V31" s="606">
        <f t="shared" si="28"/>
        <v>76.211232562815283</v>
      </c>
      <c r="W31" s="606">
        <f t="shared" si="28"/>
        <v>72.859307404416256</v>
      </c>
      <c r="X31" s="606">
        <f t="shared" si="28"/>
        <v>72.990097304934821</v>
      </c>
      <c r="Y31" s="606">
        <f t="shared" si="28"/>
        <v>72.569193918717772</v>
      </c>
      <c r="Z31" s="606">
        <f t="shared" si="28"/>
        <v>73.278242991337564</v>
      </c>
      <c r="AA31" s="606">
        <f t="shared" si="28"/>
        <v>73.521350980446215</v>
      </c>
      <c r="AB31" s="606">
        <f t="shared" si="28"/>
        <v>77.475434864489657</v>
      </c>
      <c r="AC31" s="606">
        <f t="shared" si="28"/>
        <v>83.586319821675332</v>
      </c>
      <c r="AD31" s="606">
        <f t="shared" si="28"/>
        <v>86.694441358083779</v>
      </c>
      <c r="AE31" s="812">
        <f t="shared" si="28"/>
        <v>89.29287848142512</v>
      </c>
      <c r="AF31" s="607">
        <f t="shared" si="28"/>
        <v>88.255037484802656</v>
      </c>
      <c r="AG31" s="341"/>
      <c r="AH31" s="358"/>
      <c r="AI31" s="358"/>
      <c r="AJ31" s="358"/>
      <c r="AK31" s="356"/>
      <c r="AL31" s="356"/>
      <c r="AM31" s="356"/>
      <c r="AN31" s="356"/>
    </row>
    <row r="32" spans="1:40" s="7" customFormat="1" ht="16.5" customHeight="1" thickBot="1">
      <c r="A32" s="1463"/>
      <c r="B32" s="211">
        <v>25</v>
      </c>
      <c r="C32" s="240" t="s">
        <v>730</v>
      </c>
      <c r="D32" s="312">
        <f t="shared" ref="D32:AF32" si="29">D27+D28+D29+D30+D31</f>
        <v>-882.90000000000009</v>
      </c>
      <c r="E32" s="313">
        <f t="shared" si="29"/>
        <v>304.9000000000002</v>
      </c>
      <c r="F32" s="406">
        <f>F27+F28+F29+F30+F31</f>
        <v>1102.1999999999998</v>
      </c>
      <c r="G32" s="312">
        <f>G27+G28+G29+G30+G31</f>
        <v>144.71221099431378</v>
      </c>
      <c r="H32" s="313">
        <f t="shared" si="29"/>
        <v>-1233.2326024779738</v>
      </c>
      <c r="I32" s="313">
        <f t="shared" si="29"/>
        <v>-2043.9865950150274</v>
      </c>
      <c r="J32" s="314">
        <f t="shared" si="29"/>
        <v>-2104.6108146593019</v>
      </c>
      <c r="K32" s="312">
        <f t="shared" si="29"/>
        <v>-3067.1350093335268</v>
      </c>
      <c r="L32" s="313">
        <f t="shared" si="29"/>
        <v>-2030.6014283135983</v>
      </c>
      <c r="M32" s="313">
        <f t="shared" si="29"/>
        <v>-2375.9335428275094</v>
      </c>
      <c r="N32" s="313">
        <f t="shared" si="29"/>
        <v>-2446.9582086094006</v>
      </c>
      <c r="O32" s="313">
        <f t="shared" si="29"/>
        <v>-2472.7691294547612</v>
      </c>
      <c r="P32" s="313">
        <f t="shared" si="29"/>
        <v>-2183.0285398359529</v>
      </c>
      <c r="Q32" s="313">
        <f t="shared" si="29"/>
        <v>-1641.7226627755545</v>
      </c>
      <c r="R32" s="313">
        <f t="shared" si="29"/>
        <v>-2026.0148001552645</v>
      </c>
      <c r="S32" s="313">
        <f t="shared" si="29"/>
        <v>-2156.5558204802537</v>
      </c>
      <c r="T32" s="313">
        <f t="shared" si="29"/>
        <v>-1823.647267826417</v>
      </c>
      <c r="U32" s="313">
        <f t="shared" si="29"/>
        <v>-2299.223354616277</v>
      </c>
      <c r="V32" s="313">
        <f t="shared" si="29"/>
        <v>-3891.2749606188659</v>
      </c>
      <c r="W32" s="313">
        <f t="shared" si="29"/>
        <v>-6306.2668827486323</v>
      </c>
      <c r="X32" s="313">
        <f t="shared" si="29"/>
        <v>-6315.6368452235938</v>
      </c>
      <c r="Y32" s="313">
        <f t="shared" si="29"/>
        <v>-6104.5563540043449</v>
      </c>
      <c r="Z32" s="313">
        <f t="shared" si="29"/>
        <v>-5535.3755595980374</v>
      </c>
      <c r="AA32" s="313">
        <f t="shared" si="29"/>
        <v>-5577.5943928572678</v>
      </c>
      <c r="AB32" s="313">
        <f t="shared" si="29"/>
        <v>-4738.559421376066</v>
      </c>
      <c r="AC32" s="313">
        <f t="shared" si="29"/>
        <v>-3981.9580509767602</v>
      </c>
      <c r="AD32" s="313">
        <f t="shared" si="29"/>
        <v>-4689.3291976540986</v>
      </c>
      <c r="AE32" s="313">
        <f t="shared" si="29"/>
        <v>-5850.4297771258061</v>
      </c>
      <c r="AF32" s="832">
        <f t="shared" si="29"/>
        <v>-7792.5643819137367</v>
      </c>
      <c r="AG32" s="341"/>
      <c r="AK32" s="10"/>
      <c r="AL32" s="10"/>
      <c r="AM32" s="10"/>
      <c r="AN32" s="10"/>
    </row>
    <row r="33" spans="1:40" ht="13.5" thickBot="1">
      <c r="A33" s="1453"/>
      <c r="B33" s="1454"/>
      <c r="C33" s="1454"/>
      <c r="D33" s="1454"/>
      <c r="E33" s="1454"/>
      <c r="F33" s="1454"/>
      <c r="G33" s="1454"/>
      <c r="H33" s="1454"/>
      <c r="I33" s="1454"/>
      <c r="J33" s="1454"/>
      <c r="K33" s="1454"/>
      <c r="L33" s="1454"/>
      <c r="M33" s="1454"/>
      <c r="N33" s="1454"/>
      <c r="O33" s="1454"/>
      <c r="P33" s="1454"/>
      <c r="Q33" s="1454"/>
      <c r="R33" s="1454"/>
      <c r="S33" s="1454"/>
      <c r="T33" s="1454"/>
      <c r="U33" s="1454"/>
      <c r="V33" s="1454"/>
      <c r="W33" s="1454"/>
      <c r="X33" s="1454"/>
      <c r="Y33" s="1454"/>
      <c r="Z33" s="1454"/>
      <c r="AA33" s="1454"/>
      <c r="AB33" s="1454"/>
      <c r="AC33" s="1454"/>
      <c r="AD33" s="1454"/>
      <c r="AE33" s="1454"/>
      <c r="AF33" s="1455"/>
      <c r="AG33" s="7"/>
      <c r="AH33" s="7"/>
      <c r="AI33" s="7"/>
      <c r="AJ33" s="7"/>
      <c r="AK33" s="10"/>
      <c r="AL33" s="10"/>
      <c r="AM33" s="10"/>
      <c r="AN33" s="10"/>
    </row>
    <row r="34" spans="1:40" ht="15">
      <c r="A34" s="1473" t="s">
        <v>731</v>
      </c>
      <c r="B34" s="210">
        <v>26</v>
      </c>
      <c r="C34" s="214" t="s">
        <v>732</v>
      </c>
      <c r="D34" s="625">
        <f>D22+D26+D27+D28+D31</f>
        <v>635.59999999999991</v>
      </c>
      <c r="E34" s="939">
        <f t="shared" ref="E34:AE34" si="30">E22+E26+E27+E28+E31</f>
        <v>2288.7000000000003</v>
      </c>
      <c r="F34" s="609">
        <f>F22+F26+F27+F28+F31</f>
        <v>3922.2999999999997</v>
      </c>
      <c r="G34" s="608">
        <f>G22+G26+G27+G28+G31</f>
        <v>6002.1708377185314</v>
      </c>
      <c r="H34" s="609">
        <f t="shared" si="30"/>
        <v>4468.7232633588337</v>
      </c>
      <c r="I34" s="609">
        <f t="shared" si="30"/>
        <v>3657.955224420959</v>
      </c>
      <c r="J34" s="610">
        <f>J22+J26+J27+J28+J31</f>
        <v>3770.8729517587376</v>
      </c>
      <c r="K34" s="609">
        <f>K22+K26+K27+K28+K31</f>
        <v>2023.6371475893386</v>
      </c>
      <c r="L34" s="609">
        <f t="shared" si="30"/>
        <v>3350.6733309892775</v>
      </c>
      <c r="M34" s="609">
        <f t="shared" si="30"/>
        <v>3315.6553022440639</v>
      </c>
      <c r="N34" s="609">
        <f t="shared" si="30"/>
        <v>3435.3324567707768</v>
      </c>
      <c r="O34" s="609">
        <f t="shared" si="30"/>
        <v>3634.6275817241158</v>
      </c>
      <c r="P34" s="609">
        <f t="shared" si="30"/>
        <v>4228.0254775200274</v>
      </c>
      <c r="Q34" s="609">
        <f t="shared" si="30"/>
        <v>5306.2397062955506</v>
      </c>
      <c r="R34" s="609">
        <f t="shared" si="30"/>
        <v>5743.8772934833787</v>
      </c>
      <c r="S34" s="609">
        <f t="shared" si="30"/>
        <v>6477.3678894012801</v>
      </c>
      <c r="T34" s="609">
        <f t="shared" si="30"/>
        <v>7907.4530432173824</v>
      </c>
      <c r="U34" s="609">
        <f t="shared" si="30"/>
        <v>8899.7947178417944</v>
      </c>
      <c r="V34" s="609">
        <f t="shared" si="30"/>
        <v>8716.7011679767129</v>
      </c>
      <c r="W34" s="609">
        <f t="shared" si="30"/>
        <v>7032.548066764286</v>
      </c>
      <c r="X34" s="609">
        <f t="shared" si="30"/>
        <v>6987.9779436080516</v>
      </c>
      <c r="Y34" s="609">
        <f t="shared" si="30"/>
        <v>7163.1609516230665</v>
      </c>
      <c r="Z34" s="609">
        <f t="shared" si="30"/>
        <v>7840.3301412665605</v>
      </c>
      <c r="AA34" s="609">
        <f t="shared" si="30"/>
        <v>8110.2809732369396</v>
      </c>
      <c r="AB34" s="609">
        <f t="shared" si="30"/>
        <v>9464.4185963869422</v>
      </c>
      <c r="AC34" s="609">
        <f t="shared" si="30"/>
        <v>11395.519626951294</v>
      </c>
      <c r="AD34" s="609">
        <f t="shared" si="30"/>
        <v>12422.654912225014</v>
      </c>
      <c r="AE34" s="609">
        <f t="shared" si="30"/>
        <v>12953.660628341819</v>
      </c>
      <c r="AF34" s="610">
        <f>AF22+AF26+AF27+AF28+AF31</f>
        <v>12258.702966739316</v>
      </c>
      <c r="AG34" s="341"/>
      <c r="AH34" s="7"/>
      <c r="AI34" s="7"/>
      <c r="AJ34" s="7"/>
      <c r="AK34" s="10"/>
      <c r="AL34" s="10"/>
      <c r="AM34" s="10"/>
      <c r="AN34" s="10"/>
    </row>
    <row r="35" spans="1:40" s="3" customFormat="1" ht="15">
      <c r="A35" s="1473"/>
      <c r="B35" s="210">
        <v>27</v>
      </c>
      <c r="C35" s="214" t="s">
        <v>733</v>
      </c>
      <c r="D35" s="276">
        <f>-1*(D29+D30)</f>
        <v>709.5</v>
      </c>
      <c r="E35" s="814">
        <f t="shared" ref="E35:AF35" si="31">-1*(E29+E30)</f>
        <v>1006.8000000000001</v>
      </c>
      <c r="F35" s="612">
        <f t="shared" si="31"/>
        <v>1522.1</v>
      </c>
      <c r="G35" s="611">
        <f>-1*(G29+G30)</f>
        <v>1710.4608794082446</v>
      </c>
      <c r="H35" s="612">
        <f t="shared" si="31"/>
        <v>1819.4414522292864</v>
      </c>
      <c r="I35" s="612">
        <f t="shared" si="31"/>
        <v>1827.1736371117579</v>
      </c>
      <c r="J35" s="613">
        <f>-1*(J29+J30)</f>
        <v>1828.0331193229529</v>
      </c>
      <c r="K35" s="612">
        <f t="shared" si="31"/>
        <v>2374.4190114508774</v>
      </c>
      <c r="L35" s="612">
        <f t="shared" si="31"/>
        <v>2491.9960063870326</v>
      </c>
      <c r="M35" s="612">
        <f t="shared" si="31"/>
        <v>2552.0543868912678</v>
      </c>
      <c r="N35" s="612">
        <f t="shared" si="31"/>
        <v>2616.8172926705561</v>
      </c>
      <c r="O35" s="612">
        <f t="shared" si="31"/>
        <v>2693.6870641009073</v>
      </c>
      <c r="P35" s="612">
        <f t="shared" si="31"/>
        <v>2861.3576077553703</v>
      </c>
      <c r="Q35" s="612">
        <f t="shared" si="31"/>
        <v>3203.0582393853515</v>
      </c>
      <c r="R35" s="612">
        <f t="shared" si="31"/>
        <v>3535.5724984299791</v>
      </c>
      <c r="S35" s="612">
        <f t="shared" si="31"/>
        <v>3933.8533926615041</v>
      </c>
      <c r="T35" s="612">
        <f t="shared" si="31"/>
        <v>4534.4430271548399</v>
      </c>
      <c r="U35" s="612">
        <f t="shared" si="31"/>
        <v>5179.3986474740896</v>
      </c>
      <c r="V35" s="612">
        <f t="shared" si="31"/>
        <v>5592.4281295136416</v>
      </c>
      <c r="W35" s="612">
        <f t="shared" si="31"/>
        <v>5487.1329998307792</v>
      </c>
      <c r="X35" s="612">
        <f>-1*(X29+X30)</f>
        <v>5383.3973625599701</v>
      </c>
      <c r="Y35" s="612">
        <f t="shared" si="31"/>
        <v>5309.5179430539138</v>
      </c>
      <c r="Z35" s="612">
        <f t="shared" si="31"/>
        <v>5377.97049568083</v>
      </c>
      <c r="AA35" s="612">
        <f t="shared" si="31"/>
        <v>5449.1042811562347</v>
      </c>
      <c r="AB35" s="612">
        <f t="shared" si="31"/>
        <v>5803.238900281347</v>
      </c>
      <c r="AC35" s="612">
        <f t="shared" si="31"/>
        <v>6503.0598581323311</v>
      </c>
      <c r="AD35" s="612">
        <f t="shared" si="31"/>
        <v>7208.991144053417</v>
      </c>
      <c r="AE35" s="612">
        <f t="shared" si="31"/>
        <v>7797.886434012169</v>
      </c>
      <c r="AF35" s="613">
        <f t="shared" si="31"/>
        <v>7970.5685396228882</v>
      </c>
      <c r="AG35" s="341"/>
      <c r="AH35" s="358"/>
      <c r="AI35" s="358"/>
      <c r="AJ35" s="358"/>
      <c r="AK35" s="356"/>
      <c r="AL35" s="356"/>
      <c r="AM35" s="356"/>
      <c r="AN35" s="356"/>
    </row>
    <row r="36" spans="1:40" s="7" customFormat="1" ht="15.75" thickBot="1">
      <c r="A36" s="1473"/>
      <c r="B36" s="211">
        <v>28</v>
      </c>
      <c r="C36" s="209" t="s">
        <v>734</v>
      </c>
      <c r="D36" s="578">
        <f>D34-D35</f>
        <v>-73.900000000000091</v>
      </c>
      <c r="E36" s="940">
        <f>E34-E35</f>
        <v>1281.9000000000001</v>
      </c>
      <c r="F36" s="615">
        <f>F34-F35</f>
        <v>2400.1999999999998</v>
      </c>
      <c r="G36" s="614">
        <f>G34-G35</f>
        <v>4291.7099583102863</v>
      </c>
      <c r="H36" s="615">
        <f t="shared" ref="H36:AF36" si="32">H34-H35</f>
        <v>2649.2818111295473</v>
      </c>
      <c r="I36" s="615">
        <f t="shared" si="32"/>
        <v>1830.7815873092011</v>
      </c>
      <c r="J36" s="616">
        <f>J34-J35</f>
        <v>1942.8398324357847</v>
      </c>
      <c r="K36" s="615">
        <f>K34-K35</f>
        <v>-350.7818638615388</v>
      </c>
      <c r="L36" s="615">
        <f>L34-L35</f>
        <v>858.67732460224488</v>
      </c>
      <c r="M36" s="615">
        <f t="shared" si="32"/>
        <v>763.60091535279616</v>
      </c>
      <c r="N36" s="615">
        <f t="shared" si="32"/>
        <v>818.51516410022077</v>
      </c>
      <c r="O36" s="615">
        <f t="shared" si="32"/>
        <v>940.94051762320851</v>
      </c>
      <c r="P36" s="615">
        <f t="shared" si="32"/>
        <v>1366.6678697646571</v>
      </c>
      <c r="Q36" s="615">
        <f>Q34-Q35</f>
        <v>2103.1814669101991</v>
      </c>
      <c r="R36" s="615">
        <f t="shared" si="32"/>
        <v>2208.3047950533996</v>
      </c>
      <c r="S36" s="615">
        <f t="shared" si="32"/>
        <v>2543.514496739776</v>
      </c>
      <c r="T36" s="615">
        <f t="shared" si="32"/>
        <v>3373.0100160625425</v>
      </c>
      <c r="U36" s="615">
        <f t="shared" si="32"/>
        <v>3720.3960703677049</v>
      </c>
      <c r="V36" s="615">
        <f t="shared" si="32"/>
        <v>3124.2730384630713</v>
      </c>
      <c r="W36" s="615">
        <f t="shared" si="32"/>
        <v>1545.4150669335068</v>
      </c>
      <c r="X36" s="615">
        <f t="shared" si="32"/>
        <v>1604.5805810480815</v>
      </c>
      <c r="Y36" s="615">
        <f t="shared" si="32"/>
        <v>1853.6430085691527</v>
      </c>
      <c r="Z36" s="615">
        <f t="shared" si="32"/>
        <v>2462.3596455857305</v>
      </c>
      <c r="AA36" s="615">
        <f t="shared" si="32"/>
        <v>2661.1766920807049</v>
      </c>
      <c r="AB36" s="615">
        <f t="shared" si="32"/>
        <v>3661.1796961055952</v>
      </c>
      <c r="AC36" s="615">
        <f t="shared" si="32"/>
        <v>4892.4597688189633</v>
      </c>
      <c r="AD36" s="615">
        <f t="shared" si="32"/>
        <v>5213.6637681715974</v>
      </c>
      <c r="AE36" s="615">
        <f t="shared" si="32"/>
        <v>5155.7741943296496</v>
      </c>
      <c r="AF36" s="616">
        <f t="shared" si="32"/>
        <v>4288.134427116428</v>
      </c>
      <c r="AG36" s="341"/>
      <c r="AK36" s="10"/>
      <c r="AL36" s="10"/>
      <c r="AM36" s="10"/>
      <c r="AN36" s="10"/>
    </row>
    <row r="37" spans="1:40" ht="15.75" thickBot="1">
      <c r="A37" s="220"/>
      <c r="B37" s="218"/>
      <c r="C37" s="219"/>
      <c r="D37" s="315"/>
      <c r="E37" s="315"/>
      <c r="F37" s="315"/>
      <c r="G37" s="315"/>
      <c r="H37" s="315"/>
      <c r="I37" s="315"/>
      <c r="J37" s="315"/>
      <c r="K37" s="315"/>
      <c r="L37" s="315"/>
      <c r="M37" s="315"/>
      <c r="N37" s="315"/>
      <c r="O37" s="315"/>
      <c r="P37" s="315"/>
      <c r="Q37" s="315"/>
      <c r="R37" s="315"/>
      <c r="S37" s="315"/>
      <c r="T37" s="315"/>
      <c r="U37" s="315"/>
      <c r="V37" s="315"/>
      <c r="W37" s="315"/>
      <c r="X37" s="315"/>
      <c r="Y37" s="315"/>
      <c r="Z37" s="315"/>
      <c r="AA37" s="315"/>
      <c r="AB37" s="315"/>
      <c r="AC37" s="315"/>
      <c r="AD37" s="315"/>
      <c r="AE37" s="315"/>
      <c r="AF37" s="822"/>
      <c r="AG37" s="341"/>
      <c r="AH37" s="7"/>
      <c r="AI37" s="7"/>
      <c r="AJ37" s="7"/>
      <c r="AK37" s="10"/>
      <c r="AL37" s="10"/>
      <c r="AM37" s="10"/>
      <c r="AN37" s="10"/>
    </row>
    <row r="38" spans="1:40" ht="15">
      <c r="A38" s="1474" t="s">
        <v>735</v>
      </c>
      <c r="B38" s="212">
        <v>29</v>
      </c>
      <c r="C38" s="214" t="s">
        <v>736</v>
      </c>
      <c r="D38" s="625">
        <f>Inputs!D91</f>
        <v>110.6</v>
      </c>
      <c r="E38" s="813">
        <f>Inputs!C91</f>
        <v>104.1</v>
      </c>
      <c r="F38" s="819">
        <f>Inputs!B91</f>
        <v>107.4</v>
      </c>
      <c r="G38" s="823">
        <f>+F38+(-G10)</f>
        <v>107.4</v>
      </c>
      <c r="H38" s="824">
        <f>+G38+(-H10)</f>
        <v>107.4</v>
      </c>
      <c r="I38" s="825">
        <f>+H38+(-I10)</f>
        <v>107.4</v>
      </c>
      <c r="J38" s="826">
        <f>+I38+(-J10)</f>
        <v>107.4</v>
      </c>
      <c r="K38" s="823">
        <f>+J38+(-K10)</f>
        <v>107.4</v>
      </c>
      <c r="L38" s="827">
        <f t="shared" ref="L38:Q38" si="33">+K38+(-L10)</f>
        <v>107.4</v>
      </c>
      <c r="M38" s="824">
        <f t="shared" si="33"/>
        <v>107.4</v>
      </c>
      <c r="N38" s="824">
        <f t="shared" si="33"/>
        <v>107.4</v>
      </c>
      <c r="O38" s="824">
        <f t="shared" si="33"/>
        <v>107.4</v>
      </c>
      <c r="P38" s="824">
        <f t="shared" si="33"/>
        <v>107.4</v>
      </c>
      <c r="Q38" s="824">
        <f t="shared" si="33"/>
        <v>107.4</v>
      </c>
      <c r="R38" s="824">
        <f t="shared" ref="R38:AF38" si="34">+Q38+(-R10)</f>
        <v>107.4</v>
      </c>
      <c r="S38" s="824">
        <f t="shared" si="34"/>
        <v>107.4</v>
      </c>
      <c r="T38" s="824">
        <f t="shared" si="34"/>
        <v>107.4</v>
      </c>
      <c r="U38" s="824">
        <f t="shared" si="34"/>
        <v>107.4</v>
      </c>
      <c r="V38" s="824">
        <f t="shared" si="34"/>
        <v>107.4</v>
      </c>
      <c r="W38" s="824">
        <f t="shared" si="34"/>
        <v>107.4</v>
      </c>
      <c r="X38" s="824">
        <f t="shared" si="34"/>
        <v>107.4</v>
      </c>
      <c r="Y38" s="824">
        <f t="shared" si="34"/>
        <v>107.4</v>
      </c>
      <c r="Z38" s="824">
        <f t="shared" si="34"/>
        <v>107.4</v>
      </c>
      <c r="AA38" s="824">
        <f t="shared" si="34"/>
        <v>107.4</v>
      </c>
      <c r="AB38" s="824">
        <f t="shared" si="34"/>
        <v>107.4</v>
      </c>
      <c r="AC38" s="824">
        <f t="shared" si="34"/>
        <v>107.4</v>
      </c>
      <c r="AD38" s="824">
        <f t="shared" si="34"/>
        <v>107.4</v>
      </c>
      <c r="AE38" s="824">
        <f t="shared" si="34"/>
        <v>107.4</v>
      </c>
      <c r="AF38" s="826">
        <f t="shared" si="34"/>
        <v>107.4</v>
      </c>
      <c r="AG38" s="617">
        <f>SUM(G38:AF38)</f>
        <v>2792.4000000000015</v>
      </c>
      <c r="AH38" s="7"/>
      <c r="AI38" s="7"/>
      <c r="AJ38" s="7"/>
      <c r="AK38" s="10"/>
      <c r="AL38" s="10"/>
      <c r="AM38" s="10"/>
      <c r="AN38" s="10"/>
    </row>
    <row r="39" spans="1:40" ht="15" hidden="1">
      <c r="A39" s="1473"/>
      <c r="B39" s="212">
        <v>30</v>
      </c>
      <c r="C39" s="214" t="s">
        <v>737</v>
      </c>
      <c r="D39" s="611">
        <v>0</v>
      </c>
      <c r="E39" s="814">
        <v>0</v>
      </c>
      <c r="F39" s="815">
        <v>0</v>
      </c>
      <c r="G39" s="605">
        <f>F39-G10</f>
        <v>0</v>
      </c>
      <c r="H39" s="606">
        <f t="shared" ref="H39:AF39" si="35">G39-H10</f>
        <v>0</v>
      </c>
      <c r="I39" s="812">
        <f t="shared" si="35"/>
        <v>0</v>
      </c>
      <c r="J39" s="607">
        <f t="shared" si="35"/>
        <v>0</v>
      </c>
      <c r="K39" s="605">
        <f t="shared" si="35"/>
        <v>0</v>
      </c>
      <c r="L39" s="828">
        <f t="shared" si="35"/>
        <v>0</v>
      </c>
      <c r="M39" s="606">
        <f t="shared" si="35"/>
        <v>0</v>
      </c>
      <c r="N39" s="606">
        <f t="shared" si="35"/>
        <v>0</v>
      </c>
      <c r="O39" s="606">
        <f t="shared" si="35"/>
        <v>0</v>
      </c>
      <c r="P39" s="606">
        <f t="shared" si="35"/>
        <v>0</v>
      </c>
      <c r="Q39" s="606">
        <f t="shared" si="35"/>
        <v>0</v>
      </c>
      <c r="R39" s="606">
        <f t="shared" si="35"/>
        <v>0</v>
      </c>
      <c r="S39" s="606">
        <f t="shared" si="35"/>
        <v>0</v>
      </c>
      <c r="T39" s="606">
        <f t="shared" si="35"/>
        <v>0</v>
      </c>
      <c r="U39" s="606">
        <f t="shared" si="35"/>
        <v>0</v>
      </c>
      <c r="V39" s="606">
        <f t="shared" si="35"/>
        <v>0</v>
      </c>
      <c r="W39" s="606">
        <f t="shared" si="35"/>
        <v>0</v>
      </c>
      <c r="X39" s="606">
        <f t="shared" si="35"/>
        <v>0</v>
      </c>
      <c r="Y39" s="606">
        <f t="shared" si="35"/>
        <v>0</v>
      </c>
      <c r="Z39" s="606">
        <f t="shared" si="35"/>
        <v>0</v>
      </c>
      <c r="AA39" s="606">
        <f t="shared" si="35"/>
        <v>0</v>
      </c>
      <c r="AB39" s="606">
        <f t="shared" si="35"/>
        <v>0</v>
      </c>
      <c r="AC39" s="606">
        <f t="shared" si="35"/>
        <v>0</v>
      </c>
      <c r="AD39" s="606">
        <f t="shared" si="35"/>
        <v>0</v>
      </c>
      <c r="AE39" s="606">
        <f t="shared" si="35"/>
        <v>0</v>
      </c>
      <c r="AF39" s="607">
        <f t="shared" si="35"/>
        <v>0</v>
      </c>
      <c r="AG39" s="617">
        <f>SUM(G39:AF39)</f>
        <v>0</v>
      </c>
      <c r="AH39" s="7"/>
      <c r="AI39" s="7"/>
      <c r="AJ39" s="7"/>
      <c r="AK39" s="10"/>
      <c r="AL39" s="10"/>
      <c r="AM39" s="10"/>
      <c r="AN39" s="10"/>
    </row>
    <row r="40" spans="1:40" ht="15">
      <c r="A40" s="1473"/>
      <c r="B40" s="212">
        <v>31</v>
      </c>
      <c r="C40" s="214" t="s">
        <v>738</v>
      </c>
      <c r="D40" s="626">
        <f>Assumptions!E392</f>
        <v>7302</v>
      </c>
      <c r="E40" s="627">
        <f>Assumptions!D392</f>
        <v>7436</v>
      </c>
      <c r="F40" s="628">
        <f>Assumptions!C392</f>
        <v>8117</v>
      </c>
      <c r="G40" s="281">
        <f>F40+(-G23)</f>
        <v>8833.9184927668703</v>
      </c>
      <c r="H40" s="280">
        <f t="shared" ref="H40:AE40" si="36">G40+(-H23)</f>
        <v>9605.623876009533</v>
      </c>
      <c r="I40" s="600">
        <f t="shared" si="36"/>
        <v>10416.705973587679</v>
      </c>
      <c r="J40" s="405">
        <f t="shared" si="36"/>
        <v>11268.068979431309</v>
      </c>
      <c r="K40" s="281">
        <f t="shared" si="36"/>
        <v>12372.038579767303</v>
      </c>
      <c r="L40" s="799">
        <f t="shared" si="36"/>
        <v>13524.702200350945</v>
      </c>
      <c r="M40" s="280">
        <f t="shared" si="36"/>
        <v>14704.018554455337</v>
      </c>
      <c r="N40" s="280">
        <f t="shared" si="36"/>
        <v>15910.19621422952</v>
      </c>
      <c r="O40" s="280">
        <f t="shared" si="36"/>
        <v>17148.319123039058</v>
      </c>
      <c r="P40" s="280">
        <f t="shared" si="36"/>
        <v>18458.724644483344</v>
      </c>
      <c r="Q40" s="280">
        <f t="shared" si="36"/>
        <v>19920.777760190264</v>
      </c>
      <c r="R40" s="280">
        <f t="shared" si="36"/>
        <v>21534.13813791448</v>
      </c>
      <c r="S40" s="280">
        <f t="shared" si="36"/>
        <v>23327.265840163516</v>
      </c>
      <c r="T40" s="280">
        <f t="shared" si="36"/>
        <v>25391.063728981611</v>
      </c>
      <c r="U40" s="280">
        <f t="shared" si="36"/>
        <v>27749.100291367053</v>
      </c>
      <c r="V40" s="280">
        <f t="shared" si="36"/>
        <v>30297.733741688528</v>
      </c>
      <c r="W40" s="280">
        <f t="shared" si="36"/>
        <v>32798.953042111149</v>
      </c>
      <c r="X40" s="280">
        <f t="shared" si="36"/>
        <v>35240.27513503212</v>
      </c>
      <c r="Y40" s="280">
        <f t="shared" si="36"/>
        <v>37633.739981691433</v>
      </c>
      <c r="Z40" s="280">
        <f t="shared" si="36"/>
        <v>40042.723004104068</v>
      </c>
      <c r="AA40" s="280">
        <f t="shared" si="36"/>
        <v>42470.711698073777</v>
      </c>
      <c r="AB40" s="280">
        <f t="shared" si="36"/>
        <v>45043.221876758769</v>
      </c>
      <c r="AC40" s="280">
        <f t="shared" si="36"/>
        <v>47919.511666876962</v>
      </c>
      <c r="AD40" s="280">
        <f t="shared" si="36"/>
        <v>51108.466845422219</v>
      </c>
      <c r="AE40" s="280">
        <f t="shared" si="36"/>
        <v>54556.424859635074</v>
      </c>
      <c r="AF40" s="405">
        <f>AE40+(-AF23)</f>
        <v>58073.342034132191</v>
      </c>
      <c r="AG40" s="617">
        <f>SUM(G40:AF40)</f>
        <v>725349.76628226403</v>
      </c>
      <c r="AH40" s="7"/>
      <c r="AI40" s="7"/>
      <c r="AJ40" s="7"/>
      <c r="AK40" s="10"/>
      <c r="AL40" s="10"/>
      <c r="AM40" s="10"/>
      <c r="AN40" s="10"/>
    </row>
    <row r="41" spans="1:40" ht="15.75" thickBot="1">
      <c r="A41" s="1473"/>
      <c r="B41" s="213">
        <v>32</v>
      </c>
      <c r="C41" s="209" t="s">
        <v>739</v>
      </c>
      <c r="D41" s="629">
        <f>-Inputs!D113</f>
        <v>3866.2</v>
      </c>
      <c r="E41" s="627">
        <f>-Inputs!C113</f>
        <v>3920.8</v>
      </c>
      <c r="F41" s="630">
        <f>-Inputs!B113</f>
        <v>4263.3999999999996</v>
      </c>
      <c r="G41" s="816">
        <f t="shared" ref="G41:L41" si="37">F41-G9</f>
        <v>4793.4197230002683</v>
      </c>
      <c r="H41" s="817">
        <f t="shared" si="37"/>
        <v>5370.2524238187043</v>
      </c>
      <c r="I41" s="820">
        <f t="shared" si="37"/>
        <v>5997.4755488658084</v>
      </c>
      <c r="J41" s="818">
        <f t="shared" si="37"/>
        <v>6677.6602987359802</v>
      </c>
      <c r="K41" s="816">
        <f t="shared" si="37"/>
        <v>7352.339755257286</v>
      </c>
      <c r="L41" s="821">
        <f t="shared" si="37"/>
        <v>8093.1197664814727</v>
      </c>
      <c r="M41" s="821">
        <f t="shared" ref="M41:AE41" si="38">L41-M9</f>
        <v>8902.9159034062413</v>
      </c>
      <c r="N41" s="821">
        <f t="shared" si="38"/>
        <v>9783.3240075018039</v>
      </c>
      <c r="O41" s="821">
        <f t="shared" si="38"/>
        <v>10735.952408566622</v>
      </c>
      <c r="P41" s="821">
        <f t="shared" si="38"/>
        <v>11762.713839234561</v>
      </c>
      <c r="Q41" s="821">
        <f t="shared" si="38"/>
        <v>12867.936245482644</v>
      </c>
      <c r="R41" s="821">
        <f t="shared" si="38"/>
        <v>14060.699578513395</v>
      </c>
      <c r="S41" s="821">
        <f t="shared" si="38"/>
        <v>15350.063412020574</v>
      </c>
      <c r="T41" s="821">
        <f t="shared" si="38"/>
        <v>16746.791375604967</v>
      </c>
      <c r="U41" s="821">
        <f t="shared" si="38"/>
        <v>18267.089938600784</v>
      </c>
      <c r="V41" s="821">
        <f t="shared" si="38"/>
        <v>19928.576741504578</v>
      </c>
      <c r="W41" s="821">
        <f t="shared" si="38"/>
        <v>21742.663837703851</v>
      </c>
      <c r="X41" s="821">
        <f t="shared" si="38"/>
        <v>23706.512288872651</v>
      </c>
      <c r="Y41" s="821">
        <f t="shared" si="38"/>
        <v>25816.535729372103</v>
      </c>
      <c r="Z41" s="821">
        <f t="shared" si="38"/>
        <v>28069.868690331059</v>
      </c>
      <c r="AA41" s="821">
        <f t="shared" si="38"/>
        <v>30467.44032779237</v>
      </c>
      <c r="AB41" s="821">
        <f t="shared" si="38"/>
        <v>33010.388612794406</v>
      </c>
      <c r="AC41" s="821">
        <f t="shared" si="38"/>
        <v>35707.366818310678</v>
      </c>
      <c r="AD41" s="821">
        <f t="shared" si="38"/>
        <v>38576.563851732339</v>
      </c>
      <c r="AE41" s="821">
        <f t="shared" si="38"/>
        <v>41636.700659365451</v>
      </c>
      <c r="AF41" s="818">
        <f>AE41-AF9</f>
        <v>44903.285123947047</v>
      </c>
      <c r="AG41" s="617">
        <f>SUM(G41:AF41)</f>
        <v>500327.65690681769</v>
      </c>
      <c r="AH41" s="7"/>
      <c r="AI41" s="7"/>
      <c r="AJ41" s="7"/>
      <c r="AK41" s="10"/>
      <c r="AL41" s="10"/>
      <c r="AM41" s="10"/>
      <c r="AN41" s="10"/>
    </row>
    <row r="42" spans="1:40" s="7" customFormat="1" ht="15">
      <c r="A42" s="1466"/>
      <c r="B42" s="1467"/>
      <c r="C42" s="1467"/>
      <c r="D42" s="1467"/>
      <c r="E42" s="1467"/>
      <c r="F42" s="1467"/>
      <c r="G42" s="1468"/>
      <c r="H42" s="1468"/>
      <c r="I42" s="1468"/>
      <c r="J42" s="1468"/>
      <c r="K42" s="1468"/>
      <c r="L42" s="1468"/>
      <c r="M42" s="1468"/>
      <c r="N42" s="1468"/>
      <c r="O42" s="1468"/>
      <c r="P42" s="1468"/>
      <c r="Q42" s="1468"/>
      <c r="R42" s="1468"/>
      <c r="S42" s="1468"/>
      <c r="T42" s="1468"/>
      <c r="U42" s="1468"/>
      <c r="V42" s="1468"/>
      <c r="W42" s="1468"/>
      <c r="X42" s="1468"/>
      <c r="Y42" s="1468"/>
      <c r="Z42" s="1468"/>
      <c r="AA42" s="1468"/>
      <c r="AB42" s="1468"/>
      <c r="AC42" s="1468"/>
      <c r="AD42" s="1468"/>
      <c r="AE42" s="1468"/>
      <c r="AF42" s="1469"/>
      <c r="AG42" s="341"/>
      <c r="AK42" s="10"/>
      <c r="AL42" s="10"/>
      <c r="AM42" s="10"/>
      <c r="AN42" s="10"/>
    </row>
    <row r="43" spans="1:40" ht="15" customHeight="1">
      <c r="A43" s="1463" t="s">
        <v>740</v>
      </c>
      <c r="B43" s="210">
        <v>33</v>
      </c>
      <c r="C43" s="214" t="s">
        <v>741</v>
      </c>
      <c r="D43" s="398">
        <f>'Fin. Data'!D39</f>
        <v>3428</v>
      </c>
      <c r="E43" s="268">
        <f>E36+D43</f>
        <v>4709.8999999999996</v>
      </c>
      <c r="F43" s="620">
        <f>F36+E43</f>
        <v>7110.0999999999995</v>
      </c>
      <c r="G43" s="398">
        <f>G36+F43</f>
        <v>11401.809958310285</v>
      </c>
      <c r="H43" s="618">
        <f t="shared" ref="H43:AF43" si="39">H36+G43</f>
        <v>14051.091769439832</v>
      </c>
      <c r="I43" s="618">
        <f>I36+H43</f>
        <v>15881.873356749033</v>
      </c>
      <c r="J43" s="583">
        <f>J36+I43</f>
        <v>17824.713189184818</v>
      </c>
      <c r="K43" s="268">
        <f>K36+J43</f>
        <v>17473.931325323279</v>
      </c>
      <c r="L43" s="618">
        <f>L36+K43</f>
        <v>18332.608649925525</v>
      </c>
      <c r="M43" s="618">
        <f>M36+L43</f>
        <v>19096.209565278321</v>
      </c>
      <c r="N43" s="618">
        <f t="shared" si="39"/>
        <v>19914.72472937854</v>
      </c>
      <c r="O43" s="618">
        <f t="shared" si="39"/>
        <v>20855.665247001751</v>
      </c>
      <c r="P43" s="618">
        <f t="shared" si="39"/>
        <v>22222.333116766407</v>
      </c>
      <c r="Q43" s="618">
        <f t="shared" si="39"/>
        <v>24325.514583676606</v>
      </c>
      <c r="R43" s="618">
        <f>R36+Q43</f>
        <v>26533.819378730004</v>
      </c>
      <c r="S43" s="618">
        <f t="shared" si="39"/>
        <v>29077.33387546978</v>
      </c>
      <c r="T43" s="618">
        <f t="shared" si="39"/>
        <v>32450.34389153232</v>
      </c>
      <c r="U43" s="618">
        <f t="shared" si="39"/>
        <v>36170.739961900028</v>
      </c>
      <c r="V43" s="618">
        <f t="shared" si="39"/>
        <v>39295.013000363098</v>
      </c>
      <c r="W43" s="618">
        <f t="shared" si="39"/>
        <v>40840.428067296605</v>
      </c>
      <c r="X43" s="618">
        <f t="shared" si="39"/>
        <v>42445.008648344687</v>
      </c>
      <c r="Y43" s="618">
        <f t="shared" si="39"/>
        <v>44298.65165691384</v>
      </c>
      <c r="Z43" s="618">
        <f t="shared" si="39"/>
        <v>46761.011302499574</v>
      </c>
      <c r="AA43" s="618">
        <f t="shared" si="39"/>
        <v>49422.187994580279</v>
      </c>
      <c r="AB43" s="618">
        <f t="shared" si="39"/>
        <v>53083.367690685875</v>
      </c>
      <c r="AC43" s="618">
        <f t="shared" si="39"/>
        <v>57975.827459504835</v>
      </c>
      <c r="AD43" s="618">
        <f t="shared" si="39"/>
        <v>63189.49122767643</v>
      </c>
      <c r="AE43" s="618">
        <f t="shared" si="39"/>
        <v>68345.265422006079</v>
      </c>
      <c r="AF43" s="619">
        <f t="shared" si="39"/>
        <v>72633.399849122507</v>
      </c>
      <c r="AG43" s="341"/>
      <c r="AH43" s="7"/>
      <c r="AI43" s="7"/>
      <c r="AJ43" s="7"/>
      <c r="AK43" s="10"/>
      <c r="AL43" s="10"/>
      <c r="AM43" s="10"/>
      <c r="AN43" s="10"/>
    </row>
    <row r="44" spans="1:40" ht="15">
      <c r="A44" s="1463"/>
      <c r="B44" s="210">
        <v>34</v>
      </c>
      <c r="C44" s="214" t="s">
        <v>307</v>
      </c>
      <c r="D44" s="584">
        <f>'Fin. Data'!D58</f>
        <v>10433</v>
      </c>
      <c r="E44" s="585">
        <f>'Fin. Data'!C58</f>
        <v>11475</v>
      </c>
      <c r="F44" s="892">
        <f>'Fin. Data'!B58</f>
        <v>14238</v>
      </c>
      <c r="G44" s="584">
        <f>G67*G12</f>
        <v>16050.75570204601</v>
      </c>
      <c r="H44" s="585">
        <f t="shared" ref="H44:AF44" si="40">H67*H12</f>
        <v>16590.456969989074</v>
      </c>
      <c r="I44" s="585">
        <f t="shared" si="40"/>
        <v>16324.447266874125</v>
      </c>
      <c r="J44" s="582">
        <f t="shared" si="40"/>
        <v>15999.542478992185</v>
      </c>
      <c r="K44" s="891">
        <f t="shared" si="40"/>
        <v>15339.813698896245</v>
      </c>
      <c r="L44" s="585">
        <f t="shared" si="40"/>
        <v>15836.376188752743</v>
      </c>
      <c r="M44" s="585">
        <f t="shared" si="40"/>
        <v>16049.985373315789</v>
      </c>
      <c r="N44" s="585">
        <f t="shared" si="40"/>
        <v>16258.468906579328</v>
      </c>
      <c r="O44" s="585">
        <f t="shared" si="40"/>
        <v>16519.525271486189</v>
      </c>
      <c r="P44" s="585">
        <f t="shared" si="40"/>
        <v>17241.268100213074</v>
      </c>
      <c r="Q44" s="585">
        <f t="shared" si="40"/>
        <v>18852.965288965333</v>
      </c>
      <c r="R44" s="585">
        <f t="shared" si="40"/>
        <v>20422.140882441461</v>
      </c>
      <c r="S44" s="585">
        <f t="shared" si="40"/>
        <v>22268.887810262546</v>
      </c>
      <c r="T44" s="585">
        <f t="shared" si="40"/>
        <v>25063.219120459853</v>
      </c>
      <c r="U44" s="585">
        <f t="shared" si="40"/>
        <v>28044.962136896844</v>
      </c>
      <c r="V44" s="585">
        <f t="shared" si="40"/>
        <v>29861.037653308958</v>
      </c>
      <c r="W44" s="585">
        <f t="shared" si="40"/>
        <v>29156.622240950426</v>
      </c>
      <c r="X44" s="585">
        <f t="shared" si="40"/>
        <v>28334.478475730906</v>
      </c>
      <c r="Y44" s="585">
        <f t="shared" si="40"/>
        <v>27646.367653688761</v>
      </c>
      <c r="Z44" s="585">
        <f t="shared" si="40"/>
        <v>27596.344907979379</v>
      </c>
      <c r="AA44" s="585">
        <f t="shared" si="40"/>
        <v>27576.419327994776</v>
      </c>
      <c r="AB44" s="585">
        <f t="shared" si="40"/>
        <v>28756.547576252804</v>
      </c>
      <c r="AC44" s="585">
        <f t="shared" si="40"/>
        <v>31409.769078456724</v>
      </c>
      <c r="AD44" s="585">
        <f t="shared" si="40"/>
        <v>34081.890793733102</v>
      </c>
      <c r="AE44" s="585">
        <f t="shared" si="40"/>
        <v>36198.632579555873</v>
      </c>
      <c r="AF44" s="582">
        <f t="shared" si="40"/>
        <v>36552.131267346413</v>
      </c>
      <c r="AG44" s="355"/>
      <c r="AH44" s="10"/>
      <c r="AI44" s="10"/>
      <c r="AJ44" s="10"/>
      <c r="AK44" s="10"/>
      <c r="AL44" s="10"/>
      <c r="AM44" s="10"/>
      <c r="AN44" s="10"/>
    </row>
    <row r="45" spans="1:40" ht="15">
      <c r="A45" s="1463"/>
      <c r="B45" s="210">
        <v>35</v>
      </c>
      <c r="C45" s="214" t="s">
        <v>742</v>
      </c>
      <c r="D45" s="399"/>
      <c r="E45" s="308"/>
      <c r="F45" s="400">
        <f>1/((1+$F$50)^G50)</f>
        <v>1</v>
      </c>
      <c r="G45" s="277">
        <f t="shared" ref="G45:AF45" si="41">1/((1+$F$50)^G49)</f>
        <v>0.91533180778032031</v>
      </c>
      <c r="H45" s="264">
        <f t="shared" si="41"/>
        <v>0.83783231833438931</v>
      </c>
      <c r="I45" s="264">
        <f t="shared" si="41"/>
        <v>0.76689457055779331</v>
      </c>
      <c r="J45" s="278">
        <f t="shared" si="41"/>
        <v>0.70196299364557746</v>
      </c>
      <c r="K45" s="306">
        <f t="shared" si="41"/>
        <v>0.64252905596849197</v>
      </c>
      <c r="L45" s="264">
        <f t="shared" si="41"/>
        <v>0.5881272823510223</v>
      </c>
      <c r="M45" s="264">
        <f t="shared" si="41"/>
        <v>0.53833160855928819</v>
      </c>
      <c r="N45" s="264">
        <f t="shared" si="41"/>
        <v>0.49275204444786097</v>
      </c>
      <c r="O45" s="264">
        <f t="shared" si="41"/>
        <v>0.4510316196319093</v>
      </c>
      <c r="P45" s="264">
        <f t="shared" si="41"/>
        <v>0.41284358776376134</v>
      </c>
      <c r="Q45" s="264">
        <f t="shared" si="41"/>
        <v>0.37788886751831702</v>
      </c>
      <c r="R45" s="264">
        <f t="shared" si="41"/>
        <v>0.34589370024559912</v>
      </c>
      <c r="S45" s="264">
        <f t="shared" si="41"/>
        <v>0.31660750594562848</v>
      </c>
      <c r="T45" s="264">
        <f t="shared" si="41"/>
        <v>0.28980092077403058</v>
      </c>
      <c r="U45" s="264">
        <f t="shared" si="41"/>
        <v>0.26526400070849487</v>
      </c>
      <c r="V45" s="264">
        <f t="shared" si="41"/>
        <v>0.24280457730754673</v>
      </c>
      <c r="W45" s="264">
        <f t="shared" si="41"/>
        <v>0.22224675268425331</v>
      </c>
      <c r="X45" s="264">
        <f t="shared" si="41"/>
        <v>0.20342952190778335</v>
      </c>
      <c r="Y45" s="264">
        <f t="shared" si="41"/>
        <v>0.18620551204373761</v>
      </c>
      <c r="Z45" s="264">
        <f t="shared" si="41"/>
        <v>0.17043982795765455</v>
      </c>
      <c r="AA45" s="264">
        <f t="shared" si="41"/>
        <v>0.15600899584224673</v>
      </c>
      <c r="AB45" s="264">
        <f t="shared" si="41"/>
        <v>0.14279999619427616</v>
      </c>
      <c r="AC45" s="264">
        <f t="shared" si="41"/>
        <v>0.13070937866752969</v>
      </c>
      <c r="AD45" s="264">
        <f t="shared" si="41"/>
        <v>0.11964245186959235</v>
      </c>
      <c r="AE45" s="264">
        <f t="shared" si="41"/>
        <v>0.10951254175706394</v>
      </c>
      <c r="AF45" s="495">
        <f t="shared" si="41"/>
        <v>0.10024031282111115</v>
      </c>
      <c r="AG45" s="355"/>
      <c r="AH45" s="10"/>
      <c r="AI45" s="10"/>
      <c r="AJ45" s="10"/>
      <c r="AK45" s="10"/>
      <c r="AL45" s="10"/>
      <c r="AM45" s="10"/>
      <c r="AN45" s="10"/>
    </row>
    <row r="46" spans="1:40" ht="15">
      <c r="A46" s="1463"/>
      <c r="B46" s="210">
        <v>36</v>
      </c>
      <c r="C46" s="214" t="s">
        <v>743</v>
      </c>
      <c r="D46" s="401"/>
      <c r="E46" s="402" t="s">
        <v>744</v>
      </c>
      <c r="F46" s="278">
        <f>1/((1+$F$50+0.001)^G50)</f>
        <v>1</v>
      </c>
      <c r="G46" s="277">
        <f>1/((1+$F$50+0.001)^G49)</f>
        <v>0.91449474165523559</v>
      </c>
      <c r="H46" s="264">
        <f t="shared" ref="H46:AF46" si="42">1/((1+$F$50+0.001)^H49)</f>
        <v>0.83630063251507591</v>
      </c>
      <c r="I46" s="264">
        <f t="shared" si="42"/>
        <v>0.76479253087798449</v>
      </c>
      <c r="J46" s="278">
        <f t="shared" si="42"/>
        <v>0.69939874794511614</v>
      </c>
      <c r="K46" s="306">
        <f t="shared" si="42"/>
        <v>0.63959647731606417</v>
      </c>
      <c r="L46" s="264">
        <f t="shared" si="42"/>
        <v>0.58490761528675284</v>
      </c>
      <c r="M46" s="264">
        <f t="shared" si="42"/>
        <v>0.53489493853383896</v>
      </c>
      <c r="N46" s="264">
        <f t="shared" si="42"/>
        <v>0.48915860862719612</v>
      </c>
      <c r="O46" s="264">
        <f t="shared" si="42"/>
        <v>0.44733297542496214</v>
      </c>
      <c r="P46" s="264">
        <f t="shared" si="42"/>
        <v>0.40908365379511857</v>
      </c>
      <c r="Q46" s="264">
        <f t="shared" si="42"/>
        <v>0.37410485029274676</v>
      </c>
      <c r="R46" s="264">
        <f t="shared" si="42"/>
        <v>0.34211691842043607</v>
      </c>
      <c r="S46" s="264">
        <f t="shared" si="42"/>
        <v>0.31286412292678195</v>
      </c>
      <c r="T46" s="264">
        <f t="shared" si="42"/>
        <v>0.28611259526911931</v>
      </c>
      <c r="U46" s="264">
        <f t="shared" si="42"/>
        <v>0.26164846389494223</v>
      </c>
      <c r="V46" s="264">
        <f t="shared" si="42"/>
        <v>0.23927614439409442</v>
      </c>
      <c r="W46" s="264">
        <f t="shared" si="42"/>
        <v>0.21881677585193821</v>
      </c>
      <c r="X46" s="264">
        <f t="shared" si="42"/>
        <v>0.20010679090254985</v>
      </c>
      <c r="Y46" s="264">
        <f t="shared" si="42"/>
        <v>0.18299660804988555</v>
      </c>
      <c r="Z46" s="264">
        <f t="shared" si="42"/>
        <v>0.16734943580236447</v>
      </c>
      <c r="AA46" s="264">
        <f t="shared" si="42"/>
        <v>0.15304017906023273</v>
      </c>
      <c r="AB46" s="264">
        <f t="shared" si="42"/>
        <v>0.1399544390125585</v>
      </c>
      <c r="AC46" s="264">
        <f t="shared" si="42"/>
        <v>0.12798759854829311</v>
      </c>
      <c r="AD46" s="264">
        <f t="shared" si="42"/>
        <v>0.1170439858694953</v>
      </c>
      <c r="AE46" s="264">
        <f t="shared" si="42"/>
        <v>0.10703610962002315</v>
      </c>
      <c r="AF46" s="278">
        <f t="shared" si="42"/>
        <v>9.7883959414744523E-2</v>
      </c>
      <c r="AG46" s="355"/>
      <c r="AH46" s="10"/>
      <c r="AI46" s="10"/>
      <c r="AJ46" s="10"/>
      <c r="AK46" s="10"/>
      <c r="AL46" s="10"/>
      <c r="AM46" s="10"/>
      <c r="AN46" s="10"/>
    </row>
    <row r="47" spans="1:40" ht="15.75" thickBot="1">
      <c r="A47" s="1463"/>
      <c r="B47" s="211">
        <v>37</v>
      </c>
      <c r="C47" s="209" t="s">
        <v>745</v>
      </c>
      <c r="D47" s="401"/>
      <c r="E47" s="402" t="s">
        <v>746</v>
      </c>
      <c r="F47" s="407">
        <f>1/((1+$F$50+0.005)^G50)</f>
        <v>1</v>
      </c>
      <c r="G47" s="408">
        <f t="shared" ref="G47:AF47" si="43">1/((1+$F$50+0.005)^G49)</f>
        <v>0.91116173120728938</v>
      </c>
      <c r="H47" s="409">
        <f t="shared" si="43"/>
        <v>0.83021570041666459</v>
      </c>
      <c r="I47" s="409">
        <f t="shared" si="43"/>
        <v>0.75646077486712049</v>
      </c>
      <c r="J47" s="407">
        <f t="shared" si="43"/>
        <v>0.68925810921833297</v>
      </c>
      <c r="K47" s="410">
        <f t="shared" si="43"/>
        <v>0.62802561204403917</v>
      </c>
      <c r="L47" s="409">
        <f t="shared" si="43"/>
        <v>0.57223290391256421</v>
      </c>
      <c r="M47" s="409">
        <f t="shared" si="43"/>
        <v>0.52139672338274645</v>
      </c>
      <c r="N47" s="409">
        <f t="shared" si="43"/>
        <v>0.47507674112323145</v>
      </c>
      <c r="O47" s="409">
        <f t="shared" si="43"/>
        <v>0.4328717458981608</v>
      </c>
      <c r="P47" s="409">
        <f t="shared" si="43"/>
        <v>0.39441616938328999</v>
      </c>
      <c r="Q47" s="409">
        <f t="shared" si="43"/>
        <v>0.35937691971142605</v>
      </c>
      <c r="R47" s="409">
        <f t="shared" si="43"/>
        <v>0.32745049632020595</v>
      </c>
      <c r="S47" s="409">
        <f t="shared" si="43"/>
        <v>0.29836036111180497</v>
      </c>
      <c r="T47" s="409">
        <f t="shared" si="43"/>
        <v>0.27185454315426427</v>
      </c>
      <c r="U47" s="409">
        <f t="shared" si="43"/>
        <v>0.24770345617700615</v>
      </c>
      <c r="V47" s="409">
        <f t="shared" si="43"/>
        <v>0.22569790995626987</v>
      </c>
      <c r="W47" s="409">
        <f t="shared" si="43"/>
        <v>0.20564729836562176</v>
      </c>
      <c r="X47" s="409">
        <f t="shared" si="43"/>
        <v>0.1873779483969219</v>
      </c>
      <c r="Y47" s="409">
        <f t="shared" si="43"/>
        <v>0.1707316158514095</v>
      </c>
      <c r="Z47" s="409">
        <f t="shared" si="43"/>
        <v>0.15556411467098813</v>
      </c>
      <c r="AA47" s="409">
        <f t="shared" si="43"/>
        <v>0.14174406803734682</v>
      </c>
      <c r="AB47" s="409">
        <f t="shared" si="43"/>
        <v>0.12915177042127277</v>
      </c>
      <c r="AC47" s="409">
        <f t="shared" si="43"/>
        <v>0.11767815072553327</v>
      </c>
      <c r="AD47" s="409">
        <f t="shared" si="43"/>
        <v>0.10722382754034922</v>
      </c>
      <c r="AE47" s="409">
        <f t="shared" si="43"/>
        <v>9.7698248328336429E-2</v>
      </c>
      <c r="AF47" s="407">
        <f t="shared" si="43"/>
        <v>8.9018905082766664E-2</v>
      </c>
      <c r="AG47" s="355"/>
      <c r="AH47" s="10"/>
      <c r="AI47" s="10"/>
      <c r="AJ47" s="10"/>
      <c r="AK47" s="10"/>
      <c r="AL47" s="10"/>
      <c r="AM47" s="10"/>
      <c r="AN47" s="10"/>
    </row>
    <row r="48" spans="1:40" ht="15.75" thickBot="1">
      <c r="A48" s="1470" t="s">
        <v>715</v>
      </c>
      <c r="B48" s="1471"/>
      <c r="C48" s="1471"/>
      <c r="D48" s="1471"/>
      <c r="E48" s="1471"/>
      <c r="F48" s="1471"/>
      <c r="G48" s="1471"/>
      <c r="H48" s="1471"/>
      <c r="I48" s="1471"/>
      <c r="J48" s="1471"/>
      <c r="K48" s="1471"/>
      <c r="L48" s="1471"/>
      <c r="M48" s="1471"/>
      <c r="N48" s="1471"/>
      <c r="O48" s="1471"/>
      <c r="P48" s="1471"/>
      <c r="Q48" s="1471"/>
      <c r="R48" s="1471"/>
      <c r="S48" s="1471"/>
      <c r="T48" s="1471"/>
      <c r="U48" s="1471"/>
      <c r="V48" s="1471"/>
      <c r="W48" s="1471"/>
      <c r="X48" s="1471"/>
      <c r="Y48" s="1471"/>
      <c r="Z48" s="1471"/>
      <c r="AA48" s="1471"/>
      <c r="AB48" s="1471"/>
      <c r="AC48" s="1471"/>
      <c r="AD48" s="1471"/>
      <c r="AE48" s="1471"/>
      <c r="AF48" s="1472"/>
      <c r="AG48" s="355"/>
      <c r="AH48" s="10"/>
      <c r="AI48" s="10"/>
      <c r="AJ48" s="357"/>
      <c r="AK48" s="10"/>
      <c r="AL48" s="10"/>
      <c r="AM48" s="10"/>
      <c r="AN48" s="10"/>
    </row>
    <row r="49" spans="1:40" ht="15">
      <c r="A49" s="1475" t="s">
        <v>747</v>
      </c>
      <c r="C49" s="225" t="s">
        <v>748</v>
      </c>
      <c r="D49" s="215" t="s">
        <v>749</v>
      </c>
      <c r="E49" s="216" t="s">
        <v>750</v>
      </c>
      <c r="F49" s="226" t="s">
        <v>751</v>
      </c>
      <c r="G49" s="265">
        <v>1</v>
      </c>
      <c r="H49" s="266">
        <v>2</v>
      </c>
      <c r="I49" s="266">
        <v>3</v>
      </c>
      <c r="J49" s="265">
        <v>4</v>
      </c>
      <c r="K49" s="266">
        <v>5</v>
      </c>
      <c r="L49" s="266">
        <v>6</v>
      </c>
      <c r="M49" s="265">
        <v>7</v>
      </c>
      <c r="N49" s="266">
        <v>8</v>
      </c>
      <c r="O49" s="266">
        <v>9</v>
      </c>
      <c r="P49" s="265">
        <v>10</v>
      </c>
      <c r="Q49" s="266">
        <v>11</v>
      </c>
      <c r="R49" s="266">
        <v>12</v>
      </c>
      <c r="S49" s="265">
        <v>13</v>
      </c>
      <c r="T49" s="266">
        <v>14</v>
      </c>
      <c r="U49" s="266">
        <v>15</v>
      </c>
      <c r="V49" s="265">
        <v>16</v>
      </c>
      <c r="W49" s="266">
        <v>17</v>
      </c>
      <c r="X49" s="266">
        <v>18</v>
      </c>
      <c r="Y49" s="265">
        <v>19</v>
      </c>
      <c r="Z49" s="266">
        <v>20</v>
      </c>
      <c r="AA49" s="266">
        <v>21</v>
      </c>
      <c r="AB49" s="265">
        <v>22</v>
      </c>
      <c r="AC49" s="266">
        <v>23</v>
      </c>
      <c r="AD49" s="266">
        <v>24</v>
      </c>
      <c r="AE49" s="265">
        <v>25</v>
      </c>
      <c r="AF49" s="266">
        <v>26</v>
      </c>
      <c r="AG49" s="355"/>
      <c r="AH49" s="10"/>
      <c r="AI49" s="10"/>
      <c r="AJ49" s="10"/>
      <c r="AK49" s="10"/>
      <c r="AL49" s="10"/>
      <c r="AM49" s="10"/>
      <c r="AN49" s="10"/>
    </row>
    <row r="50" spans="1:40" ht="15.75" thickBot="1">
      <c r="A50" s="1476"/>
      <c r="C50" s="222">
        <v>0.04</v>
      </c>
      <c r="D50" s="223">
        <v>4.4999999999999998E-2</v>
      </c>
      <c r="E50" s="223">
        <v>7.4999999999999997E-3</v>
      </c>
      <c r="F50" s="224">
        <f>E50+D50+C50</f>
        <v>9.2499999999999999E-2</v>
      </c>
      <c r="G50" s="896"/>
      <c r="S50" s="208"/>
      <c r="T50" s="208"/>
      <c r="U50" s="208"/>
      <c r="V50" s="208"/>
      <c r="W50" s="208"/>
      <c r="X50" s="208"/>
      <c r="Y50" s="208"/>
      <c r="Z50" s="208"/>
      <c r="AA50" s="208"/>
      <c r="AB50" s="208"/>
      <c r="AC50" s="208"/>
      <c r="AD50" s="208"/>
      <c r="AE50" s="208"/>
      <c r="AF50" s="208"/>
      <c r="AG50" s="354"/>
      <c r="AH50" s="10"/>
      <c r="AI50" s="10"/>
      <c r="AJ50" s="10"/>
      <c r="AK50" s="10"/>
      <c r="AL50" s="10"/>
      <c r="AM50" s="10"/>
      <c r="AN50" s="10"/>
    </row>
    <row r="51" spans="1:40" ht="15">
      <c r="A51" s="208"/>
      <c r="C51" s="208"/>
      <c r="D51" s="208"/>
      <c r="G51" s="904"/>
      <c r="H51" s="904"/>
      <c r="I51" s="904"/>
      <c r="J51" s="732"/>
      <c r="K51" s="732"/>
      <c r="L51" s="732"/>
      <c r="M51" s="732"/>
      <c r="N51" s="732"/>
      <c r="O51" s="732"/>
      <c r="P51" s="732"/>
      <c r="Q51" s="732"/>
      <c r="R51" s="732"/>
      <c r="S51" s="732"/>
      <c r="T51" s="732"/>
      <c r="U51" s="732"/>
      <c r="V51" s="732"/>
      <c r="W51" s="732"/>
      <c r="X51" s="732"/>
      <c r="Y51" s="732"/>
      <c r="Z51" s="732"/>
      <c r="AA51" s="732"/>
      <c r="AB51" s="732"/>
      <c r="AC51" s="732"/>
      <c r="AD51" s="732"/>
      <c r="AE51" s="732"/>
      <c r="AF51" s="732"/>
      <c r="AG51" s="354"/>
      <c r="AH51" s="10"/>
      <c r="AI51" s="10"/>
      <c r="AJ51" s="10"/>
      <c r="AK51" s="10"/>
      <c r="AL51" s="10"/>
      <c r="AM51" s="10"/>
      <c r="AN51" s="10"/>
    </row>
    <row r="52" spans="1:40" ht="15" customHeight="1">
      <c r="A52" s="1477" t="s">
        <v>752</v>
      </c>
      <c r="C52" s="318" t="s">
        <v>715</v>
      </c>
      <c r="D52" s="319" t="s">
        <v>696</v>
      </c>
      <c r="E52" s="320" t="s">
        <v>697</v>
      </c>
      <c r="F52" s="319" t="s">
        <v>753</v>
      </c>
      <c r="G52" s="530"/>
      <c r="J52" s="333"/>
      <c r="K52" s="208"/>
      <c r="S52" s="208"/>
      <c r="T52" s="208"/>
      <c r="U52" s="208"/>
      <c r="V52" s="208"/>
      <c r="W52" s="208"/>
      <c r="X52" s="208"/>
      <c r="Y52" s="208"/>
      <c r="Z52" s="208"/>
      <c r="AA52" s="208"/>
      <c r="AB52" s="208"/>
      <c r="AC52" s="208"/>
      <c r="AD52" s="208"/>
      <c r="AE52" s="208"/>
      <c r="AF52" s="208"/>
      <c r="AG52" s="354"/>
      <c r="AH52" s="10"/>
      <c r="AI52" s="10"/>
      <c r="AJ52" s="10"/>
      <c r="AK52" s="10"/>
      <c r="AL52" s="10"/>
      <c r="AM52" s="10"/>
      <c r="AN52" s="10"/>
    </row>
    <row r="53" spans="1:40" ht="15" customHeight="1">
      <c r="A53" s="1477"/>
      <c r="C53" s="321" t="s">
        <v>754</v>
      </c>
      <c r="D53" s="1150">
        <f>Assumptions!S16</f>
        <v>6.5297489589783014E-2</v>
      </c>
      <c r="E53" s="1150">
        <f>Assumptions!T16</f>
        <v>5.9875339577070717E-2</v>
      </c>
      <c r="F53" s="322" t="s">
        <v>755</v>
      </c>
      <c r="G53" s="334"/>
      <c r="H53" s="1"/>
      <c r="I53" s="1"/>
      <c r="J53" s="1"/>
      <c r="K53" s="208"/>
      <c r="S53" s="208"/>
      <c r="T53" s="208"/>
      <c r="U53" s="208"/>
      <c r="V53" s="208"/>
      <c r="W53" s="208"/>
      <c r="X53" s="208"/>
      <c r="Y53" s="208"/>
      <c r="Z53" s="208"/>
      <c r="AA53" s="208"/>
      <c r="AB53" s="208"/>
      <c r="AC53" s="208"/>
      <c r="AD53" s="208"/>
      <c r="AE53" s="208"/>
      <c r="AF53" s="208"/>
      <c r="AG53" s="354"/>
      <c r="AH53" s="10"/>
      <c r="AI53" s="10"/>
      <c r="AJ53" s="10"/>
      <c r="AK53" s="10"/>
      <c r="AL53" s="10"/>
      <c r="AM53" s="10"/>
      <c r="AN53" s="10"/>
    </row>
    <row r="54" spans="1:40" ht="15" hidden="1" customHeight="1">
      <c r="A54" s="1477"/>
      <c r="C54" s="318" t="s">
        <v>756</v>
      </c>
      <c r="D54" s="1150">
        <f>Assumptions!S17</f>
        <v>0</v>
      </c>
      <c r="E54" s="1150">
        <f>Assumptions!T17</f>
        <v>0</v>
      </c>
      <c r="F54" s="324" t="s">
        <v>757</v>
      </c>
      <c r="G54" s="208"/>
      <c r="J54" s="208"/>
      <c r="K54" s="208"/>
      <c r="S54" s="208"/>
      <c r="T54" s="208"/>
      <c r="U54" s="208"/>
      <c r="V54" s="208"/>
      <c r="W54" s="208"/>
      <c r="X54" s="208"/>
      <c r="Y54" s="208"/>
      <c r="Z54" s="208"/>
      <c r="AA54" s="208"/>
      <c r="AB54" s="208"/>
      <c r="AC54" s="208"/>
      <c r="AD54" s="208"/>
      <c r="AE54" s="208"/>
      <c r="AF54" s="208"/>
      <c r="AG54" s="354"/>
      <c r="AH54" s="10"/>
      <c r="AI54" s="10"/>
      <c r="AJ54" s="10"/>
      <c r="AK54" s="10"/>
      <c r="AL54" s="10"/>
      <c r="AM54" s="10"/>
      <c r="AN54" s="10"/>
    </row>
    <row r="55" spans="1:40" ht="15" customHeight="1">
      <c r="A55" s="1477"/>
      <c r="C55" s="631" t="s">
        <v>758</v>
      </c>
      <c r="D55" s="1150">
        <f>Assumptions!S18</f>
        <v>6.9999999999999999E-4</v>
      </c>
      <c r="E55" s="1150">
        <f>Assumptions!T18</f>
        <v>6.9999999999999999E-4</v>
      </c>
      <c r="F55" s="322" t="s">
        <v>759</v>
      </c>
      <c r="G55" s="208"/>
      <c r="H55" s="208"/>
      <c r="I55" s="208"/>
      <c r="J55" s="208"/>
      <c r="K55" s="208"/>
      <c r="L55" s="208"/>
      <c r="M55" s="208"/>
      <c r="N55" s="208"/>
      <c r="O55" s="208"/>
      <c r="P55" s="208"/>
      <c r="Q55" s="208"/>
      <c r="R55" s="208"/>
      <c r="S55" s="208"/>
      <c r="T55" s="208"/>
      <c r="U55" s="208"/>
      <c r="V55" s="208"/>
      <c r="W55" s="208"/>
      <c r="X55" s="208"/>
      <c r="Y55" s="208"/>
      <c r="Z55" s="208"/>
      <c r="AA55" s="208"/>
      <c r="AB55" s="208"/>
      <c r="AC55" s="208"/>
      <c r="AD55" s="208"/>
      <c r="AE55" s="208"/>
      <c r="AF55" s="208"/>
      <c r="AG55" s="354"/>
      <c r="AH55" s="10"/>
      <c r="AI55" s="10"/>
      <c r="AJ55" s="10"/>
      <c r="AK55" s="10"/>
      <c r="AL55" s="10"/>
      <c r="AM55" s="10"/>
      <c r="AN55" s="10"/>
    </row>
    <row r="56" spans="1:40" ht="15" customHeight="1">
      <c r="A56" s="1477"/>
      <c r="C56" s="323" t="s">
        <v>760</v>
      </c>
      <c r="D56" s="1150">
        <f>Assumptions!S19</f>
        <v>0.21</v>
      </c>
      <c r="E56" s="1150">
        <f>Assumptions!T19</f>
        <v>0.27</v>
      </c>
      <c r="F56" s="322" t="s">
        <v>761</v>
      </c>
      <c r="G56" s="732"/>
      <c r="H56" s="732"/>
      <c r="I56" s="732"/>
      <c r="J56" s="732"/>
      <c r="K56" s="732"/>
      <c r="L56" s="732"/>
      <c r="M56" s="732"/>
      <c r="N56" s="732"/>
      <c r="O56" s="732"/>
      <c r="P56" s="732"/>
      <c r="Q56" s="732"/>
      <c r="R56" s="732"/>
      <c r="S56" s="732"/>
      <c r="T56" s="732"/>
      <c r="U56" s="732"/>
      <c r="V56" s="732"/>
      <c r="W56" s="732"/>
      <c r="X56" s="732"/>
      <c r="Y56" s="732"/>
      <c r="Z56" s="732"/>
      <c r="AA56" s="732"/>
      <c r="AB56" s="732"/>
      <c r="AC56" s="732"/>
      <c r="AD56" s="732"/>
      <c r="AE56" s="732"/>
      <c r="AF56" s="732"/>
      <c r="AG56" s="354"/>
      <c r="AH56" s="10"/>
      <c r="AI56" s="10"/>
      <c r="AJ56" s="10"/>
      <c r="AK56" s="10"/>
      <c r="AL56" s="10"/>
      <c r="AM56" s="10"/>
      <c r="AN56" s="10"/>
    </row>
    <row r="57" spans="1:40" ht="15" customHeight="1">
      <c r="A57" s="1477"/>
      <c r="C57" s="307" t="s">
        <v>762</v>
      </c>
      <c r="D57" s="1150">
        <f>Assumptions!S20</f>
        <v>4.9558710727622086E-2</v>
      </c>
      <c r="E57" s="1150">
        <f>Assumptions!T20</f>
        <v>5.0164277127216043E-2</v>
      </c>
      <c r="F57" s="324" t="s">
        <v>763</v>
      </c>
      <c r="G57" s="266"/>
      <c r="H57" s="4"/>
      <c r="I57" s="208"/>
      <c r="J57" s="208"/>
      <c r="K57" s="208"/>
      <c r="L57" s="208"/>
      <c r="M57" s="208"/>
      <c r="N57" s="208"/>
      <c r="O57" s="208"/>
      <c r="P57" s="208"/>
      <c r="Q57" s="208"/>
      <c r="R57" s="208"/>
      <c r="S57" s="208"/>
      <c r="T57" s="208"/>
      <c r="U57" s="208"/>
      <c r="V57" s="208"/>
      <c r="W57" s="208"/>
      <c r="X57" s="208"/>
      <c r="Y57" s="208"/>
      <c r="Z57" s="208"/>
      <c r="AA57" s="208"/>
      <c r="AB57" s="208"/>
      <c r="AC57" s="208"/>
      <c r="AD57" s="208"/>
      <c r="AE57" s="208"/>
      <c r="AF57" s="208"/>
      <c r="AG57" s="354"/>
      <c r="AH57" s="10"/>
      <c r="AI57" s="10"/>
      <c r="AJ57" s="10"/>
      <c r="AK57" s="10"/>
      <c r="AL57" s="10"/>
      <c r="AM57" s="10"/>
      <c r="AN57" s="10"/>
    </row>
    <row r="58" spans="1:40" ht="15" customHeight="1">
      <c r="A58" s="1477"/>
      <c r="C58" s="323" t="s">
        <v>764</v>
      </c>
      <c r="D58" s="1150">
        <f>C50</f>
        <v>0.04</v>
      </c>
      <c r="E58" s="1150">
        <v>0.03</v>
      </c>
      <c r="F58" s="322" t="s">
        <v>765</v>
      </c>
      <c r="G58" s="266"/>
      <c r="H58" s="4"/>
      <c r="I58" s="208"/>
      <c r="J58" s="228"/>
      <c r="K58" s="228"/>
      <c r="L58" s="228"/>
      <c r="M58" s="228"/>
      <c r="N58" s="228"/>
      <c r="O58" s="208"/>
      <c r="P58" s="208"/>
      <c r="Q58" s="208"/>
      <c r="R58" s="208"/>
      <c r="S58" s="208"/>
      <c r="T58" s="208"/>
      <c r="U58" s="208"/>
      <c r="V58" s="208"/>
      <c r="W58" s="208"/>
      <c r="X58" s="208"/>
      <c r="Y58" s="208"/>
      <c r="Z58" s="208"/>
      <c r="AA58" s="208"/>
      <c r="AB58" s="208"/>
      <c r="AC58" s="208"/>
      <c r="AD58" s="208"/>
      <c r="AE58" s="208"/>
      <c r="AF58" s="208"/>
      <c r="AG58" s="354"/>
      <c r="AH58" s="10"/>
      <c r="AI58" s="10"/>
      <c r="AJ58" s="10"/>
      <c r="AK58" s="10"/>
      <c r="AL58" s="10"/>
      <c r="AM58" s="10"/>
      <c r="AN58" s="10"/>
    </row>
    <row r="59" spans="1:40" ht="15" hidden="1" customHeight="1">
      <c r="A59" s="1477"/>
      <c r="C59" s="307" t="s">
        <v>766</v>
      </c>
      <c r="D59" s="1150">
        <f>Assumptions!S22</f>
        <v>0</v>
      </c>
      <c r="E59" s="1150">
        <f>Assumptions!T22</f>
        <v>0</v>
      </c>
      <c r="F59" s="324" t="s">
        <v>767</v>
      </c>
      <c r="G59" s="266"/>
      <c r="H59" s="341"/>
      <c r="I59" s="581"/>
      <c r="J59" s="229"/>
      <c r="K59" s="229"/>
      <c r="L59" s="229"/>
      <c r="M59" s="229"/>
      <c r="N59" s="228"/>
      <c r="O59" s="208"/>
      <c r="P59" s="208"/>
      <c r="Q59" s="208"/>
      <c r="R59" s="208"/>
      <c r="S59" s="208"/>
      <c r="T59" s="208"/>
      <c r="U59" s="208"/>
      <c r="V59" s="208"/>
      <c r="W59" s="208"/>
      <c r="X59" s="208"/>
      <c r="Y59" s="208"/>
      <c r="Z59" s="208"/>
      <c r="AA59" s="208"/>
      <c r="AB59" s="208"/>
      <c r="AC59" s="208"/>
      <c r="AD59" s="208"/>
      <c r="AE59" s="208"/>
      <c r="AF59" s="208"/>
      <c r="AG59" s="354"/>
      <c r="AH59" s="10"/>
      <c r="AI59" s="10"/>
      <c r="AJ59" s="10"/>
      <c r="AK59" s="10"/>
      <c r="AL59" s="10"/>
      <c r="AM59" s="10"/>
      <c r="AN59" s="10"/>
    </row>
    <row r="60" spans="1:40" ht="15" customHeight="1">
      <c r="A60" s="1477"/>
      <c r="C60" s="318" t="s">
        <v>768</v>
      </c>
      <c r="D60" s="1150">
        <f>-Assumptions!S23</f>
        <v>0.1</v>
      </c>
      <c r="E60" s="1150">
        <f>-Assumptions!T23</f>
        <v>0.08</v>
      </c>
      <c r="F60" s="326" t="s">
        <v>769</v>
      </c>
      <c r="G60" s="266"/>
      <c r="H60" s="341"/>
      <c r="I60" s="581"/>
      <c r="J60" s="228"/>
      <c r="K60" s="228"/>
      <c r="L60" s="228"/>
      <c r="M60" s="228"/>
      <c r="N60" s="228"/>
      <c r="O60" s="208"/>
      <c r="P60" s="208"/>
      <c r="Q60" s="208"/>
      <c r="R60" s="208"/>
      <c r="S60" s="208"/>
      <c r="T60" s="208"/>
      <c r="U60" s="208"/>
      <c r="V60" s="208"/>
      <c r="W60" s="208"/>
      <c r="X60" s="208"/>
      <c r="Y60" s="208"/>
      <c r="Z60" s="208"/>
      <c r="AA60" s="208"/>
      <c r="AB60" s="208"/>
      <c r="AC60" s="208"/>
      <c r="AD60" s="208"/>
      <c r="AE60" s="208"/>
      <c r="AF60" s="208"/>
      <c r="AG60" s="354"/>
      <c r="AH60" s="10"/>
      <c r="AI60" s="10"/>
      <c r="AJ60" s="10"/>
      <c r="AK60" s="10"/>
      <c r="AL60" s="10"/>
      <c r="AM60" s="10"/>
      <c r="AN60" s="10"/>
    </row>
    <row r="61" spans="1:40" ht="15" hidden="1" customHeight="1">
      <c r="A61" s="1477"/>
      <c r="C61" s="327" t="s">
        <v>770</v>
      </c>
      <c r="D61" s="1150">
        <f>Assumptions!S24</f>
        <v>0</v>
      </c>
      <c r="E61" s="1150">
        <f>Assumptions!T24</f>
        <v>0</v>
      </c>
      <c r="F61" s="322" t="s">
        <v>771</v>
      </c>
      <c r="G61" s="266"/>
      <c r="H61" s="341"/>
      <c r="I61" s="581"/>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354"/>
      <c r="AH61" s="10"/>
      <c r="AI61" s="10"/>
      <c r="AJ61" s="10"/>
      <c r="AK61" s="10"/>
      <c r="AL61" s="10"/>
      <c r="AM61" s="10"/>
      <c r="AN61" s="10"/>
    </row>
    <row r="62" spans="1:40" ht="15" customHeight="1">
      <c r="A62" s="1477"/>
      <c r="C62" s="327" t="s">
        <v>772</v>
      </c>
      <c r="D62" s="1150">
        <f>Assumptions!S25</f>
        <v>0.02</v>
      </c>
      <c r="E62" s="1150">
        <f>Assumptions!T25</f>
        <v>2.5000000000000001E-2</v>
      </c>
      <c r="F62" s="322" t="s">
        <v>759</v>
      </c>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354"/>
      <c r="AH62" s="10"/>
      <c r="AI62" s="10"/>
      <c r="AJ62" s="10"/>
      <c r="AK62" s="10"/>
      <c r="AL62" s="10"/>
      <c r="AM62" s="10"/>
      <c r="AN62" s="10"/>
    </row>
    <row r="63" spans="1:40" ht="15" customHeight="1">
      <c r="A63" s="1477"/>
      <c r="C63" s="327" t="s">
        <v>773</v>
      </c>
      <c r="D63" s="1150">
        <f>-Assumptions!S26</f>
        <v>0</v>
      </c>
      <c r="E63" s="1150">
        <f>Assumptions!T26</f>
        <v>0.01</v>
      </c>
      <c r="F63" s="322" t="s">
        <v>759</v>
      </c>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c r="AF63" s="208"/>
      <c r="AG63" s="354"/>
      <c r="AH63" s="10"/>
      <c r="AI63" s="10"/>
      <c r="AJ63" s="10"/>
      <c r="AK63" s="10"/>
      <c r="AL63" s="10"/>
      <c r="AM63" s="10"/>
      <c r="AN63" s="10"/>
    </row>
    <row r="64" spans="1:40" ht="15" customHeight="1">
      <c r="A64" s="1477"/>
      <c r="C64" s="327" t="s">
        <v>146</v>
      </c>
      <c r="D64" s="1150">
        <f>Assumptions!S27</f>
        <v>0.34863794559782263</v>
      </c>
      <c r="E64" s="1150">
        <f>Assumptions!T27</f>
        <v>0.49557525883507908</v>
      </c>
      <c r="F64" s="322" t="s">
        <v>774</v>
      </c>
      <c r="G64" s="443"/>
      <c r="H64" s="208"/>
      <c r="I64" s="632"/>
      <c r="J64" s="632"/>
      <c r="K64" s="632"/>
      <c r="L64" s="632"/>
      <c r="M64" s="632"/>
      <c r="N64" s="632"/>
      <c r="O64" s="632"/>
      <c r="P64" s="632"/>
      <c r="Q64" s="632"/>
      <c r="R64" s="632"/>
      <c r="S64" s="632"/>
      <c r="T64" s="632"/>
      <c r="U64" s="632"/>
      <c r="V64" s="632"/>
      <c r="W64" s="632"/>
      <c r="X64" s="632"/>
      <c r="Y64" s="632"/>
      <c r="Z64" s="632"/>
      <c r="AA64" s="632"/>
      <c r="AB64" s="632"/>
      <c r="AC64" s="632"/>
      <c r="AD64" s="632"/>
      <c r="AE64" s="632"/>
      <c r="AF64" s="632"/>
      <c r="AG64" s="633"/>
    </row>
    <row r="65" spans="1:33" ht="15" customHeight="1">
      <c r="A65" s="1477"/>
      <c r="C65" s="327" t="s">
        <v>775</v>
      </c>
      <c r="D65" s="1150">
        <f>Assumptions!S28</f>
        <v>0</v>
      </c>
      <c r="E65" s="1150">
        <f>Assumptions!T28</f>
        <v>1.6169953775659791E-2</v>
      </c>
      <c r="F65" s="322" t="s">
        <v>774</v>
      </c>
      <c r="G65" s="208"/>
      <c r="I65" s="208"/>
      <c r="J65" s="208"/>
      <c r="K65" s="208"/>
      <c r="L65" s="208"/>
      <c r="M65" s="208"/>
      <c r="N65" s="208"/>
      <c r="O65" s="208"/>
      <c r="P65" s="208"/>
      <c r="Q65" s="208"/>
      <c r="R65" s="208"/>
      <c r="S65" s="208"/>
      <c r="T65" s="208"/>
      <c r="U65" s="208"/>
      <c r="V65" s="208"/>
      <c r="W65" s="208"/>
      <c r="X65" s="208"/>
      <c r="Y65" s="208"/>
      <c r="Z65" s="208"/>
      <c r="AA65" s="208"/>
      <c r="AB65" s="208"/>
      <c r="AC65" s="208"/>
      <c r="AD65" s="208"/>
      <c r="AE65" s="208"/>
      <c r="AF65" s="208"/>
      <c r="AG65" s="633"/>
    </row>
    <row r="66" spans="1:33" ht="15" customHeight="1">
      <c r="A66" s="1477"/>
      <c r="C66" s="327" t="s">
        <v>776</v>
      </c>
      <c r="D66" s="1150">
        <f>Assumptions!S29</f>
        <v>0</v>
      </c>
      <c r="E66" s="1150">
        <f>Assumptions!T29</f>
        <v>1.8748633709571461E-3</v>
      </c>
      <c r="F66" s="322" t="s">
        <v>759</v>
      </c>
      <c r="G66" s="208"/>
      <c r="I66" s="208"/>
      <c r="J66" s="208"/>
      <c r="K66" s="208"/>
      <c r="L66" s="208"/>
      <c r="M66" s="208"/>
      <c r="N66" s="208"/>
      <c r="O66" s="208"/>
      <c r="P66" s="208"/>
      <c r="Q66" s="208"/>
      <c r="R66" s="208"/>
      <c r="S66" s="208"/>
      <c r="T66" s="208"/>
      <c r="U66" s="208"/>
      <c r="V66" s="208"/>
      <c r="W66" s="208"/>
      <c r="X66" s="208"/>
      <c r="Y66" s="208"/>
      <c r="Z66" s="208"/>
      <c r="AA66" s="208"/>
      <c r="AB66" s="208"/>
      <c r="AC66" s="208"/>
      <c r="AD66" s="208"/>
      <c r="AE66" s="208"/>
      <c r="AF66" s="208"/>
      <c r="AG66" s="208"/>
    </row>
    <row r="67" spans="1:33" ht="15.75" customHeight="1">
      <c r="A67" s="1477"/>
      <c r="C67" s="323" t="s">
        <v>307</v>
      </c>
      <c r="D67" s="888"/>
      <c r="E67" s="889"/>
      <c r="F67" s="656" t="s">
        <v>777</v>
      </c>
      <c r="G67" s="938">
        <v>2.2412511809887401</v>
      </c>
      <c r="H67" s="938">
        <v>2.2055380798671389</v>
      </c>
      <c r="I67" s="938">
        <v>2.1703940473098009</v>
      </c>
      <c r="J67" s="938">
        <v>2.1358100155230986</v>
      </c>
      <c r="K67" s="938">
        <v>2.1017770612036912</v>
      </c>
      <c r="L67" s="938">
        <v>2.0682864032361543</v>
      </c>
      <c r="M67" s="938">
        <v>2.0353294004272939</v>
      </c>
      <c r="N67" s="938">
        <v>2.0028975492765615</v>
      </c>
      <c r="O67" s="938">
        <v>1.9709824817819992</v>
      </c>
      <c r="P67" s="938">
        <v>1.9395759632811433</v>
      </c>
      <c r="Q67" s="938">
        <v>1.9086698903263348</v>
      </c>
      <c r="R67" s="938">
        <v>1.8782562885938816</v>
      </c>
      <c r="S67" s="938">
        <v>1.8483273108265406</v>
      </c>
      <c r="T67" s="938">
        <v>1.8188752348087835</v>
      </c>
      <c r="U67" s="938">
        <v>1.7898924613743272</v>
      </c>
      <c r="V67" s="938">
        <v>1.7613715124454101</v>
      </c>
      <c r="W67" s="938">
        <v>1.7333050291033147</v>
      </c>
      <c r="X67" s="938">
        <v>1.7056857696896328</v>
      </c>
      <c r="Y67" s="938">
        <v>1.6785066079377888</v>
      </c>
      <c r="Z67" s="938">
        <v>1.6517605311343333</v>
      </c>
      <c r="AA67" s="938">
        <v>1.625440638309537</v>
      </c>
      <c r="AB67" s="938">
        <v>1.5995401384568155</v>
      </c>
      <c r="AC67" s="938">
        <v>1.5740523487805289</v>
      </c>
      <c r="AD67" s="938">
        <v>1.5489706929716984</v>
      </c>
      <c r="AE67" s="938">
        <v>1.5242886995112008</v>
      </c>
      <c r="AF67" s="938">
        <v>1.4999999999999998</v>
      </c>
      <c r="AG67" s="208"/>
    </row>
    <row r="68" spans="1:33" ht="15.75" customHeight="1">
      <c r="A68" s="1477"/>
      <c r="C68" s="208"/>
      <c r="D68" s="208"/>
      <c r="E68" s="208"/>
      <c r="F68" s="530"/>
      <c r="G68" s="208"/>
      <c r="H68" s="208"/>
      <c r="J68" s="208"/>
      <c r="K68" s="633"/>
      <c r="L68" s="208"/>
      <c r="M68" s="208"/>
      <c r="N68" s="208"/>
      <c r="O68" s="208"/>
      <c r="P68" s="208"/>
      <c r="Q68" s="208"/>
      <c r="R68" s="208"/>
      <c r="S68" s="208"/>
      <c r="T68" s="208"/>
      <c r="U68" s="208"/>
      <c r="V68" s="208"/>
      <c r="W68" s="208"/>
      <c r="X68" s="208"/>
      <c r="Y68" s="208"/>
      <c r="Z68" s="208"/>
      <c r="AA68" s="208"/>
      <c r="AB68" s="208"/>
      <c r="AC68" s="208"/>
      <c r="AD68" s="208"/>
      <c r="AE68" s="208"/>
      <c r="AF68" s="208"/>
      <c r="AG68" s="208"/>
    </row>
    <row r="69" spans="1:33" ht="15">
      <c r="A69" s="208"/>
      <c r="C69" s="267"/>
      <c r="D69" t="s">
        <v>778</v>
      </c>
      <c r="E69" s="2"/>
      <c r="G69" s="208"/>
      <c r="H69" s="208"/>
      <c r="I69" s="208"/>
      <c r="J69" s="208"/>
      <c r="K69" s="208"/>
      <c r="L69" s="208"/>
      <c r="M69" s="208"/>
      <c r="N69" s="208"/>
      <c r="O69" s="208"/>
      <c r="P69" s="208"/>
      <c r="Q69" s="208"/>
      <c r="R69" s="208"/>
      <c r="S69" s="208"/>
      <c r="T69" s="208"/>
      <c r="U69" s="208"/>
      <c r="V69" s="208"/>
      <c r="W69" s="208"/>
      <c r="X69" s="208"/>
      <c r="Y69" s="208"/>
      <c r="Z69" s="208"/>
      <c r="AA69" s="208"/>
      <c r="AB69" s="208"/>
      <c r="AC69" s="208"/>
      <c r="AD69" s="208"/>
      <c r="AE69" s="208"/>
      <c r="AF69" s="208"/>
      <c r="AG69" s="208"/>
    </row>
    <row r="70" spans="1:33" ht="15">
      <c r="A70" s="1459" t="s">
        <v>120</v>
      </c>
      <c r="C70" s="267" t="s">
        <v>779</v>
      </c>
      <c r="D70" s="721">
        <f>SUMPRODUCT(G35:AF35,G45:AF45)+((AF43-AF44)*AF45)</f>
        <v>34430.91849796832</v>
      </c>
      <c r="E70" s="279">
        <f>D70/D72</f>
        <v>0.67012157061042388</v>
      </c>
      <c r="G70" s="208"/>
      <c r="H70" s="208"/>
      <c r="I70" s="208"/>
      <c r="J70" s="208"/>
      <c r="K70" s="208"/>
      <c r="L70" s="208"/>
      <c r="M70" s="208"/>
      <c r="N70" s="208"/>
      <c r="O70" s="208"/>
      <c r="P70" s="208"/>
      <c r="Q70" s="208"/>
      <c r="R70" s="208"/>
      <c r="S70" s="208"/>
      <c r="T70" s="208"/>
      <c r="U70" s="208"/>
      <c r="V70" s="208"/>
      <c r="W70" s="208"/>
      <c r="X70" s="208"/>
      <c r="Y70" s="208"/>
      <c r="Z70" s="208"/>
      <c r="AA70" s="208"/>
      <c r="AB70" s="208"/>
      <c r="AC70" s="208"/>
      <c r="AD70" s="208"/>
      <c r="AE70" s="208"/>
      <c r="AF70" s="208"/>
      <c r="AG70" s="208"/>
    </row>
    <row r="71" spans="1:33" ht="15">
      <c r="A71" s="1460"/>
      <c r="C71" s="267" t="s">
        <v>780</v>
      </c>
      <c r="D71" s="721">
        <f>(AF34/(F50-AF5))*AF45</f>
        <v>16949.189243683206</v>
      </c>
      <c r="E71" s="279">
        <f>D71/D72</f>
        <v>0.32987842938957612</v>
      </c>
      <c r="G71" s="208"/>
      <c r="H71" s="208"/>
      <c r="I71" s="443"/>
      <c r="J71" s="450"/>
      <c r="K71" s="208"/>
      <c r="L71" s="208"/>
      <c r="M71" s="208"/>
      <c r="N71" s="208"/>
      <c r="O71" s="208"/>
      <c r="P71" s="208"/>
      <c r="Q71" s="208"/>
      <c r="R71" s="208"/>
      <c r="S71" s="208"/>
      <c r="T71" s="208"/>
      <c r="U71" s="208"/>
      <c r="V71" s="208"/>
      <c r="W71" s="208"/>
      <c r="X71" s="208"/>
      <c r="Y71" s="208"/>
      <c r="Z71" s="208"/>
      <c r="AA71" s="208"/>
      <c r="AB71" s="208"/>
      <c r="AC71" s="208"/>
      <c r="AD71" s="208"/>
      <c r="AE71" s="208"/>
      <c r="AF71" s="208"/>
      <c r="AG71" s="208"/>
    </row>
    <row r="72" spans="1:33" ht="15">
      <c r="A72" s="1460"/>
      <c r="C72" s="267" t="s">
        <v>781</v>
      </c>
      <c r="D72" s="721">
        <f>D70+D71</f>
        <v>51380.107741651525</v>
      </c>
      <c r="E72" s="2"/>
      <c r="G72" s="208"/>
      <c r="H72" s="632"/>
      <c r="I72" s="443"/>
      <c r="J72" s="450"/>
      <c r="K72" s="208"/>
      <c r="L72" s="208"/>
      <c r="M72" s="208"/>
      <c r="N72" s="208"/>
      <c r="O72" s="208"/>
      <c r="P72" s="208"/>
      <c r="Q72" s="208"/>
      <c r="R72" s="208"/>
      <c r="S72" s="208"/>
      <c r="T72" s="208"/>
      <c r="U72" s="208"/>
      <c r="V72" s="208"/>
      <c r="W72" s="208"/>
      <c r="X72" s="208"/>
      <c r="Y72" s="208"/>
      <c r="Z72" s="208"/>
      <c r="AA72" s="208"/>
      <c r="AB72" s="208"/>
      <c r="AC72" s="208"/>
      <c r="AD72" s="208"/>
      <c r="AE72" s="208"/>
      <c r="AF72" s="208"/>
      <c r="AG72" s="208"/>
    </row>
    <row r="73" spans="1:33" ht="15">
      <c r="A73" s="1460"/>
      <c r="C73" s="735" t="s">
        <v>782</v>
      </c>
      <c r="D73" s="723">
        <f>OP!C19</f>
        <v>105.92</v>
      </c>
      <c r="E73" s="753"/>
      <c r="G73" s="632"/>
      <c r="H73" s="208"/>
      <c r="I73" s="443"/>
      <c r="J73" s="450"/>
      <c r="K73" s="632"/>
      <c r="L73" s="632"/>
      <c r="M73" s="632"/>
      <c r="N73" s="632"/>
      <c r="O73" s="632"/>
      <c r="P73" s="632"/>
      <c r="Q73" s="632"/>
      <c r="R73" s="632"/>
      <c r="S73" s="632"/>
      <c r="T73" s="632"/>
      <c r="U73" s="632"/>
      <c r="V73" s="632"/>
      <c r="W73" s="632"/>
      <c r="X73" s="632"/>
      <c r="Y73" s="632"/>
      <c r="Z73" s="632"/>
      <c r="AA73" s="632"/>
      <c r="AB73" s="632"/>
      <c r="AC73" s="632"/>
      <c r="AD73" s="632"/>
      <c r="AE73" s="632"/>
      <c r="AF73" s="632"/>
      <c r="AG73" s="633"/>
    </row>
    <row r="74" spans="1:33" ht="15">
      <c r="A74" s="1460"/>
      <c r="C74" s="735" t="s">
        <v>783</v>
      </c>
      <c r="D74" s="303">
        <f ca="1">D75/D73-1</f>
        <v>-7.4285890022152801E-2</v>
      </c>
      <c r="E74" s="147"/>
      <c r="G74" s="208"/>
      <c r="H74" s="208"/>
      <c r="I74" s="443"/>
      <c r="J74" s="450"/>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208"/>
    </row>
    <row r="75" spans="1:33" ht="15">
      <c r="A75" s="1461"/>
      <c r="C75" s="304" t="s">
        <v>784</v>
      </c>
      <c r="D75" s="722">
        <f ca="1">D72*1000000/OP!C20</f>
        <v>98.051638528853573</v>
      </c>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208"/>
    </row>
    <row r="76" spans="1:33" ht="15">
      <c r="A76" s="297"/>
      <c r="H76" s="636"/>
    </row>
    <row r="77" spans="1:33" ht="15">
      <c r="A77" s="1456" t="s">
        <v>785</v>
      </c>
      <c r="C77" s="890" t="s">
        <v>786</v>
      </c>
      <c r="D77" s="723">
        <f ca="1">(SUMPRODUCT(G35:AF35,G45:AF45)+((AF43-AF44)*AF45)+(AF34/(F50+0.001-AF5))*AF45)*1000000/OP!C20</f>
        <v>97.611568861955973</v>
      </c>
      <c r="E77" s="305">
        <f ca="1">D77/D75-1</f>
        <v>-4.4881418964569653E-3</v>
      </c>
      <c r="G77" s="636"/>
      <c r="I77" s="636"/>
      <c r="J77" s="636"/>
      <c r="K77" s="636"/>
      <c r="L77" s="636"/>
      <c r="M77" s="636"/>
      <c r="N77" s="636"/>
      <c r="O77" s="636"/>
      <c r="P77" s="636"/>
      <c r="Q77" s="636"/>
      <c r="R77" s="636"/>
      <c r="S77" s="636"/>
      <c r="T77" s="636"/>
      <c r="U77" s="636"/>
      <c r="V77" s="636"/>
      <c r="W77" s="636"/>
      <c r="X77" s="636"/>
      <c r="Y77" s="636"/>
      <c r="Z77" s="636"/>
      <c r="AA77" s="636"/>
      <c r="AB77" s="636"/>
      <c r="AC77" s="636"/>
      <c r="AD77" s="636"/>
      <c r="AE77" s="636"/>
      <c r="AF77" s="636"/>
      <c r="AG77" s="636"/>
    </row>
    <row r="78" spans="1:33" ht="15">
      <c r="A78" s="1457"/>
      <c r="C78" s="890" t="s">
        <v>787</v>
      </c>
      <c r="D78" s="723">
        <f ca="1">(SUMPRODUCT(G35:AF35,G45:AF45)+((AF43-AF44)*AF45)+(AF34/(F50+0.005-AF5))*AF45)*1000000/OP!C20</f>
        <v>95.964856560016614</v>
      </c>
      <c r="E78" s="305">
        <f ca="1">D78/D75-1</f>
        <v>-2.1282479315456682E-2</v>
      </c>
    </row>
    <row r="79" spans="1:33" ht="15">
      <c r="A79" s="317"/>
    </row>
    <row r="80" spans="1:33" ht="15">
      <c r="A80" s="328" t="s">
        <v>788</v>
      </c>
      <c r="C80" s="304" t="s">
        <v>789</v>
      </c>
      <c r="D80" s="722">
        <f ca="1">IF(D74&lt;15%,D75/1.15,D73)</f>
        <v>85.262294372916159</v>
      </c>
      <c r="H80" s="1"/>
      <c r="J80" s="5"/>
    </row>
    <row r="81" spans="1:12">
      <c r="G81" s="1"/>
      <c r="H81" s="1"/>
      <c r="I81" s="1"/>
      <c r="J81" s="4"/>
    </row>
    <row r="82" spans="1:12">
      <c r="G82" s="1"/>
      <c r="H82" s="1"/>
      <c r="I82" s="1"/>
      <c r="J82" s="4"/>
    </row>
    <row r="83" spans="1:12">
      <c r="D83" s="258"/>
      <c r="E83" s="258"/>
      <c r="F83" s="258"/>
      <c r="G83" s="1"/>
      <c r="I83" s="1"/>
      <c r="K83" s="4"/>
    </row>
    <row r="84" spans="1:12">
      <c r="D84" s="258"/>
      <c r="E84" s="258"/>
      <c r="F84" s="258"/>
      <c r="H84" s="1"/>
      <c r="L84" s="5"/>
    </row>
    <row r="85" spans="1:12">
      <c r="A85" s="10"/>
      <c r="G85" s="1"/>
      <c r="H85" s="1"/>
      <c r="I85" s="1"/>
    </row>
    <row r="86" spans="1:12">
      <c r="C86" s="10"/>
      <c r="D86" s="258"/>
      <c r="E86" s="258"/>
      <c r="F86" s="258"/>
      <c r="G86" s="1"/>
      <c r="H86" s="1"/>
      <c r="I86" s="1"/>
    </row>
    <row r="87" spans="1:12">
      <c r="C87" s="10"/>
      <c r="D87" s="258"/>
      <c r="E87" s="258"/>
      <c r="F87" s="258"/>
      <c r="G87" s="1"/>
      <c r="I87" s="1"/>
    </row>
    <row r="91" spans="1:12">
      <c r="H91" s="746"/>
    </row>
    <row r="92" spans="1:12">
      <c r="H92" s="746"/>
    </row>
  </sheetData>
  <mergeCells count="15">
    <mergeCell ref="A33:AF33"/>
    <mergeCell ref="A77:A78"/>
    <mergeCell ref="A1:AF2"/>
    <mergeCell ref="A70:A75"/>
    <mergeCell ref="A5:A17"/>
    <mergeCell ref="A19:A32"/>
    <mergeCell ref="A43:A47"/>
    <mergeCell ref="G3:J3"/>
    <mergeCell ref="K3:AF3"/>
    <mergeCell ref="A42:AF42"/>
    <mergeCell ref="A48:AF48"/>
    <mergeCell ref="A34:A36"/>
    <mergeCell ref="A38:A41"/>
    <mergeCell ref="A49:A50"/>
    <mergeCell ref="A52:A68"/>
  </mergeCells>
  <phoneticPr fontId="0" type="noConversion"/>
  <conditionalFormatting sqref="D74">
    <cfRule type="cellIs" dxfId="2" priority="4" operator="lessThan">
      <formula>0</formula>
    </cfRule>
    <cfRule type="cellIs" dxfId="1" priority="5" operator="greaterThan">
      <formula>0%</formula>
    </cfRule>
  </conditionalFormatting>
  <conditionalFormatting sqref="G43:AF43">
    <cfRule type="cellIs" dxfId="0" priority="3" operator="lessThan">
      <formula>0</formula>
    </cfRule>
  </conditionalFormatting>
  <pageMargins left="0.75" right="0.75" top="1" bottom="1" header="0" footer="0"/>
  <pageSetup orientation="portrait" r:id="rId1"/>
  <headerFooter alignWithMargins="0"/>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4465F-F60F-4DA4-8EB4-9D275D264FB2}">
  <dimension ref="A1:FF1943"/>
  <sheetViews>
    <sheetView showGridLines="0" topLeftCell="A37" zoomScale="80" zoomScaleNormal="80" workbookViewId="0">
      <selection activeCell="C37" sqref="C37"/>
    </sheetView>
  </sheetViews>
  <sheetFormatPr defaultColWidth="9.28515625" defaultRowHeight="12.75" outlineLevelRow="1"/>
  <cols>
    <col min="1" max="1" width="9.28515625" style="443"/>
    <col min="2" max="2" width="33.28515625" style="748" bestFit="1" customWidth="1"/>
    <col min="3" max="3" width="22.7109375" style="748" bestFit="1" customWidth="1"/>
    <col min="4" max="4" width="17.28515625" style="748" bestFit="1" customWidth="1"/>
    <col min="5" max="9" width="16.7109375" style="748" bestFit="1" customWidth="1"/>
    <col min="10" max="10" width="31.7109375" style="748" customWidth="1"/>
    <col min="11" max="11" width="25.7109375" style="748" customWidth="1"/>
    <col min="12" max="12" width="18.5703125" style="443" bestFit="1" customWidth="1"/>
    <col min="13" max="13" width="13.7109375" style="443" bestFit="1" customWidth="1"/>
    <col min="14" max="14" width="31" style="443" bestFit="1" customWidth="1"/>
    <col min="15" max="15" width="17.42578125" style="443" bestFit="1" customWidth="1"/>
    <col min="16" max="16" width="17.85546875" style="443" bestFit="1" customWidth="1"/>
    <col min="17" max="17" width="23.42578125" style="443" bestFit="1" customWidth="1"/>
    <col min="18" max="18" width="26.28515625" style="443" bestFit="1" customWidth="1"/>
    <col min="19" max="19" width="18.140625" style="443" bestFit="1" customWidth="1"/>
    <col min="20" max="20" width="21.5703125" style="443" bestFit="1" customWidth="1"/>
    <col min="21" max="24" width="15.28515625" style="443" bestFit="1" customWidth="1"/>
    <col min="25" max="25" width="16.7109375" style="443" bestFit="1" customWidth="1"/>
    <col min="26" max="26" width="19" style="443" customWidth="1"/>
    <col min="27" max="27" width="16.7109375" style="443" bestFit="1" customWidth="1"/>
    <col min="28" max="28" width="16.85546875" style="443" bestFit="1" customWidth="1"/>
    <col min="29" max="29" width="13.140625" style="443" bestFit="1" customWidth="1"/>
    <col min="30" max="31" width="12" style="443" bestFit="1" customWidth="1"/>
    <col min="32" max="44" width="13.140625" style="443" bestFit="1" customWidth="1"/>
    <col min="45" max="45" width="15.5703125" style="443" bestFit="1" customWidth="1"/>
    <col min="46" max="46" width="17.140625" style="443" bestFit="1" customWidth="1"/>
    <col min="47" max="146" width="13.140625" style="443" bestFit="1" customWidth="1"/>
    <col min="147" max="147" width="15.140625" style="443" bestFit="1" customWidth="1"/>
    <col min="148" max="16384" width="9.28515625" style="443"/>
  </cols>
  <sheetData>
    <row r="1" spans="1:36">
      <c r="B1" s="443"/>
      <c r="C1" s="443"/>
      <c r="D1" s="443"/>
      <c r="E1" s="443"/>
      <c r="F1" s="443"/>
      <c r="G1" s="443"/>
      <c r="H1" s="443"/>
      <c r="I1" s="443"/>
      <c r="J1" s="443"/>
      <c r="K1" s="443"/>
    </row>
    <row r="2" spans="1:36" s="442" customFormat="1" ht="12.6" customHeight="1">
      <c r="A2" s="439"/>
      <c r="B2" s="440" t="s">
        <v>790</v>
      </c>
      <c r="C2" s="441"/>
      <c r="D2" s="439"/>
      <c r="E2" s="439"/>
      <c r="F2" s="439"/>
      <c r="G2" s="439"/>
      <c r="H2" s="439"/>
      <c r="I2" s="439"/>
      <c r="J2" s="439"/>
      <c r="K2" s="439"/>
      <c r="L2" s="439"/>
      <c r="M2" s="439"/>
      <c r="N2" s="439"/>
      <c r="O2" s="439"/>
      <c r="P2" s="439"/>
      <c r="Q2" s="439"/>
      <c r="R2" s="439"/>
      <c r="S2" s="439"/>
      <c r="T2" s="439"/>
      <c r="U2" s="439"/>
      <c r="V2" s="439"/>
      <c r="W2" s="439"/>
      <c r="X2" s="439"/>
      <c r="Y2" s="439"/>
      <c r="Z2" s="439"/>
      <c r="AA2" s="439"/>
      <c r="AB2" s="439"/>
      <c r="AC2" s="439"/>
      <c r="AD2" s="439"/>
      <c r="AE2" s="439"/>
      <c r="AF2" s="439"/>
      <c r="AG2" s="439"/>
      <c r="AH2" s="439"/>
      <c r="AI2" s="439"/>
    </row>
    <row r="3" spans="1:36" ht="12.6" customHeight="1">
      <c r="B3" s="443"/>
      <c r="C3" s="444"/>
      <c r="D3" s="443"/>
      <c r="E3" s="443"/>
      <c r="F3" s="443"/>
      <c r="G3" s="443"/>
      <c r="H3" s="443"/>
      <c r="I3" s="443"/>
      <c r="J3" s="443"/>
      <c r="K3" s="443"/>
    </row>
    <row r="4" spans="1:36">
      <c r="B4" s="443" t="s">
        <v>791</v>
      </c>
      <c r="C4" s="443"/>
      <c r="D4" s="443"/>
      <c r="E4" s="443"/>
      <c r="F4" s="445"/>
      <c r="G4" s="446"/>
      <c r="H4" s="446"/>
      <c r="I4" s="446"/>
      <c r="J4" s="446"/>
      <c r="K4" s="446"/>
      <c r="L4" s="446"/>
    </row>
    <row r="5" spans="1:36">
      <c r="B5" s="443" t="s">
        <v>792</v>
      </c>
      <c r="C5" s="443"/>
      <c r="D5" s="443"/>
      <c r="E5" s="443"/>
      <c r="F5" s="443"/>
      <c r="G5" s="443"/>
      <c r="H5" s="443"/>
      <c r="I5" s="443"/>
      <c r="J5" s="443"/>
      <c r="K5" s="443"/>
    </row>
    <row r="6" spans="1:36">
      <c r="B6" s="443"/>
      <c r="C6" s="443"/>
      <c r="D6" s="443"/>
      <c r="E6" s="443"/>
      <c r="F6" s="443"/>
      <c r="G6" s="443"/>
      <c r="H6" s="443"/>
      <c r="I6" s="443"/>
      <c r="J6" s="443"/>
      <c r="K6" s="443"/>
    </row>
    <row r="7" spans="1:36">
      <c r="B7" s="446"/>
      <c r="C7" s="458">
        <f>OP!J19</f>
        <v>2023</v>
      </c>
      <c r="D7" s="458">
        <f>C7-1</f>
        <v>2022</v>
      </c>
      <c r="E7" s="458">
        <f t="shared" ref="E7:G7" si="0">D7-1</f>
        <v>2021</v>
      </c>
      <c r="F7" s="458">
        <f t="shared" si="0"/>
        <v>2020</v>
      </c>
      <c r="G7" s="458">
        <f t="shared" si="0"/>
        <v>2019</v>
      </c>
      <c r="H7" s="458">
        <f t="shared" ref="H7" si="1">G7-1</f>
        <v>2018</v>
      </c>
      <c r="I7" s="458">
        <f t="shared" ref="I7" si="2">H7-1</f>
        <v>2017</v>
      </c>
      <c r="J7" s="458">
        <f t="shared" ref="J7" si="3">I7-1</f>
        <v>2016</v>
      </c>
      <c r="K7" s="458">
        <f t="shared" ref="K7:L7" si="4">J7-1</f>
        <v>2015</v>
      </c>
      <c r="L7" s="458">
        <f t="shared" si="4"/>
        <v>2014</v>
      </c>
      <c r="N7" s="445" t="s">
        <v>793</v>
      </c>
      <c r="O7" s="458" t="s">
        <v>794</v>
      </c>
      <c r="P7" s="445" t="s">
        <v>795</v>
      </c>
      <c r="Q7" s="445" t="s">
        <v>796</v>
      </c>
      <c r="S7" s="454" t="s">
        <v>797</v>
      </c>
      <c r="T7" s="454" t="s">
        <v>798</v>
      </c>
      <c r="V7" s="679"/>
    </row>
    <row r="8" spans="1:36">
      <c r="B8" s="647" t="s">
        <v>799</v>
      </c>
      <c r="C8" s="259">
        <f>(Inputs!B6-Inputs!C6)/Inputs!C6</f>
        <v>0.21884108258154059</v>
      </c>
      <c r="D8" s="259">
        <f>(Inputs!C6-Inputs!D6)/Inputs!D6</f>
        <v>0.22523594932403707</v>
      </c>
      <c r="E8" s="259">
        <f>(Inputs!D6-Inputs!E6)/Inputs!E6</f>
        <v>0.25591328955096376</v>
      </c>
      <c r="F8" s="259">
        <f>(Inputs!E6-Inputs!F6)/Inputs!F6</f>
        <v>-0.26839843749999998</v>
      </c>
      <c r="G8" s="259">
        <f>(Inputs!F6-Inputs!G6)/Inputs!G6</f>
        <v>8.95471569628873E-2</v>
      </c>
      <c r="H8" s="259">
        <f>(Inputs!G6-Inputs!H6)/Inputs!H6</f>
        <v>0.20764802631578946</v>
      </c>
      <c r="I8" s="259">
        <f>(Inputs!H6-Inputs!I6)/Inputs!I6</f>
        <v>0.14225327305818117</v>
      </c>
      <c r="J8" s="259">
        <f>(Inputs!I6-Inputs!J6)/Inputs!J6</f>
        <v>-0.10891969657337169</v>
      </c>
      <c r="K8" s="259">
        <f>(Inputs!J6-Inputs!K6)/Inputs!K6</f>
        <v>6.2115070800652736E-3</v>
      </c>
      <c r="L8" s="259">
        <f>(Inputs!K6-Inputs!L6)/Inputs!L6</f>
        <v>2.8896396396396398</v>
      </c>
      <c r="N8" s="450">
        <f>AVERAGE(C8:E8)</f>
        <v>0.2333301071521805</v>
      </c>
      <c r="O8" s="447">
        <f>AVERAGE(C8:G8)</f>
        <v>0.10422780818388577</v>
      </c>
      <c r="P8" s="450">
        <f>AVERAGE(C8:L8)</f>
        <v>0.3657971790439733</v>
      </c>
      <c r="Q8" s="450">
        <f>AVERAGE(C8,F8:L8)</f>
        <v>0.39710281894559152</v>
      </c>
      <c r="S8" s="455"/>
      <c r="T8" s="455"/>
      <c r="X8" s="538">
        <v>0.16</v>
      </c>
      <c r="Y8" s="450"/>
      <c r="Z8" s="450"/>
      <c r="AA8" s="450"/>
      <c r="AB8" s="450"/>
      <c r="AC8" s="450"/>
      <c r="AD8" s="450"/>
      <c r="AE8" s="450"/>
      <c r="AF8" s="450"/>
      <c r="AG8" s="450"/>
      <c r="AH8" s="450"/>
    </row>
    <row r="9" spans="1:36" ht="10.5" customHeight="1">
      <c r="B9" s="647" t="s">
        <v>135</v>
      </c>
      <c r="C9" s="259">
        <f>Inputs!B8/Inputs!B6</f>
        <v>0.16645315569220259</v>
      </c>
      <c r="D9" s="259">
        <f>Inputs!C8/Inputs!C6</f>
        <v>0.13514920194309507</v>
      </c>
      <c r="E9" s="259">
        <f>Inputs!D8/Inputs!D6</f>
        <v>0.10377518918459315</v>
      </c>
      <c r="F9" s="259">
        <f>Inputs!E8/Inputs!E6</f>
        <v>9.3971915211703769E-2</v>
      </c>
      <c r="G9" s="259">
        <f>Inputs!F8/Inputs!F6</f>
        <v>0.12523437500000001</v>
      </c>
      <c r="H9" s="259">
        <f>Inputs!G8/Inputs!G6</f>
        <v>0.12244637385086823</v>
      </c>
      <c r="I9" s="259">
        <f>Inputs!H8/Inputs!H6</f>
        <v>0.11790707236842106</v>
      </c>
      <c r="J9" s="259">
        <f>Inputs!I8/Inputs!I6</f>
        <v>7.2975987788410732E-2</v>
      </c>
      <c r="K9" s="259">
        <f>Inputs!J8/Inputs!J6</f>
        <v>0.12780538843839917</v>
      </c>
      <c r="L9" s="259">
        <f>Inputs!K8/Inputs!K6</f>
        <v>0.1123335263462652</v>
      </c>
      <c r="N9" s="450">
        <f>AVERAGE(C9:E9)</f>
        <v>0.1351258489399636</v>
      </c>
      <c r="O9" s="447">
        <f>AVERAGE(C9:G9)</f>
        <v>0.12491676740631892</v>
      </c>
      <c r="P9" s="450">
        <f>AVERAGE(C9:L9)</f>
        <v>0.1178052185823959</v>
      </c>
      <c r="Q9" s="450">
        <f t="shared" ref="Q9:Q10" si="5">AVERAGE(C9,F9:L9)</f>
        <v>0.11739097433703385</v>
      </c>
      <c r="S9" s="455">
        <v>0.15</v>
      </c>
      <c r="T9" s="455">
        <v>0.12</v>
      </c>
    </row>
    <row r="10" spans="1:36">
      <c r="B10" s="443"/>
      <c r="C10" s="443"/>
      <c r="D10" s="443"/>
      <c r="E10" s="443"/>
      <c r="F10" s="443"/>
      <c r="G10" s="443"/>
      <c r="H10" s="443"/>
      <c r="I10" s="443"/>
      <c r="J10" s="443"/>
      <c r="K10" s="443"/>
      <c r="Q10" s="450" t="e">
        <f t="shared" si="5"/>
        <v>#DIV/0!</v>
      </c>
    </row>
    <row r="11" spans="1:36">
      <c r="B11" s="443"/>
      <c r="C11" s="443"/>
      <c r="D11" s="443"/>
      <c r="E11" s="443"/>
      <c r="F11" s="443"/>
      <c r="G11" s="443"/>
      <c r="H11" s="443"/>
      <c r="I11" s="443"/>
      <c r="J11" s="443"/>
      <c r="K11" s="443"/>
    </row>
    <row r="12" spans="1:36" s="442" customFormat="1" ht="13.5">
      <c r="A12" s="439"/>
      <c r="B12" s="441" t="s">
        <v>800</v>
      </c>
      <c r="C12" s="441"/>
      <c r="D12" s="439"/>
      <c r="E12" s="439"/>
      <c r="F12" s="439"/>
      <c r="G12" s="439"/>
      <c r="H12" s="439"/>
      <c r="I12" s="439"/>
      <c r="J12" s="439"/>
      <c r="K12" s="439"/>
      <c r="L12" s="439"/>
      <c r="M12" s="439"/>
      <c r="N12" s="439"/>
      <c r="O12" s="439"/>
      <c r="P12" s="439"/>
      <c r="Q12" s="439"/>
      <c r="R12" s="439"/>
      <c r="S12" s="439"/>
      <c r="T12" s="439"/>
      <c r="U12" s="439"/>
      <c r="V12" s="439"/>
      <c r="W12" s="439"/>
      <c r="X12" s="439"/>
      <c r="Y12" s="439"/>
      <c r="Z12" s="439"/>
      <c r="AA12" s="439"/>
      <c r="AB12" s="439"/>
      <c r="AC12" s="439"/>
      <c r="AD12" s="439"/>
      <c r="AE12" s="439"/>
      <c r="AF12" s="439"/>
      <c r="AG12" s="439"/>
      <c r="AH12" s="439"/>
      <c r="AI12" s="439"/>
    </row>
    <row r="13" spans="1:36" ht="13.5">
      <c r="A13" s="456"/>
      <c r="B13" s="457"/>
      <c r="C13" s="457"/>
      <c r="D13" s="456"/>
      <c r="E13" s="456"/>
      <c r="F13" s="456"/>
      <c r="G13" s="456"/>
      <c r="H13" s="456"/>
      <c r="I13" s="456"/>
      <c r="J13" s="456"/>
      <c r="K13" s="456"/>
      <c r="L13" s="456"/>
      <c r="M13" s="456"/>
      <c r="N13" s="456"/>
      <c r="O13" s="456"/>
      <c r="P13" s="456"/>
      <c r="Q13" s="456"/>
      <c r="R13" s="456"/>
      <c r="S13" s="456"/>
      <c r="T13" s="456"/>
      <c r="U13" s="456"/>
      <c r="V13" s="456"/>
      <c r="W13" s="456"/>
      <c r="X13" s="456"/>
      <c r="Y13" s="456"/>
      <c r="Z13" s="456"/>
      <c r="AA13" s="456"/>
      <c r="AB13" s="456"/>
      <c r="AC13" s="456"/>
      <c r="AD13" s="456"/>
      <c r="AE13" s="456"/>
      <c r="AF13" s="456"/>
      <c r="AG13" s="456"/>
      <c r="AH13" s="456"/>
      <c r="AI13" s="456"/>
    </row>
    <row r="14" spans="1:36" ht="15">
      <c r="B14" s="443"/>
      <c r="C14" s="1505" t="s">
        <v>801</v>
      </c>
      <c r="D14" s="1505"/>
      <c r="E14" s="1505"/>
      <c r="F14" s="1505"/>
      <c r="G14" s="1505"/>
      <c r="H14" s="1505"/>
      <c r="I14" s="1505"/>
      <c r="J14" s="1505"/>
      <c r="K14" s="1505"/>
      <c r="L14" s="1505"/>
    </row>
    <row r="15" spans="1:36" ht="15">
      <c r="B15" s="448"/>
      <c r="C15" s="453">
        <f>OP!J19</f>
        <v>2023</v>
      </c>
      <c r="D15" s="453">
        <f>D7</f>
        <v>2022</v>
      </c>
      <c r="E15" s="453">
        <f>E7</f>
        <v>2021</v>
      </c>
      <c r="F15" s="453">
        <f>F7</f>
        <v>2020</v>
      </c>
      <c r="G15" s="453">
        <f>G7</f>
        <v>2019</v>
      </c>
      <c r="H15" s="453">
        <f t="shared" ref="H15:L15" si="6">H7</f>
        <v>2018</v>
      </c>
      <c r="I15" s="453">
        <f t="shared" si="6"/>
        <v>2017</v>
      </c>
      <c r="J15" s="453">
        <f t="shared" si="6"/>
        <v>2016</v>
      </c>
      <c r="K15" s="453">
        <f t="shared" si="6"/>
        <v>2015</v>
      </c>
      <c r="L15" s="453">
        <f t="shared" si="6"/>
        <v>2014</v>
      </c>
      <c r="N15" s="445" t="s">
        <v>793</v>
      </c>
      <c r="O15" s="648" t="s">
        <v>794</v>
      </c>
      <c r="P15" s="445" t="s">
        <v>795</v>
      </c>
      <c r="Q15" s="445" t="s">
        <v>796</v>
      </c>
      <c r="S15" s="454" t="s">
        <v>797</v>
      </c>
      <c r="T15" s="454" t="s">
        <v>798</v>
      </c>
    </row>
    <row r="16" spans="1:36">
      <c r="B16" s="647" t="s">
        <v>754</v>
      </c>
      <c r="C16" s="449">
        <f>Inputs!B129/Inputs!B95</f>
        <v>5.0686106346483704E-2</v>
      </c>
      <c r="D16" s="449">
        <f>Inputs!C129/Inputs!C95</f>
        <v>4.8109081553897606E-2</v>
      </c>
      <c r="E16" s="449">
        <f>Inputs!D129/Inputs!D95</f>
        <v>8.0830830830830827E-2</v>
      </c>
      <c r="F16" s="449">
        <f>Inputs!E129/Inputs!E95</f>
        <v>8.2697514152104357E-2</v>
      </c>
      <c r="G16" s="449">
        <f>Inputs!F129/Inputs!F95</f>
        <v>6.946378830083566E-2</v>
      </c>
      <c r="H16" s="449">
        <f>Inputs!G129/Inputs!G95</f>
        <v>6.7195864869854169E-2</v>
      </c>
      <c r="I16" s="449">
        <f>Inputs!H129/Inputs!H95</f>
        <v>6.4447592067988668E-2</v>
      </c>
      <c r="J16" s="449">
        <f>Inputs!I129/Inputs!I95</f>
        <v>6.4037918515530451E-2</v>
      </c>
      <c r="K16" s="449">
        <f>Inputs!J129/Inputs!J95</f>
        <v>6.2213699797592413E-2</v>
      </c>
      <c r="L16" s="449">
        <f>Inputs!K129/Inputs!K95</f>
        <v>6.3292499462712232E-2</v>
      </c>
      <c r="N16" s="450">
        <f>AVERAGE(C16:E16)</f>
        <v>5.9875339577070717E-2</v>
      </c>
      <c r="O16" s="450">
        <f>AVERAGE(C16:F16)</f>
        <v>6.5580883220829125E-2</v>
      </c>
      <c r="P16" s="450">
        <f>AVERAGE(C16:L16)</f>
        <v>6.5297489589783014E-2</v>
      </c>
      <c r="Q16" s="450">
        <f t="shared" ref="Q16:Q31" si="7">AVERAGE(C16,F16:L16)</f>
        <v>6.5504372939137703E-2</v>
      </c>
      <c r="S16" s="455">
        <f>P16</f>
        <v>6.5297489589783014E-2</v>
      </c>
      <c r="T16" s="455">
        <f>N16</f>
        <v>5.9875339577070717E-2</v>
      </c>
      <c r="AJ16" s="451"/>
    </row>
    <row r="17" spans="2:26" hidden="1">
      <c r="B17" s="897" t="s">
        <v>756</v>
      </c>
      <c r="C17" s="497" t="s">
        <v>802</v>
      </c>
      <c r="D17" s="497" t="s">
        <v>802</v>
      </c>
      <c r="E17" s="497" t="s">
        <v>802</v>
      </c>
      <c r="F17" s="497" t="s">
        <v>802</v>
      </c>
      <c r="G17" s="497" t="s">
        <v>802</v>
      </c>
      <c r="H17" s="497" t="s">
        <v>802</v>
      </c>
      <c r="I17" s="497" t="s">
        <v>802</v>
      </c>
      <c r="J17" s="497" t="s">
        <v>802</v>
      </c>
      <c r="K17" s="497" t="s">
        <v>802</v>
      </c>
      <c r="L17" s="497" t="s">
        <v>802</v>
      </c>
      <c r="N17" s="450" t="e">
        <f>AVERAGE(C17:E17)</f>
        <v>#DIV/0!</v>
      </c>
      <c r="O17" s="497" t="s">
        <v>802</v>
      </c>
      <c r="P17" s="450" t="e">
        <f t="shared" ref="P17:P31" si="8">AVERAGE(C17:L17)</f>
        <v>#DIV/0!</v>
      </c>
      <c r="Q17" s="450" t="e">
        <f t="shared" si="7"/>
        <v>#DIV/0!</v>
      </c>
      <c r="S17" s="455"/>
      <c r="T17" s="455"/>
    </row>
    <row r="18" spans="2:26">
      <c r="B18" s="647" t="s">
        <v>758</v>
      </c>
      <c r="C18" s="449">
        <f>-Inputs!B103/'Fin. Data'!B5</f>
        <v>-5.9783072849944484E-4</v>
      </c>
      <c r="D18" s="449">
        <f>-Inputs!C103/'Fin. Data'!C5</f>
        <v>-5.8986814712005552E-4</v>
      </c>
      <c r="E18" s="449">
        <f>-Inputs!D103/'Fin. Data'!D5</f>
        <v>-6.3770087577586941E-4</v>
      </c>
      <c r="F18" s="449">
        <f>-Inputs!E103/'Fin. Data'!E5</f>
        <v>-6.9411073735917562E-4</v>
      </c>
      <c r="G18" s="449">
        <f>-Inputs!F103/'Fin. Data'!F5</f>
        <v>-5.8593749999999998E-4</v>
      </c>
      <c r="H18" s="449">
        <f>-Inputs!G103/'Fin. Data'!G5</f>
        <v>-5.5328566564521618E-4</v>
      </c>
      <c r="I18" s="449">
        <f>-Inputs!H103/'Fin. Data'!H5</f>
        <v>-6.6817434210526318E-4</v>
      </c>
      <c r="J18" s="449">
        <f>-Inputs!I103/'Fin. Data'!I5</f>
        <v>-7.6322432924323376E-4</v>
      </c>
      <c r="K18" s="449">
        <f>-Inputs!J103/'Fin. Data'!J5</f>
        <v>-7.8472403871305261E-4</v>
      </c>
      <c r="L18" s="449">
        <f>-Inputs!K103/'Fin. Data'!K5</f>
        <v>-8.4223824814444383E-4</v>
      </c>
      <c r="N18" s="450">
        <f t="shared" ref="N18:N31" si="9">AVERAGE(C18:E18)</f>
        <v>-6.0846658379845652E-4</v>
      </c>
      <c r="O18" s="450">
        <f>AVERAGE(C18:G18)</f>
        <v>-6.2108959775090912E-4</v>
      </c>
      <c r="P18" s="450">
        <f t="shared" si="8"/>
        <v>-6.7170946126057546E-4</v>
      </c>
      <c r="Q18" s="450">
        <f t="shared" si="7"/>
        <v>-6.8619069871372874E-4</v>
      </c>
      <c r="S18" s="455">
        <v>6.9999999999999999E-4</v>
      </c>
      <c r="T18" s="455">
        <v>6.9999999999999999E-4</v>
      </c>
    </row>
    <row r="19" spans="2:26" ht="12.6" customHeight="1">
      <c r="B19" s="647" t="s">
        <v>760</v>
      </c>
      <c r="C19" s="449">
        <f>-'Fin. Data'!B21/('Fin. Data'!B11+'Fin. Data'!B14+'Fin. Data'!B15)</f>
        <v>0.19534802378454005</v>
      </c>
      <c r="D19" s="449">
        <f>-'Fin. Data'!C21/('Fin. Data'!C11+'Fin. Data'!C14+'Fin. Data'!C15)</f>
        <v>0.21745908028059235</v>
      </c>
      <c r="E19" s="449">
        <f>-'Fin. Data'!D21/('Fin. Data'!D11+'Fin. Data'!D14+'Fin. Data'!D15)</f>
        <v>0.22161480235492009</v>
      </c>
      <c r="F19" s="449">
        <f>-'Fin. Data'!E21/('Fin. Data'!E11+'Fin. Data'!E14+'Fin. Data'!E15)</f>
        <v>0.21712907117008443</v>
      </c>
      <c r="G19" s="449">
        <f>-'Fin. Data'!F21/('Fin. Data'!F11+'Fin. Data'!F14+'Fin. Data'!F15)</f>
        <v>0.22935483870967741</v>
      </c>
      <c r="H19" s="449">
        <f>-'Fin. Data'!G21/('Fin. Data'!G11+'Fin. Data'!G14+'Fin. Data'!G15)</f>
        <v>0.21893912424350304</v>
      </c>
      <c r="I19" s="449">
        <f>-'Fin. Data'!H21/('Fin. Data'!H11+'Fin. Data'!H14+'Fin. Data'!H15)</f>
        <v>0.30896551724137933</v>
      </c>
      <c r="J19" s="449">
        <f>-'Fin. Data'!I21/('Fin. Data'!I11+'Fin. Data'!I14+'Fin. Data'!I15)</f>
        <v>0.53798586572438167</v>
      </c>
      <c r="K19" s="449">
        <f>-'Fin. Data'!J21/('Fin. Data'!J11+'Fin. Data'!J14+'Fin. Data'!J15)</f>
        <v>0.31364997860504923</v>
      </c>
      <c r="L19" s="449">
        <f>-'Fin. Data'!K21/('Fin. Data'!K11+'Fin. Data'!K14+'Fin. Data'!K15)</f>
        <v>0.32639920752847945</v>
      </c>
      <c r="N19" s="450">
        <f t="shared" si="9"/>
        <v>0.21147396880668415</v>
      </c>
      <c r="O19" s="450">
        <f>AVERAGE(C19:G19)</f>
        <v>0.21618116325996284</v>
      </c>
      <c r="P19" s="450">
        <f t="shared" si="8"/>
        <v>0.2786845509642607</v>
      </c>
      <c r="Q19" s="450">
        <f t="shared" si="7"/>
        <v>0.29347145337588681</v>
      </c>
      <c r="S19" s="455">
        <v>0.21</v>
      </c>
      <c r="T19" s="455">
        <v>0.27</v>
      </c>
      <c r="W19" s="450"/>
      <c r="X19" s="450"/>
      <c r="Y19" s="450"/>
    </row>
    <row r="20" spans="2:26" hidden="1">
      <c r="B20" s="885" t="s">
        <v>762</v>
      </c>
      <c r="C20" s="497">
        <f>0/'Fin. Data'!B58</f>
        <v>0</v>
      </c>
      <c r="D20" s="497" t="s">
        <v>802</v>
      </c>
      <c r="E20" s="497" t="s">
        <v>802</v>
      </c>
      <c r="F20" s="497" t="s">
        <v>802</v>
      </c>
      <c r="G20" s="497" t="s">
        <v>802</v>
      </c>
      <c r="H20" s="497" t="s">
        <v>802</v>
      </c>
      <c r="I20" s="497" t="s">
        <v>802</v>
      </c>
      <c r="J20" s="497" t="s">
        <v>802</v>
      </c>
      <c r="K20" s="497" t="s">
        <v>802</v>
      </c>
      <c r="L20" s="497" t="s">
        <v>802</v>
      </c>
      <c r="N20" s="450">
        <f t="shared" si="9"/>
        <v>0</v>
      </c>
      <c r="O20" s="497" t="s">
        <v>802</v>
      </c>
      <c r="P20" s="450">
        <f t="shared" si="8"/>
        <v>0</v>
      </c>
      <c r="Q20" s="450">
        <f t="shared" si="7"/>
        <v>0</v>
      </c>
      <c r="S20" s="455">
        <f>+C346+C349</f>
        <v>4.9558710727622086E-2</v>
      </c>
      <c r="T20" s="455">
        <f>+C346+C352</f>
        <v>5.0164277127216043E-2</v>
      </c>
    </row>
    <row r="21" spans="2:26" hidden="1">
      <c r="B21" s="647" t="s">
        <v>764</v>
      </c>
      <c r="C21" s="497">
        <f>0/Inputs!B28</f>
        <v>0</v>
      </c>
      <c r="D21" s="497" t="s">
        <v>802</v>
      </c>
      <c r="E21" s="497" t="s">
        <v>802</v>
      </c>
      <c r="F21" s="497" t="s">
        <v>802</v>
      </c>
      <c r="G21" s="497" t="s">
        <v>802</v>
      </c>
      <c r="H21" s="497" t="s">
        <v>802</v>
      </c>
      <c r="I21" s="497" t="s">
        <v>802</v>
      </c>
      <c r="J21" s="497" t="s">
        <v>802</v>
      </c>
      <c r="K21" s="497" t="s">
        <v>802</v>
      </c>
      <c r="L21" s="497" t="s">
        <v>802</v>
      </c>
      <c r="N21" s="450">
        <f t="shared" si="9"/>
        <v>0</v>
      </c>
      <c r="O21" s="497" t="s">
        <v>802</v>
      </c>
      <c r="P21" s="450">
        <f t="shared" si="8"/>
        <v>0</v>
      </c>
      <c r="Q21" s="450">
        <f t="shared" si="7"/>
        <v>0</v>
      </c>
      <c r="S21" s="455">
        <v>0.04</v>
      </c>
      <c r="T21" s="455">
        <v>0.04</v>
      </c>
    </row>
    <row r="22" spans="2:26" hidden="1">
      <c r="B22" s="647" t="s">
        <v>766</v>
      </c>
      <c r="C22" s="449">
        <f>Inputs!B33/Inputs!C33-1</f>
        <v>9.6267637687756258E-2</v>
      </c>
      <c r="D22" s="449">
        <f>Inputs!C33/Inputs!D33-1</f>
        <v>2.3109610571045991E-2</v>
      </c>
      <c r="E22" s="449">
        <f>Inputs!D33/Inputs!E33-1</f>
        <v>3.753585988222885E-2</v>
      </c>
      <c r="F22" s="449">
        <f>Inputs!E33/Inputs!F33-1</f>
        <v>0.13326032647753316</v>
      </c>
      <c r="G22" s="449">
        <f>Inputs!F33/Inputs!G33-1</f>
        <v>0.17793364776071274</v>
      </c>
      <c r="H22" s="449">
        <f>Inputs!G33/Inputs!H33-1</f>
        <v>6.6958850742633302E-3</v>
      </c>
      <c r="I22" s="449">
        <f>Inputs!H33/Inputs!I33-1</f>
        <v>9.0402230187176746E-2</v>
      </c>
      <c r="J22" s="449">
        <f>Inputs!I33/Inputs!J33-1</f>
        <v>3.8461538461538103E-2</v>
      </c>
      <c r="K22" s="449">
        <f>Inputs!J33/Inputs!K33-1</f>
        <v>-5.9428620823788525E-2</v>
      </c>
      <c r="L22" s="449" t="e">
        <f>Inputs!K33/Inputs!L33-1</f>
        <v>#VALUE!</v>
      </c>
      <c r="N22" s="450">
        <f t="shared" si="9"/>
        <v>5.2304369380343697E-2</v>
      </c>
      <c r="O22" s="450">
        <f>AVERAGE(C22:G22)</f>
        <v>9.3621416475855396E-2</v>
      </c>
      <c r="P22" s="450" t="e">
        <f>AVERAGE(C22:L22)</f>
        <v>#VALUE!</v>
      </c>
      <c r="Q22" s="450" t="e">
        <f t="shared" si="7"/>
        <v>#VALUE!</v>
      </c>
      <c r="S22" s="455"/>
      <c r="T22" s="455"/>
    </row>
    <row r="23" spans="2:26">
      <c r="B23" s="898" t="s">
        <v>768</v>
      </c>
      <c r="C23" s="449">
        <f>Inputs!B62/(Inputs!B6-Inputs!C6)</f>
        <v>-0.17147613762486127</v>
      </c>
      <c r="D23" s="449">
        <f>Inputs!C62/(Inputs!C6-Inputs!D6)</f>
        <v>-0.10326538316345792</v>
      </c>
      <c r="E23" s="449">
        <f>Inputs!D62/(Inputs!D6-Inputs!E6)</f>
        <v>-7.333611516795327E-2</v>
      </c>
      <c r="F23" s="449">
        <f>Inputs!E62/(Inputs!E6-Inputs!F6)</f>
        <v>-0.11293843690874691</v>
      </c>
      <c r="G23" s="449">
        <f>Inputs!F62/(Inputs!F6-Inputs!G6)</f>
        <v>-0.32414448669201523</v>
      </c>
      <c r="H23" s="449">
        <f>Inputs!G62/(Inputs!G6-Inputs!H6)</f>
        <v>-5.8688118811881185E-2</v>
      </c>
      <c r="I23" s="449">
        <f>Inputs!H62/(Inputs!H6-Inputs!I6)</f>
        <v>4.6099876186545603E-2</v>
      </c>
      <c r="J23" s="449">
        <f>Inputs!I62/(Inputs!I6-Inputs!J6)</f>
        <v>-0.42848222862632085</v>
      </c>
      <c r="K23" s="449">
        <f>Inputs!J62/(Inputs!J6-Inputs!K6)</f>
        <v>0.88135593220338981</v>
      </c>
      <c r="L23" s="449">
        <f>Inputs!K62/(Inputs!K6-Inputs!L6)</f>
        <v>-2.0973570466945369E-3</v>
      </c>
      <c r="N23" s="450">
        <f t="shared" si="9"/>
        <v>-0.11602587865209084</v>
      </c>
      <c r="O23" s="450">
        <f>AVERAGE(C23:G23)</f>
        <v>-0.15703211191140692</v>
      </c>
      <c r="P23" s="450">
        <f t="shared" si="8"/>
        <v>-3.4697245565199576E-2</v>
      </c>
      <c r="Q23" s="450">
        <f t="shared" si="7"/>
        <v>-2.1296369665073058E-2</v>
      </c>
      <c r="S23" s="455">
        <v>-0.1</v>
      </c>
      <c r="T23" s="455">
        <v>-0.08</v>
      </c>
    </row>
    <row r="24" spans="2:26" hidden="1">
      <c r="B24" s="647" t="s">
        <v>770</v>
      </c>
      <c r="C24" s="497" t="s">
        <v>802</v>
      </c>
      <c r="D24" s="497" t="s">
        <v>802</v>
      </c>
      <c r="E24" s="497" t="s">
        <v>802</v>
      </c>
      <c r="F24" s="497" t="s">
        <v>802</v>
      </c>
      <c r="G24" s="497" t="s">
        <v>802</v>
      </c>
      <c r="H24" s="497" t="s">
        <v>802</v>
      </c>
      <c r="I24" s="497" t="s">
        <v>802</v>
      </c>
      <c r="J24" s="497" t="s">
        <v>802</v>
      </c>
      <c r="K24" s="497" t="s">
        <v>802</v>
      </c>
      <c r="L24" s="497" t="s">
        <v>802</v>
      </c>
      <c r="N24" s="450" t="e">
        <f t="shared" si="9"/>
        <v>#DIV/0!</v>
      </c>
      <c r="O24" s="497" t="s">
        <v>802</v>
      </c>
      <c r="P24" s="450" t="e">
        <f t="shared" si="8"/>
        <v>#DIV/0!</v>
      </c>
      <c r="Q24" s="450" t="e">
        <f t="shared" si="7"/>
        <v>#DIV/0!</v>
      </c>
      <c r="S24" s="455"/>
      <c r="T24" s="455"/>
      <c r="W24" s="538"/>
      <c r="X24" s="450"/>
      <c r="Y24" s="450"/>
      <c r="Z24" s="450"/>
    </row>
    <row r="25" spans="2:26">
      <c r="B25" s="647" t="s">
        <v>803</v>
      </c>
      <c r="C25" s="449">
        <f>-'Fin. Data'!B32/'Fin. Data'!B5</f>
        <v>1.9785350300338771E-2</v>
      </c>
      <c r="D25" s="449">
        <f>-'Fin. Data'!C32/'Fin. Data'!C5</f>
        <v>1.8216516308119362E-2</v>
      </c>
      <c r="E25" s="449">
        <f>-'Fin. Data'!D32/'Fin. Data'!D5</f>
        <v>2.3769237309752573E-2</v>
      </c>
      <c r="F25" s="449">
        <f>-'Fin. Data'!E32/'Fin. Data'!E5</f>
        <v>2.9387580757114635E-2</v>
      </c>
      <c r="G25" s="449">
        <f>-'Fin. Data'!F32/'Fin. Data'!F5</f>
        <v>2.2421875000000001E-2</v>
      </c>
      <c r="H25" s="449">
        <f>-'Fin. Data'!G32/'Fin. Data'!G5</f>
        <v>1.947565543071161E-2</v>
      </c>
      <c r="I25" s="449">
        <f>-'Fin. Data'!H32/'Fin. Data'!H5</f>
        <v>2.1761924342105263E-2</v>
      </c>
      <c r="J25" s="449">
        <f>-'Fin. Data'!I32/'Fin. Data'!I5</f>
        <v>2.2027828333235484E-2</v>
      </c>
      <c r="K25" s="449">
        <f>-'Fin. Data'!J32/'Fin. Data'!J5</f>
        <v>1.4998692126602145E-2</v>
      </c>
      <c r="L25" s="449">
        <f>-'Fin. Data'!K32/'Fin. Data'!K5</f>
        <v>1.5223456335210822E-2</v>
      </c>
      <c r="N25" s="450">
        <f t="shared" si="9"/>
        <v>2.0590367972736903E-2</v>
      </c>
      <c r="O25" s="450">
        <f>AVERAGE(C25:G25)</f>
        <v>2.2716111935065071E-2</v>
      </c>
      <c r="P25" s="450">
        <f t="shared" si="8"/>
        <v>2.0706811624319067E-2</v>
      </c>
      <c r="Q25" s="450">
        <f t="shared" si="7"/>
        <v>2.0635295328164844E-2</v>
      </c>
      <c r="S25" s="455">
        <v>0.02</v>
      </c>
      <c r="T25" s="455">
        <v>2.5000000000000001E-2</v>
      </c>
      <c r="W25" s="538"/>
      <c r="X25" s="450"/>
      <c r="Y25" s="538"/>
      <c r="Z25" s="450"/>
    </row>
    <row r="26" spans="2:26">
      <c r="B26" s="647" t="s">
        <v>773</v>
      </c>
      <c r="C26" s="449">
        <f>'Fin. Data'!B33/'Fin. Data'!B5</f>
        <v>-2.0813049790759246E-2</v>
      </c>
      <c r="D26" s="449">
        <f>'Fin. Data'!C33/'Fin. Data'!C5</f>
        <v>-3.5940319222761967E-2</v>
      </c>
      <c r="E26" s="449">
        <f>'Fin. Data'!D33/'Fin. Data'!D5</f>
        <v>-5.3133236969645448E-2</v>
      </c>
      <c r="F26" s="449">
        <f>'Fin. Data'!E33/'Fin. Data'!E5</f>
        <v>-7.1151689892679795E-2</v>
      </c>
      <c r="G26" s="449">
        <f>'Fin. Data'!F33/'Fin. Data'!F5</f>
        <v>-5.9839843750000003E-2</v>
      </c>
      <c r="H26" s="449">
        <f>'Fin. Data'!G33/'Fin. Data'!G5</f>
        <v>-5.0183009874021106E-2</v>
      </c>
      <c r="I26" s="449">
        <f>'Fin. Data'!H33/'Fin. Data'!H5</f>
        <v>-8.2956414473684209E-2</v>
      </c>
      <c r="J26" s="449">
        <f>'Fin. Data'!I33/'Fin. Data'!I5</f>
        <v>-7.7308753595960789E-2</v>
      </c>
      <c r="K26" s="449">
        <f>'Fin. Data'!J33/'Fin. Data'!J5</f>
        <v>-9.0651320952131825E-2</v>
      </c>
      <c r="L26" s="449">
        <f>'Fin. Data'!K33/'Fin. Data'!K5</f>
        <v>-7.1785018687161126E-2</v>
      </c>
      <c r="N26" s="450">
        <f t="shared" si="9"/>
        <v>-3.6628868661055553E-2</v>
      </c>
      <c r="O26" s="450">
        <f>AVERAGE(C26:G26)</f>
        <v>-4.8175627925169294E-2</v>
      </c>
      <c r="P26" s="450">
        <f t="shared" si="8"/>
        <v>-6.1376265720880549E-2</v>
      </c>
      <c r="Q26" s="450">
        <f t="shared" si="7"/>
        <v>-6.5586137627049762E-2</v>
      </c>
      <c r="S26" s="455"/>
      <c r="T26" s="455">
        <v>0.01</v>
      </c>
      <c r="W26" s="538"/>
      <c r="X26" s="450"/>
      <c r="Y26" s="450"/>
      <c r="Z26" s="450"/>
    </row>
    <row r="27" spans="2:26">
      <c r="B27" s="647" t="s">
        <v>146</v>
      </c>
      <c r="C27" s="449">
        <f>-'Fin. Data'!B27/'Fin. Data'!B23</f>
        <v>0.33005868289502283</v>
      </c>
      <c r="D27" s="449">
        <f>-'Fin. Data'!C27/'Fin. Data'!C23</f>
        <v>0.33356573705179282</v>
      </c>
      <c r="E27" s="449">
        <f>-'Fin. Data'!D27/'Fin. Data'!D23</f>
        <v>0.38228941684665224</v>
      </c>
      <c r="F27" s="449">
        <f>-'Fin. Data'!E27/'Fin. Data'!E23</f>
        <v>0.95516178736517721</v>
      </c>
      <c r="G27" s="449">
        <f>-'Fin. Data'!F27/'Fin. Data'!F23</f>
        <v>0.47680067001675036</v>
      </c>
      <c r="H27" s="449">
        <f>-'Fin. Data'!G27/'Fin. Data'!G23</f>
        <v>0.36642369020501137</v>
      </c>
      <c r="I27" s="449">
        <f>-'Fin. Data'!H27/'Fin. Data'!H23</f>
        <v>0.37170439414114509</v>
      </c>
      <c r="J27" s="449">
        <f>-'Fin. Data'!I27/'Fin. Data'!I23</f>
        <v>1.5886973180076627</v>
      </c>
      <c r="K27" s="449">
        <f>-'Fin. Data'!J27/'Fin. Data'!J23</f>
        <v>0.42425187032418954</v>
      </c>
      <c r="L27" s="449">
        <f>-'Fin. Data'!K27/'Fin. Data'!K23</f>
        <v>0.45901398086828549</v>
      </c>
      <c r="N27" s="450">
        <f t="shared" si="9"/>
        <v>0.34863794559782263</v>
      </c>
      <c r="O27" s="450">
        <f>AVERAGE(C27:G27)</f>
        <v>0.49557525883507908</v>
      </c>
      <c r="P27" s="450">
        <f t="shared" si="8"/>
        <v>0.56879675477216896</v>
      </c>
      <c r="Q27" s="450">
        <f t="shared" si="7"/>
        <v>0.62151404922790565</v>
      </c>
      <c r="S27" s="455">
        <f>+N27</f>
        <v>0.34863794559782263</v>
      </c>
      <c r="T27" s="455">
        <f>O27</f>
        <v>0.49557525883507908</v>
      </c>
      <c r="W27" s="539"/>
      <c r="X27" s="450"/>
      <c r="Y27" s="450"/>
      <c r="Z27" s="450"/>
    </row>
    <row r="28" spans="2:26">
      <c r="B28" s="647" t="s">
        <v>775</v>
      </c>
      <c r="C28" s="449">
        <f>-'Fin. Data'!B28/'Fin. Data'!B23</f>
        <v>7.6070419474027389E-4</v>
      </c>
      <c r="D28" s="449">
        <f>-'Fin. Data'!C28/'Fin. Data'!C23</f>
        <v>6.9721115537848611E-4</v>
      </c>
      <c r="E28" s="449">
        <f>-'Fin. Data'!D28/'Fin. Data'!D23</f>
        <v>8.0993520518358531E-4</v>
      </c>
      <c r="F28" s="449">
        <f>-'Fin. Data'!E28/'Fin. Data'!E23</f>
        <v>3.243451463790447E-2</v>
      </c>
      <c r="G28" s="449">
        <f>-'Fin. Data'!F28/'Fin. Data'!F23</f>
        <v>4.6147403685092125E-2</v>
      </c>
      <c r="H28" s="449">
        <f>-'Fin. Data'!G28/'Fin. Data'!G23</f>
        <v>0.16145785876993166</v>
      </c>
      <c r="I28" s="449">
        <f>-'Fin. Data'!H28/'Fin. Data'!H23</f>
        <v>0</v>
      </c>
      <c r="J28" s="449">
        <f>-'Fin. Data'!I28/'Fin. Data'!I23</f>
        <v>0.13505747126436782</v>
      </c>
      <c r="K28" s="449">
        <f>-'Fin. Data'!J28/'Fin. Data'!J23</f>
        <v>0.12568578553615961</v>
      </c>
      <c r="L28" s="449">
        <f>-'Fin. Data'!K28/'Fin. Data'!K23</f>
        <v>3.1420161883738043E-2</v>
      </c>
      <c r="N28" s="450">
        <f t="shared" si="9"/>
        <v>7.5595018510078184E-4</v>
      </c>
      <c r="O28" s="450">
        <f>AVERAGE(C28:G28)</f>
        <v>1.6169953775659791E-2</v>
      </c>
      <c r="P28" s="450">
        <f t="shared" si="8"/>
        <v>5.3447104633249608E-2</v>
      </c>
      <c r="Q28" s="450">
        <f t="shared" si="7"/>
        <v>6.6620487496491756E-2</v>
      </c>
      <c r="S28" s="455"/>
      <c r="T28" s="455">
        <f>O28</f>
        <v>1.6169953775659791E-2</v>
      </c>
      <c r="W28" s="538"/>
      <c r="X28" s="541"/>
      <c r="Y28" s="541"/>
      <c r="Z28" s="541"/>
    </row>
    <row r="29" spans="2:26">
      <c r="B29" s="647" t="s">
        <v>776</v>
      </c>
      <c r="C29" s="449">
        <f>('Fin. Data'!B50+'Fin. Data'!B54)/'Fin. Data'!B5</f>
        <v>5.1811996469951892E-3</v>
      </c>
      <c r="D29" s="449">
        <f>('Fin. Data'!C50+'Fin. Data'!C54)/'Fin. Data'!C5</f>
        <v>3.4351145038167938E-3</v>
      </c>
      <c r="E29" s="449">
        <f>('Fin. Data'!D50+'Fin. Data'!D54)/'Fin. Data'!D5</f>
        <v>3.358557945752912E-3</v>
      </c>
      <c r="F29" s="449">
        <f>('Fin. Data'!E50+'Fin. Data'!E54)/'Fin. Data'!E5</f>
        <v>2.2425116130065674E-3</v>
      </c>
      <c r="G29" s="449">
        <f>('Fin. Data'!F50+'Fin. Data'!F54)/'Fin. Data'!F5</f>
        <v>4.5312499999999997E-3</v>
      </c>
      <c r="H29" s="449">
        <f>('Fin. Data'!G50+'Fin. Data'!G54)/'Fin. Data'!G5</f>
        <v>0</v>
      </c>
      <c r="I29" s="449">
        <f>('Fin. Data'!H50+'Fin. Data'!H54)/'Fin. Data'!H5</f>
        <v>0</v>
      </c>
      <c r="J29" s="449">
        <f>('Fin. Data'!I50+'Fin. Data'!I54)/'Fin. Data'!I5</f>
        <v>0</v>
      </c>
      <c r="K29" s="449">
        <f>('Fin. Data'!J50+'Fin. Data'!J54)/'Fin. Data'!J5</f>
        <v>0</v>
      </c>
      <c r="L29" s="449">
        <f>('Fin. Data'!K50+'Fin. Data'!K54)/'Fin. Data'!K5</f>
        <v>0</v>
      </c>
      <c r="N29" s="450">
        <f t="shared" si="9"/>
        <v>3.9916240321882981E-3</v>
      </c>
      <c r="O29" s="450">
        <f>AVERAGE(C29:G29)</f>
        <v>3.7497267419142923E-3</v>
      </c>
      <c r="P29" s="450">
        <f t="shared" si="8"/>
        <v>1.8748633709571461E-3</v>
      </c>
      <c r="Q29" s="450">
        <f t="shared" si="7"/>
        <v>1.4943701575002195E-3</v>
      </c>
      <c r="S29" s="455">
        <v>0</v>
      </c>
      <c r="T29" s="455">
        <f>P29</f>
        <v>1.8748633709571461E-3</v>
      </c>
      <c r="W29" s="538"/>
      <c r="X29" s="450"/>
      <c r="Y29" s="540"/>
      <c r="Z29" s="540"/>
    </row>
    <row r="30" spans="2:26" hidden="1">
      <c r="B30" s="647" t="s">
        <v>804</v>
      </c>
      <c r="C30" s="497" t="s">
        <v>802</v>
      </c>
      <c r="D30" s="497" t="s">
        <v>802</v>
      </c>
      <c r="E30" s="497" t="s">
        <v>802</v>
      </c>
      <c r="F30" s="497" t="s">
        <v>802</v>
      </c>
      <c r="G30" s="497" t="s">
        <v>802</v>
      </c>
      <c r="H30" s="497" t="s">
        <v>802</v>
      </c>
      <c r="I30" s="497" t="s">
        <v>802</v>
      </c>
      <c r="J30" s="497" t="s">
        <v>802</v>
      </c>
      <c r="K30" s="497" t="s">
        <v>802</v>
      </c>
      <c r="L30" s="497" t="s">
        <v>802</v>
      </c>
      <c r="N30" s="450" t="e">
        <f t="shared" si="9"/>
        <v>#DIV/0!</v>
      </c>
      <c r="O30" s="497" t="s">
        <v>802</v>
      </c>
      <c r="P30" s="450" t="e">
        <f t="shared" si="8"/>
        <v>#DIV/0!</v>
      </c>
      <c r="Q30" s="450" t="e">
        <f t="shared" si="7"/>
        <v>#DIV/0!</v>
      </c>
      <c r="S30" s="455"/>
      <c r="T30" s="455"/>
    </row>
    <row r="31" spans="2:26" hidden="1">
      <c r="B31" s="647" t="s">
        <v>307</v>
      </c>
      <c r="C31" s="449">
        <f>'Fin. Data'!B58/'Fin. Data'!B19</f>
        <v>2.1028223722104893</v>
      </c>
      <c r="D31" s="449">
        <f>'Fin. Data'!C58/'Fin. Data'!C19</f>
        <v>2.4492017416545719</v>
      </c>
      <c r="E31" s="449">
        <f>'Fin. Data'!D58/'Fin. Data'!D19</f>
        <v>3.1196363962563165</v>
      </c>
      <c r="F31" s="449">
        <f>'Fin. Data'!E58/'Fin. Data'!E19</f>
        <v>3.8647205411178356</v>
      </c>
      <c r="G31" s="449">
        <f>'Fin. Data'!F58/'Fin. Data'!F19</f>
        <v>2.6210214137262686</v>
      </c>
      <c r="H31" s="449">
        <f>'Fin. Data'!G58/'Fin. Data'!G19</f>
        <v>2.5307087815671014</v>
      </c>
      <c r="I31" s="449">
        <f>'Fin. Data'!H58/'Fin. Data'!H19</f>
        <v>2.6118546845124282</v>
      </c>
      <c r="J31" s="449">
        <f>'Fin. Data'!I58/'Fin. Data'!I19</f>
        <v>3.7934738821001748</v>
      </c>
      <c r="K31" s="449">
        <f>'Fin. Data'!J58/'Fin. Data'!J19</f>
        <v>2.5646995612071284</v>
      </c>
      <c r="L31" s="449">
        <f>'Fin. Data'!K58/'Fin. Data'!K19</f>
        <v>2.6989539954749651</v>
      </c>
      <c r="N31" s="450">
        <f t="shared" si="9"/>
        <v>2.5572201700404591</v>
      </c>
      <c r="O31" s="450">
        <f>AVERAGE(C31:G31)</f>
        <v>2.8314804929930961</v>
      </c>
      <c r="P31" s="450">
        <f t="shared" si="8"/>
        <v>2.8357093369827275</v>
      </c>
      <c r="Q31" s="450">
        <f t="shared" si="7"/>
        <v>2.8485319039895489</v>
      </c>
      <c r="S31" s="494"/>
      <c r="T31" s="494"/>
    </row>
    <row r="32" spans="2:26">
      <c r="B32" s="443"/>
      <c r="C32" s="443"/>
      <c r="D32" s="443"/>
      <c r="E32" s="443"/>
      <c r="F32" s="443"/>
      <c r="G32" s="443"/>
      <c r="H32" s="443"/>
      <c r="I32" s="443"/>
      <c r="J32" s="443"/>
      <c r="K32" s="443"/>
    </row>
    <row r="33" spans="2:37" hidden="1">
      <c r="B33" s="443"/>
      <c r="C33" s="443"/>
      <c r="D33" s="443"/>
      <c r="E33" s="443"/>
      <c r="F33" s="443"/>
      <c r="G33" s="443"/>
      <c r="H33" s="443"/>
      <c r="I33" s="443"/>
      <c r="J33" s="443"/>
      <c r="K33" s="443"/>
    </row>
    <row r="34" spans="2:37" s="442" customFormat="1" ht="13.5">
      <c r="B34" s="452" t="s">
        <v>805</v>
      </c>
    </row>
    <row r="35" spans="2:37">
      <c r="C35" s="443"/>
      <c r="D35" s="443"/>
      <c r="E35" s="443"/>
      <c r="F35" s="443"/>
      <c r="G35" s="443"/>
      <c r="H35" s="443"/>
      <c r="I35" s="443"/>
      <c r="J35" s="443"/>
      <c r="K35" s="450"/>
    </row>
    <row r="36" spans="2:37">
      <c r="C36" s="857"/>
      <c r="D36" s="443"/>
      <c r="E36" s="443"/>
      <c r="F36" s="443"/>
      <c r="G36" s="443"/>
      <c r="H36" s="443"/>
      <c r="I36" s="443"/>
      <c r="J36" s="443"/>
      <c r="K36" s="443"/>
      <c r="V36"/>
    </row>
    <row r="37" spans="2:37">
      <c r="C37" s="443"/>
      <c r="D37" s="443"/>
      <c r="E37" s="443"/>
      <c r="F37" s="443"/>
      <c r="G37" s="443"/>
      <c r="H37" s="443"/>
      <c r="I37" s="443"/>
      <c r="J37" s="443"/>
      <c r="K37" s="443"/>
      <c r="AG37" s="1496"/>
      <c r="AH37" s="1496"/>
      <c r="AI37" s="1496"/>
      <c r="AJ37" s="1496"/>
      <c r="AK37" s="1496"/>
    </row>
    <row r="38" spans="2:37" ht="14.25" thickBot="1">
      <c r="C38" s="710"/>
      <c r="D38" s="443"/>
      <c r="E38" s="443"/>
      <c r="F38" s="443"/>
      <c r="G38" s="443"/>
      <c r="H38" s="443"/>
      <c r="I38" s="443"/>
      <c r="J38" s="443"/>
      <c r="K38" s="443"/>
      <c r="R38" s="443" t="s">
        <v>806</v>
      </c>
    </row>
    <row r="39" spans="2:37" ht="14.25">
      <c r="B39" s="791" t="s">
        <v>807</v>
      </c>
      <c r="C39" s="710"/>
      <c r="D39" s="443"/>
      <c r="E39" s="443"/>
      <c r="F39" s="443"/>
      <c r="G39" s="443"/>
      <c r="H39" s="443"/>
      <c r="I39" s="443"/>
      <c r="J39" s="443"/>
      <c r="K39" s="443"/>
      <c r="U39" s="1018">
        <v>2023</v>
      </c>
      <c r="V39" s="1018">
        <v>2022</v>
      </c>
      <c r="W39" s="1018">
        <v>2021</v>
      </c>
      <c r="X39" s="1018">
        <v>2020</v>
      </c>
      <c r="Y39" s="1018">
        <v>2019</v>
      </c>
      <c r="Z39" s="1018">
        <v>2018</v>
      </c>
      <c r="AA39" s="1018">
        <v>2017</v>
      </c>
      <c r="AB39" s="1018">
        <v>2016</v>
      </c>
      <c r="AC39" s="1018">
        <v>2015</v>
      </c>
      <c r="AD39" s="1018">
        <v>2014</v>
      </c>
    </row>
    <row r="40" spans="2:37" ht="13.9" customHeight="1" outlineLevel="1" thickBot="1">
      <c r="B40" s="791" t="s">
        <v>808</v>
      </c>
      <c r="C40" s="710"/>
      <c r="D40" s="443"/>
      <c r="E40" s="443"/>
      <c r="F40" s="443"/>
      <c r="G40" s="443"/>
      <c r="H40" s="443"/>
      <c r="I40" s="443"/>
      <c r="K40" s="445" t="s">
        <v>809</v>
      </c>
      <c r="S40" s="1052" t="s">
        <v>810</v>
      </c>
      <c r="T40" s="1053"/>
      <c r="U40" s="1019">
        <v>0.78</v>
      </c>
      <c r="V40" s="1019">
        <v>0.76</v>
      </c>
      <c r="W40" s="1019">
        <v>0.74</v>
      </c>
      <c r="X40" s="1019">
        <v>0.73</v>
      </c>
      <c r="Y40" s="1019">
        <v>0.8</v>
      </c>
      <c r="Z40" s="1019">
        <v>0.8</v>
      </c>
      <c r="AA40" s="1019">
        <v>0.8</v>
      </c>
      <c r="AB40" s="1019">
        <v>0.8</v>
      </c>
      <c r="AC40" s="1019">
        <v>0.81</v>
      </c>
      <c r="AD40" s="1020">
        <v>0.77</v>
      </c>
    </row>
    <row r="41" spans="2:37" ht="13.9" customHeight="1" outlineLevel="1" thickBot="1">
      <c r="C41" s="710"/>
      <c r="D41" s="443"/>
      <c r="E41" s="443"/>
      <c r="F41" s="443"/>
      <c r="G41" s="443"/>
      <c r="H41" s="443"/>
      <c r="I41" s="443"/>
      <c r="J41" s="443"/>
      <c r="K41" s="443"/>
      <c r="S41" s="1054" t="s">
        <v>811</v>
      </c>
      <c r="T41" s="1055"/>
      <c r="U41" s="1016">
        <v>26846</v>
      </c>
      <c r="V41" s="1016">
        <v>21486</v>
      </c>
      <c r="W41" s="1016">
        <v>16800</v>
      </c>
      <c r="X41" s="1016">
        <v>13165</v>
      </c>
      <c r="Y41" s="1016">
        <v>19990</v>
      </c>
      <c r="Z41" s="1016">
        <v>18187</v>
      </c>
      <c r="AA41" s="1016">
        <v>14775</v>
      </c>
      <c r="AB41" s="1016">
        <v>12767</v>
      </c>
      <c r="AC41" s="1016">
        <v>14783</v>
      </c>
      <c r="AD41" s="1021">
        <v>14594</v>
      </c>
    </row>
    <row r="42" spans="2:37" ht="15" outlineLevel="1" thickBot="1">
      <c r="B42" s="792"/>
      <c r="C42" s="710"/>
      <c r="D42" s="443"/>
      <c r="E42" s="443"/>
      <c r="F42" s="443"/>
      <c r="G42" s="443"/>
      <c r="H42" s="443"/>
      <c r="I42" s="443"/>
      <c r="J42" s="443"/>
      <c r="K42" s="443"/>
      <c r="S42" s="1054" t="s">
        <v>138</v>
      </c>
      <c r="T42" s="1055"/>
      <c r="U42" s="1016">
        <v>404</v>
      </c>
      <c r="V42" s="1016">
        <v>325</v>
      </c>
      <c r="W42" s="1016">
        <v>278</v>
      </c>
      <c r="X42" s="1016">
        <v>292</v>
      </c>
      <c r="Y42" s="1016">
        <v>382</v>
      </c>
      <c r="Z42" s="1016">
        <v>406</v>
      </c>
      <c r="AA42" s="1016">
        <v>468</v>
      </c>
      <c r="AB42" s="1016">
        <v>433</v>
      </c>
      <c r="AC42" s="1016">
        <v>400</v>
      </c>
      <c r="AD42" s="1021">
        <v>415</v>
      </c>
    </row>
    <row r="43" spans="2:37" ht="15" outlineLevel="1" thickBot="1">
      <c r="B43" s="792"/>
      <c r="C43" s="710"/>
      <c r="D43" s="443"/>
      <c r="E43" s="443"/>
      <c r="F43" s="443"/>
      <c r="G43" s="443"/>
      <c r="H43" s="443"/>
      <c r="I43" s="443"/>
      <c r="J43" s="443"/>
      <c r="K43" s="443"/>
      <c r="S43" s="1054" t="s">
        <v>812</v>
      </c>
      <c r="T43" s="1055"/>
      <c r="U43" s="1016">
        <v>3800</v>
      </c>
      <c r="V43" s="1016">
        <v>1753</v>
      </c>
      <c r="W43" s="1016">
        <v>796</v>
      </c>
      <c r="X43" s="1016">
        <v>581</v>
      </c>
      <c r="Y43" s="1016">
        <v>1905</v>
      </c>
      <c r="Z43" s="1016">
        <v>1672</v>
      </c>
      <c r="AA43" s="1016">
        <v>1297</v>
      </c>
      <c r="AB43" s="1016">
        <v>1126</v>
      </c>
      <c r="AC43" s="1016">
        <v>1440</v>
      </c>
      <c r="AD43" s="1021">
        <v>1160</v>
      </c>
    </row>
    <row r="44" spans="2:37" ht="15" outlineLevel="1" thickBot="1">
      <c r="B44" s="792"/>
      <c r="C44" s="710"/>
      <c r="D44" s="443"/>
      <c r="E44" s="443"/>
      <c r="F44" s="443"/>
      <c r="G44" s="443"/>
      <c r="H44" s="443"/>
      <c r="I44" s="443"/>
      <c r="J44" s="443"/>
      <c r="K44" s="443"/>
      <c r="S44" s="1054" t="s">
        <v>813</v>
      </c>
      <c r="T44" s="1055"/>
      <c r="U44" s="1017">
        <v>0.1394</v>
      </c>
      <c r="V44" s="1017">
        <v>7.9699999999999993E-2</v>
      </c>
      <c r="W44" s="1017">
        <v>4.58E-2</v>
      </c>
      <c r="X44" s="1017">
        <v>4.2599999999999999E-2</v>
      </c>
      <c r="Y44" s="1017">
        <v>9.3399999999999997E-2</v>
      </c>
      <c r="Z44" s="1017">
        <v>8.8599999999999998E-2</v>
      </c>
      <c r="AA44" s="1017">
        <v>8.3400000000000002E-2</v>
      </c>
      <c r="AB44" s="1017">
        <v>8.2500000000000004E-2</v>
      </c>
      <c r="AC44" s="1017">
        <v>9.2499999999999999E-2</v>
      </c>
      <c r="AD44" s="1022">
        <v>7.5700000000000003E-2</v>
      </c>
    </row>
    <row r="45" spans="2:37" ht="15" outlineLevel="1" thickBot="1">
      <c r="B45" s="792"/>
      <c r="C45" s="710"/>
      <c r="D45" s="443"/>
      <c r="E45" s="443"/>
      <c r="F45" s="443"/>
      <c r="G45" s="443"/>
      <c r="H45" s="443"/>
      <c r="I45" s="443"/>
      <c r="J45" s="443"/>
      <c r="K45" s="443"/>
      <c r="S45" s="1054" t="s">
        <v>814</v>
      </c>
      <c r="T45" s="1055"/>
      <c r="U45" s="1016">
        <v>585</v>
      </c>
      <c r="V45" s="1016">
        <v>466</v>
      </c>
      <c r="W45" s="1016">
        <v>547</v>
      </c>
      <c r="X45" s="1016">
        <v>556</v>
      </c>
      <c r="Y45" s="1016">
        <v>665</v>
      </c>
      <c r="Z45" s="1016">
        <v>779</v>
      </c>
      <c r="AA45" s="1016">
        <v>770</v>
      </c>
      <c r="AB45" s="1016">
        <v>736</v>
      </c>
      <c r="AC45" s="1016">
        <v>660</v>
      </c>
      <c r="AD45" s="1021" t="s">
        <v>815</v>
      </c>
    </row>
    <row r="46" spans="2:37" ht="15" outlineLevel="1" thickBot="1">
      <c r="B46" s="792"/>
      <c r="C46" s="710"/>
      <c r="D46" s="443"/>
      <c r="E46" s="443"/>
      <c r="F46" s="443"/>
      <c r="G46" s="443"/>
      <c r="H46" s="443"/>
      <c r="I46" s="443"/>
      <c r="J46" s="445" t="s">
        <v>816</v>
      </c>
      <c r="K46" s="443"/>
      <c r="S46" s="1054" t="s">
        <v>52</v>
      </c>
      <c r="T46" s="1055"/>
      <c r="U46" s="1016">
        <v>8039</v>
      </c>
      <c r="V46" s="1016">
        <v>7218</v>
      </c>
      <c r="W46" s="1016">
        <v>6912</v>
      </c>
      <c r="X46" s="1016">
        <v>5972</v>
      </c>
      <c r="Y46" s="1016">
        <v>5609</v>
      </c>
      <c r="Z46" s="1016">
        <v>5347</v>
      </c>
      <c r="AA46" s="1016">
        <v>5160</v>
      </c>
      <c r="AB46" s="1016">
        <v>4429</v>
      </c>
      <c r="AC46" s="1016">
        <v>4472</v>
      </c>
      <c r="AD46" s="1021">
        <v>4871</v>
      </c>
    </row>
    <row r="47" spans="2:37" ht="14.25" outlineLevel="1">
      <c r="B47" s="792"/>
      <c r="C47" s="710"/>
      <c r="D47" s="443"/>
      <c r="E47" s="443"/>
      <c r="F47" s="443"/>
      <c r="G47" s="443"/>
      <c r="H47" s="443"/>
      <c r="I47" s="443"/>
      <c r="K47" s="443"/>
      <c r="S47" s="1050" t="s">
        <v>817</v>
      </c>
      <c r="T47" s="1051"/>
      <c r="U47" s="1023" t="s">
        <v>815</v>
      </c>
      <c r="V47" s="1023" t="s">
        <v>815</v>
      </c>
      <c r="W47" s="1023" t="s">
        <v>815</v>
      </c>
      <c r="X47" s="1023" t="s">
        <v>815</v>
      </c>
      <c r="Y47" s="1023" t="s">
        <v>815</v>
      </c>
      <c r="Z47" s="1023" t="s">
        <v>815</v>
      </c>
      <c r="AA47" s="1023" t="s">
        <v>815</v>
      </c>
      <c r="AB47" s="1023" t="s">
        <v>815</v>
      </c>
      <c r="AC47" s="1023" t="s">
        <v>815</v>
      </c>
      <c r="AD47" s="1024">
        <v>505</v>
      </c>
    </row>
    <row r="48" spans="2:37" ht="13.5" outlineLevel="1">
      <c r="B48" s="792"/>
      <c r="C48" s="710"/>
      <c r="D48" s="443"/>
      <c r="E48" s="443"/>
      <c r="F48" s="443"/>
      <c r="G48" s="443"/>
      <c r="H48" s="443"/>
      <c r="I48" s="443"/>
      <c r="J48" s="443"/>
      <c r="K48" s="443"/>
    </row>
    <row r="49" spans="2:33" ht="13.5" outlineLevel="1">
      <c r="B49" s="792"/>
      <c r="C49" s="710"/>
      <c r="D49" s="443"/>
      <c r="E49" s="443"/>
      <c r="F49" s="443"/>
      <c r="G49" s="443"/>
      <c r="H49" s="443"/>
      <c r="I49" s="443"/>
      <c r="J49" s="443"/>
      <c r="K49" s="443"/>
    </row>
    <row r="50" spans="2:33" ht="13.5" outlineLevel="1">
      <c r="B50" s="792"/>
      <c r="C50" s="710"/>
      <c r="D50" s="443"/>
      <c r="E50" s="443"/>
      <c r="F50" s="443"/>
      <c r="G50" s="443"/>
      <c r="H50" s="443"/>
      <c r="I50" s="443"/>
      <c r="J50" s="443"/>
      <c r="K50" s="443"/>
      <c r="AG50" s="1067"/>
    </row>
    <row r="51" spans="2:33" ht="13.5" outlineLevel="1">
      <c r="B51" s="792"/>
      <c r="C51" s="710"/>
      <c r="D51" s="443"/>
      <c r="E51" s="443"/>
      <c r="F51" s="443"/>
      <c r="G51" s="443"/>
      <c r="H51" s="443"/>
      <c r="I51" s="443"/>
      <c r="J51" s="443"/>
      <c r="K51" s="443"/>
    </row>
    <row r="52" spans="2:33" ht="13.5" outlineLevel="1">
      <c r="B52" s="792"/>
      <c r="C52" s="710"/>
      <c r="D52" s="443"/>
      <c r="E52" s="443"/>
      <c r="F52" s="443"/>
      <c r="G52" s="443"/>
      <c r="H52" s="443"/>
      <c r="I52" s="443"/>
      <c r="J52" s="443"/>
      <c r="K52" s="443"/>
    </row>
    <row r="53" spans="2:33" ht="13.5" outlineLevel="1">
      <c r="B53" s="792"/>
      <c r="C53" s="710"/>
      <c r="D53" s="443"/>
      <c r="E53" s="443"/>
      <c r="F53" s="443"/>
      <c r="G53" s="443"/>
      <c r="H53" s="443"/>
      <c r="I53" s="443"/>
      <c r="J53" s="443"/>
      <c r="K53" s="443"/>
    </row>
    <row r="54" spans="2:33" ht="13.5" outlineLevel="1">
      <c r="B54" s="792"/>
      <c r="C54" s="710"/>
      <c r="D54" s="443"/>
      <c r="E54" s="443"/>
      <c r="F54" s="443"/>
      <c r="G54" s="443"/>
      <c r="H54" s="443"/>
      <c r="I54" s="443"/>
      <c r="J54" s="443"/>
      <c r="K54" s="443"/>
    </row>
    <row r="55" spans="2:33" ht="13.5" outlineLevel="1">
      <c r="B55" s="792"/>
      <c r="C55" s="710"/>
      <c r="D55" s="443"/>
      <c r="E55" s="443"/>
      <c r="F55" s="443"/>
      <c r="G55" s="443"/>
      <c r="H55" s="443"/>
      <c r="I55" s="443"/>
      <c r="J55" s="443"/>
      <c r="K55" s="443"/>
    </row>
    <row r="56" spans="2:33" ht="13.5" outlineLevel="1">
      <c r="B56" s="792"/>
      <c r="C56" s="710"/>
      <c r="D56" s="443"/>
      <c r="E56" s="443"/>
      <c r="F56" s="443"/>
      <c r="G56" s="443"/>
      <c r="H56" s="443"/>
      <c r="I56" s="443"/>
      <c r="J56" s="443"/>
      <c r="K56" s="443"/>
    </row>
    <row r="57" spans="2:33" ht="13.5" outlineLevel="1">
      <c r="B57" s="792"/>
      <c r="C57" s="710"/>
      <c r="D57" s="443"/>
      <c r="E57" s="443"/>
      <c r="F57" s="443"/>
      <c r="G57" s="443"/>
      <c r="H57" s="443"/>
      <c r="I57" s="443"/>
      <c r="J57" s="443"/>
      <c r="K57" s="443"/>
    </row>
    <row r="58" spans="2:33" ht="13.5" outlineLevel="1">
      <c r="B58" s="792"/>
      <c r="C58" s="710"/>
      <c r="D58" s="443"/>
      <c r="E58" s="443"/>
      <c r="F58" s="443"/>
      <c r="G58" s="443"/>
      <c r="H58" s="443"/>
      <c r="I58" s="443"/>
      <c r="J58" s="443"/>
      <c r="K58" s="443"/>
    </row>
    <row r="59" spans="2:33" ht="13.5" outlineLevel="1">
      <c r="B59" s="792"/>
      <c r="C59" s="710"/>
      <c r="D59" s="443"/>
      <c r="E59" s="443"/>
      <c r="F59" s="443"/>
      <c r="G59" s="443"/>
      <c r="H59" s="443"/>
      <c r="I59" s="443"/>
      <c r="J59" s="443"/>
      <c r="K59" s="443"/>
    </row>
    <row r="60" spans="2:33" ht="13.5" outlineLevel="1">
      <c r="B60" s="792"/>
      <c r="C60" s="710"/>
      <c r="D60" s="443"/>
      <c r="E60" s="443"/>
      <c r="F60" s="443"/>
      <c r="G60" s="443"/>
      <c r="H60" s="443"/>
      <c r="I60" s="443"/>
      <c r="J60" s="443"/>
      <c r="K60" s="443"/>
      <c r="Z60" s="443" t="s">
        <v>818</v>
      </c>
    </row>
    <row r="61" spans="2:33" ht="13.5" outlineLevel="1">
      <c r="B61" s="792"/>
      <c r="C61" s="710"/>
      <c r="D61" s="443"/>
      <c r="E61" s="443"/>
      <c r="F61" s="443"/>
      <c r="G61" s="443"/>
      <c r="H61" s="443"/>
      <c r="I61" s="443"/>
      <c r="J61" s="443"/>
      <c r="K61" s="443"/>
    </row>
    <row r="62" spans="2:33" ht="13.5" outlineLevel="1">
      <c r="B62" s="792"/>
      <c r="C62" s="710"/>
      <c r="D62" s="443"/>
      <c r="E62" s="443"/>
      <c r="F62" s="443"/>
      <c r="G62" s="443"/>
      <c r="H62" s="443"/>
      <c r="I62" s="443"/>
      <c r="J62" s="443"/>
      <c r="K62" s="443"/>
    </row>
    <row r="63" spans="2:33" ht="13.5" outlineLevel="1">
      <c r="B63" s="792"/>
      <c r="C63" s="710"/>
      <c r="D63" s="443"/>
      <c r="E63" s="443"/>
      <c r="F63" s="443"/>
      <c r="G63" s="443"/>
      <c r="H63" s="443"/>
      <c r="I63" s="443"/>
      <c r="J63" s="443"/>
      <c r="K63" s="443"/>
    </row>
    <row r="64" spans="2:33" ht="13.5" outlineLevel="1">
      <c r="B64" s="792"/>
      <c r="C64" s="710"/>
      <c r="D64" s="443"/>
      <c r="E64" s="443"/>
      <c r="F64" s="443"/>
      <c r="G64" s="443"/>
      <c r="H64" s="443"/>
      <c r="I64" s="443"/>
      <c r="J64" s="443"/>
      <c r="K64" s="443"/>
    </row>
    <row r="65" spans="2:16" ht="13.5" outlineLevel="1">
      <c r="B65" s="792"/>
      <c r="C65" s="710"/>
      <c r="D65" s="443"/>
      <c r="E65" s="443"/>
      <c r="F65" s="443"/>
      <c r="G65" s="443"/>
      <c r="H65" s="443"/>
      <c r="I65" s="443"/>
      <c r="J65" s="443"/>
      <c r="K65" s="443"/>
    </row>
    <row r="66" spans="2:16" ht="13.5" outlineLevel="1">
      <c r="B66" s="792"/>
      <c r="C66" s="710"/>
      <c r="D66" s="443"/>
      <c r="E66" s="443"/>
      <c r="F66" s="443"/>
      <c r="G66" s="443"/>
      <c r="H66" s="443"/>
      <c r="I66" s="443"/>
      <c r="J66" s="443"/>
      <c r="K66" s="443"/>
    </row>
    <row r="67" spans="2:16" ht="13.5" outlineLevel="1">
      <c r="B67" s="792"/>
      <c r="C67" s="710"/>
      <c r="D67" s="443"/>
      <c r="E67" s="443"/>
      <c r="F67" s="443"/>
      <c r="G67" s="443"/>
      <c r="H67" s="443"/>
      <c r="I67" s="443"/>
      <c r="J67" s="443"/>
      <c r="K67" s="443"/>
    </row>
    <row r="68" spans="2:16" ht="13.5" outlineLevel="1">
      <c r="B68" s="792"/>
      <c r="C68" s="710"/>
      <c r="D68" s="443"/>
      <c r="E68" s="443"/>
      <c r="F68" s="443"/>
      <c r="G68" s="443"/>
      <c r="H68" s="443"/>
      <c r="I68" s="443"/>
      <c r="J68" s="443"/>
      <c r="K68" s="443"/>
    </row>
    <row r="69" spans="2:16" ht="13.5" outlineLevel="1">
      <c r="B69" s="792"/>
      <c r="C69" s="710"/>
      <c r="D69" s="443"/>
      <c r="E69" s="443"/>
      <c r="F69" s="443"/>
      <c r="G69" s="443"/>
      <c r="H69" s="443"/>
      <c r="I69" s="443"/>
      <c r="J69" s="443"/>
      <c r="K69" s="443"/>
    </row>
    <row r="70" spans="2:16" ht="13.5" outlineLevel="1">
      <c r="B70" s="792"/>
      <c r="C70" s="710"/>
      <c r="D70" s="443"/>
      <c r="E70" s="443"/>
      <c r="F70" s="443"/>
      <c r="G70" s="443"/>
      <c r="H70" s="443"/>
      <c r="I70" s="443"/>
      <c r="J70" s="443"/>
      <c r="K70" s="443"/>
    </row>
    <row r="71" spans="2:16" ht="48" customHeight="1" outlineLevel="1">
      <c r="B71" s="792"/>
      <c r="C71" s="710"/>
      <c r="D71" s="443"/>
      <c r="E71" s="443"/>
      <c r="F71" s="443"/>
      <c r="G71" s="443"/>
      <c r="H71" s="443"/>
      <c r="I71" s="443"/>
      <c r="J71" s="443"/>
      <c r="K71" s="443"/>
    </row>
    <row r="72" spans="2:16" ht="17.100000000000001" customHeight="1" outlineLevel="1">
      <c r="B72" s="792"/>
      <c r="C72" s="710"/>
      <c r="D72" s="443"/>
      <c r="E72" s="443"/>
      <c r="F72" s="443"/>
      <c r="G72" s="443"/>
      <c r="K72" s="443"/>
      <c r="L72" s="750"/>
    </row>
    <row r="73" spans="2:16" ht="13.5" outlineLevel="1">
      <c r="B73" s="792"/>
      <c r="C73" s="710"/>
      <c r="D73" s="443"/>
      <c r="E73" s="443"/>
      <c r="F73" s="443"/>
      <c r="G73" s="443"/>
      <c r="J73" s="747"/>
      <c r="K73" s="443"/>
      <c r="L73" s="751"/>
      <c r="M73" s="450"/>
    </row>
    <row r="74" spans="2:16" ht="13.5" outlineLevel="1">
      <c r="B74" s="792"/>
      <c r="C74" s="710"/>
      <c r="D74" s="443"/>
      <c r="E74" s="443"/>
      <c r="F74" s="443"/>
      <c r="G74" s="443"/>
      <c r="J74" s="749"/>
      <c r="K74" s="443"/>
      <c r="L74" s="636"/>
      <c r="M74" s="450"/>
    </row>
    <row r="75" spans="2:16" ht="13.5" outlineLevel="1">
      <c r="B75" s="792"/>
      <c r="C75" s="710"/>
      <c r="D75" s="443"/>
      <c r="E75" s="443"/>
      <c r="F75" s="443"/>
      <c r="G75" s="443"/>
      <c r="J75" s="636"/>
      <c r="K75" s="443"/>
      <c r="L75" s="636"/>
      <c r="M75" s="450"/>
    </row>
    <row r="76" spans="2:16" ht="13.5" outlineLevel="1">
      <c r="B76" s="792"/>
      <c r="C76" s="710"/>
      <c r="D76" s="443"/>
      <c r="E76" s="443"/>
      <c r="F76" s="443"/>
      <c r="G76" s="443"/>
      <c r="J76" s="636"/>
      <c r="K76" s="443"/>
      <c r="L76" s="636"/>
      <c r="M76" s="450"/>
    </row>
    <row r="77" spans="2:16" ht="13.5" outlineLevel="1">
      <c r="B77" s="793"/>
      <c r="C77" s="710"/>
      <c r="D77" s="443"/>
      <c r="E77" s="443"/>
      <c r="F77" s="443"/>
      <c r="G77" s="443"/>
      <c r="H77" s="443"/>
      <c r="I77" s="443"/>
      <c r="J77" s="443"/>
      <c r="K77" s="443"/>
    </row>
    <row r="78" spans="2:16" s="442" customFormat="1" ht="13.5">
      <c r="B78" s="452" t="s">
        <v>341</v>
      </c>
    </row>
    <row r="79" spans="2:16" ht="13.5" outlineLevel="1">
      <c r="B79" s="793"/>
      <c r="C79" s="710"/>
      <c r="D79" s="443"/>
      <c r="E79" s="443"/>
      <c r="F79" s="443"/>
      <c r="G79" s="443"/>
      <c r="H79" s="443"/>
      <c r="I79" s="443"/>
      <c r="J79" s="443"/>
      <c r="K79" s="443"/>
      <c r="P79" s="443" t="e" vm="14">
        <v>#VALUE!</v>
      </c>
    </row>
    <row r="80" spans="2:16" s="1065" customFormat="1" ht="13.5" outlineLevel="1">
      <c r="B80" s="1096" t="s">
        <v>819</v>
      </c>
      <c r="C80" s="1063"/>
      <c r="D80" s="1064"/>
      <c r="E80" s="1064"/>
      <c r="F80" s="1064"/>
      <c r="G80" s="1064"/>
      <c r="H80" s="1064"/>
      <c r="I80" s="1064"/>
      <c r="J80" s="1064"/>
      <c r="K80" s="1064"/>
    </row>
    <row r="81" spans="2:32" ht="13.5" outlineLevel="1">
      <c r="B81" s="792"/>
      <c r="C81" s="853"/>
    </row>
    <row r="82" spans="2:32" ht="24" outlineLevel="1">
      <c r="B82" s="1026" t="s">
        <v>820</v>
      </c>
      <c r="C82" s="1027" t="s">
        <v>821</v>
      </c>
      <c r="D82" s="1027" t="s">
        <v>822</v>
      </c>
      <c r="E82" s="1027" t="s">
        <v>823</v>
      </c>
      <c r="F82" s="1027" t="s">
        <v>824</v>
      </c>
      <c r="G82" s="1027" t="s">
        <v>825</v>
      </c>
      <c r="H82" s="1027" t="s">
        <v>826</v>
      </c>
      <c r="J82" s="1026" t="s">
        <v>827</v>
      </c>
      <c r="K82" s="1027" t="s">
        <v>821</v>
      </c>
      <c r="L82" s="1027" t="s">
        <v>822</v>
      </c>
      <c r="M82" s="1027" t="s">
        <v>823</v>
      </c>
      <c r="N82" s="1027" t="s">
        <v>824</v>
      </c>
      <c r="O82" s="1027" t="s">
        <v>825</v>
      </c>
      <c r="P82" s="1027" t="s">
        <v>826</v>
      </c>
      <c r="R82" s="1026" t="s">
        <v>828</v>
      </c>
      <c r="S82" s="1027" t="s">
        <v>821</v>
      </c>
      <c r="T82" s="1027" t="s">
        <v>822</v>
      </c>
      <c r="U82" s="1027" t="s">
        <v>823</v>
      </c>
      <c r="V82" s="1027" t="s">
        <v>824</v>
      </c>
      <c r="W82" s="1027" t="s">
        <v>825</v>
      </c>
      <c r="X82" s="1027" t="s">
        <v>826</v>
      </c>
      <c r="Z82" s="1026" t="s">
        <v>829</v>
      </c>
      <c r="AA82" s="1027" t="s">
        <v>821</v>
      </c>
      <c r="AB82" s="1027" t="s">
        <v>822</v>
      </c>
      <c r="AC82" s="1027" t="s">
        <v>823</v>
      </c>
      <c r="AD82" s="1027" t="s">
        <v>824</v>
      </c>
      <c r="AE82" s="1027" t="s">
        <v>825</v>
      </c>
      <c r="AF82" s="1027" t="s">
        <v>826</v>
      </c>
    </row>
    <row r="83" spans="2:32" ht="13.5" outlineLevel="1">
      <c r="B83" s="1028">
        <v>2014</v>
      </c>
      <c r="C83" s="1029" t="s">
        <v>830</v>
      </c>
      <c r="D83" s="1037">
        <v>3329.2</v>
      </c>
      <c r="E83" s="1037">
        <v>3455</v>
      </c>
      <c r="F83" s="1037">
        <v>3810.6</v>
      </c>
      <c r="G83" s="1037">
        <v>3999.2</v>
      </c>
      <c r="H83" s="1037">
        <f>IFERROR(SUM(D83:G83),"-")</f>
        <v>14594</v>
      </c>
      <c r="J83" s="1028">
        <v>2014</v>
      </c>
      <c r="K83" s="1029" t="s">
        <v>830</v>
      </c>
      <c r="L83" s="1037">
        <v>726.6</v>
      </c>
      <c r="M83" s="1037">
        <v>778</v>
      </c>
      <c r="N83" s="1037">
        <v>784.2</v>
      </c>
      <c r="O83" s="1037">
        <v>788.7</v>
      </c>
      <c r="P83" s="1037">
        <f>IFERROR(SUM(L83:O83),"-")</f>
        <v>3077.5</v>
      </c>
      <c r="R83" s="1028">
        <v>2014</v>
      </c>
      <c r="S83" s="1029" t="s">
        <v>830</v>
      </c>
      <c r="T83" s="1037">
        <f>293.7</f>
        <v>293.7</v>
      </c>
      <c r="U83" s="1037">
        <f>302.6</f>
        <v>302.60000000000002</v>
      </c>
      <c r="V83" s="1037">
        <f>305.9</f>
        <v>305.89999999999998</v>
      </c>
      <c r="W83" s="1037">
        <f>302</f>
        <v>302</v>
      </c>
      <c r="X83" s="1037">
        <f>IFERROR(SUM(T83:W83),"-")</f>
        <v>1204.1999999999998</v>
      </c>
      <c r="Z83" s="1028">
        <v>2014</v>
      </c>
      <c r="AA83" s="1029" t="s">
        <v>830</v>
      </c>
      <c r="AB83" s="1037">
        <v>30.4</v>
      </c>
      <c r="AC83" s="1037">
        <v>34</v>
      </c>
      <c r="AD83" s="1037">
        <v>27.7</v>
      </c>
      <c r="AE83" s="1037">
        <v>29.2</v>
      </c>
      <c r="AF83" s="1037">
        <f>IFERROR(SUM(AB83:AE83),"-")</f>
        <v>121.30000000000001</v>
      </c>
    </row>
    <row r="84" spans="2:32" outlineLevel="1">
      <c r="B84" s="1030" t="s">
        <v>831</v>
      </c>
      <c r="C84" s="1031" t="s">
        <v>832</v>
      </c>
      <c r="D84" s="1031">
        <f>IFERROR(D83/SUM($D83:$G83),"-")</f>
        <v>0.22812114567630531</v>
      </c>
      <c r="E84" s="1031">
        <f>IFERROR(E83/SUM($D83:$G83),"-")</f>
        <v>0.23674112649033849</v>
      </c>
      <c r="F84" s="1031">
        <f>IFERROR(F83/SUM($D83:$G83),"-")</f>
        <v>0.26110730437165958</v>
      </c>
      <c r="G84" s="1031">
        <f>IFERROR(G83/SUM($D83:$G83),"-")</f>
        <v>0.27403042346169659</v>
      </c>
      <c r="H84" s="1031">
        <f>IFERROR(H83/SUM($D83:$G83),"-")</f>
        <v>1</v>
      </c>
      <c r="J84" s="1030" t="s">
        <v>831</v>
      </c>
      <c r="K84" s="1031" t="s">
        <v>832</v>
      </c>
      <c r="L84" s="1031">
        <f>IFERROR(L83/SUM($L83:$O83),"-")</f>
        <v>0.23610073111291632</v>
      </c>
      <c r="M84" s="1031">
        <f>IFERROR(M83/SUM($L83:$O83),"-")</f>
        <v>0.25280259951259137</v>
      </c>
      <c r="N84" s="1031">
        <f>IFERROR(N83/SUM($L83:$O83),"-")</f>
        <v>0.25481722177091798</v>
      </c>
      <c r="O84" s="1031">
        <f>IFERROR(O83/SUM($L83:$O83),"-")</f>
        <v>0.25627944760357435</v>
      </c>
      <c r="P84" s="1031">
        <f>IFERROR(P83/SUM($L83:$O83),"-")</f>
        <v>1</v>
      </c>
      <c r="R84" s="1030" t="s">
        <v>831</v>
      </c>
      <c r="S84" s="1031" t="s">
        <v>832</v>
      </c>
      <c r="T84" s="1031">
        <f>IFERROR(T83/SUM($T83:$W83),"-")</f>
        <v>0.24389636273044349</v>
      </c>
      <c r="U84" s="1031">
        <f>IFERROR(U83/SUM($T83:$W83),"-")</f>
        <v>0.25128716160106301</v>
      </c>
      <c r="V84" s="1031">
        <f>IFERROR(V83/SUM($T83:$W83),"-")</f>
        <v>0.25402757017106797</v>
      </c>
      <c r="W84" s="1031">
        <f>IFERROR(W83/SUM($T83:$W83),"-")</f>
        <v>0.25078890549742572</v>
      </c>
      <c r="X84" s="1031">
        <f>IFERROR(X83/SUM($T83:$W83),"-")</f>
        <v>1</v>
      </c>
      <c r="Z84" s="1030" t="s">
        <v>831</v>
      </c>
      <c r="AA84" s="1031" t="s">
        <v>832</v>
      </c>
      <c r="AB84" s="1031">
        <f>IFERROR(AB83/SUM($AB83:$AE83),"-")</f>
        <v>0.25061830173124483</v>
      </c>
      <c r="AC84" s="1031">
        <f>IFERROR(AC83/SUM($AB83:$AE83),"-")</f>
        <v>0.28029678483099751</v>
      </c>
      <c r="AD84" s="1031">
        <f>IFERROR(AD83/SUM($AB83:$AE83),"-")</f>
        <v>0.2283594394064303</v>
      </c>
      <c r="AE84" s="1031">
        <f>IFERROR(AE83/SUM($AB83:$AE83),"-")</f>
        <v>0.24072547403132727</v>
      </c>
      <c r="AF84" s="1031">
        <f>IFERROR(AF83/SUM($AB83:$AE83),"-")</f>
        <v>1</v>
      </c>
    </row>
    <row r="85" spans="2:32" ht="13.5" outlineLevel="1">
      <c r="B85" s="1028">
        <v>2015</v>
      </c>
      <c r="C85" s="1029" t="s">
        <v>830</v>
      </c>
      <c r="D85" s="1037">
        <v>3769.1</v>
      </c>
      <c r="E85" s="1037">
        <v>3983.4</v>
      </c>
      <c r="F85" s="1037">
        <v>3744.7</v>
      </c>
      <c r="G85" s="1037">
        <v>3285.3</v>
      </c>
      <c r="H85" s="1037">
        <f>IFERROR(SUM(D85:G85),"-")</f>
        <v>14782.5</v>
      </c>
      <c r="J85" s="1028">
        <v>2015</v>
      </c>
      <c r="K85" s="1029" t="s">
        <v>830</v>
      </c>
      <c r="L85" s="1037">
        <v>752.7</v>
      </c>
      <c r="M85" s="1037">
        <v>776.5</v>
      </c>
      <c r="N85" s="1037">
        <v>778</v>
      </c>
      <c r="O85" s="1037">
        <v>752.9</v>
      </c>
      <c r="P85" s="1037">
        <f>IFERROR(SUM(L85:O85),"-")</f>
        <v>3060.1</v>
      </c>
      <c r="R85" s="1028">
        <v>2015</v>
      </c>
      <c r="S85" s="1029" t="s">
        <v>830</v>
      </c>
      <c r="T85" s="1037">
        <f>284.7</f>
        <v>284.7</v>
      </c>
      <c r="U85" s="1037">
        <f>293.8</f>
        <v>293.8</v>
      </c>
      <c r="V85" s="1037">
        <f>301</f>
        <v>301</v>
      </c>
      <c r="W85" s="1037">
        <f>292.8</f>
        <v>292.8</v>
      </c>
      <c r="X85" s="1037">
        <f>IFERROR(SUM(T85:W85),"-")</f>
        <v>1172.3</v>
      </c>
      <c r="Z85" s="1028">
        <v>2015</v>
      </c>
      <c r="AA85" s="1029" t="s">
        <v>830</v>
      </c>
      <c r="AB85" s="1037">
        <v>26.2</v>
      </c>
      <c r="AC85" s="1037">
        <v>26.2</v>
      </c>
      <c r="AD85" s="1037">
        <v>23.5</v>
      </c>
      <c r="AE85" s="1037">
        <v>24.3</v>
      </c>
      <c r="AF85" s="1037">
        <f>IFERROR(SUM(AB85:AE85),"-")</f>
        <v>100.2</v>
      </c>
    </row>
    <row r="86" spans="2:32" outlineLevel="1">
      <c r="B86" s="1030" t="s">
        <v>831</v>
      </c>
      <c r="C86" s="1031" t="s">
        <v>832</v>
      </c>
      <c r="D86" s="1031">
        <f>IFERROR(D85/SUM($D85:$G85),"-")</f>
        <v>0.25497040419414846</v>
      </c>
      <c r="E86" s="1031">
        <f>IFERROR(E85/SUM($D85:$G85),"-")</f>
        <v>0.26946727549467275</v>
      </c>
      <c r="F86" s="1031">
        <f>IFERROR(F85/SUM($D85:$G85),"-")</f>
        <v>0.25331980382208691</v>
      </c>
      <c r="G86" s="1031">
        <f>IFERROR(G85/SUM($D85:$G85),"-")</f>
        <v>0.22224251648909185</v>
      </c>
      <c r="H86" s="1031">
        <f>IFERROR(H85/SUM($D85:$G85),"-")</f>
        <v>1</v>
      </c>
      <c r="J86" s="1030" t="s">
        <v>831</v>
      </c>
      <c r="K86" s="1031" t="s">
        <v>832</v>
      </c>
      <c r="L86" s="1031">
        <f>IFERROR(L85/SUM($L85:$O85),"-")</f>
        <v>0.24597235384464561</v>
      </c>
      <c r="M86" s="1031">
        <f>IFERROR(M85/SUM($L85:$O85),"-")</f>
        <v>0.25374987745498512</v>
      </c>
      <c r="N86" s="1031">
        <f>IFERROR(N85/SUM($L85:$O85),"-")</f>
        <v>0.25424005751446033</v>
      </c>
      <c r="O86" s="1031">
        <f>IFERROR(O85/SUM($L85:$O85),"-")</f>
        <v>0.24603771118590895</v>
      </c>
      <c r="P86" s="1031">
        <f>IFERROR(P85/SUM($L85:$O85),"-")</f>
        <v>1</v>
      </c>
      <c r="R86" s="1030" t="s">
        <v>831</v>
      </c>
      <c r="S86" s="1031" t="s">
        <v>832</v>
      </c>
      <c r="T86" s="1031">
        <f>IFERROR(T85/SUM($T85:$W85),"-")</f>
        <v>0.24285592425147146</v>
      </c>
      <c r="U86" s="1031">
        <f>IFERROR(U85/SUM($T85:$W85),"-")</f>
        <v>0.25061844237823083</v>
      </c>
      <c r="V86" s="1031">
        <f>IFERROR(V85/SUM($T85:$W85),"-")</f>
        <v>0.25676021496204043</v>
      </c>
      <c r="W86" s="1031">
        <f>IFERROR(W85/SUM($T85:$W85),"-")</f>
        <v>0.24976541840825728</v>
      </c>
      <c r="X86" s="1031">
        <f>IFERROR(X85/SUM($T85:$W85),"-")</f>
        <v>1</v>
      </c>
      <c r="Z86" s="1030" t="s">
        <v>831</v>
      </c>
      <c r="AA86" s="1031" t="s">
        <v>832</v>
      </c>
      <c r="AB86" s="1031">
        <f>IFERROR(AB85/SUM($AB85:$AE85),"-")</f>
        <v>0.2614770459081836</v>
      </c>
      <c r="AC86" s="1031">
        <f>IFERROR(AC85/SUM($AB85:$AE85),"-")</f>
        <v>0.2614770459081836</v>
      </c>
      <c r="AD86" s="1031">
        <f>IFERROR(AD85/SUM($AB85:$AE85),"-")</f>
        <v>0.23453093812375247</v>
      </c>
      <c r="AE86" s="1031">
        <f>IFERROR(AE85/SUM($AB85:$AE85),"-")</f>
        <v>0.24251497005988024</v>
      </c>
      <c r="AF86" s="1031">
        <f>IFERROR(AF85/SUM($AB85:$AE85),"-")</f>
        <v>1</v>
      </c>
    </row>
    <row r="87" spans="2:32" ht="13.5" outlineLevel="1">
      <c r="B87" s="1028">
        <v>2016</v>
      </c>
      <c r="C87" s="1029" t="s">
        <v>830</v>
      </c>
      <c r="D87" s="1037">
        <v>3270.5</v>
      </c>
      <c r="E87" s="1037">
        <v>3341.2</v>
      </c>
      <c r="F87" s="1037">
        <v>3170.7</v>
      </c>
      <c r="G87" s="1037">
        <v>2984.9</v>
      </c>
      <c r="H87" s="1037">
        <f t="shared" ref="H87" si="10">IFERROR(SUM(D87:G87),"-")</f>
        <v>12767.3</v>
      </c>
      <c r="J87" s="1028">
        <v>2016</v>
      </c>
      <c r="K87" s="1029" t="s">
        <v>830</v>
      </c>
      <c r="L87" s="1037">
        <v>719.5</v>
      </c>
      <c r="M87" s="1037">
        <v>756.4</v>
      </c>
      <c r="N87" s="1037">
        <v>764.8</v>
      </c>
      <c r="O87" s="1037">
        <v>765</v>
      </c>
      <c r="P87" s="1037">
        <f t="shared" ref="P87" si="11">IFERROR(SUM(L87:O87),"-")</f>
        <v>3005.7</v>
      </c>
      <c r="R87" s="1028">
        <v>2016</v>
      </c>
      <c r="S87" s="1029" t="s">
        <v>830</v>
      </c>
      <c r="T87" s="1037">
        <f>289.4</f>
        <v>289.39999999999998</v>
      </c>
      <c r="U87" s="1037">
        <v>297.39999999999998</v>
      </c>
      <c r="V87" s="1037">
        <v>296.2</v>
      </c>
      <c r="W87" s="1037">
        <v>303.7</v>
      </c>
      <c r="X87" s="1037">
        <f t="shared" ref="X87" si="12">IFERROR(SUM(T87:W87),"-")</f>
        <v>1186.7</v>
      </c>
      <c r="Z87" s="1028">
        <v>2016</v>
      </c>
      <c r="AA87" s="1029" t="s">
        <v>830</v>
      </c>
      <c r="AB87" s="1037">
        <v>20.6</v>
      </c>
      <c r="AC87" s="1037">
        <v>18.2</v>
      </c>
      <c r="AD87" s="1037">
        <v>17.7</v>
      </c>
      <c r="AE87" s="1037">
        <v>17.100000000000001</v>
      </c>
      <c r="AF87" s="1037">
        <f t="shared" ref="AF87" si="13">IFERROR(SUM(AB87:AE87),"-")</f>
        <v>73.599999999999994</v>
      </c>
    </row>
    <row r="88" spans="2:32" outlineLevel="1">
      <c r="B88" s="1030" t="s">
        <v>831</v>
      </c>
      <c r="C88" s="1031" t="s">
        <v>832</v>
      </c>
      <c r="D88" s="1031">
        <f>IFERROR(D87/SUM($D87:$G87),"-")</f>
        <v>0.2561622269391336</v>
      </c>
      <c r="E88" s="1031">
        <f>IFERROR(E87/SUM($D87:$G87),"-")</f>
        <v>0.26169981123651831</v>
      </c>
      <c r="F88" s="1031">
        <f>IFERROR(F87/SUM($D87:$G87),"-")</f>
        <v>0.24834538234395684</v>
      </c>
      <c r="G88" s="1031">
        <f>IFERROR(G87/SUM($D87:$G87),"-")</f>
        <v>0.23379257948039134</v>
      </c>
      <c r="H88" s="1031">
        <f>IFERROR(H87/SUM($D87:$G87),"-")</f>
        <v>1</v>
      </c>
      <c r="J88" s="1030" t="s">
        <v>831</v>
      </c>
      <c r="K88" s="1031" t="s">
        <v>832</v>
      </c>
      <c r="L88" s="1031">
        <f>IFERROR(L87/SUM($L87:$O87),"-")</f>
        <v>0.23937851415643613</v>
      </c>
      <c r="M88" s="1031">
        <f>IFERROR(M87/SUM($L87:$O87),"-")</f>
        <v>0.25165518847523038</v>
      </c>
      <c r="N88" s="1031">
        <f>IFERROR(N87/SUM($L87:$O87),"-")</f>
        <v>0.25444987856406159</v>
      </c>
      <c r="O88" s="1031">
        <f>IFERROR(O87/SUM($L87:$O87),"-")</f>
        <v>0.25451641880427189</v>
      </c>
      <c r="P88" s="1031">
        <f>IFERROR(P87/SUM($L87:$O87),"-")</f>
        <v>1</v>
      </c>
      <c r="R88" s="1030" t="s">
        <v>831</v>
      </c>
      <c r="S88" s="1031" t="s">
        <v>832</v>
      </c>
      <c r="T88" s="1031">
        <f>IFERROR(T87/SUM($T87:$W87),"-")</f>
        <v>0.24386955422600487</v>
      </c>
      <c r="U88" s="1031">
        <f>IFERROR(U87/SUM($T87:$W87),"-")</f>
        <v>0.25061093789500294</v>
      </c>
      <c r="V88" s="1031">
        <f>IFERROR(V87/SUM($T87:$W87),"-")</f>
        <v>0.24959973034465321</v>
      </c>
      <c r="W88" s="1031">
        <f>IFERROR(W87/SUM($T87:$W87),"-")</f>
        <v>0.25591977753433892</v>
      </c>
      <c r="X88" s="1031">
        <f>IFERROR(X87/SUM($T87:$W87),"-")</f>
        <v>1</v>
      </c>
      <c r="Z88" s="1030" t="s">
        <v>831</v>
      </c>
      <c r="AA88" s="1031" t="s">
        <v>832</v>
      </c>
      <c r="AB88" s="1031">
        <f>IFERROR(AB87/SUM($AB87:$AE87),"-")</f>
        <v>0.27989130434782611</v>
      </c>
      <c r="AC88" s="1031">
        <f>IFERROR(AC87/SUM($AB87:$AE87),"-")</f>
        <v>0.24728260869565219</v>
      </c>
      <c r="AD88" s="1031">
        <f>IFERROR(AD87/SUM($AB87:$AE87),"-")</f>
        <v>0.24048913043478262</v>
      </c>
      <c r="AE88" s="1031">
        <f>IFERROR(AE87/SUM($AB87:$AE87),"-")</f>
        <v>0.23233695652173916</v>
      </c>
      <c r="AF88" s="1031">
        <f>IFERROR(AF87/SUM($AB87:$AE87),"-")</f>
        <v>1</v>
      </c>
    </row>
    <row r="89" spans="2:32" ht="13.5" outlineLevel="1">
      <c r="B89" s="1028">
        <v>2017</v>
      </c>
      <c r="C89" s="1029" t="s">
        <v>830</v>
      </c>
      <c r="D89" s="1037">
        <v>3130.1</v>
      </c>
      <c r="E89" s="1037">
        <v>3553.6</v>
      </c>
      <c r="F89" s="1037">
        <v>3867.4</v>
      </c>
      <c r="G89" s="1037">
        <v>4223.7</v>
      </c>
      <c r="H89" s="1037">
        <f t="shared" ref="H89" si="14">IFERROR(SUM(D89:G89),"-")</f>
        <v>14774.8</v>
      </c>
      <c r="J89" s="1028">
        <v>2017</v>
      </c>
      <c r="K89" s="1029" t="s">
        <v>830</v>
      </c>
      <c r="L89" s="1037">
        <v>786.7</v>
      </c>
      <c r="M89" s="1037">
        <v>823.1</v>
      </c>
      <c r="N89" s="1037">
        <v>840</v>
      </c>
      <c r="O89" s="1037">
        <v>877.2</v>
      </c>
      <c r="P89" s="1037">
        <f t="shared" ref="P89" si="15">IFERROR(SUM(L89:O89),"-")</f>
        <v>3327</v>
      </c>
      <c r="R89" s="1028">
        <v>2017</v>
      </c>
      <c r="S89" s="1029" t="s">
        <v>830</v>
      </c>
      <c r="T89" s="1037">
        <v>302.2</v>
      </c>
      <c r="U89" s="1037">
        <v>306.3</v>
      </c>
      <c r="V89" s="1037">
        <v>328.2</v>
      </c>
      <c r="W89" s="1037">
        <v>332.2</v>
      </c>
      <c r="X89" s="1037">
        <f t="shared" ref="X89" si="16">IFERROR(SUM(T89:W89),"-")</f>
        <v>1268.9000000000001</v>
      </c>
      <c r="Z89" s="1028">
        <v>2017</v>
      </c>
      <c r="AA89" s="1029" t="s">
        <v>830</v>
      </c>
      <c r="AB89" s="1037">
        <v>18.899999999999999</v>
      </c>
      <c r="AC89" s="1037">
        <v>21.2</v>
      </c>
      <c r="AD89" s="1037">
        <v>24.1</v>
      </c>
      <c r="AE89" s="1037">
        <v>21.5</v>
      </c>
      <c r="AF89" s="1037">
        <f t="shared" ref="AF89" si="17">IFERROR(SUM(AB89:AE89),"-")</f>
        <v>85.699999999999989</v>
      </c>
    </row>
    <row r="90" spans="2:32" outlineLevel="1">
      <c r="B90" s="1030" t="s">
        <v>831</v>
      </c>
      <c r="C90" s="1031" t="s">
        <v>832</v>
      </c>
      <c r="D90" s="1031">
        <f>IFERROR(D89/SUM($D89:$G89),"-")</f>
        <v>0.21185396756639685</v>
      </c>
      <c r="E90" s="1031">
        <f>IFERROR(E89/SUM($D89:$G89),"-")</f>
        <v>0.2405176381406178</v>
      </c>
      <c r="F90" s="1031">
        <f>IFERROR(F89/SUM($D89:$G89),"-")</f>
        <v>0.26175650431816339</v>
      </c>
      <c r="G90" s="1031">
        <f>IFERROR(G89/SUM($D89:$G89),"-")</f>
        <v>0.28587188997482199</v>
      </c>
      <c r="H90" s="1031">
        <f>IFERROR(H89/SUM($D89:$G89),"-")</f>
        <v>1</v>
      </c>
      <c r="J90" s="1030" t="s">
        <v>831</v>
      </c>
      <c r="K90" s="1031" t="s">
        <v>832</v>
      </c>
      <c r="L90" s="1031">
        <f>IFERROR(L89/SUM($L89:$O89),"-")</f>
        <v>0.23645927261797417</v>
      </c>
      <c r="M90" s="1031">
        <f>IFERROR(M89/SUM($L89:$O89),"-")</f>
        <v>0.24740006011421703</v>
      </c>
      <c r="N90" s="1031">
        <f>IFERROR(N89/SUM($L89:$O89),"-")</f>
        <v>0.25247971145175835</v>
      </c>
      <c r="O90" s="1031">
        <f>IFERROR(O89/SUM($L89:$O89),"-")</f>
        <v>0.26366095581605054</v>
      </c>
      <c r="P90" s="1031">
        <f>IFERROR(P89/SUM($L89:$O89),"-")</f>
        <v>1</v>
      </c>
      <c r="R90" s="1030" t="s">
        <v>831</v>
      </c>
      <c r="S90" s="1031" t="s">
        <v>832</v>
      </c>
      <c r="T90" s="1031">
        <f>IFERROR(T89/SUM($T89:$W89),"-")</f>
        <v>0.2381590353849791</v>
      </c>
      <c r="U90" s="1031">
        <f>IFERROR(U89/SUM($T89:$W89),"-")</f>
        <v>0.24139018047127433</v>
      </c>
      <c r="V90" s="1031">
        <f>IFERROR(V89/SUM($T89:$W89),"-")</f>
        <v>0.25864922373709509</v>
      </c>
      <c r="W90" s="1031">
        <f>IFERROR(W89/SUM($T89:$W89),"-")</f>
        <v>0.26180156040665142</v>
      </c>
      <c r="X90" s="1031">
        <f>IFERROR(X89/SUM($T89:$W89),"-")</f>
        <v>1</v>
      </c>
      <c r="Z90" s="1030" t="s">
        <v>831</v>
      </c>
      <c r="AA90" s="1031" t="s">
        <v>832</v>
      </c>
      <c r="AB90" s="1031">
        <f>IFERROR(AB89/SUM($AB89:$AE89),"-")</f>
        <v>0.22053675612602103</v>
      </c>
      <c r="AC90" s="1031">
        <f>IFERROR(AC89/SUM($AB89:$AE89),"-")</f>
        <v>0.2473745624270712</v>
      </c>
      <c r="AD90" s="1031">
        <f>IFERROR(AD89/SUM($AB89:$AE89),"-")</f>
        <v>0.28121353558926493</v>
      </c>
      <c r="AE90" s="1031">
        <f>IFERROR(AE89/SUM($AB89:$AE89),"-")</f>
        <v>0.25087514585764298</v>
      </c>
      <c r="AF90" s="1031">
        <f>IFERROR(AF89/SUM($AB89:$AE89),"-")</f>
        <v>1</v>
      </c>
    </row>
    <row r="91" spans="2:32" ht="13.5" outlineLevel="1">
      <c r="B91" s="1028">
        <v>2018</v>
      </c>
      <c r="C91" s="1029" t="s">
        <v>830</v>
      </c>
      <c r="D91" s="1037">
        <v>4353</v>
      </c>
      <c r="E91" s="1037">
        <v>4467.8</v>
      </c>
      <c r="F91" s="1037">
        <v>4429.3999999999996</v>
      </c>
      <c r="G91" s="1037">
        <v>4936.8</v>
      </c>
      <c r="H91" s="1037">
        <f t="shared" ref="H91" si="18">IFERROR(SUM(D91:G91),"-")</f>
        <v>18187</v>
      </c>
      <c r="J91" s="1028">
        <v>2018</v>
      </c>
      <c r="K91" s="1029" t="s">
        <v>830</v>
      </c>
      <c r="L91" s="1037">
        <v>939.9</v>
      </c>
      <c r="M91" s="1037">
        <v>968</v>
      </c>
      <c r="N91" s="1037">
        <v>960.1</v>
      </c>
      <c r="O91" s="1037">
        <v>970.9</v>
      </c>
      <c r="P91" s="1037">
        <f t="shared" ref="P91" si="19">IFERROR(SUM(L91:O91),"-")</f>
        <v>3838.9</v>
      </c>
      <c r="R91" s="1028">
        <v>2018</v>
      </c>
      <c r="S91" s="1029" t="s">
        <v>830</v>
      </c>
      <c r="T91" s="1037">
        <v>332.2</v>
      </c>
      <c r="U91" s="1037">
        <v>338</v>
      </c>
      <c r="V91" s="1037">
        <v>339.9</v>
      </c>
      <c r="W91" s="1037">
        <v>347</v>
      </c>
      <c r="X91" s="1037">
        <f t="shared" ref="X91" si="20">IFERROR(SUM(T91:W91),"-")</f>
        <v>1357.1</v>
      </c>
      <c r="Z91" s="1028">
        <v>2018</v>
      </c>
      <c r="AA91" s="1029" t="s">
        <v>830</v>
      </c>
      <c r="AB91" s="1037">
        <v>28.9</v>
      </c>
      <c r="AC91" s="1037">
        <v>31.4</v>
      </c>
      <c r="AD91" s="1037">
        <v>27.4</v>
      </c>
      <c r="AE91" s="1037">
        <v>25</v>
      </c>
      <c r="AF91" s="1037">
        <f t="shared" ref="AF91" si="21">IFERROR(SUM(AB91:AE91),"-")</f>
        <v>112.69999999999999</v>
      </c>
    </row>
    <row r="92" spans="2:32" outlineLevel="1">
      <c r="B92" s="1030" t="s">
        <v>831</v>
      </c>
      <c r="C92" s="1031" t="s">
        <v>832</v>
      </c>
      <c r="D92" s="1031">
        <f>IFERROR(D91/SUM($D91:$G91),"-")</f>
        <v>0.23934678616594271</v>
      </c>
      <c r="E92" s="1031">
        <f>IFERROR(E91/SUM($D91:$G91),"-")</f>
        <v>0.24565898718865126</v>
      </c>
      <c r="F92" s="1031">
        <f>IFERROR(F91/SUM($D91:$G91),"-")</f>
        <v>0.24354758893715289</v>
      </c>
      <c r="G92" s="1031">
        <f>IFERROR(G91/SUM($D91:$G91),"-")</f>
        <v>0.27144663770825317</v>
      </c>
      <c r="H92" s="1031">
        <f>IFERROR(H91/SUM($D91:$G91),"-")</f>
        <v>1</v>
      </c>
      <c r="J92" s="1030" t="s">
        <v>831</v>
      </c>
      <c r="K92" s="1031" t="s">
        <v>832</v>
      </c>
      <c r="L92" s="1031">
        <f>IFERROR(L91/SUM($L91:$O91),"-")</f>
        <v>0.24483576024381984</v>
      </c>
      <c r="M92" s="1031">
        <f>IFERROR(M91/SUM($L91:$O91),"-")</f>
        <v>0.25215556539633749</v>
      </c>
      <c r="N92" s="1031">
        <f>IFERROR(N91/SUM($L91:$O91),"-")</f>
        <v>0.25009768423246242</v>
      </c>
      <c r="O92" s="1031">
        <f>IFERROR(O91/SUM($L91:$O91),"-")</f>
        <v>0.25291099012738022</v>
      </c>
      <c r="P92" s="1031">
        <f>IFERROR(P91/SUM($L91:$O91),"-")</f>
        <v>1</v>
      </c>
      <c r="R92" s="1030" t="s">
        <v>831</v>
      </c>
      <c r="S92" s="1031" t="s">
        <v>832</v>
      </c>
      <c r="T92" s="1031">
        <f>IFERROR(T91/SUM($T91:$W91),"-")</f>
        <v>0.24478667747402549</v>
      </c>
      <c r="U92" s="1031">
        <f>IFERROR(U91/SUM($T91:$W91),"-")</f>
        <v>0.24906049664726257</v>
      </c>
      <c r="V92" s="1031">
        <f>IFERROR(V91/SUM($T91:$W91),"-")</f>
        <v>0.25046054085918501</v>
      </c>
      <c r="W92" s="1031">
        <f>IFERROR(W91/SUM($T91:$W91),"-")</f>
        <v>0.25569228501952695</v>
      </c>
      <c r="X92" s="1031">
        <f>IFERROR(X91/SUM($T91:$W91),"-")</f>
        <v>1</v>
      </c>
      <c r="Z92" s="1030" t="s">
        <v>831</v>
      </c>
      <c r="AA92" s="1031" t="s">
        <v>832</v>
      </c>
      <c r="AB92" s="1031">
        <f>IFERROR(AB91/SUM($AB91:$AE91),"-")</f>
        <v>0.25643300798580304</v>
      </c>
      <c r="AC92" s="1031">
        <f>IFERROR(AC91/SUM($AB91:$AE91),"-")</f>
        <v>0.27861579414374449</v>
      </c>
      <c r="AD92" s="1031">
        <f>IFERROR(AD91/SUM($AB91:$AE91),"-")</f>
        <v>0.24312333629103816</v>
      </c>
      <c r="AE92" s="1031">
        <f>IFERROR(AE91/SUM($AB91:$AE91),"-")</f>
        <v>0.22182786157941439</v>
      </c>
      <c r="AF92" s="1031">
        <f>IFERROR(AF91/SUM($AB91:$AE91),"-")</f>
        <v>1</v>
      </c>
    </row>
    <row r="93" spans="2:32" ht="13.5" outlineLevel="1">
      <c r="B93" s="1028">
        <v>2019</v>
      </c>
      <c r="C93" s="1029" t="s">
        <v>830</v>
      </c>
      <c r="D93" s="1037">
        <v>5107.3</v>
      </c>
      <c r="E93" s="1037">
        <v>5211.8999999999996</v>
      </c>
      <c r="F93" s="1037">
        <v>4977.3999999999996</v>
      </c>
      <c r="G93" s="1037">
        <v>4692.8999999999996</v>
      </c>
      <c r="H93" s="1037">
        <f t="shared" ref="H93" si="22">IFERROR(SUM(D93:G93),"-")</f>
        <v>19989.5</v>
      </c>
      <c r="J93" s="1028">
        <v>2019</v>
      </c>
      <c r="K93" s="1029" t="s">
        <v>830</v>
      </c>
      <c r="L93" s="1037">
        <v>1004.7</v>
      </c>
      <c r="M93" s="1037">
        <v>1025.4000000000001</v>
      </c>
      <c r="N93" s="1037">
        <v>1000.9</v>
      </c>
      <c r="O93" s="1037">
        <v>993.9</v>
      </c>
      <c r="P93" s="1037">
        <f t="shared" ref="P93" si="23">IFERROR(SUM(L93:O93),"-")</f>
        <v>4024.9</v>
      </c>
      <c r="R93" s="1028">
        <v>2019</v>
      </c>
      <c r="S93" s="1029" t="s">
        <v>830</v>
      </c>
      <c r="T93" s="1037">
        <v>349.5</v>
      </c>
      <c r="U93" s="1037">
        <v>361.4</v>
      </c>
      <c r="V93" s="1037">
        <v>362.8</v>
      </c>
      <c r="W93" s="1037">
        <v>406.3</v>
      </c>
      <c r="X93" s="1037">
        <f t="shared" ref="X93" si="24">IFERROR(SUM(T93:W93),"-")</f>
        <v>1480</v>
      </c>
      <c r="Z93" s="1028">
        <v>2019</v>
      </c>
      <c r="AA93" s="1029" t="s">
        <v>830</v>
      </c>
      <c r="AB93" s="1037">
        <v>26.1</v>
      </c>
      <c r="AC93" s="1037">
        <v>29.2</v>
      </c>
      <c r="AD93" s="1037">
        <v>25.9</v>
      </c>
      <c r="AE93" s="1037">
        <v>24.1</v>
      </c>
      <c r="AF93" s="1037">
        <f t="shared" ref="AF93" si="25">IFERROR(SUM(AB93:AE93),"-")</f>
        <v>105.29999999999998</v>
      </c>
    </row>
    <row r="94" spans="2:32" outlineLevel="1">
      <c r="B94" s="1030" t="s">
        <v>831</v>
      </c>
      <c r="C94" s="1031" t="s">
        <v>832</v>
      </c>
      <c r="D94" s="1031">
        <f>IFERROR(D93/SUM($D93:$G93),"-")</f>
        <v>0.25549913704694965</v>
      </c>
      <c r="E94" s="1031">
        <f>IFERROR(E93/SUM($D93:$G93),"-")</f>
        <v>0.26073188423922555</v>
      </c>
      <c r="F94" s="1031">
        <f>IFERROR(F93/SUM($D93:$G93),"-")</f>
        <v>0.24900072538082491</v>
      </c>
      <c r="G94" s="1031">
        <f>IFERROR(G93/SUM($D93:$G93),"-")</f>
        <v>0.2347682533329998</v>
      </c>
      <c r="H94" s="1031">
        <f>IFERROR(H93/SUM($D93:$G93),"-")</f>
        <v>1</v>
      </c>
      <c r="J94" s="1030" t="s">
        <v>831</v>
      </c>
      <c r="K94" s="1031" t="s">
        <v>832</v>
      </c>
      <c r="L94" s="1031">
        <f>IFERROR(L93/SUM($L93:$O93),"-")</f>
        <v>0.24962110859897141</v>
      </c>
      <c r="M94" s="1031">
        <f>IFERROR(M93/SUM($L93:$O93),"-")</f>
        <v>0.2547640935178514</v>
      </c>
      <c r="N94" s="1031">
        <f>IFERROR(N93/SUM($L93:$O93),"-")</f>
        <v>0.24867698576362143</v>
      </c>
      <c r="O94" s="1031">
        <f>IFERROR(O93/SUM($L93:$O93),"-")</f>
        <v>0.24693781211955576</v>
      </c>
      <c r="P94" s="1031">
        <f>IFERROR(P93/SUM($L93:$O93),"-")</f>
        <v>1</v>
      </c>
      <c r="R94" s="1030" t="s">
        <v>831</v>
      </c>
      <c r="S94" s="1031" t="s">
        <v>832</v>
      </c>
      <c r="T94" s="1031">
        <f>IFERROR(T93/SUM($T93:$W93),"-")</f>
        <v>0.23614864864864865</v>
      </c>
      <c r="U94" s="1031">
        <f>IFERROR(U93/SUM($T93:$W93),"-")</f>
        <v>0.24418918918918917</v>
      </c>
      <c r="V94" s="1031">
        <f>IFERROR(V93/SUM($T93:$W93),"-")</f>
        <v>0.24513513513513513</v>
      </c>
      <c r="W94" s="1031">
        <f>IFERROR(W93/SUM($T93:$W93),"-")</f>
        <v>0.27452702702702703</v>
      </c>
      <c r="X94" s="1031">
        <f>IFERROR(X93/SUM($T93:$W93),"-")</f>
        <v>1</v>
      </c>
      <c r="Z94" s="1030" t="s">
        <v>831</v>
      </c>
      <c r="AA94" s="1031" t="s">
        <v>832</v>
      </c>
      <c r="AB94" s="1031">
        <f>IFERROR(AB93/SUM($AB93:$AE93),"-")</f>
        <v>0.24786324786324793</v>
      </c>
      <c r="AC94" s="1031">
        <f>IFERROR(AC93/SUM($AB93:$AE93),"-")</f>
        <v>0.27730294396961069</v>
      </c>
      <c r="AD94" s="1031">
        <f>IFERROR(AD93/SUM($AB93:$AE93),"-")</f>
        <v>0.24596391263057932</v>
      </c>
      <c r="AE94" s="1031">
        <f>IFERROR(AE93/SUM($AB93:$AE93),"-")</f>
        <v>0.22886989553656226</v>
      </c>
      <c r="AF94" s="1031">
        <f>IFERROR(AF93/SUM($AB93:$AE93),"-")</f>
        <v>1</v>
      </c>
    </row>
    <row r="95" spans="2:32" ht="13.5" outlineLevel="1">
      <c r="B95" s="1028">
        <v>2020</v>
      </c>
      <c r="C95" s="1029" t="s">
        <v>830</v>
      </c>
      <c r="D95" s="1037">
        <v>3757.6</v>
      </c>
      <c r="E95" s="1037">
        <v>1858.4</v>
      </c>
      <c r="F95" s="1037">
        <v>3504</v>
      </c>
      <c r="G95" s="1037">
        <v>4044.8</v>
      </c>
      <c r="H95" s="1037">
        <f t="shared" ref="H95" si="26">IFERROR(SUM(D95:G95),"-")</f>
        <v>13164.8</v>
      </c>
      <c r="J95" s="1028">
        <v>2020</v>
      </c>
      <c r="K95" s="1029" t="s">
        <v>830</v>
      </c>
      <c r="L95" s="1037">
        <v>998.6</v>
      </c>
      <c r="M95" s="1037">
        <v>823.7</v>
      </c>
      <c r="N95" s="1037">
        <v>1016.2</v>
      </c>
      <c r="O95" s="1037">
        <v>1074.4000000000001</v>
      </c>
      <c r="P95" s="1037">
        <f t="shared" ref="P95" si="27">IFERROR(SUM(L95:O95),"-")</f>
        <v>3912.9</v>
      </c>
      <c r="R95" s="1028">
        <v>2020</v>
      </c>
      <c r="S95" s="1029" t="s">
        <v>830</v>
      </c>
      <c r="T95" s="1037">
        <v>383.7</v>
      </c>
      <c r="U95" s="1037">
        <v>360.3</v>
      </c>
      <c r="V95" s="1037">
        <v>397.6</v>
      </c>
      <c r="W95" s="1037">
        <v>432.6</v>
      </c>
      <c r="X95" s="1037">
        <f t="shared" ref="X95" si="28">IFERROR(SUM(T95:W95),"-")</f>
        <v>1574.1999999999998</v>
      </c>
      <c r="Z95" s="1028">
        <v>2020</v>
      </c>
      <c r="AA95" s="1029" t="s">
        <v>830</v>
      </c>
      <c r="AB95" s="1037">
        <v>21.8</v>
      </c>
      <c r="AC95" s="1037">
        <v>19.8</v>
      </c>
      <c r="AD95" s="1037">
        <v>18.2</v>
      </c>
      <c r="AE95" s="1037">
        <v>16.8</v>
      </c>
      <c r="AF95" s="1037">
        <f t="shared" ref="AF95" si="29">IFERROR(SUM(AB95:AE95),"-")</f>
        <v>76.599999999999994</v>
      </c>
    </row>
    <row r="96" spans="2:32" outlineLevel="1">
      <c r="B96" s="1030" t="s">
        <v>831</v>
      </c>
      <c r="C96" s="1031" t="s">
        <v>832</v>
      </c>
      <c r="D96" s="1031">
        <f>IFERROR(D95/SUM($D95:$G95),"-")</f>
        <v>0.28542780748663105</v>
      </c>
      <c r="E96" s="1031">
        <f>IFERROR(E95/SUM($D95:$G95),"-")</f>
        <v>0.14116431696645601</v>
      </c>
      <c r="F96" s="1031">
        <f>IFERROR(F95/SUM($D95:$G95),"-")</f>
        <v>0.26616431696645604</v>
      </c>
      <c r="G96" s="1031">
        <f>IFERROR(G95/SUM($D95:$G95),"-")</f>
        <v>0.30724355858045699</v>
      </c>
      <c r="H96" s="1031">
        <f>IFERROR(H95/SUM($D95:$G95),"-")</f>
        <v>1</v>
      </c>
      <c r="J96" s="1030" t="s">
        <v>831</v>
      </c>
      <c r="K96" s="1031" t="s">
        <v>832</v>
      </c>
      <c r="L96" s="1031">
        <f>IFERROR(L95/SUM($L95:$O95),"-")</f>
        <v>0.25520713537274142</v>
      </c>
      <c r="M96" s="1031">
        <f>IFERROR(M95/SUM($L95:$O95),"-")</f>
        <v>0.21050882976820262</v>
      </c>
      <c r="N96" s="1031">
        <f>IFERROR(N95/SUM($L95:$O95),"-")</f>
        <v>0.25970507807508497</v>
      </c>
      <c r="O96" s="1031">
        <f>IFERROR(O95/SUM($L95:$O95),"-")</f>
        <v>0.27457895678397098</v>
      </c>
      <c r="P96" s="1031">
        <f>IFERROR(P95/SUM($L95:$O95),"-")</f>
        <v>1</v>
      </c>
      <c r="R96" s="1030" t="s">
        <v>831</v>
      </c>
      <c r="S96" s="1031" t="s">
        <v>832</v>
      </c>
      <c r="T96" s="1031">
        <f>IFERROR(T95/SUM($T95:$W95),"-")</f>
        <v>0.24374285351289546</v>
      </c>
      <c r="U96" s="1031">
        <f>IFERROR(U95/SUM($T95:$W95),"-")</f>
        <v>0.2288781603354085</v>
      </c>
      <c r="V96" s="1031">
        <f>IFERROR(V95/SUM($T95:$W95),"-")</f>
        <v>0.25257273535764202</v>
      </c>
      <c r="W96" s="1031">
        <f>IFERROR(W95/SUM($T95:$W95),"-")</f>
        <v>0.27480625079405419</v>
      </c>
      <c r="X96" s="1031">
        <f>IFERROR(X95/SUM($T95:$W95),"-")</f>
        <v>1</v>
      </c>
      <c r="Z96" s="1030" t="s">
        <v>831</v>
      </c>
      <c r="AA96" s="1031" t="s">
        <v>832</v>
      </c>
      <c r="AB96" s="1031">
        <f>IFERROR(AB95/SUM($AB95:$AE95),"-")</f>
        <v>0.28459530026109664</v>
      </c>
      <c r="AC96" s="1031">
        <f>IFERROR(AC95/SUM($AB95:$AE95),"-")</f>
        <v>0.25848563968668409</v>
      </c>
      <c r="AD96" s="1031">
        <f>IFERROR(AD95/SUM($AB95:$AE95),"-")</f>
        <v>0.23759791122715407</v>
      </c>
      <c r="AE96" s="1031">
        <f>IFERROR(AE95/SUM($AB95:$AE95),"-")</f>
        <v>0.21932114882506529</v>
      </c>
      <c r="AF96" s="1031">
        <f>IFERROR(AF95/SUM($AB95:$AE95),"-")</f>
        <v>1</v>
      </c>
    </row>
    <row r="97" spans="2:32" ht="13.5" outlineLevel="1">
      <c r="B97" s="1028">
        <v>2021</v>
      </c>
      <c r="C97" s="1029" t="s">
        <v>830</v>
      </c>
      <c r="D97" s="1037">
        <v>4233</v>
      </c>
      <c r="E97" s="1037">
        <v>4152.2</v>
      </c>
      <c r="F97" s="1037">
        <v>3452.5</v>
      </c>
      <c r="G97" s="1037">
        <v>4961.8999999999996</v>
      </c>
      <c r="H97" s="1037">
        <f t="shared" ref="H97" si="30">IFERROR(SUM(D97:G97),"-")</f>
        <v>16799.599999999999</v>
      </c>
      <c r="J97" s="1028">
        <v>2021</v>
      </c>
      <c r="K97" s="1029" t="s">
        <v>830</v>
      </c>
      <c r="L97" s="1037">
        <v>1160.7</v>
      </c>
      <c r="M97" s="1037">
        <v>1211.3</v>
      </c>
      <c r="N97" s="1037">
        <v>1260.2</v>
      </c>
      <c r="O97" s="1037">
        <v>1312.1</v>
      </c>
      <c r="P97" s="1037">
        <f t="shared" ref="P97" si="31">IFERROR(SUM(L97:O97),"-")</f>
        <v>4944.2999999999993</v>
      </c>
      <c r="R97" s="1028">
        <v>2021</v>
      </c>
      <c r="S97" s="1029" t="s">
        <v>830</v>
      </c>
      <c r="T97" s="1037">
        <v>432</v>
      </c>
      <c r="U97" s="1037">
        <v>456.3</v>
      </c>
      <c r="V97" s="1037">
        <v>409.1</v>
      </c>
      <c r="W97" s="1037">
        <v>390.4</v>
      </c>
      <c r="X97" s="1037">
        <f t="shared" ref="X97" si="32">IFERROR(SUM(T97:W97),"-")</f>
        <v>1687.8000000000002</v>
      </c>
      <c r="Z97" s="1028">
        <v>2021</v>
      </c>
      <c r="AA97" s="1029" t="s">
        <v>830</v>
      </c>
      <c r="AB97" s="1037">
        <v>19.8</v>
      </c>
      <c r="AC97" s="1037">
        <v>24.1</v>
      </c>
      <c r="AD97" s="1037">
        <v>24.9</v>
      </c>
      <c r="AE97" s="1037">
        <v>21.7</v>
      </c>
      <c r="AF97" s="1037">
        <f t="shared" ref="AF97" si="33">IFERROR(SUM(AB97:AE97),"-")</f>
        <v>90.500000000000014</v>
      </c>
    </row>
    <row r="98" spans="2:32" outlineLevel="1">
      <c r="B98" s="1030" t="s">
        <v>831</v>
      </c>
      <c r="C98" s="1031" t="s">
        <v>832</v>
      </c>
      <c r="D98" s="1031">
        <f>IFERROR(D97/SUM($D97:$G97),"-")</f>
        <v>0.25197028500678592</v>
      </c>
      <c r="E98" s="1031">
        <f>IFERROR(E97/SUM($D97:$G97),"-")</f>
        <v>0.24716064668206386</v>
      </c>
      <c r="F98" s="1031">
        <f>IFERROR(F97/SUM($D97:$G97),"-")</f>
        <v>0.20551084549632137</v>
      </c>
      <c r="G98" s="1031">
        <f>IFERROR(G97/SUM($D97:$G97),"-")</f>
        <v>0.29535822281482893</v>
      </c>
      <c r="H98" s="1031">
        <f>IFERROR(H97/SUM($D97:$G97),"-")</f>
        <v>1</v>
      </c>
      <c r="J98" s="1030" t="s">
        <v>831</v>
      </c>
      <c r="K98" s="1031" t="s">
        <v>832</v>
      </c>
      <c r="L98" s="1031">
        <f>IFERROR(L97/SUM($L97:$O97),"-")</f>
        <v>0.23475517262302048</v>
      </c>
      <c r="M98" s="1031">
        <f>IFERROR(M97/SUM($L97:$O97),"-")</f>
        <v>0.24498917945917523</v>
      </c>
      <c r="N98" s="1031">
        <f>IFERROR(N97/SUM($L97:$O97),"-")</f>
        <v>0.25487935602613115</v>
      </c>
      <c r="O98" s="1031">
        <f>IFERROR(O97/SUM($L97:$O97),"-")</f>
        <v>0.26537629189167328</v>
      </c>
      <c r="P98" s="1031">
        <f>IFERROR(P97/SUM($L97:$O97),"-")</f>
        <v>1</v>
      </c>
      <c r="R98" s="1030" t="s">
        <v>831</v>
      </c>
      <c r="S98" s="1031" t="s">
        <v>832</v>
      </c>
      <c r="T98" s="1031">
        <f>IFERROR(T97/SUM($T97:$W97),"-")</f>
        <v>0.25595449697831496</v>
      </c>
      <c r="U98" s="1031">
        <f>IFERROR(U97/SUM($T97:$W97),"-")</f>
        <v>0.27035193743334518</v>
      </c>
      <c r="V98" s="1031">
        <f>IFERROR(V97/SUM($T97:$W97),"-")</f>
        <v>0.24238653868941817</v>
      </c>
      <c r="W98" s="1031">
        <f>IFERROR(W97/SUM($T97:$W97),"-")</f>
        <v>0.23130702689892163</v>
      </c>
      <c r="X98" s="1031">
        <f>IFERROR(X97/SUM($T97:$W97),"-")</f>
        <v>1</v>
      </c>
      <c r="Z98" s="1030" t="s">
        <v>831</v>
      </c>
      <c r="AA98" s="1031" t="s">
        <v>832</v>
      </c>
      <c r="AB98" s="1031">
        <f>IFERROR(AB97/SUM($AB97:$AE97),"-")</f>
        <v>0.21878453038674031</v>
      </c>
      <c r="AC98" s="1031">
        <f>IFERROR(AC97/SUM($AB97:$AE97),"-")</f>
        <v>0.26629834254143642</v>
      </c>
      <c r="AD98" s="1031">
        <f>IFERROR(AD97/SUM($AB97:$AE97),"-")</f>
        <v>0.27513812154696127</v>
      </c>
      <c r="AE98" s="1031">
        <f>IFERROR(AE97/SUM($AB97:$AE97),"-")</f>
        <v>0.23977900552486184</v>
      </c>
      <c r="AF98" s="1031">
        <f>IFERROR(AF97/SUM($AB97:$AE97),"-")</f>
        <v>1</v>
      </c>
    </row>
    <row r="99" spans="2:32" ht="13.5" outlineLevel="1">
      <c r="B99" s="1028">
        <v>2022</v>
      </c>
      <c r="C99" s="1029" t="s">
        <v>830</v>
      </c>
      <c r="D99" s="1037">
        <v>4697.1000000000004</v>
      </c>
      <c r="E99" s="1037">
        <v>5336.4</v>
      </c>
      <c r="F99" s="1037">
        <v>5198.3999999999996</v>
      </c>
      <c r="G99" s="1037">
        <v>6254.5</v>
      </c>
      <c r="H99" s="1037">
        <f t="shared" ref="H99" si="34">IFERROR(SUM(D99:G99),"-")</f>
        <v>21486.400000000001</v>
      </c>
      <c r="J99" s="1028">
        <v>2022</v>
      </c>
      <c r="K99" s="1029" t="s">
        <v>830</v>
      </c>
      <c r="L99" s="1037">
        <v>1388.9</v>
      </c>
      <c r="M99" s="1037">
        <v>1434.7</v>
      </c>
      <c r="N99" s="1037">
        <v>1471.5</v>
      </c>
      <c r="O99" s="1037">
        <v>1469.2</v>
      </c>
      <c r="P99" s="1037">
        <f t="shared" ref="P99" si="35">IFERROR(SUM(L99:O99),"-")</f>
        <v>5764.3</v>
      </c>
      <c r="R99" s="1028">
        <v>2022</v>
      </c>
      <c r="S99" s="1029" t="s">
        <v>830</v>
      </c>
      <c r="T99" s="1037">
        <v>366.2</v>
      </c>
      <c r="U99" s="1037">
        <v>372.5</v>
      </c>
      <c r="V99" s="1037">
        <v>371.9</v>
      </c>
      <c r="W99" s="1037">
        <v>394.8</v>
      </c>
      <c r="X99" s="1037">
        <f t="shared" ref="X99" si="36">IFERROR(SUM(T99:W99),"-")</f>
        <v>1505.3999999999999</v>
      </c>
      <c r="Z99" s="1028">
        <v>2022</v>
      </c>
      <c r="AA99" s="1029" t="s">
        <v>830</v>
      </c>
      <c r="AB99" s="1037">
        <v>20.399999999999999</v>
      </c>
      <c r="AC99" s="1037">
        <v>15.1</v>
      </c>
      <c r="AD99" s="1037">
        <v>17.3</v>
      </c>
      <c r="AE99" s="1037">
        <v>11</v>
      </c>
      <c r="AF99" s="1037">
        <f t="shared" ref="AF99" si="37">IFERROR(SUM(AB99:AE99),"-")</f>
        <v>63.8</v>
      </c>
    </row>
    <row r="100" spans="2:32" outlineLevel="1">
      <c r="B100" s="1030" t="s">
        <v>831</v>
      </c>
      <c r="C100" s="1031" t="s">
        <v>832</v>
      </c>
      <c r="D100" s="1031">
        <f>IFERROR(D99/SUM($D99:$G99),"-")</f>
        <v>0.21860804974309331</v>
      </c>
      <c r="E100" s="1031">
        <f>IFERROR(E99/SUM($D99:$G99),"-")</f>
        <v>0.24836175441209321</v>
      </c>
      <c r="F100" s="1031">
        <f>IFERROR(F99/SUM($D99:$G99),"-")</f>
        <v>0.24193908705041325</v>
      </c>
      <c r="G100" s="1031">
        <f>IFERROR(G99/SUM($D99:$G99),"-")</f>
        <v>0.29109110879440014</v>
      </c>
      <c r="H100" s="1031">
        <f>IFERROR(H99/SUM($D99:$G99),"-")</f>
        <v>1</v>
      </c>
      <c r="J100" s="1030" t="s">
        <v>831</v>
      </c>
      <c r="K100" s="1031" t="s">
        <v>832</v>
      </c>
      <c r="L100" s="1031">
        <f>IFERROR(L99/SUM($L99:$O99),"-")</f>
        <v>0.24094859740124561</v>
      </c>
      <c r="M100" s="1031">
        <f>IFERROR(M99/SUM($L99:$O99),"-")</f>
        <v>0.24889405478549001</v>
      </c>
      <c r="N100" s="1031">
        <f>IFERROR(N99/SUM($L99:$O99),"-")</f>
        <v>0.25527817774924966</v>
      </c>
      <c r="O100" s="1031">
        <f>IFERROR(O99/SUM($L99:$O99),"-")</f>
        <v>0.25487917006401473</v>
      </c>
      <c r="P100" s="1031">
        <f>IFERROR(P99/SUM($L99:$O99),"-")</f>
        <v>1</v>
      </c>
      <c r="R100" s="1030" t="s">
        <v>831</v>
      </c>
      <c r="S100" s="1031" t="s">
        <v>832</v>
      </c>
      <c r="T100" s="1031">
        <f>IFERROR(T99/SUM($T99:$W99),"-")</f>
        <v>0.24325760595190649</v>
      </c>
      <c r="U100" s="1031">
        <f>IFERROR(U99/SUM($T99:$W99),"-")</f>
        <v>0.24744254018865419</v>
      </c>
      <c r="V100" s="1031">
        <f>IFERROR(V99/SUM($T99:$W99),"-")</f>
        <v>0.24704397502324965</v>
      </c>
      <c r="W100" s="1031">
        <f>IFERROR(W99/SUM($T99:$W99),"-")</f>
        <v>0.26225587883618973</v>
      </c>
      <c r="X100" s="1031">
        <f>IFERROR(X99/SUM($T99:$W99),"-")</f>
        <v>1</v>
      </c>
      <c r="Z100" s="1030" t="s">
        <v>831</v>
      </c>
      <c r="AA100" s="1031" t="s">
        <v>832</v>
      </c>
      <c r="AB100" s="1031">
        <f>IFERROR(AB99/SUM($AB99:$AE99),"-")</f>
        <v>0.31974921630094044</v>
      </c>
      <c r="AC100" s="1031">
        <f>IFERROR(AC99/SUM($AB99:$AE99),"-")</f>
        <v>0.23667711598746083</v>
      </c>
      <c r="AD100" s="1031">
        <f>IFERROR(AD99/SUM($AB99:$AE99),"-")</f>
        <v>0.2711598746081505</v>
      </c>
      <c r="AE100" s="1031">
        <f>IFERROR(AE99/SUM($AB99:$AE99),"-")</f>
        <v>0.17241379310344829</v>
      </c>
      <c r="AF100" s="1031">
        <f>IFERROR(AF99/SUM($AB99:$AE99),"-")</f>
        <v>1</v>
      </c>
    </row>
    <row r="101" spans="2:32" ht="13.5" outlineLevel="1">
      <c r="B101" s="1028">
        <v>2023</v>
      </c>
      <c r="C101" s="1029" t="s">
        <v>830</v>
      </c>
      <c r="D101" s="1037">
        <v>6413.8</v>
      </c>
      <c r="E101" s="1037">
        <v>6827.5</v>
      </c>
      <c r="F101" s="1037">
        <v>6636.4</v>
      </c>
      <c r="G101" s="1037">
        <v>6968.7</v>
      </c>
      <c r="H101" s="1037">
        <f t="shared" ref="H101" si="38">IFERROR(SUM(D101:G101),"-")</f>
        <v>26846.399999999998</v>
      </c>
      <c r="J101" s="1028">
        <v>2023</v>
      </c>
      <c r="K101" s="1029" t="s">
        <v>830</v>
      </c>
      <c r="L101" s="1037">
        <v>1623</v>
      </c>
      <c r="M101" s="1037">
        <v>1598.9</v>
      </c>
      <c r="N101" s="1037">
        <v>1582.2</v>
      </c>
      <c r="O101" s="1037">
        <v>1610.3</v>
      </c>
      <c r="P101" s="1037">
        <f t="shared" ref="P101" si="39">IFERROR(SUM(L101:O101),"-")</f>
        <v>6414.4000000000005</v>
      </c>
      <c r="R101" s="1028">
        <v>2023</v>
      </c>
      <c r="S101" s="1029" t="s">
        <v>830</v>
      </c>
      <c r="T101" s="1037">
        <v>423.2</v>
      </c>
      <c r="U101" s="1037">
        <v>439.8</v>
      </c>
      <c r="V101" s="1037">
        <v>464.1</v>
      </c>
      <c r="W101" s="1037">
        <v>484.8</v>
      </c>
      <c r="X101" s="1037">
        <f t="shared" ref="X101" si="40">IFERROR(SUM(T101:W101),"-")</f>
        <v>1811.8999999999999</v>
      </c>
      <c r="Z101" s="1028">
        <v>2023</v>
      </c>
      <c r="AA101" s="1029" t="s">
        <v>830</v>
      </c>
      <c r="AB101" s="1037">
        <v>13.3</v>
      </c>
      <c r="AC101" s="1037">
        <v>14.9</v>
      </c>
      <c r="AD101" s="1037">
        <v>13.7</v>
      </c>
      <c r="AE101" s="1037">
        <v>12.8</v>
      </c>
      <c r="AF101" s="1037">
        <f t="shared" ref="AF101" si="41">IFERROR(SUM(AB101:AE101),"-")</f>
        <v>54.7</v>
      </c>
    </row>
    <row r="102" spans="2:32" outlineLevel="1">
      <c r="B102" s="1032" t="s">
        <v>831</v>
      </c>
      <c r="C102" s="1033" t="s">
        <v>832</v>
      </c>
      <c r="D102" s="1031">
        <f>IFERROR(D101/SUM($D101:$G101),"-")</f>
        <v>0.23890726503367307</v>
      </c>
      <c r="E102" s="1031">
        <f>IFERROR(E101/SUM($D101:$G101),"-")</f>
        <v>0.25431715239287206</v>
      </c>
      <c r="F102" s="1031">
        <f>IFERROR(F101/SUM($D101:$G101),"-")</f>
        <v>0.24719887955182074</v>
      </c>
      <c r="G102" s="1031">
        <f>IFERROR(G101/SUM($D101:$G101),"-")</f>
        <v>0.25957670302163421</v>
      </c>
      <c r="H102" s="1031">
        <f>IFERROR(H101/SUM($D101:$G101),"-")</f>
        <v>1</v>
      </c>
      <c r="J102" s="1032" t="s">
        <v>831</v>
      </c>
      <c r="K102" s="1033" t="s">
        <v>832</v>
      </c>
      <c r="L102" s="1031">
        <f>IFERROR(L101/SUM($L101:$O101),"-")</f>
        <v>0.25302444499875276</v>
      </c>
      <c r="M102" s="1031">
        <f>IFERROR(M101/SUM($L101:$O101),"-")</f>
        <v>0.24926727363432277</v>
      </c>
      <c r="N102" s="1031">
        <f>IFERROR(N101/SUM($L101:$O101),"-")</f>
        <v>0.24666375654776751</v>
      </c>
      <c r="O102" s="1031">
        <f>IFERROR(O101/SUM($L101:$O101),"-")</f>
        <v>0.25104452481915684</v>
      </c>
      <c r="P102" s="1031">
        <f>IFERROR(P101/SUM($L101:$O101),"-")</f>
        <v>1</v>
      </c>
      <c r="R102" s="1032" t="s">
        <v>831</v>
      </c>
      <c r="S102" s="1033" t="s">
        <v>832</v>
      </c>
      <c r="T102" s="1031">
        <f>IFERROR(T101/SUM($T101:$W101),"-")</f>
        <v>0.23356697389480657</v>
      </c>
      <c r="U102" s="1031">
        <f>IFERROR(U101/SUM($T101:$W101),"-")</f>
        <v>0.2427286274076936</v>
      </c>
      <c r="V102" s="1031">
        <f>IFERROR(V101/SUM($T101:$W101),"-")</f>
        <v>0.2561399635741487</v>
      </c>
      <c r="W102" s="1031">
        <f>IFERROR(W101/SUM($T101:$W101),"-")</f>
        <v>0.26756443512335121</v>
      </c>
      <c r="X102" s="1031">
        <f>IFERROR(X101/SUM($T101:$W101),"-")</f>
        <v>1</v>
      </c>
      <c r="Z102" s="1032" t="s">
        <v>831</v>
      </c>
      <c r="AA102" s="1033" t="s">
        <v>832</v>
      </c>
      <c r="AB102" s="1031">
        <f>IFERROR(AB101/SUM($AB101:$AE101),"-")</f>
        <v>0.24314442413162707</v>
      </c>
      <c r="AC102" s="1031">
        <f>IFERROR(AC101/SUM($AB101:$AE101),"-")</f>
        <v>0.27239488117001825</v>
      </c>
      <c r="AD102" s="1031">
        <f>IFERROR(AD101/SUM($AB101:$AE101),"-")</f>
        <v>0.25045703839122485</v>
      </c>
      <c r="AE102" s="1031">
        <f>IFERROR(AE101/SUM($AB101:$AE101),"-")</f>
        <v>0.2340036563071298</v>
      </c>
      <c r="AF102" s="1031">
        <f>IFERROR(AF101/SUM($AB101:$AE101),"-")</f>
        <v>1</v>
      </c>
    </row>
    <row r="103" spans="2:32" ht="13.5" outlineLevel="1">
      <c r="B103" s="1028">
        <v>2024</v>
      </c>
      <c r="C103" s="1029" t="s">
        <v>830</v>
      </c>
      <c r="D103" s="1037">
        <v>6541</v>
      </c>
      <c r="E103" s="1092">
        <f>D103*E105/D105</f>
        <v>6447.0829495352373</v>
      </c>
      <c r="F103" s="1092">
        <f>D103*F105/D105</f>
        <v>6640.2146693941659</v>
      </c>
      <c r="G103" s="1092">
        <f>D103*G105/D105</f>
        <v>7169.5565836706692</v>
      </c>
      <c r="H103" s="1092">
        <f>IFERROR(D103/D105,"-")</f>
        <v>26797.854202600072</v>
      </c>
      <c r="J103" s="1028">
        <v>2024</v>
      </c>
      <c r="K103" s="1029" t="s">
        <v>830</v>
      </c>
      <c r="L103" s="1037">
        <v>1675.9</v>
      </c>
      <c r="M103" s="1092">
        <f>L103*M105/L105</f>
        <v>1696.4565463617175</v>
      </c>
      <c r="N103" s="1092">
        <f>L103*N105/L105</f>
        <v>1741.2387728888855</v>
      </c>
      <c r="O103" s="1092">
        <f>L103*O105/L105</f>
        <v>1765.2696553547926</v>
      </c>
      <c r="P103" s="1092">
        <f>IFERROR(L103/L105,"-")</f>
        <v>6878.8649746053952</v>
      </c>
      <c r="R103" s="1028">
        <v>2024</v>
      </c>
      <c r="S103" s="1029" t="s">
        <v>830</v>
      </c>
      <c r="T103" s="1037">
        <v>509.3</v>
      </c>
      <c r="U103" s="1092">
        <f>T103*U105/T105</f>
        <v>519.86274799421744</v>
      </c>
      <c r="V103" s="1092">
        <f>T103*V105/T105</f>
        <v>527.46538348040997</v>
      </c>
      <c r="W103" s="1092">
        <f>T103*W105/T105</f>
        <v>542.50629833103255</v>
      </c>
      <c r="X103" s="1092">
        <f>IFERROR(T103/T105,"-")</f>
        <v>2099.1344298056601</v>
      </c>
      <c r="Y103" s="748"/>
      <c r="Z103" s="1028">
        <v>2024</v>
      </c>
      <c r="AA103" s="1029" t="s">
        <v>830</v>
      </c>
      <c r="AB103" s="1037">
        <v>18.100000000000001</v>
      </c>
      <c r="AC103" s="1092">
        <f>AB103*AC105/AB105</f>
        <v>18.402094324657483</v>
      </c>
      <c r="AD103" s="1092">
        <f>AB103*AD105/AB105</f>
        <v>17.574047561998601</v>
      </c>
      <c r="AE103" s="1092">
        <f>AB103*AE105/AB105</f>
        <v>15.994889445710415</v>
      </c>
      <c r="AF103" s="1092">
        <f>IFERROR(AB103/AB105,"-")</f>
        <v>70.071031332366502</v>
      </c>
    </row>
    <row r="104" spans="2:32" outlineLevel="1">
      <c r="B104" s="1032" t="s">
        <v>831</v>
      </c>
      <c r="C104" s="1033" t="s">
        <v>832</v>
      </c>
      <c r="D104" s="1031">
        <f>IFERROR(D103/SUM(D103:G103),"-")</f>
        <v>0.24408670748590597</v>
      </c>
      <c r="E104" s="1031">
        <f>IFERROR(E103/SUM(D103:G103),"-")</f>
        <v>0.24058205932435092</v>
      </c>
      <c r="F104" s="1031">
        <f>IFERROR(F103/SUM(D103:G103),"-")</f>
        <v>0.24778904382388559</v>
      </c>
      <c r="G104" s="1031">
        <f>IFERROR(G103/SUM(D103:G103),"-")</f>
        <v>0.2675421893658575</v>
      </c>
      <c r="H104" s="1031">
        <f>IFERROR(D104,"-")</f>
        <v>0.24408670748590597</v>
      </c>
      <c r="J104" s="1032" t="s">
        <v>831</v>
      </c>
      <c r="K104" s="1033" t="s">
        <v>832</v>
      </c>
      <c r="L104" s="1031">
        <f>IFERROR(L103/SUM($L103:$O103),"-")</f>
        <v>0.24363030909705238</v>
      </c>
      <c r="M104" s="1031">
        <f>IFERROR(M103/SUM(L103:O103),"-")</f>
        <v>0.24661867221184033</v>
      </c>
      <c r="N104" s="1031">
        <f>IFERROR(N103/SUM(L103:O103),"-")</f>
        <v>0.25312879076955147</v>
      </c>
      <c r="O104" s="1031">
        <f>IFERROR(O103/SUM(L103:O103),"-")</f>
        <v>0.2566222279215557</v>
      </c>
      <c r="P104" s="1031">
        <f>IFERROR(L104,"-")</f>
        <v>0.24363030909705238</v>
      </c>
      <c r="R104" s="1032" t="s">
        <v>831</v>
      </c>
      <c r="S104" s="1033" t="s">
        <v>832</v>
      </c>
      <c r="T104" s="1031">
        <f>IFERROR(T103/SUM($T103:$W103),"-")</f>
        <v>0.24262381330534963</v>
      </c>
      <c r="U104" s="1031">
        <f>IFERROR(U103/SUM(T103:W103),"-")</f>
        <v>0.2476557673547124</v>
      </c>
      <c r="V104" s="1031">
        <f>IFERROR(V103/SUM(T103:W103),"-")</f>
        <v>0.25127756278536351</v>
      </c>
      <c r="W104" s="1031">
        <f>IFERROR(W103/SUM(T103:W103),"-")</f>
        <v>0.25844285655457438</v>
      </c>
      <c r="X104" s="1031">
        <f>IFERROR(T104,"-")</f>
        <v>0.24262381330534963</v>
      </c>
      <c r="Y104" s="748"/>
      <c r="Z104" s="1032" t="s">
        <v>831</v>
      </c>
      <c r="AA104" s="1033" t="s">
        <v>832</v>
      </c>
      <c r="AB104" s="1031">
        <f>IFERROR(AB103/SUM($AB103:$AE103),"-")</f>
        <v>0.25830931350427311</v>
      </c>
      <c r="AC104" s="1031">
        <f>IFERROR(AC103/SUM(AB103:AE103),"-")</f>
        <v>0.26262057193608584</v>
      </c>
      <c r="AD104" s="1031">
        <f>IFERROR(AD103/SUM(AB103:AE103),"-")</f>
        <v>0.25080332382493381</v>
      </c>
      <c r="AE104" s="1031">
        <f>IFERROR(AE103/SUM(AB103:AE103),"-")</f>
        <v>0.22826679073470718</v>
      </c>
      <c r="AF104" s="1031">
        <f>IFERROR(AB104,"-")</f>
        <v>0.25830931350427311</v>
      </c>
    </row>
    <row r="105" spans="2:32" outlineLevel="1">
      <c r="B105" s="1034" t="s">
        <v>235</v>
      </c>
      <c r="C105" s="1035" t="s">
        <v>830</v>
      </c>
      <c r="D105" s="1036">
        <f>IFERROR(AVERAGE(D84,D86,D88,D90,D92,D94,D96,D98,D100,D102),"-")</f>
        <v>0.24408670748590597</v>
      </c>
      <c r="E105" s="1036">
        <f t="shared" ref="E105:G105" si="42">IFERROR(AVERAGE(E84,E86,E88,E90,E92,E94,E96,E98,E100,E102),"-")</f>
        <v>0.24058205932435092</v>
      </c>
      <c r="F105" s="1036">
        <f t="shared" si="42"/>
        <v>0.24778904382388559</v>
      </c>
      <c r="G105" s="1036">
        <f t="shared" si="42"/>
        <v>0.2675421893658575</v>
      </c>
      <c r="H105" s="1036">
        <f>IFERROR(SUM(D105:G105),"-")</f>
        <v>1</v>
      </c>
      <c r="J105" s="1034" t="s">
        <v>235</v>
      </c>
      <c r="K105" s="1035" t="s">
        <v>830</v>
      </c>
      <c r="L105" s="1036">
        <f>IFERROR(AVERAGE(L84,L86,L88,L90,L92,L94,L96,L98,L100,L102),"-")</f>
        <v>0.24363030909705241</v>
      </c>
      <c r="M105" s="1036">
        <f t="shared" ref="M105:O105" si="43">IFERROR(AVERAGE(M84,M86,M88,M90,M92,M94,M96,M98,M100,M102),"-")</f>
        <v>0.24661867221184036</v>
      </c>
      <c r="N105" s="1036">
        <f t="shared" si="43"/>
        <v>0.25312879076955153</v>
      </c>
      <c r="O105" s="1036">
        <f t="shared" si="43"/>
        <v>0.25662222792155576</v>
      </c>
      <c r="P105" s="1036">
        <f>IFERROR(SUM(L105:O105),"-")</f>
        <v>1</v>
      </c>
      <c r="R105" s="1034" t="s">
        <v>235</v>
      </c>
      <c r="S105" s="1035" t="s">
        <v>830</v>
      </c>
      <c r="T105" s="1036">
        <f>IFERROR(AVERAGE(T84,T86,T88,T90,T92,T94,T96,T98,T100,T102),"-")</f>
        <v>0.24262381330534963</v>
      </c>
      <c r="U105" s="1036">
        <f t="shared" ref="U105:W105" si="44">IFERROR(AVERAGE(U84,U86,U88,U90,U92,U94,U96,U98,U100,U102),"-")</f>
        <v>0.2476557673547124</v>
      </c>
      <c r="V105" s="1036">
        <f t="shared" si="44"/>
        <v>0.25127756278536351</v>
      </c>
      <c r="W105" s="1036">
        <f t="shared" si="44"/>
        <v>0.25844285655457438</v>
      </c>
      <c r="X105" s="1036">
        <f>IFERROR(SUM(T105:W105),"-")</f>
        <v>1</v>
      </c>
      <c r="Z105" s="1034" t="s">
        <v>235</v>
      </c>
      <c r="AA105" s="1035" t="s">
        <v>830</v>
      </c>
      <c r="AB105" s="1036">
        <f>IFERROR(AVERAGE(AB84,AB86,AB88,AB90,AB92,AB94,AB96,AB98,AB100,AB102),"-")</f>
        <v>0.25830931350427311</v>
      </c>
      <c r="AC105" s="1036">
        <f t="shared" ref="AC105:AE105" si="45">IFERROR(AVERAGE(AC84,AC86,AC88,AC90,AC92,AC94,AC96,AC98,AC100,AC102),"-")</f>
        <v>0.2626205719360859</v>
      </c>
      <c r="AD105" s="1036">
        <f t="shared" si="45"/>
        <v>0.25080332382493381</v>
      </c>
      <c r="AE105" s="1036">
        <f t="shared" si="45"/>
        <v>0.22826679073470718</v>
      </c>
      <c r="AF105" s="1036">
        <f>IFERROR(SUM(AB105:AE105),"-")</f>
        <v>1</v>
      </c>
    </row>
    <row r="106" spans="2:32" ht="13.5" outlineLevel="1">
      <c r="B106" s="792"/>
      <c r="C106" s="853"/>
    </row>
    <row r="107" spans="2:32" s="1065" customFormat="1" ht="13.5" outlineLevel="1">
      <c r="B107" s="1096" t="s">
        <v>833</v>
      </c>
      <c r="C107" s="1063"/>
      <c r="D107" s="1064"/>
      <c r="E107" s="1064"/>
      <c r="F107" s="1064"/>
      <c r="G107" s="1064"/>
      <c r="H107" s="1064"/>
      <c r="I107" s="1064"/>
      <c r="J107" s="1064"/>
      <c r="K107" s="1064"/>
    </row>
    <row r="108" spans="2:32" ht="13.5" outlineLevel="1">
      <c r="B108" s="793"/>
      <c r="C108" s="710"/>
      <c r="D108" s="443"/>
      <c r="E108" s="443"/>
      <c r="F108" s="443"/>
      <c r="G108" s="443"/>
      <c r="H108" s="443"/>
      <c r="I108" s="443"/>
      <c r="J108" s="443"/>
      <c r="K108" s="443"/>
    </row>
    <row r="109" spans="2:32" hidden="1" outlineLevel="1">
      <c r="B109" s="947" t="s">
        <v>808</v>
      </c>
      <c r="C109" s="948">
        <f>+L15</f>
        <v>2014</v>
      </c>
      <c r="D109" s="948">
        <f>+K15</f>
        <v>2015</v>
      </c>
      <c r="E109" s="948">
        <f>+J15</f>
        <v>2016</v>
      </c>
      <c r="F109" s="948">
        <f>+I15</f>
        <v>2017</v>
      </c>
      <c r="G109" s="948">
        <f>+H15</f>
        <v>2018</v>
      </c>
      <c r="H109" s="948">
        <f>+G15</f>
        <v>2019</v>
      </c>
      <c r="I109" s="948">
        <f>+F15</f>
        <v>2020</v>
      </c>
      <c r="J109" s="948">
        <f>+E15</f>
        <v>2021</v>
      </c>
      <c r="K109" s="948">
        <f>+D15</f>
        <v>2022</v>
      </c>
      <c r="L109" s="948">
        <f>+C15</f>
        <v>2023</v>
      </c>
      <c r="M109" s="948" t="s">
        <v>834</v>
      </c>
      <c r="N109" s="949" t="s">
        <v>835</v>
      </c>
    </row>
    <row r="110" spans="2:32" ht="13.5" hidden="1" outlineLevel="1">
      <c r="B110" s="941" t="s">
        <v>836</v>
      </c>
      <c r="C110" s="538">
        <v>0.77</v>
      </c>
      <c r="D110" s="538">
        <v>0.77</v>
      </c>
      <c r="E110" s="538">
        <v>0.75</v>
      </c>
      <c r="F110" s="538">
        <v>0.76</v>
      </c>
      <c r="G110" s="538">
        <v>0.77</v>
      </c>
      <c r="H110" s="538">
        <v>0.78</v>
      </c>
      <c r="I110" s="538">
        <v>0.78</v>
      </c>
      <c r="J110" s="538">
        <v>0.7</v>
      </c>
      <c r="K110" s="538">
        <v>0.75</v>
      </c>
      <c r="L110" s="849">
        <v>0.77</v>
      </c>
      <c r="M110" s="538">
        <f>AVERAGE(C110:L110)</f>
        <v>0.76</v>
      </c>
      <c r="N110" s="942">
        <f>AVERAGE(H110:L110)</f>
        <v>0.75600000000000001</v>
      </c>
      <c r="S110" s="1025"/>
      <c r="T110" s="1025"/>
      <c r="U110" s="1025"/>
      <c r="V110" s="1025"/>
      <c r="W110" s="1025"/>
      <c r="X110" s="1025"/>
      <c r="Y110" s="1025"/>
      <c r="Z110" s="1025"/>
      <c r="AA110" s="1025"/>
      <c r="AB110" s="1025"/>
    </row>
    <row r="111" spans="2:32" ht="13.5" hidden="1" outlineLevel="1">
      <c r="B111" s="941" t="s">
        <v>837</v>
      </c>
      <c r="C111" s="955"/>
      <c r="D111" s="850">
        <f t="shared" ref="D111:L111" si="46">+D112/C112-1</f>
        <v>6.2115070800652372E-3</v>
      </c>
      <c r="E111" s="850">
        <f t="shared" si="46"/>
        <v>-0.13206463951951797</v>
      </c>
      <c r="F111" s="850">
        <f t="shared" si="46"/>
        <v>0.15748331669895688</v>
      </c>
      <c r="G111" s="850">
        <f t="shared" si="46"/>
        <v>0.22353813192520788</v>
      </c>
      <c r="H111" s="850">
        <f t="shared" si="46"/>
        <v>0.10369712004032738</v>
      </c>
      <c r="I111" s="850">
        <f t="shared" si="46"/>
        <v>-0.26839843749999992</v>
      </c>
      <c r="J111" s="850">
        <f t="shared" si="46"/>
        <v>0.12710167010983908</v>
      </c>
      <c r="K111" s="850">
        <f t="shared" si="46"/>
        <v>0.31275280284718265</v>
      </c>
      <c r="L111" s="850">
        <f t="shared" si="46"/>
        <v>0.2513435114503817</v>
      </c>
      <c r="M111" s="450">
        <f>AVERAGE(C111:L111)</f>
        <v>8.6851664792493663E-2</v>
      </c>
      <c r="N111" s="942">
        <f>AVERAGE(H111:L111)</f>
        <v>0.10529933338954618</v>
      </c>
      <c r="S111" s="851"/>
      <c r="T111" s="851"/>
      <c r="U111" s="851"/>
      <c r="V111" s="851"/>
      <c r="W111" s="851"/>
      <c r="X111" s="851"/>
      <c r="Y111" s="851"/>
      <c r="Z111" s="851"/>
      <c r="AA111" s="851"/>
      <c r="AB111" s="851"/>
    </row>
    <row r="112" spans="2:32" ht="13.5" hidden="1" outlineLevel="1">
      <c r="B112" s="941" t="s">
        <v>838</v>
      </c>
      <c r="C112" s="852">
        <f>+C110*'Fin. Data'!K5</f>
        <v>14627.69</v>
      </c>
      <c r="D112" s="852">
        <f>+D110*'Fin. Data'!J5</f>
        <v>14718.550000000001</v>
      </c>
      <c r="E112" s="852">
        <f>+E110*'Fin. Data'!I5</f>
        <v>12774.75</v>
      </c>
      <c r="F112" s="852">
        <f>+F110*'Fin. Data'!H5</f>
        <v>14786.56</v>
      </c>
      <c r="G112" s="852">
        <f>+G110*'Fin. Data'!G5</f>
        <v>18091.920000000002</v>
      </c>
      <c r="H112" s="852">
        <f>+H110*'Fin. Data'!F5</f>
        <v>19968</v>
      </c>
      <c r="I112" s="852">
        <f>+I110*'Fin. Data'!E5</f>
        <v>14608.62</v>
      </c>
      <c r="J112" s="852">
        <f>+J110*'Fin. Data'!D5</f>
        <v>16465.399999999998</v>
      </c>
      <c r="K112" s="852">
        <f>+K110*'Fin. Data'!C5</f>
        <v>21615</v>
      </c>
      <c r="L112" s="852">
        <f>+L110*'Fin. Data'!B5</f>
        <v>27047.79</v>
      </c>
      <c r="M112" s="956"/>
      <c r="N112" s="943"/>
    </row>
    <row r="113" spans="2:74" ht="13.5" hidden="1" outlineLevel="1">
      <c r="B113" s="947" t="s">
        <v>809</v>
      </c>
      <c r="C113" s="950"/>
      <c r="D113" s="950"/>
      <c r="E113" s="950"/>
      <c r="F113" s="950"/>
      <c r="G113" s="950"/>
      <c r="H113" s="950"/>
      <c r="I113" s="950"/>
      <c r="J113" s="950"/>
      <c r="K113" s="950"/>
      <c r="L113" s="951"/>
      <c r="M113" s="952"/>
      <c r="N113" s="953"/>
    </row>
    <row r="114" spans="2:74" ht="13.5" hidden="1" outlineLevel="1">
      <c r="B114" s="941" t="str">
        <f>+B110</f>
        <v>% revenue</v>
      </c>
      <c r="C114" s="538">
        <v>0.16</v>
      </c>
      <c r="D114" s="538">
        <v>0.16</v>
      </c>
      <c r="E114" s="538">
        <v>0.18</v>
      </c>
      <c r="F114" s="538">
        <v>0.17</v>
      </c>
      <c r="G114" s="538">
        <v>0.16</v>
      </c>
      <c r="H114" s="538">
        <v>0.16</v>
      </c>
      <c r="I114" s="538">
        <v>0.16</v>
      </c>
      <c r="J114" s="538">
        <v>0.21</v>
      </c>
      <c r="K114" s="538">
        <v>0.2</v>
      </c>
      <c r="L114" s="849">
        <v>0.18</v>
      </c>
      <c r="M114" s="450">
        <f>AVERAGE(C114:K114)</f>
        <v>0.17333333333333334</v>
      </c>
      <c r="N114" s="942">
        <f>AVERAGE(H114:L114)</f>
        <v>0.182</v>
      </c>
    </row>
    <row r="115" spans="2:74" ht="13.5" hidden="1" outlineLevel="1">
      <c r="B115" s="941" t="str">
        <f>+B111</f>
        <v>%growth</v>
      </c>
      <c r="C115" s="955"/>
      <c r="D115" s="850">
        <f t="shared" ref="D115:L115" si="47">+D116/C116-1</f>
        <v>6.2115070800652372E-3</v>
      </c>
      <c r="E115" s="850">
        <f t="shared" si="47"/>
        <v>2.465341354956907E-3</v>
      </c>
      <c r="F115" s="850">
        <f t="shared" si="47"/>
        <v>7.8794757888282385E-2</v>
      </c>
      <c r="G115" s="850">
        <f t="shared" si="47"/>
        <v>0.13660990712074295</v>
      </c>
      <c r="H115" s="850">
        <f t="shared" si="47"/>
        <v>8.9547156962887176E-2</v>
      </c>
      <c r="I115" s="850">
        <f t="shared" si="47"/>
        <v>-0.26839843750000003</v>
      </c>
      <c r="J115" s="850">
        <f t="shared" si="47"/>
        <v>0.64838619253564</v>
      </c>
      <c r="K115" s="850">
        <f t="shared" si="47"/>
        <v>0.16689138030860673</v>
      </c>
      <c r="L115" s="850">
        <f t="shared" si="47"/>
        <v>9.6956974323386458E-2</v>
      </c>
      <c r="M115" s="450">
        <f>AVERAGE(C115:L115)</f>
        <v>0.10638497556384087</v>
      </c>
      <c r="N115" s="942">
        <f>AVERAGE(H115:L115)</f>
        <v>0.14667665332610408</v>
      </c>
    </row>
    <row r="116" spans="2:74" ht="13.5" hidden="1" outlineLevel="1">
      <c r="B116" s="941" t="str">
        <f>+B112</f>
        <v>Value</v>
      </c>
      <c r="C116" s="852">
        <f>+C114*'Fin. Data'!K5</f>
        <v>3039.52</v>
      </c>
      <c r="D116" s="852">
        <f>+D114*'Fin. Data'!J5</f>
        <v>3058.4</v>
      </c>
      <c r="E116" s="852">
        <f>+E114*'Fin. Data'!I5</f>
        <v>3065.94</v>
      </c>
      <c r="F116" s="852">
        <f>+F114*'Fin. Data'!H5</f>
        <v>3307.5200000000004</v>
      </c>
      <c r="G116" s="852">
        <f>+G114*'Fin. Data'!G5</f>
        <v>3759.36</v>
      </c>
      <c r="H116" s="852">
        <f>+H114*'Fin. Data'!F5</f>
        <v>4096</v>
      </c>
      <c r="I116" s="852">
        <f>+I114*'Fin. Data'!E5</f>
        <v>2996.64</v>
      </c>
      <c r="J116" s="852">
        <f>+J114*'Fin. Data'!D5</f>
        <v>4939.62</v>
      </c>
      <c r="K116" s="852">
        <f>+K114*'Fin. Data'!C5</f>
        <v>5764</v>
      </c>
      <c r="L116" s="852">
        <f>+L114*'Fin. Data'!B5</f>
        <v>6322.86</v>
      </c>
      <c r="M116" s="956"/>
      <c r="N116" s="943"/>
    </row>
    <row r="117" spans="2:74" ht="13.5" hidden="1" outlineLevel="1">
      <c r="B117" s="947" t="s">
        <v>839</v>
      </c>
      <c r="C117" s="950"/>
      <c r="D117" s="954"/>
      <c r="E117" s="950"/>
      <c r="F117" s="950"/>
      <c r="G117" s="950"/>
      <c r="H117" s="950"/>
      <c r="I117" s="950"/>
      <c r="J117" s="950"/>
      <c r="K117" s="950"/>
      <c r="L117" s="951"/>
      <c r="M117" s="952"/>
      <c r="N117" s="953"/>
    </row>
    <row r="118" spans="2:74" ht="13.5" hidden="1" outlineLevel="1">
      <c r="B118" s="941" t="str">
        <f>+B114</f>
        <v>% revenue</v>
      </c>
      <c r="C118" s="538">
        <v>0.06</v>
      </c>
      <c r="D118" s="538">
        <v>0.06</v>
      </c>
      <c r="E118" s="538">
        <v>7.0000000000000007E-2</v>
      </c>
      <c r="F118" s="538">
        <v>7.0000000000000007E-2</v>
      </c>
      <c r="G118" s="538">
        <v>0.06</v>
      </c>
      <c r="H118" s="538">
        <v>0.06</v>
      </c>
      <c r="I118" s="538">
        <v>0.06</v>
      </c>
      <c r="J118" s="538">
        <v>0.08</v>
      </c>
      <c r="K118" s="538">
        <v>0.05</v>
      </c>
      <c r="L118" s="849">
        <v>0.05</v>
      </c>
      <c r="M118" s="450">
        <f>AVERAGE(C118:K118)</f>
        <v>6.3333333333333339E-2</v>
      </c>
      <c r="N118" s="942">
        <f>+AVERAGE(H118:L118)</f>
        <v>0.06</v>
      </c>
    </row>
    <row r="119" spans="2:74" ht="13.5" hidden="1" outlineLevel="1">
      <c r="B119" s="941" t="str">
        <f>+B115</f>
        <v>%growth</v>
      </c>
      <c r="C119" s="955"/>
      <c r="D119" s="850">
        <f t="shared" ref="D119:L119" si="48">+D120/C120-1</f>
        <v>6.2115070800652372E-3</v>
      </c>
      <c r="E119" s="850">
        <f t="shared" si="48"/>
        <v>3.9593687331066718E-2</v>
      </c>
      <c r="F119" s="850">
        <f t="shared" si="48"/>
        <v>0.14225327305818114</v>
      </c>
      <c r="G119" s="850">
        <f t="shared" si="48"/>
        <v>3.5126879699248104E-2</v>
      </c>
      <c r="H119" s="850">
        <f t="shared" si="48"/>
        <v>8.9547156962887398E-2</v>
      </c>
      <c r="I119" s="850">
        <f t="shared" si="48"/>
        <v>-0.26839843750000003</v>
      </c>
      <c r="J119" s="850">
        <f t="shared" si="48"/>
        <v>0.67455105273461835</v>
      </c>
      <c r="K119" s="850">
        <f t="shared" si="48"/>
        <v>-0.23422753167247679</v>
      </c>
      <c r="L119" s="850">
        <f t="shared" si="48"/>
        <v>0.21884108258154078</v>
      </c>
      <c r="M119" s="450">
        <f>AVERAGE(C119:L119)</f>
        <v>7.8166518919458985E-2</v>
      </c>
      <c r="N119" s="942">
        <f>+AVERAGE(H119:L119)</f>
        <v>9.6062664621313937E-2</v>
      </c>
    </row>
    <row r="120" spans="2:74" ht="13.5" hidden="1" outlineLevel="1">
      <c r="B120" s="944" t="str">
        <f>+B116</f>
        <v>Value</v>
      </c>
      <c r="C120" s="945">
        <f>+C118*'Fin. Data'!K5</f>
        <v>1139.82</v>
      </c>
      <c r="D120" s="945">
        <f>+D118*'Fin. Data'!J5</f>
        <v>1146.8999999999999</v>
      </c>
      <c r="E120" s="945">
        <f>+E118*'Fin. Data'!I5</f>
        <v>1192.3100000000002</v>
      </c>
      <c r="F120" s="945">
        <f>+F118*'Fin. Data'!H5</f>
        <v>1361.92</v>
      </c>
      <c r="G120" s="945">
        <f>+G118*'Fin. Data'!G5</f>
        <v>1409.76</v>
      </c>
      <c r="H120" s="945">
        <f>+H118*'Fin. Data'!F5</f>
        <v>1536</v>
      </c>
      <c r="I120" s="945">
        <f>+I118*'Fin. Data'!E5</f>
        <v>1123.74</v>
      </c>
      <c r="J120" s="945">
        <f>+J118*'Fin. Data'!D5</f>
        <v>1881.76</v>
      </c>
      <c r="K120" s="945">
        <f>+K118*'Fin. Data'!C5</f>
        <v>1441</v>
      </c>
      <c r="L120" s="945">
        <f>+L118*'Fin. Data'!B5</f>
        <v>1756.3500000000001</v>
      </c>
      <c r="M120" s="957"/>
      <c r="N120" s="958"/>
    </row>
    <row r="121" spans="2:74" ht="13.5" hidden="1" outlineLevel="1">
      <c r="B121" s="793"/>
      <c r="C121" s="443"/>
      <c r="D121" s="443"/>
      <c r="E121" s="443"/>
      <c r="F121" s="443"/>
      <c r="G121" s="443"/>
      <c r="H121" s="443"/>
      <c r="I121" s="443"/>
      <c r="J121" s="443"/>
      <c r="K121" s="443"/>
      <c r="L121" s="849"/>
    </row>
    <row r="122" spans="2:74" ht="13.5" hidden="1" outlineLevel="1">
      <c r="B122" s="793" t="s">
        <v>840</v>
      </c>
      <c r="C122" s="853"/>
      <c r="D122" s="853"/>
      <c r="E122" s="853"/>
      <c r="F122" s="853"/>
      <c r="K122" s="853"/>
      <c r="L122" s="853"/>
      <c r="M122" s="853"/>
      <c r="N122" s="853"/>
      <c r="O122" s="748"/>
      <c r="P122" s="748"/>
      <c r="Q122" s="748"/>
    </row>
    <row r="123" spans="2:74" ht="13.5" hidden="1" outlineLevel="1">
      <c r="C123" s="853"/>
      <c r="D123" s="856">
        <f>D125/C125-1</f>
        <v>3.7339895690814195E-2</v>
      </c>
      <c r="E123" s="856">
        <f t="shared" ref="E123:L123" si="49">E125/D125-1</f>
        <v>2.6864195529480384E-2</v>
      </c>
      <c r="F123" s="856">
        <f t="shared" si="49"/>
        <v>4.1841191186878124E-2</v>
      </c>
      <c r="G123" s="856">
        <f t="shared" si="49"/>
        <v>5.4202522010341481E-2</v>
      </c>
      <c r="H123" s="856">
        <f t="shared" si="49"/>
        <v>4.1295302210277995E-2</v>
      </c>
      <c r="I123" s="856">
        <f t="shared" si="49"/>
        <v>-1.499007829278598E-2</v>
      </c>
      <c r="J123" s="856">
        <f t="shared" si="49"/>
        <v>0.10705395274721141</v>
      </c>
      <c r="K123" s="856">
        <f t="shared" si="49"/>
        <v>9.1126403553803526E-2</v>
      </c>
      <c r="L123" s="856">
        <f t="shared" si="49"/>
        <v>-1</v>
      </c>
      <c r="M123" s="856"/>
      <c r="N123" s="856"/>
      <c r="O123" s="856"/>
      <c r="P123" s="748"/>
      <c r="Q123" s="748"/>
    </row>
    <row r="124" spans="2:74" ht="15" hidden="1" outlineLevel="1">
      <c r="B124" s="980"/>
      <c r="C124" s="977">
        <v>2014</v>
      </c>
      <c r="D124" s="978">
        <v>2015</v>
      </c>
      <c r="E124" s="978">
        <v>2016</v>
      </c>
      <c r="F124" s="978">
        <v>2017</v>
      </c>
      <c r="G124" s="978">
        <v>2018</v>
      </c>
      <c r="H124" s="978">
        <v>2019</v>
      </c>
      <c r="I124" s="978">
        <v>2020</v>
      </c>
      <c r="J124" s="978">
        <v>2021</v>
      </c>
      <c r="K124" s="978">
        <v>2022</v>
      </c>
      <c r="L124" s="979">
        <v>2023</v>
      </c>
      <c r="AD124" s="853"/>
      <c r="AE124" s="748"/>
      <c r="AF124" s="748"/>
      <c r="AG124" s="748"/>
      <c r="AH124" s="748"/>
      <c r="AI124" s="1499"/>
      <c r="AJ124" s="1499"/>
      <c r="AK124" s="1499"/>
      <c r="AL124" s="1499"/>
      <c r="AM124" s="748"/>
      <c r="AN124" s="748"/>
      <c r="AO124" s="748"/>
      <c r="AP124" s="748"/>
      <c r="AQ124" s="1499"/>
      <c r="AR124" s="1499"/>
      <c r="AS124" s="1499"/>
      <c r="AT124" s="1499"/>
      <c r="AU124" s="748"/>
      <c r="AV124" s="748"/>
      <c r="AW124" s="748"/>
      <c r="AX124" s="748"/>
      <c r="AY124" s="1499"/>
      <c r="AZ124" s="1499"/>
      <c r="BA124" s="1499"/>
      <c r="BB124" s="1499"/>
      <c r="BC124" s="748"/>
      <c r="BD124" s="748"/>
      <c r="BE124" s="748"/>
      <c r="BF124" s="748"/>
      <c r="BG124" s="1499"/>
      <c r="BH124" s="1499"/>
      <c r="BI124" s="1499"/>
      <c r="BJ124" s="1499"/>
      <c r="BK124" s="748"/>
      <c r="BL124" s="748"/>
      <c r="BM124" s="748"/>
      <c r="BN124" s="748"/>
      <c r="BO124" s="1499"/>
      <c r="BP124" s="1499"/>
      <c r="BQ124" s="1499"/>
      <c r="BR124" s="1499"/>
      <c r="BS124" s="748"/>
      <c r="BT124" s="748"/>
      <c r="BU124" s="748"/>
      <c r="BV124" s="748"/>
    </row>
    <row r="125" spans="2:74" ht="15" hidden="1" outlineLevel="1">
      <c r="B125" s="964" t="s">
        <v>841</v>
      </c>
      <c r="C125" s="852">
        <f>17550680174000/10^6</f>
        <v>17550680.173999999</v>
      </c>
      <c r="D125" s="852">
        <f>18206020741000/10^6</f>
        <v>18206020.741</v>
      </c>
      <c r="E125" s="852">
        <f>18695110842000/10^6</f>
        <v>18695110.842</v>
      </c>
      <c r="F125" s="852">
        <f>19477336549000/10^6</f>
        <v>19477336.548999999</v>
      </c>
      <c r="G125" s="852">
        <f>20533057312000/10^6</f>
        <v>20533057.311999999</v>
      </c>
      <c r="H125" s="852">
        <f>21380976119000/10^6</f>
        <v>21380976.118999999</v>
      </c>
      <c r="I125" s="852">
        <f>21060473613000/10^6</f>
        <v>21060473.613000002</v>
      </c>
      <c r="J125" s="852">
        <f>23315080560000/10^6</f>
        <v>23315080.559999999</v>
      </c>
      <c r="K125" s="852">
        <f>25439700000000/10^6</f>
        <v>25439700</v>
      </c>
      <c r="L125" s="966"/>
      <c r="M125" s="859"/>
      <c r="N125" s="860" t="s">
        <v>842</v>
      </c>
      <c r="O125" s="854">
        <f>CORREL(C128:K128,C127:K127)</f>
        <v>0.72871297737521867</v>
      </c>
      <c r="P125" s="793" t="s">
        <v>843</v>
      </c>
      <c r="Q125" s="936">
        <f>Segments!B5/(Segments!B5+Segments!B6)</f>
        <v>0.68308740891128594</v>
      </c>
      <c r="R125" s="748"/>
      <c r="S125" s="853"/>
      <c r="T125" s="748"/>
      <c r="U125" s="748"/>
      <c r="V125" s="748"/>
      <c r="W125" s="853"/>
      <c r="X125" s="748"/>
      <c r="Y125" s="748"/>
      <c r="Z125" s="748"/>
      <c r="AA125" s="853"/>
      <c r="AB125" s="748"/>
      <c r="AC125" s="748"/>
      <c r="AD125" s="748"/>
      <c r="AE125" s="853"/>
      <c r="AF125" s="748"/>
      <c r="AG125" s="748"/>
      <c r="AH125" s="748"/>
      <c r="AI125" s="853"/>
      <c r="AJ125" s="748"/>
      <c r="AK125" s="748"/>
      <c r="AL125" s="748"/>
      <c r="AM125" s="853"/>
      <c r="AN125" s="748"/>
      <c r="AO125" s="748"/>
      <c r="AP125" s="748"/>
      <c r="AQ125" s="853"/>
      <c r="AR125" s="748"/>
      <c r="AS125" s="748"/>
      <c r="AT125" s="748"/>
      <c r="AU125" s="853"/>
      <c r="AV125" s="748"/>
      <c r="AW125" s="748"/>
      <c r="AX125" s="748"/>
      <c r="AY125" s="853"/>
      <c r="AZ125" s="748"/>
      <c r="BA125" s="748"/>
      <c r="BB125" s="748"/>
      <c r="BC125" s="853"/>
      <c r="BD125" s="748"/>
      <c r="BE125" s="748"/>
      <c r="BF125" s="748"/>
      <c r="BG125" s="853"/>
      <c r="BH125" s="748"/>
      <c r="BI125" s="748"/>
      <c r="BJ125" s="748"/>
      <c r="BK125" s="853"/>
      <c r="BL125" s="748"/>
      <c r="BM125" s="748"/>
      <c r="BN125" s="748"/>
      <c r="BO125" s="853"/>
      <c r="BP125" s="748"/>
      <c r="BQ125" s="748"/>
      <c r="BR125" s="748"/>
      <c r="BS125" s="853"/>
      <c r="BT125" s="748"/>
      <c r="BU125" s="748"/>
      <c r="BV125" s="748"/>
    </row>
    <row r="126" spans="2:74" ht="13.5" hidden="1" outlineLevel="1">
      <c r="B126" s="964" t="s">
        <v>844</v>
      </c>
      <c r="C126" s="967">
        <f>12215765.1</f>
        <v>12215765.1</v>
      </c>
      <c r="D126" s="967">
        <v>12548314.4</v>
      </c>
      <c r="E126" s="967">
        <v>13075679.5</v>
      </c>
      <c r="F126" s="967">
        <v>13534336</v>
      </c>
      <c r="G126" s="967">
        <v>14019673.6</v>
      </c>
      <c r="H126" s="967">
        <v>13471032.9</v>
      </c>
      <c r="I126" s="967">
        <v>14639398.1</v>
      </c>
      <c r="J126" s="967">
        <v>15919176.699999999</v>
      </c>
      <c r="K126" s="967">
        <v>16962390.600000001</v>
      </c>
      <c r="L126" s="968"/>
      <c r="M126" s="748"/>
      <c r="N126" s="791" t="s">
        <v>845</v>
      </c>
      <c r="O126" s="856">
        <f>+AVERAGE(D129:L129)</f>
        <v>-6.8184050343709099E-2</v>
      </c>
      <c r="P126" s="793" t="s">
        <v>204</v>
      </c>
      <c r="Q126" s="850">
        <f>Segments!B6/(Segments!B5+Segments!B6)</f>
        <v>0.31691259108871406</v>
      </c>
      <c r="R126" s="748"/>
      <c r="S126" s="853"/>
      <c r="T126" s="748"/>
      <c r="U126" s="748"/>
      <c r="V126" s="748"/>
      <c r="W126" s="853"/>
      <c r="X126" s="748"/>
      <c r="Y126" s="748"/>
      <c r="Z126" s="748"/>
      <c r="AA126" s="853"/>
      <c r="AB126" s="748"/>
      <c r="AC126" s="748"/>
    </row>
    <row r="127" spans="2:74" ht="13.5" hidden="1" outlineLevel="1">
      <c r="B127" s="964" t="s">
        <v>846</v>
      </c>
      <c r="C127" s="851">
        <f t="shared" ref="C127:L127" si="50">+C112</f>
        <v>14627.69</v>
      </c>
      <c r="D127" s="851">
        <f t="shared" si="50"/>
        <v>14718.550000000001</v>
      </c>
      <c r="E127" s="851">
        <f t="shared" si="50"/>
        <v>12774.75</v>
      </c>
      <c r="F127" s="851">
        <f t="shared" si="50"/>
        <v>14786.56</v>
      </c>
      <c r="G127" s="851">
        <f t="shared" si="50"/>
        <v>18091.920000000002</v>
      </c>
      <c r="H127" s="851">
        <f t="shared" si="50"/>
        <v>19968</v>
      </c>
      <c r="I127" s="851">
        <f t="shared" si="50"/>
        <v>14608.62</v>
      </c>
      <c r="J127" s="851">
        <f t="shared" si="50"/>
        <v>16465.399999999998</v>
      </c>
      <c r="K127" s="851">
        <f t="shared" si="50"/>
        <v>21615</v>
      </c>
      <c r="L127" s="969">
        <f t="shared" si="50"/>
        <v>27047.79</v>
      </c>
      <c r="M127" s="854"/>
      <c r="N127" s="445" t="s">
        <v>847</v>
      </c>
      <c r="O127" s="856">
        <f>+AVERAGE(D129:I129,K129:L129)</f>
        <v>-9.0788775915059822E-2</v>
      </c>
      <c r="P127" s="748"/>
      <c r="Q127" s="854"/>
      <c r="R127" s="748"/>
      <c r="S127" s="854"/>
      <c r="T127" s="748"/>
      <c r="U127" s="854"/>
      <c r="V127" s="748"/>
      <c r="W127" s="854"/>
      <c r="X127" s="748"/>
      <c r="Y127" s="854"/>
      <c r="Z127" s="748"/>
      <c r="AA127" s="854"/>
      <c r="AB127" s="748"/>
      <c r="AC127" s="854"/>
      <c r="AD127" s="748"/>
      <c r="AE127" s="853"/>
      <c r="AF127" s="748"/>
      <c r="AG127" s="748"/>
      <c r="AH127" s="748"/>
      <c r="AI127" s="853"/>
      <c r="AJ127" s="748"/>
      <c r="AK127" s="748"/>
      <c r="AL127" s="748"/>
      <c r="AM127" s="853"/>
      <c r="AN127" s="748"/>
      <c r="AO127" s="748"/>
      <c r="AP127" s="748"/>
      <c r="AQ127" s="853"/>
      <c r="AR127" s="748"/>
      <c r="AS127" s="748"/>
      <c r="AT127" s="748"/>
      <c r="AU127" s="853"/>
      <c r="AV127" s="748"/>
      <c r="AW127" s="748"/>
      <c r="AX127" s="748"/>
      <c r="AY127" s="853"/>
      <c r="AZ127" s="748"/>
      <c r="BA127" s="748"/>
      <c r="BB127" s="748"/>
      <c r="BC127" s="853"/>
      <c r="BD127" s="748"/>
      <c r="BE127" s="748"/>
      <c r="BF127" s="748"/>
      <c r="BG127" s="853"/>
      <c r="BH127" s="748"/>
      <c r="BI127" s="748"/>
      <c r="BJ127" s="748"/>
      <c r="BK127" s="853"/>
      <c r="BL127" s="748"/>
      <c r="BM127" s="748"/>
      <c r="BN127" s="748"/>
      <c r="BO127" s="853"/>
      <c r="BP127" s="748"/>
      <c r="BQ127" s="748"/>
      <c r="BR127" s="748"/>
    </row>
    <row r="128" spans="2:74" ht="13.5" hidden="1" outlineLevel="1">
      <c r="B128" s="975" t="s">
        <v>848</v>
      </c>
      <c r="C128" s="970">
        <f>C125*$Q$125+(C126*1)*$Q$126</f>
        <v>15859978.41466042</v>
      </c>
      <c r="D128" s="970">
        <f>D125*$Q$125+(D126*1)*$Q$126</f>
        <v>16413022.364854643</v>
      </c>
      <c r="E128" s="970">
        <f>E125*$Q$125+(E126*1)*$Q$126</f>
        <v>16914242.29496165</v>
      </c>
      <c r="F128" s="970">
        <f>F125*$Q$125+(F126*1)*$Q$126</f>
        <v>17593924.846174758</v>
      </c>
      <c r="G128" s="852">
        <f>G125*$Q$125+(G126*1.179468)*$Q$126</f>
        <v>19266262.316799805</v>
      </c>
      <c r="H128" s="852">
        <f>H125*$Q$125+(H126*1.11914)*$Q$126</f>
        <v>19382840.850670502</v>
      </c>
      <c r="I128" s="852">
        <f>I125*$Q$125+(I126*1.139744)*$Q$126</f>
        <v>19673883.587484442</v>
      </c>
      <c r="J128" s="852">
        <f>J125*$Q$125+(J126*1.18216)*$Q$126</f>
        <v>21890220.433841426</v>
      </c>
      <c r="K128" s="852">
        <f>K125*$Q$125+(K126*1.051142)*$Q$126</f>
        <v>23028052.600058801</v>
      </c>
      <c r="L128" s="971">
        <f>L125*$Q$125+(L126*1.081121)*$Q$126</f>
        <v>0</v>
      </c>
      <c r="O128" s="853"/>
      <c r="P128" s="853"/>
      <c r="Q128" s="853"/>
      <c r="R128" s="853"/>
      <c r="S128" s="748"/>
      <c r="T128" s="748"/>
      <c r="U128" s="748"/>
      <c r="V128" s="748"/>
      <c r="W128" s="1499"/>
      <c r="X128" s="1499"/>
      <c r="Y128" s="1499"/>
      <c r="Z128" s="1499"/>
      <c r="AA128" s="748"/>
      <c r="AB128" s="748"/>
      <c r="AC128" s="748"/>
      <c r="AD128" s="748"/>
      <c r="AE128" s="853"/>
      <c r="AF128" s="748"/>
      <c r="AG128" s="748"/>
      <c r="AH128" s="748"/>
      <c r="AI128" s="853"/>
      <c r="AJ128" s="748"/>
      <c r="AK128" s="748"/>
      <c r="AL128" s="748"/>
      <c r="AM128" s="853"/>
      <c r="AN128" s="748"/>
      <c r="AO128" s="748"/>
      <c r="AP128" s="748"/>
      <c r="AQ128" s="853"/>
      <c r="AR128" s="748"/>
      <c r="AS128" s="748"/>
      <c r="AT128" s="748"/>
      <c r="AU128" s="853"/>
      <c r="AV128" s="748"/>
      <c r="AW128" s="748"/>
      <c r="AX128" s="748"/>
      <c r="AY128" s="853"/>
      <c r="AZ128" s="748"/>
      <c r="BA128" s="748"/>
      <c r="BB128" s="748"/>
      <c r="BC128" s="853"/>
      <c r="BD128" s="748"/>
      <c r="BE128" s="748"/>
      <c r="BF128" s="748"/>
      <c r="BG128" s="853"/>
      <c r="BH128" s="748"/>
      <c r="BI128" s="748"/>
      <c r="BJ128" s="748"/>
      <c r="BK128" s="853"/>
      <c r="BL128" s="748"/>
      <c r="BM128" s="748"/>
      <c r="BN128" s="748"/>
      <c r="BO128" s="853"/>
      <c r="BP128" s="748"/>
      <c r="BQ128" s="748"/>
      <c r="BR128" s="748"/>
    </row>
    <row r="129" spans="1:162" ht="13.5" hidden="1" outlineLevel="1">
      <c r="B129" s="976" t="s">
        <v>849</v>
      </c>
      <c r="C129" s="972"/>
      <c r="D129" s="973">
        <f t="shared" ref="D129:L129" si="51">D128/C128-1</f>
        <v>3.4870410017898035E-2</v>
      </c>
      <c r="E129" s="973">
        <f t="shared" si="51"/>
        <v>3.0537942309776689E-2</v>
      </c>
      <c r="F129" s="973">
        <f t="shared" si="51"/>
        <v>4.0184037768902447E-2</v>
      </c>
      <c r="G129" s="973">
        <f t="shared" si="51"/>
        <v>9.5051984434766146E-2</v>
      </c>
      <c r="H129" s="973">
        <f t="shared" si="51"/>
        <v>6.0509159459041229E-3</v>
      </c>
      <c r="I129" s="973">
        <f t="shared" si="51"/>
        <v>1.501548400754027E-2</v>
      </c>
      <c r="J129" s="973">
        <f t="shared" si="51"/>
        <v>0.11265375422709667</v>
      </c>
      <c r="K129" s="973">
        <f t="shared" si="51"/>
        <v>5.1979018194733717E-2</v>
      </c>
      <c r="L129" s="974">
        <f t="shared" si="51"/>
        <v>-1</v>
      </c>
      <c r="M129" s="856"/>
      <c r="N129" s="856"/>
      <c r="O129" s="856"/>
      <c r="P129" s="856"/>
      <c r="S129" s="853"/>
      <c r="T129" s="748"/>
      <c r="U129" s="748"/>
      <c r="V129" s="748"/>
      <c r="W129" s="853"/>
      <c r="X129" s="748"/>
      <c r="Y129" s="748"/>
      <c r="Z129" s="748"/>
      <c r="AA129" s="853"/>
      <c r="AB129" s="748"/>
      <c r="AC129" s="748"/>
      <c r="AD129" s="748"/>
      <c r="AE129" s="854"/>
      <c r="AF129" s="748"/>
      <c r="AG129" s="854"/>
      <c r="AH129" s="748"/>
      <c r="AI129" s="854"/>
      <c r="AJ129" s="748"/>
      <c r="AK129" s="854"/>
      <c r="AL129" s="748"/>
      <c r="AM129" s="854"/>
      <c r="AN129" s="748"/>
      <c r="AO129" s="854"/>
      <c r="AP129" s="748"/>
      <c r="AQ129" s="854"/>
      <c r="AR129" s="748"/>
      <c r="AS129" s="854"/>
      <c r="AT129" s="748"/>
      <c r="AU129" s="854"/>
      <c r="AV129" s="748"/>
      <c r="AW129" s="854"/>
      <c r="AX129" s="748"/>
      <c r="AY129" s="854"/>
      <c r="AZ129" s="748"/>
      <c r="BA129" s="854"/>
      <c r="BB129" s="748"/>
      <c r="BC129" s="854"/>
      <c r="BD129" s="748"/>
      <c r="BE129" s="854"/>
      <c r="BF129" s="748"/>
      <c r="BG129" s="854"/>
      <c r="BH129" s="748"/>
      <c r="BI129" s="854"/>
      <c r="BJ129" s="748"/>
      <c r="BK129" s="854"/>
      <c r="BL129" s="748"/>
      <c r="BM129" s="854"/>
      <c r="BN129" s="748"/>
      <c r="BO129" s="854"/>
      <c r="BP129" s="748"/>
      <c r="BQ129" s="854"/>
      <c r="BR129" s="748"/>
      <c r="BS129" s="854"/>
      <c r="BT129" s="748"/>
      <c r="BU129" s="854"/>
      <c r="BV129" s="748"/>
      <c r="BW129" s="854"/>
      <c r="BX129" s="748"/>
      <c r="BY129" s="854"/>
      <c r="BZ129" s="748"/>
      <c r="CA129" s="854"/>
      <c r="CB129" s="748"/>
      <c r="CC129" s="854"/>
      <c r="CD129" s="748"/>
      <c r="CE129" s="854"/>
      <c r="CF129" s="748"/>
      <c r="CG129" s="854"/>
      <c r="CH129" s="748"/>
      <c r="CI129" s="854"/>
      <c r="CJ129" s="748"/>
      <c r="CK129" s="854"/>
      <c r="CL129" s="748"/>
      <c r="CM129" s="854"/>
      <c r="CN129" s="748"/>
      <c r="CO129" s="854"/>
      <c r="CP129" s="748"/>
      <c r="CQ129" s="854"/>
      <c r="CR129" s="748"/>
      <c r="CS129" s="854"/>
      <c r="CT129" s="748"/>
      <c r="CU129" s="854"/>
      <c r="CV129" s="748"/>
      <c r="CW129" s="854"/>
      <c r="CX129" s="748"/>
      <c r="CY129" s="854"/>
      <c r="CZ129" s="748"/>
      <c r="DA129" s="854"/>
      <c r="DB129" s="748"/>
      <c r="DC129" s="854"/>
      <c r="DD129" s="748"/>
      <c r="DE129" s="854"/>
      <c r="DF129" s="748"/>
      <c r="DG129" s="854"/>
      <c r="DH129" s="748"/>
      <c r="DI129" s="854"/>
      <c r="DJ129" s="748"/>
      <c r="DK129" s="854"/>
      <c r="DL129" s="748"/>
      <c r="DM129" s="854"/>
      <c r="DN129" s="748"/>
      <c r="DO129" s="854"/>
      <c r="DP129" s="748"/>
      <c r="DQ129" s="854"/>
      <c r="DR129" s="748"/>
      <c r="DS129" s="854"/>
      <c r="DT129" s="748"/>
      <c r="DU129" s="854"/>
      <c r="DV129" s="748"/>
      <c r="DW129" s="854"/>
      <c r="DX129" s="748"/>
      <c r="DY129" s="854"/>
      <c r="DZ129" s="748"/>
      <c r="EA129" s="854"/>
      <c r="EB129" s="748"/>
      <c r="EC129" s="854"/>
      <c r="ED129" s="748"/>
      <c r="EE129" s="854"/>
      <c r="EF129" s="748"/>
      <c r="EG129" s="854"/>
      <c r="EH129" s="748"/>
      <c r="EI129" s="854"/>
      <c r="EJ129" s="748"/>
      <c r="EK129" s="854"/>
      <c r="EL129" s="748"/>
      <c r="EM129" s="854"/>
      <c r="EN129" s="748"/>
      <c r="EO129" s="854"/>
      <c r="EP129" s="748"/>
      <c r="EQ129" s="854"/>
      <c r="ER129" s="748"/>
      <c r="ES129" s="854"/>
      <c r="ET129" s="748"/>
    </row>
    <row r="130" spans="1:162" ht="13.35" hidden="1" customHeight="1" outlineLevel="1">
      <c r="AD130" s="748"/>
      <c r="AE130" s="1499"/>
      <c r="AF130" s="1499"/>
      <c r="AG130" s="1499"/>
      <c r="AH130" s="1499"/>
      <c r="AI130" s="748"/>
      <c r="AJ130" s="748"/>
      <c r="AK130" s="748"/>
      <c r="AL130" s="748"/>
      <c r="AM130" s="1499"/>
      <c r="AN130" s="1499"/>
      <c r="AO130" s="1499"/>
      <c r="AP130" s="1499"/>
      <c r="AQ130" s="748"/>
      <c r="AR130" s="748"/>
      <c r="AS130" s="748"/>
      <c r="AT130" s="748"/>
      <c r="AU130" s="1499"/>
      <c r="AV130" s="1499"/>
      <c r="AW130" s="1499"/>
      <c r="AX130" s="1499"/>
      <c r="AY130" s="748"/>
      <c r="AZ130" s="748"/>
      <c r="BA130" s="748"/>
      <c r="BB130" s="748"/>
      <c r="BC130" s="1499"/>
      <c r="BD130" s="1499"/>
      <c r="BE130" s="1499"/>
      <c r="BF130" s="1499"/>
      <c r="BG130" s="748"/>
      <c r="BH130" s="748"/>
      <c r="BI130" s="748"/>
      <c r="BJ130" s="748"/>
      <c r="BK130" s="1499"/>
      <c r="BL130" s="1499"/>
      <c r="BM130" s="1499"/>
      <c r="BN130" s="1499"/>
      <c r="BO130" s="748"/>
      <c r="BP130" s="748"/>
      <c r="BQ130" s="748"/>
      <c r="BR130" s="748"/>
      <c r="BS130" s="1499"/>
      <c r="BT130" s="1499"/>
      <c r="BU130" s="1499"/>
      <c r="BV130" s="1499"/>
      <c r="BW130" s="748"/>
      <c r="BX130" s="748"/>
      <c r="BY130" s="748"/>
      <c r="BZ130" s="748"/>
      <c r="CA130" s="1499"/>
      <c r="CB130" s="1499"/>
      <c r="CC130" s="1499"/>
      <c r="CD130" s="1499"/>
      <c r="CE130" s="748"/>
      <c r="CF130" s="748"/>
      <c r="CG130" s="748"/>
      <c r="CH130" s="748"/>
      <c r="CI130" s="1499"/>
      <c r="CJ130" s="1499"/>
      <c r="CK130" s="1499"/>
      <c r="CL130" s="1499"/>
      <c r="CM130" s="748"/>
      <c r="CN130" s="748"/>
      <c r="CO130" s="748"/>
      <c r="CP130" s="748"/>
      <c r="CQ130" s="1499"/>
      <c r="CR130" s="1499"/>
      <c r="CS130" s="1499"/>
      <c r="CT130" s="1499"/>
      <c r="CU130" s="748"/>
      <c r="CV130" s="748"/>
      <c r="CW130" s="748"/>
      <c r="CX130" s="748"/>
      <c r="CY130" s="1499"/>
      <c r="CZ130" s="1499"/>
      <c r="DA130" s="1499"/>
      <c r="DB130" s="1499"/>
      <c r="DC130" s="748"/>
      <c r="DD130" s="748"/>
      <c r="DE130" s="748"/>
      <c r="DF130" s="748"/>
      <c r="DG130" s="1499"/>
      <c r="DH130" s="1499"/>
      <c r="DI130" s="1499"/>
      <c r="DJ130" s="1499"/>
      <c r="DK130" s="748"/>
      <c r="DL130" s="748"/>
      <c r="DM130" s="748"/>
      <c r="DN130" s="748"/>
      <c r="DO130" s="1499"/>
      <c r="DP130" s="1499"/>
      <c r="DQ130" s="1499"/>
      <c r="DR130" s="1499"/>
      <c r="DS130" s="748"/>
      <c r="DT130" s="748"/>
      <c r="DU130" s="748"/>
      <c r="DV130" s="748"/>
      <c r="DW130" s="1499"/>
      <c r="DX130" s="1499"/>
      <c r="DY130" s="1499"/>
      <c r="DZ130" s="1499"/>
      <c r="EA130" s="748"/>
      <c r="EB130" s="748"/>
      <c r="EC130" s="748"/>
      <c r="ED130" s="748"/>
      <c r="EE130" s="1499"/>
      <c r="EF130" s="1499"/>
      <c r="EG130" s="1499"/>
      <c r="EH130" s="1499"/>
      <c r="EI130" s="748"/>
      <c r="EJ130" s="748"/>
      <c r="EK130" s="748"/>
      <c r="EL130" s="748"/>
      <c r="EM130" s="1499"/>
      <c r="EN130" s="1499"/>
      <c r="EO130" s="1499"/>
      <c r="EP130" s="1499"/>
      <c r="EQ130" s="748"/>
      <c r="ER130" s="748"/>
      <c r="ES130" s="748"/>
      <c r="ET130" s="748"/>
      <c r="EU130" s="1499"/>
      <c r="EV130" s="1499"/>
      <c r="EW130" s="1499"/>
      <c r="EX130" s="1499"/>
      <c r="EY130" s="748"/>
      <c r="EZ130" s="748"/>
      <c r="FA130" s="748"/>
      <c r="FB130" s="748"/>
    </row>
    <row r="131" spans="1:162" ht="13.5" outlineLevel="1">
      <c r="D131" s="1151">
        <f t="shared" ref="D131:AT131" si="52">D140</f>
        <v>104691.82389937107</v>
      </c>
      <c r="E131" s="1151">
        <f t="shared" si="52"/>
        <v>102522.25519287834</v>
      </c>
      <c r="F131" s="1151">
        <f t="shared" si="52"/>
        <v>102160.85790884719</v>
      </c>
      <c r="G131" s="1151">
        <f t="shared" si="52"/>
        <v>99730.673316708228</v>
      </c>
      <c r="H131" s="1151">
        <f t="shared" si="52"/>
        <v>98409.921671018281</v>
      </c>
      <c r="I131" s="1151">
        <f t="shared" si="52"/>
        <v>95754.807692307688</v>
      </c>
      <c r="J131" s="1151">
        <f t="shared" si="52"/>
        <v>95043.147208121823</v>
      </c>
      <c r="K131" s="1151">
        <f t="shared" si="52"/>
        <v>92805.08474576271</v>
      </c>
      <c r="L131" s="1151">
        <f t="shared" si="52"/>
        <v>92648.725212464589</v>
      </c>
      <c r="M131" s="1151">
        <f t="shared" si="52"/>
        <v>90793.478260869568</v>
      </c>
      <c r="N131" s="1151">
        <f t="shared" si="52"/>
        <v>90851.002865329516</v>
      </c>
      <c r="O131" s="1151">
        <f t="shared" si="52"/>
        <v>88050.147492625372</v>
      </c>
      <c r="P131" s="1151">
        <f t="shared" si="52"/>
        <v>89431.428571428565</v>
      </c>
      <c r="Q131" s="1151">
        <f t="shared" si="52"/>
        <v>90192.89340101523</v>
      </c>
      <c r="R131" s="1151">
        <f t="shared" si="52"/>
        <v>96203.980099502485</v>
      </c>
      <c r="S131" s="1151">
        <f t="shared" si="52"/>
        <v>95343.115124153497</v>
      </c>
      <c r="T131" s="1151">
        <f t="shared" si="52"/>
        <v>97820.224719101127</v>
      </c>
      <c r="U131" s="1151">
        <f t="shared" si="52"/>
        <v>96288.793103448275</v>
      </c>
      <c r="V131" s="1151">
        <f t="shared" si="52"/>
        <v>92665.271966527202</v>
      </c>
      <c r="W131" s="1151">
        <f t="shared" si="52"/>
        <v>97952.380952380947</v>
      </c>
      <c r="X131" s="1151">
        <f t="shared" si="52"/>
        <v>99170.87378640777</v>
      </c>
      <c r="Y131" s="1151">
        <f t="shared" si="52"/>
        <v>99653.919694072654</v>
      </c>
      <c r="Z131" s="1151">
        <f t="shared" si="52"/>
        <v>100961.46044624747</v>
      </c>
      <c r="AA131" s="1151">
        <f t="shared" si="52"/>
        <v>102689.27789934355</v>
      </c>
      <c r="AB131" s="1151">
        <f t="shared" si="52"/>
        <v>97854.166666666672</v>
      </c>
      <c r="AC131" s="1151">
        <f t="shared" si="52"/>
        <v>102674.03314917127</v>
      </c>
      <c r="AD131" s="1151">
        <f t="shared" si="52"/>
        <v>97333.333333333328</v>
      </c>
      <c r="AE131" s="1151">
        <f t="shared" si="52"/>
        <v>99137.254901960783</v>
      </c>
      <c r="AF131" s="1151">
        <f t="shared" si="52"/>
        <v>100308.05687203791</v>
      </c>
      <c r="AG131" s="1151">
        <f t="shared" si="52"/>
        <v>103546.13466334164</v>
      </c>
      <c r="AH131" s="1151">
        <f t="shared" si="52"/>
        <v>105262.19512195123</v>
      </c>
      <c r="AI131" s="1151">
        <f t="shared" si="52"/>
        <v>104241.59663865546</v>
      </c>
      <c r="AJ131" s="1151">
        <f t="shared" si="52"/>
        <v>109234.88372093023</v>
      </c>
      <c r="AK131" s="1151">
        <f t="shared" si="52"/>
        <v>113782.51599147121</v>
      </c>
      <c r="AL131" s="1151">
        <f t="shared" si="52"/>
        <v>117076.57657657658</v>
      </c>
      <c r="AM131" s="1151">
        <f t="shared" si="52"/>
        <v>127382.89205702647</v>
      </c>
      <c r="AN131" s="1151">
        <f t="shared" si="52"/>
        <v>125514.6771037182</v>
      </c>
      <c r="AO131" s="1151">
        <f t="shared" si="52"/>
        <v>131551.05973025048</v>
      </c>
      <c r="AP131" s="1151">
        <f t="shared" si="52"/>
        <v>132463.07385229541</v>
      </c>
      <c r="AQ131" s="1151">
        <f t="shared" si="52"/>
        <v>136373.77690802349</v>
      </c>
      <c r="AR131" s="1151">
        <f t="shared" si="52"/>
        <v>135987.52598752599</v>
      </c>
      <c r="AS131" s="1151">
        <f t="shared" si="52"/>
        <v>134314.22811531744</v>
      </c>
      <c r="AT131" s="1151">
        <f t="shared" si="52"/>
        <v>137478.56458373016</v>
      </c>
      <c r="AU131" s="1151">
        <f>AU140</f>
        <v>148438.02450663911</v>
      </c>
      <c r="AV131" s="1152">
        <f t="shared" ref="AV131:CA131" si="53">$U$201*AV133+$V$201</f>
        <v>128240.9</v>
      </c>
      <c r="AW131" s="1152">
        <f t="shared" si="53"/>
        <v>129221.51999999999</v>
      </c>
      <c r="AX131" s="1152">
        <f t="shared" si="53"/>
        <v>130202.14</v>
      </c>
      <c r="AY131" s="1152">
        <f t="shared" si="53"/>
        <v>131182.76</v>
      </c>
      <c r="AZ131" s="1152">
        <f t="shared" si="53"/>
        <v>132163.38</v>
      </c>
      <c r="BA131" s="1152">
        <f t="shared" si="53"/>
        <v>133144</v>
      </c>
      <c r="BB131" s="1152">
        <f t="shared" si="53"/>
        <v>134124.62</v>
      </c>
      <c r="BC131" s="1152">
        <f t="shared" si="53"/>
        <v>135105.24</v>
      </c>
      <c r="BD131" s="1152">
        <f t="shared" si="53"/>
        <v>136085.85999999999</v>
      </c>
      <c r="BE131" s="1152">
        <f t="shared" si="53"/>
        <v>137066.48000000001</v>
      </c>
      <c r="BF131" s="1152">
        <f t="shared" si="53"/>
        <v>138047.1</v>
      </c>
      <c r="BG131" s="1152">
        <f t="shared" si="53"/>
        <v>139027.72</v>
      </c>
      <c r="BH131" s="1152">
        <f t="shared" si="53"/>
        <v>140008.34</v>
      </c>
      <c r="BI131" s="1152">
        <f t="shared" si="53"/>
        <v>140988.96</v>
      </c>
      <c r="BJ131" s="1152">
        <f t="shared" si="53"/>
        <v>141969.58000000002</v>
      </c>
      <c r="BK131" s="1152">
        <f t="shared" si="53"/>
        <v>142950.20000000001</v>
      </c>
      <c r="BL131" s="1152">
        <f t="shared" si="53"/>
        <v>143930.82</v>
      </c>
      <c r="BM131" s="1152">
        <f t="shared" si="53"/>
        <v>144911.44</v>
      </c>
      <c r="BN131" s="1152">
        <f t="shared" si="53"/>
        <v>145892.06</v>
      </c>
      <c r="BO131" s="1152">
        <f t="shared" si="53"/>
        <v>146872.68</v>
      </c>
      <c r="BP131" s="1152">
        <f t="shared" si="53"/>
        <v>147853.29999999999</v>
      </c>
      <c r="BQ131" s="1152">
        <f t="shared" si="53"/>
        <v>148833.91999999998</v>
      </c>
      <c r="BR131" s="1152">
        <f t="shared" si="53"/>
        <v>149814.53999999998</v>
      </c>
      <c r="BS131" s="1152">
        <f t="shared" si="53"/>
        <v>150795.16</v>
      </c>
      <c r="BT131" s="1152">
        <f t="shared" si="53"/>
        <v>151775.78</v>
      </c>
      <c r="BU131" s="1152">
        <f t="shared" si="53"/>
        <v>152756.4</v>
      </c>
      <c r="BV131" s="1152">
        <f t="shared" si="53"/>
        <v>153737.02000000002</v>
      </c>
      <c r="BW131" s="1152">
        <f t="shared" si="53"/>
        <v>154717.64000000001</v>
      </c>
      <c r="BX131" s="1152">
        <f t="shared" si="53"/>
        <v>155698.26</v>
      </c>
      <c r="BY131" s="1152">
        <f t="shared" si="53"/>
        <v>156678.88</v>
      </c>
      <c r="BZ131" s="1152">
        <f t="shared" si="53"/>
        <v>157659.5</v>
      </c>
      <c r="CA131" s="1152">
        <f t="shared" si="53"/>
        <v>158640.12</v>
      </c>
      <c r="CB131" s="1152">
        <f t="shared" ref="CB131:DG131" si="54">$U$201*CB133+$V$201</f>
        <v>159620.74</v>
      </c>
      <c r="CC131" s="1152">
        <f t="shared" si="54"/>
        <v>160601.35999999999</v>
      </c>
      <c r="CD131" s="1152">
        <f t="shared" si="54"/>
        <v>161581.97999999998</v>
      </c>
      <c r="CE131" s="1152">
        <f t="shared" si="54"/>
        <v>162562.6</v>
      </c>
      <c r="CF131" s="1152">
        <f t="shared" si="54"/>
        <v>163543.22</v>
      </c>
      <c r="CG131" s="1152">
        <f t="shared" si="54"/>
        <v>164523.84</v>
      </c>
      <c r="CH131" s="1152">
        <f t="shared" si="54"/>
        <v>165504.46000000002</v>
      </c>
      <c r="CI131" s="1152">
        <f t="shared" si="54"/>
        <v>166485.08000000002</v>
      </c>
      <c r="CJ131" s="1152">
        <f t="shared" si="54"/>
        <v>167465.70000000001</v>
      </c>
      <c r="CK131" s="1152">
        <f t="shared" si="54"/>
        <v>168446.32</v>
      </c>
      <c r="CL131" s="1152">
        <f t="shared" si="54"/>
        <v>169426.94</v>
      </c>
      <c r="CM131" s="1152">
        <f t="shared" si="54"/>
        <v>170407.56</v>
      </c>
      <c r="CN131" s="1152">
        <f t="shared" si="54"/>
        <v>171388.18</v>
      </c>
      <c r="CO131" s="1152">
        <f t="shared" si="54"/>
        <v>172368.8</v>
      </c>
      <c r="CP131" s="1152">
        <f t="shared" si="54"/>
        <v>173349.41999999998</v>
      </c>
      <c r="CQ131" s="1152">
        <f t="shared" si="54"/>
        <v>174330.03999999998</v>
      </c>
      <c r="CR131" s="1152">
        <f t="shared" si="54"/>
        <v>175310.66</v>
      </c>
      <c r="CS131" s="1152">
        <f t="shared" si="54"/>
        <v>176291.28</v>
      </c>
      <c r="CT131" s="1152">
        <f t="shared" si="54"/>
        <v>177271.9</v>
      </c>
      <c r="CU131" s="1152">
        <f t="shared" si="54"/>
        <v>178252.52000000002</v>
      </c>
      <c r="CV131" s="1152">
        <f t="shared" si="54"/>
        <v>179233.14</v>
      </c>
      <c r="CW131" s="1152">
        <f t="shared" si="54"/>
        <v>180213.76000000001</v>
      </c>
      <c r="CX131" s="1152">
        <f t="shared" si="54"/>
        <v>181194.38</v>
      </c>
      <c r="CY131" s="1152">
        <f t="shared" si="54"/>
        <v>182175</v>
      </c>
      <c r="CZ131" s="1152">
        <f t="shared" si="54"/>
        <v>183155.62</v>
      </c>
      <c r="DA131" s="1152">
        <f t="shared" si="54"/>
        <v>184136.24</v>
      </c>
      <c r="DB131" s="1152">
        <f t="shared" si="54"/>
        <v>185116.86</v>
      </c>
      <c r="DC131" s="1152">
        <f t="shared" si="54"/>
        <v>186097.47999999998</v>
      </c>
      <c r="DD131" s="1152">
        <f t="shared" si="54"/>
        <v>187078.1</v>
      </c>
      <c r="DE131" s="1152">
        <f t="shared" si="54"/>
        <v>188058.72</v>
      </c>
      <c r="DF131" s="1152">
        <f t="shared" si="54"/>
        <v>189039.34</v>
      </c>
      <c r="DG131" s="1152">
        <f t="shared" si="54"/>
        <v>190019.96000000002</v>
      </c>
      <c r="DH131" s="1152">
        <f t="shared" ref="DH131:EQ131" si="55">$U$201*DH133+$V$201</f>
        <v>191000.58000000002</v>
      </c>
      <c r="DI131" s="1152">
        <f t="shared" si="55"/>
        <v>191981.2</v>
      </c>
      <c r="DJ131" s="1152">
        <f t="shared" si="55"/>
        <v>192961.82</v>
      </c>
      <c r="DK131" s="1152">
        <f t="shared" si="55"/>
        <v>193942.44</v>
      </c>
      <c r="DL131" s="1152">
        <f t="shared" si="55"/>
        <v>194923.06</v>
      </c>
      <c r="DM131" s="1152">
        <f t="shared" si="55"/>
        <v>195903.68</v>
      </c>
      <c r="DN131" s="1152">
        <f t="shared" si="55"/>
        <v>196884.3</v>
      </c>
      <c r="DO131" s="1152">
        <f t="shared" si="55"/>
        <v>197864.91999999998</v>
      </c>
      <c r="DP131" s="1152">
        <f t="shared" si="55"/>
        <v>198845.53999999998</v>
      </c>
      <c r="DQ131" s="1152">
        <f t="shared" si="55"/>
        <v>199826.16</v>
      </c>
      <c r="DR131" s="1152">
        <f t="shared" si="55"/>
        <v>200806.78</v>
      </c>
      <c r="DS131" s="1152">
        <f t="shared" si="55"/>
        <v>201787.4</v>
      </c>
      <c r="DT131" s="1152">
        <f t="shared" si="55"/>
        <v>202768.02000000002</v>
      </c>
      <c r="DU131" s="1152">
        <f t="shared" si="55"/>
        <v>203748.64</v>
      </c>
      <c r="DV131" s="1152">
        <f t="shared" si="55"/>
        <v>204729.26</v>
      </c>
      <c r="DW131" s="1152">
        <f t="shared" si="55"/>
        <v>205709.88</v>
      </c>
      <c r="DX131" s="1152">
        <f t="shared" si="55"/>
        <v>206690.5</v>
      </c>
      <c r="DY131" s="1152">
        <f t="shared" si="55"/>
        <v>207671.12</v>
      </c>
      <c r="DZ131" s="1152">
        <f t="shared" si="55"/>
        <v>208651.74</v>
      </c>
      <c r="EA131" s="1152">
        <f t="shared" si="55"/>
        <v>209632.36</v>
      </c>
      <c r="EB131" s="1152">
        <f t="shared" si="55"/>
        <v>210612.97999999998</v>
      </c>
      <c r="EC131" s="1152">
        <f t="shared" si="55"/>
        <v>211593.60000000001</v>
      </c>
      <c r="ED131" s="1152">
        <f t="shared" si="55"/>
        <v>212574.22</v>
      </c>
      <c r="EE131" s="1152">
        <f t="shared" si="55"/>
        <v>213554.84</v>
      </c>
      <c r="EF131" s="1152">
        <f t="shared" si="55"/>
        <v>214535.46000000002</v>
      </c>
      <c r="EG131" s="1152">
        <f t="shared" si="55"/>
        <v>215516.08</v>
      </c>
      <c r="EH131" s="1152">
        <f t="shared" si="55"/>
        <v>216496.7</v>
      </c>
      <c r="EI131" s="1152">
        <f t="shared" si="55"/>
        <v>217477.32</v>
      </c>
      <c r="EJ131" s="1152">
        <f t="shared" si="55"/>
        <v>218457.94</v>
      </c>
      <c r="EK131" s="1152">
        <f t="shared" si="55"/>
        <v>219438.56</v>
      </c>
      <c r="EL131" s="1152">
        <f t="shared" si="55"/>
        <v>220419.18</v>
      </c>
      <c r="EM131" s="1152">
        <f t="shared" si="55"/>
        <v>221399.8</v>
      </c>
      <c r="EN131" s="1152">
        <f t="shared" si="55"/>
        <v>222380.42</v>
      </c>
      <c r="EO131" s="1152">
        <f t="shared" si="55"/>
        <v>223361.04</v>
      </c>
      <c r="EP131" s="1152">
        <f t="shared" si="55"/>
        <v>224341.66</v>
      </c>
      <c r="EQ131" s="1152">
        <f t="shared" si="55"/>
        <v>225322.28</v>
      </c>
      <c r="ER131" s="748"/>
      <c r="ES131" s="748"/>
      <c r="ET131" s="748"/>
      <c r="EU131" s="853"/>
      <c r="EV131" s="748"/>
      <c r="EW131" s="748"/>
      <c r="EX131" s="748"/>
      <c r="EY131" s="853"/>
      <c r="EZ131" s="748"/>
      <c r="FA131" s="748"/>
      <c r="FB131" s="748"/>
      <c r="FC131" s="853"/>
      <c r="FD131" s="748"/>
      <c r="FE131" s="748"/>
      <c r="FF131" s="748"/>
    </row>
    <row r="132" spans="1:162" ht="13.5" outlineLevel="1">
      <c r="B132" s="1134"/>
      <c r="D132" s="1153"/>
      <c r="E132" s="1153"/>
      <c r="F132" s="1153"/>
      <c r="G132" s="1153"/>
      <c r="H132" s="1153"/>
      <c r="I132" s="1153"/>
      <c r="J132" s="1153"/>
      <c r="K132" s="1153"/>
      <c r="L132" s="1153"/>
      <c r="M132" s="1153"/>
      <c r="N132" s="1153"/>
      <c r="O132" s="1153"/>
      <c r="P132" s="1153"/>
      <c r="Q132" s="1154"/>
      <c r="R132" s="1154"/>
      <c r="S132" s="1154"/>
      <c r="T132" s="1154"/>
      <c r="U132" s="1154"/>
      <c r="V132" s="1154"/>
      <c r="W132" s="1154"/>
      <c r="X132" s="1154"/>
      <c r="Y132" s="1154"/>
      <c r="Z132" s="1154"/>
      <c r="AA132" s="1154"/>
      <c r="AB132" s="1154"/>
      <c r="AC132" s="1154"/>
      <c r="AD132" s="1155"/>
      <c r="AE132" s="1156"/>
      <c r="AF132" s="1155"/>
      <c r="AG132" s="1155"/>
      <c r="AH132" s="1155"/>
      <c r="AI132" s="1156"/>
      <c r="AJ132" s="1155"/>
      <c r="AK132" s="1155"/>
      <c r="AL132" s="1155"/>
      <c r="AM132" s="1156"/>
      <c r="AN132" s="1155"/>
      <c r="AO132" s="1155"/>
      <c r="AP132" s="1155"/>
      <c r="AQ132" s="1156"/>
      <c r="AR132" s="1155"/>
      <c r="AS132" s="1155">
        <v>1</v>
      </c>
      <c r="AT132" s="1155">
        <v>2</v>
      </c>
      <c r="AU132" s="1155">
        <v>3</v>
      </c>
      <c r="AV132" s="1155">
        <v>4</v>
      </c>
      <c r="AW132" s="1155">
        <v>5</v>
      </c>
      <c r="AX132" s="1155">
        <v>6</v>
      </c>
      <c r="AY132" s="1155">
        <v>7</v>
      </c>
      <c r="AZ132" s="1155">
        <v>8</v>
      </c>
      <c r="BA132" s="1155">
        <v>9</v>
      </c>
      <c r="BB132" s="1155">
        <v>10</v>
      </c>
      <c r="BC132" s="1155">
        <v>11</v>
      </c>
      <c r="BD132" s="1155">
        <v>12</v>
      </c>
      <c r="BE132" s="1155">
        <v>1</v>
      </c>
      <c r="BF132" s="1155">
        <v>2</v>
      </c>
      <c r="BG132" s="1155">
        <v>3</v>
      </c>
      <c r="BH132" s="1155">
        <v>4</v>
      </c>
      <c r="BI132" s="1155">
        <v>5</v>
      </c>
      <c r="BJ132" s="1155">
        <v>6</v>
      </c>
      <c r="BK132" s="1155">
        <v>7</v>
      </c>
      <c r="BL132" s="1155">
        <v>8</v>
      </c>
      <c r="BM132" s="1155">
        <v>9</v>
      </c>
      <c r="BN132" s="1155">
        <v>10</v>
      </c>
      <c r="BO132" s="1155">
        <v>11</v>
      </c>
      <c r="BP132" s="1155">
        <v>12</v>
      </c>
      <c r="BQ132" s="1155">
        <v>1</v>
      </c>
      <c r="BR132" s="1155">
        <v>2</v>
      </c>
      <c r="BS132" s="1156">
        <v>3</v>
      </c>
      <c r="BT132" s="1155">
        <v>4</v>
      </c>
      <c r="BU132" s="1155">
        <v>5</v>
      </c>
      <c r="BV132" s="1156">
        <v>6</v>
      </c>
      <c r="BW132" s="1155">
        <v>7</v>
      </c>
      <c r="BX132" s="1155">
        <v>8</v>
      </c>
      <c r="BY132" s="1156">
        <v>9</v>
      </c>
      <c r="BZ132" s="1155">
        <v>10</v>
      </c>
      <c r="CA132" s="1155">
        <v>11</v>
      </c>
      <c r="CB132" s="1156">
        <v>12</v>
      </c>
      <c r="CC132" s="1155">
        <v>1</v>
      </c>
      <c r="CD132" s="1155">
        <v>2</v>
      </c>
      <c r="CE132" s="1155">
        <v>3</v>
      </c>
      <c r="CF132" s="1155">
        <v>4</v>
      </c>
      <c r="CG132" s="1155">
        <v>5</v>
      </c>
      <c r="CH132" s="1155">
        <v>6</v>
      </c>
      <c r="CI132" s="1155">
        <v>7</v>
      </c>
      <c r="CJ132" s="1155">
        <v>8</v>
      </c>
      <c r="CK132" s="1155">
        <v>9</v>
      </c>
      <c r="CL132" s="1155">
        <v>10</v>
      </c>
      <c r="CM132" s="1155">
        <v>11</v>
      </c>
      <c r="CN132" s="1155">
        <v>12</v>
      </c>
      <c r="CO132" s="1155">
        <v>1</v>
      </c>
      <c r="CP132" s="1155">
        <v>2</v>
      </c>
      <c r="CQ132" s="1155">
        <v>3</v>
      </c>
      <c r="CR132" s="1155">
        <v>4</v>
      </c>
      <c r="CS132" s="1155">
        <v>5</v>
      </c>
      <c r="CT132" s="1155">
        <v>6</v>
      </c>
      <c r="CU132" s="1155">
        <v>7</v>
      </c>
      <c r="CV132" s="1155">
        <v>8</v>
      </c>
      <c r="CW132" s="1155">
        <v>9</v>
      </c>
      <c r="CX132" s="1155">
        <v>10</v>
      </c>
      <c r="CY132" s="1155">
        <v>11</v>
      </c>
      <c r="CZ132" s="1155">
        <v>12</v>
      </c>
      <c r="DA132" s="1155">
        <v>1</v>
      </c>
      <c r="DB132" s="1155">
        <v>2</v>
      </c>
      <c r="DC132" s="1155">
        <v>3</v>
      </c>
      <c r="DD132" s="1155">
        <v>4</v>
      </c>
      <c r="DE132" s="1155">
        <v>5</v>
      </c>
      <c r="DF132" s="1155">
        <v>6</v>
      </c>
      <c r="DG132" s="1155">
        <v>7</v>
      </c>
      <c r="DH132" s="1155">
        <v>8</v>
      </c>
      <c r="DI132" s="1155">
        <v>9</v>
      </c>
      <c r="DJ132" s="1155">
        <v>10</v>
      </c>
      <c r="DK132" s="1155">
        <v>11</v>
      </c>
      <c r="DL132" s="1155">
        <v>12</v>
      </c>
      <c r="DM132" s="1155">
        <v>1</v>
      </c>
      <c r="DN132" s="1155">
        <v>2</v>
      </c>
      <c r="DO132" s="1155">
        <v>3</v>
      </c>
      <c r="DP132" s="1155">
        <v>4</v>
      </c>
      <c r="DQ132" s="1155">
        <v>5</v>
      </c>
      <c r="DR132" s="1155">
        <v>6</v>
      </c>
      <c r="DS132" s="1155">
        <v>7</v>
      </c>
      <c r="DT132" s="1155">
        <v>8</v>
      </c>
      <c r="DU132" s="1155">
        <v>9</v>
      </c>
      <c r="DV132" s="1155">
        <v>10</v>
      </c>
      <c r="DW132" s="1155">
        <v>11</v>
      </c>
      <c r="DX132" s="1155">
        <v>12</v>
      </c>
      <c r="DY132" s="1155">
        <v>1</v>
      </c>
      <c r="DZ132" s="1155">
        <v>2</v>
      </c>
      <c r="EA132" s="1155">
        <v>3</v>
      </c>
      <c r="EB132" s="1155">
        <v>4</v>
      </c>
      <c r="EC132" s="1155">
        <v>5</v>
      </c>
      <c r="ED132" s="1155">
        <v>6</v>
      </c>
      <c r="EE132" s="1155">
        <v>7</v>
      </c>
      <c r="EF132" s="1155">
        <v>8</v>
      </c>
      <c r="EG132" s="1155">
        <v>9</v>
      </c>
      <c r="EH132" s="1155">
        <v>10</v>
      </c>
      <c r="EI132" s="1155">
        <v>11</v>
      </c>
      <c r="EJ132" s="1155">
        <v>12</v>
      </c>
      <c r="EK132" s="1155">
        <v>1</v>
      </c>
      <c r="EL132" s="1155">
        <v>2</v>
      </c>
      <c r="EM132" s="1155">
        <v>3</v>
      </c>
      <c r="EN132" s="1155">
        <v>4</v>
      </c>
      <c r="EO132" s="1155">
        <v>5</v>
      </c>
      <c r="EP132" s="1155">
        <v>6</v>
      </c>
      <c r="EQ132" s="1155">
        <v>7</v>
      </c>
      <c r="ER132" s="748"/>
      <c r="ES132" s="748"/>
      <c r="ET132" s="748"/>
      <c r="EU132" s="853"/>
      <c r="EV132" s="748"/>
      <c r="EW132" s="748"/>
      <c r="EX132" s="748"/>
      <c r="EY132" s="853"/>
      <c r="EZ132" s="748"/>
      <c r="FA132" s="748"/>
      <c r="FB132" s="748"/>
      <c r="FC132" s="853"/>
      <c r="FD132" s="748"/>
      <c r="FE132" s="748"/>
      <c r="FF132" s="748"/>
    </row>
    <row r="133" spans="1:162" ht="15.75" outlineLevel="1">
      <c r="B133" s="793"/>
      <c r="C133" s="855"/>
      <c r="D133" s="1157">
        <v>1</v>
      </c>
      <c r="E133" s="1157">
        <v>2</v>
      </c>
      <c r="F133" s="1157">
        <v>3</v>
      </c>
      <c r="G133" s="1157">
        <v>4</v>
      </c>
      <c r="H133" s="1157">
        <v>5</v>
      </c>
      <c r="I133" s="1157">
        <v>6</v>
      </c>
      <c r="J133" s="1157">
        <v>7</v>
      </c>
      <c r="K133" s="1157">
        <v>8</v>
      </c>
      <c r="L133" s="1157">
        <v>9</v>
      </c>
      <c r="M133" s="1157">
        <v>10</v>
      </c>
      <c r="N133" s="1157">
        <v>11</v>
      </c>
      <c r="O133" s="1157">
        <v>12</v>
      </c>
      <c r="P133" s="1157">
        <v>13</v>
      </c>
      <c r="Q133" s="1157">
        <v>14</v>
      </c>
      <c r="R133" s="1157">
        <v>15</v>
      </c>
      <c r="S133" s="1157">
        <v>16</v>
      </c>
      <c r="T133" s="1157">
        <v>17</v>
      </c>
      <c r="U133" s="1157">
        <v>18</v>
      </c>
      <c r="V133" s="1157">
        <v>19</v>
      </c>
      <c r="W133" s="1157">
        <v>20</v>
      </c>
      <c r="X133" s="1157">
        <v>21</v>
      </c>
      <c r="Y133" s="1157">
        <v>22</v>
      </c>
      <c r="Z133" s="1157">
        <v>23</v>
      </c>
      <c r="AA133" s="1157">
        <v>24</v>
      </c>
      <c r="AB133" s="1157">
        <v>25</v>
      </c>
      <c r="AC133" s="1157">
        <v>26</v>
      </c>
      <c r="AD133" s="1157">
        <v>27</v>
      </c>
      <c r="AE133" s="1157">
        <v>28</v>
      </c>
      <c r="AF133" s="1157">
        <v>29</v>
      </c>
      <c r="AG133" s="1157">
        <v>30</v>
      </c>
      <c r="AH133" s="1157">
        <v>31</v>
      </c>
      <c r="AI133" s="1157">
        <v>32</v>
      </c>
      <c r="AJ133" s="1157">
        <v>33</v>
      </c>
      <c r="AK133" s="1157">
        <v>34</v>
      </c>
      <c r="AL133" s="1157">
        <v>35</v>
      </c>
      <c r="AM133" s="1157">
        <v>36</v>
      </c>
      <c r="AN133" s="1157">
        <v>37</v>
      </c>
      <c r="AO133" s="1157">
        <v>38</v>
      </c>
      <c r="AP133" s="1157">
        <v>39</v>
      </c>
      <c r="AQ133" s="1157">
        <v>40</v>
      </c>
      <c r="AR133" s="1157">
        <v>41</v>
      </c>
      <c r="AS133" s="1157">
        <v>42</v>
      </c>
      <c r="AT133" s="1157">
        <v>43</v>
      </c>
      <c r="AU133" s="1157">
        <v>44</v>
      </c>
      <c r="AV133" s="1157">
        <v>45</v>
      </c>
      <c r="AW133" s="1157">
        <v>46</v>
      </c>
      <c r="AX133" s="1157">
        <v>47</v>
      </c>
      <c r="AY133" s="1157">
        <v>48</v>
      </c>
      <c r="AZ133" s="1157">
        <v>49</v>
      </c>
      <c r="BA133" s="1157">
        <v>50</v>
      </c>
      <c r="BB133" s="1157">
        <v>51</v>
      </c>
      <c r="BC133" s="1157">
        <v>52</v>
      </c>
      <c r="BD133" s="1157">
        <v>53</v>
      </c>
      <c r="BE133" s="1157">
        <v>54</v>
      </c>
      <c r="BF133" s="1157">
        <v>55</v>
      </c>
      <c r="BG133" s="1157">
        <v>56</v>
      </c>
      <c r="BH133" s="1157">
        <v>57</v>
      </c>
      <c r="BI133" s="1157">
        <v>58</v>
      </c>
      <c r="BJ133" s="1157">
        <v>59</v>
      </c>
      <c r="BK133" s="1157">
        <v>60</v>
      </c>
      <c r="BL133" s="1157">
        <v>61</v>
      </c>
      <c r="BM133" s="1157">
        <v>62</v>
      </c>
      <c r="BN133" s="1157">
        <v>63</v>
      </c>
      <c r="BO133" s="1157">
        <v>64</v>
      </c>
      <c r="BP133" s="1157">
        <v>65</v>
      </c>
      <c r="BQ133" s="1157">
        <v>66</v>
      </c>
      <c r="BR133" s="1157">
        <v>67</v>
      </c>
      <c r="BS133" s="1157">
        <v>68</v>
      </c>
      <c r="BT133" s="1157">
        <v>69</v>
      </c>
      <c r="BU133" s="1157">
        <v>70</v>
      </c>
      <c r="BV133" s="1157">
        <v>71</v>
      </c>
      <c r="BW133" s="1157">
        <v>72</v>
      </c>
      <c r="BX133" s="1157">
        <v>73</v>
      </c>
      <c r="BY133" s="1157">
        <v>74</v>
      </c>
      <c r="BZ133" s="1157">
        <v>75</v>
      </c>
      <c r="CA133" s="1157">
        <v>76</v>
      </c>
      <c r="CB133" s="1157">
        <v>77</v>
      </c>
      <c r="CC133" s="1157">
        <v>78</v>
      </c>
      <c r="CD133" s="1157">
        <v>79</v>
      </c>
      <c r="CE133" s="1157">
        <v>80</v>
      </c>
      <c r="CF133" s="1157">
        <v>81</v>
      </c>
      <c r="CG133" s="1157">
        <v>82</v>
      </c>
      <c r="CH133" s="1157">
        <v>83</v>
      </c>
      <c r="CI133" s="1157">
        <v>84</v>
      </c>
      <c r="CJ133" s="1157">
        <v>85</v>
      </c>
      <c r="CK133" s="1157">
        <v>86</v>
      </c>
      <c r="CL133" s="1157">
        <v>87</v>
      </c>
      <c r="CM133" s="1157">
        <v>88</v>
      </c>
      <c r="CN133" s="1157">
        <v>89</v>
      </c>
      <c r="CO133" s="1157">
        <v>90</v>
      </c>
      <c r="CP133" s="1157">
        <v>91</v>
      </c>
      <c r="CQ133" s="1157">
        <v>92</v>
      </c>
      <c r="CR133" s="1157">
        <v>93</v>
      </c>
      <c r="CS133" s="1157">
        <v>94</v>
      </c>
      <c r="CT133" s="1157">
        <v>95</v>
      </c>
      <c r="CU133" s="1157">
        <v>96</v>
      </c>
      <c r="CV133" s="1157">
        <v>97</v>
      </c>
      <c r="CW133" s="1157">
        <v>98</v>
      </c>
      <c r="CX133" s="1157">
        <v>99</v>
      </c>
      <c r="CY133" s="1157">
        <v>100</v>
      </c>
      <c r="CZ133" s="1157">
        <v>101</v>
      </c>
      <c r="DA133" s="1157">
        <v>102</v>
      </c>
      <c r="DB133" s="1157">
        <v>103</v>
      </c>
      <c r="DC133" s="1157">
        <v>104</v>
      </c>
      <c r="DD133" s="1157">
        <v>105</v>
      </c>
      <c r="DE133" s="1157">
        <v>106</v>
      </c>
      <c r="DF133" s="1157">
        <v>107</v>
      </c>
      <c r="DG133" s="1157">
        <v>108</v>
      </c>
      <c r="DH133" s="1157">
        <v>109</v>
      </c>
      <c r="DI133" s="1157">
        <v>110</v>
      </c>
      <c r="DJ133" s="1157">
        <v>111</v>
      </c>
      <c r="DK133" s="1157">
        <v>112</v>
      </c>
      <c r="DL133" s="1157">
        <v>113</v>
      </c>
      <c r="DM133" s="1157">
        <v>114</v>
      </c>
      <c r="DN133" s="1157">
        <v>115</v>
      </c>
      <c r="DO133" s="1157">
        <v>116</v>
      </c>
      <c r="DP133" s="1157">
        <v>117</v>
      </c>
      <c r="DQ133" s="1157">
        <v>118</v>
      </c>
      <c r="DR133" s="1157">
        <v>119</v>
      </c>
      <c r="DS133" s="1157">
        <v>120</v>
      </c>
      <c r="DT133" s="1157">
        <v>121</v>
      </c>
      <c r="DU133" s="1157">
        <v>122</v>
      </c>
      <c r="DV133" s="1157">
        <v>123</v>
      </c>
      <c r="DW133" s="1157">
        <v>124</v>
      </c>
      <c r="DX133" s="1157">
        <v>125</v>
      </c>
      <c r="DY133" s="1157">
        <v>126</v>
      </c>
      <c r="DZ133" s="1157">
        <v>127</v>
      </c>
      <c r="EA133" s="1157">
        <v>128</v>
      </c>
      <c r="EB133" s="1157">
        <v>129</v>
      </c>
      <c r="EC133" s="1157">
        <v>130</v>
      </c>
      <c r="ED133" s="1157">
        <v>131</v>
      </c>
      <c r="EE133" s="1157">
        <v>132</v>
      </c>
      <c r="EF133" s="1157">
        <v>133</v>
      </c>
      <c r="EG133" s="1157">
        <v>134</v>
      </c>
      <c r="EH133" s="1157">
        <v>135</v>
      </c>
      <c r="EI133" s="1157">
        <v>136</v>
      </c>
      <c r="EJ133" s="1157">
        <v>137</v>
      </c>
      <c r="EK133" s="1157">
        <v>138</v>
      </c>
      <c r="EL133" s="1157">
        <v>139</v>
      </c>
      <c r="EM133" s="1157">
        <v>140</v>
      </c>
      <c r="EN133" s="1157">
        <v>141</v>
      </c>
      <c r="EO133" s="1157">
        <v>142</v>
      </c>
      <c r="EP133" s="1157">
        <v>143</v>
      </c>
      <c r="EQ133" s="1157">
        <v>144</v>
      </c>
    </row>
    <row r="134" spans="1:162" outlineLevel="1">
      <c r="B134" s="1026" t="s">
        <v>850</v>
      </c>
      <c r="C134" s="1027" t="s">
        <v>821</v>
      </c>
      <c r="D134" s="1027" t="s">
        <v>851</v>
      </c>
      <c r="E134" s="1027" t="s">
        <v>852</v>
      </c>
      <c r="F134" s="1027" t="s">
        <v>853</v>
      </c>
      <c r="G134" s="1027" t="s">
        <v>854</v>
      </c>
      <c r="H134" s="1027" t="s">
        <v>855</v>
      </c>
      <c r="I134" s="1027" t="s">
        <v>856</v>
      </c>
      <c r="J134" s="1027" t="s">
        <v>857</v>
      </c>
      <c r="K134" s="1027" t="s">
        <v>858</v>
      </c>
      <c r="L134" s="1027" t="s">
        <v>859</v>
      </c>
      <c r="M134" s="1027" t="s">
        <v>860</v>
      </c>
      <c r="N134" s="1027" t="s">
        <v>861</v>
      </c>
      <c r="O134" s="1027" t="s">
        <v>862</v>
      </c>
      <c r="P134" s="1027" t="s">
        <v>863</v>
      </c>
      <c r="Q134" s="1027" t="s">
        <v>864</v>
      </c>
      <c r="R134" s="1027" t="s">
        <v>865</v>
      </c>
      <c r="S134" s="1027" t="s">
        <v>866</v>
      </c>
      <c r="T134" s="1027" t="s">
        <v>867</v>
      </c>
      <c r="U134" s="1027" t="s">
        <v>868</v>
      </c>
      <c r="V134" s="1027" t="s">
        <v>869</v>
      </c>
      <c r="W134" s="1027" t="s">
        <v>870</v>
      </c>
      <c r="X134" s="1027" t="s">
        <v>871</v>
      </c>
      <c r="Y134" s="1027" t="s">
        <v>872</v>
      </c>
      <c r="Z134" s="1027" t="s">
        <v>873</v>
      </c>
      <c r="AA134" s="1027" t="s">
        <v>874</v>
      </c>
      <c r="AB134" s="1027" t="s">
        <v>875</v>
      </c>
      <c r="AC134" s="1027" t="s">
        <v>876</v>
      </c>
      <c r="AD134" s="1027" t="s">
        <v>877</v>
      </c>
      <c r="AE134" s="1027" t="s">
        <v>878</v>
      </c>
      <c r="AF134" s="1027" t="s">
        <v>879</v>
      </c>
      <c r="AG134" s="1027" t="s">
        <v>880</v>
      </c>
      <c r="AH134" s="1027" t="s">
        <v>881</v>
      </c>
      <c r="AI134" s="1027" t="s">
        <v>882</v>
      </c>
      <c r="AJ134" s="1027" t="s">
        <v>883</v>
      </c>
      <c r="AK134" s="1027" t="s">
        <v>884</v>
      </c>
      <c r="AL134" s="1027" t="s">
        <v>885</v>
      </c>
      <c r="AM134" s="1027" t="s">
        <v>886</v>
      </c>
      <c r="AN134" s="1027" t="s">
        <v>887</v>
      </c>
      <c r="AO134" s="1027" t="s">
        <v>888</v>
      </c>
      <c r="AP134" s="1027" t="s">
        <v>889</v>
      </c>
      <c r="AQ134" s="1027" t="s">
        <v>890</v>
      </c>
      <c r="AR134" s="1097" t="s">
        <v>891</v>
      </c>
      <c r="AS134" s="1123" t="s">
        <v>892</v>
      </c>
      <c r="AT134" s="1027" t="s">
        <v>893</v>
      </c>
      <c r="AU134" s="1027" t="s">
        <v>894</v>
      </c>
      <c r="AV134" s="1027" t="s">
        <v>895</v>
      </c>
      <c r="AW134" s="1027" t="s">
        <v>896</v>
      </c>
      <c r="AX134" s="1027" t="s">
        <v>897</v>
      </c>
      <c r="AY134" s="1027" t="s">
        <v>898</v>
      </c>
      <c r="AZ134" s="1027" t="s">
        <v>899</v>
      </c>
      <c r="BA134" s="1027" t="s">
        <v>900</v>
      </c>
      <c r="BB134" s="1027" t="s">
        <v>901</v>
      </c>
      <c r="BC134" s="1027" t="s">
        <v>902</v>
      </c>
      <c r="BD134" s="1027" t="s">
        <v>903</v>
      </c>
      <c r="BE134" s="1027" t="s">
        <v>904</v>
      </c>
      <c r="BF134" s="1027" t="s">
        <v>905</v>
      </c>
      <c r="BG134" s="1097" t="s">
        <v>906</v>
      </c>
      <c r="BH134" s="1045" t="s">
        <v>907</v>
      </c>
      <c r="BI134" s="1027" t="s">
        <v>908</v>
      </c>
      <c r="BJ134" s="1027" t="s">
        <v>909</v>
      </c>
      <c r="BK134" s="1027" t="s">
        <v>910</v>
      </c>
      <c r="BL134" s="1027" t="s">
        <v>911</v>
      </c>
      <c r="BM134" s="1027" t="s">
        <v>912</v>
      </c>
      <c r="BN134" s="1027" t="s">
        <v>913</v>
      </c>
      <c r="BO134" s="1027" t="s">
        <v>914</v>
      </c>
      <c r="BP134" s="1027" t="s">
        <v>915</v>
      </c>
      <c r="BQ134" s="1027" t="s">
        <v>916</v>
      </c>
      <c r="BR134" s="1027" t="s">
        <v>917</v>
      </c>
      <c r="BS134" s="1027" t="s">
        <v>918</v>
      </c>
      <c r="BT134" s="1027" t="s">
        <v>919</v>
      </c>
      <c r="BU134" s="1027" t="s">
        <v>920</v>
      </c>
      <c r="BV134" s="1027" t="s">
        <v>921</v>
      </c>
      <c r="BW134" s="1027" t="s">
        <v>922</v>
      </c>
      <c r="BX134" s="1027" t="s">
        <v>923</v>
      </c>
      <c r="BY134" s="1027" t="s">
        <v>924</v>
      </c>
      <c r="BZ134" s="1027" t="s">
        <v>925</v>
      </c>
      <c r="CA134" s="1027" t="s">
        <v>926</v>
      </c>
      <c r="CB134" s="1027" t="s">
        <v>927</v>
      </c>
      <c r="CC134" s="1027" t="s">
        <v>928</v>
      </c>
      <c r="CD134" s="1027" t="s">
        <v>929</v>
      </c>
      <c r="CE134" s="1027" t="s">
        <v>930</v>
      </c>
      <c r="CF134" s="1027" t="s">
        <v>931</v>
      </c>
      <c r="CG134" s="1027" t="s">
        <v>932</v>
      </c>
      <c r="CH134" s="1027" t="s">
        <v>933</v>
      </c>
      <c r="CI134" s="1027" t="s">
        <v>934</v>
      </c>
      <c r="CJ134" s="1027" t="s">
        <v>935</v>
      </c>
      <c r="CK134" s="1027" t="s">
        <v>936</v>
      </c>
      <c r="CL134" s="1027" t="s">
        <v>937</v>
      </c>
      <c r="CM134" s="1027" t="s">
        <v>938</v>
      </c>
      <c r="CN134" s="1027" t="s">
        <v>939</v>
      </c>
      <c r="CO134" s="1027" t="s">
        <v>940</v>
      </c>
      <c r="CP134" s="1027" t="s">
        <v>941</v>
      </c>
      <c r="CQ134" s="1027" t="s">
        <v>942</v>
      </c>
      <c r="CR134" s="1027" t="s">
        <v>943</v>
      </c>
      <c r="CS134" s="1027" t="s">
        <v>944</v>
      </c>
      <c r="CT134" s="1027" t="s">
        <v>945</v>
      </c>
      <c r="CU134" s="1027" t="s">
        <v>946</v>
      </c>
      <c r="CV134" s="1027" t="s">
        <v>947</v>
      </c>
      <c r="CW134" s="1027" t="s">
        <v>948</v>
      </c>
      <c r="CX134" s="1027" t="s">
        <v>949</v>
      </c>
      <c r="CY134" s="1027" t="s">
        <v>950</v>
      </c>
      <c r="CZ134" s="1027" t="s">
        <v>951</v>
      </c>
      <c r="DA134" s="1027" t="s">
        <v>952</v>
      </c>
      <c r="DB134" s="1027" t="s">
        <v>953</v>
      </c>
      <c r="DC134" s="1027" t="s">
        <v>954</v>
      </c>
      <c r="DD134" s="1027" t="s">
        <v>955</v>
      </c>
      <c r="DE134" s="1027" t="s">
        <v>956</v>
      </c>
      <c r="DF134" s="1027" t="s">
        <v>957</v>
      </c>
      <c r="DG134" s="1027" t="s">
        <v>958</v>
      </c>
      <c r="DH134" s="1027" t="s">
        <v>959</v>
      </c>
      <c r="DI134" s="1027" t="s">
        <v>960</v>
      </c>
      <c r="DJ134" s="1027" t="s">
        <v>961</v>
      </c>
      <c r="DK134" s="1027" t="s">
        <v>962</v>
      </c>
      <c r="DL134" s="1027" t="s">
        <v>963</v>
      </c>
      <c r="DM134" s="1027" t="s">
        <v>964</v>
      </c>
      <c r="DN134" s="1027" t="s">
        <v>965</v>
      </c>
      <c r="DO134" s="1027" t="s">
        <v>966</v>
      </c>
      <c r="DP134" s="1027" t="s">
        <v>967</v>
      </c>
      <c r="DQ134" s="1027" t="s">
        <v>968</v>
      </c>
      <c r="DR134" s="1027" t="s">
        <v>969</v>
      </c>
      <c r="DS134" s="1027" t="s">
        <v>970</v>
      </c>
      <c r="DT134" s="1027" t="s">
        <v>971</v>
      </c>
      <c r="DU134" s="1027" t="s">
        <v>972</v>
      </c>
      <c r="DV134" s="1027" t="s">
        <v>973</v>
      </c>
      <c r="DW134" s="1027" t="s">
        <v>974</v>
      </c>
      <c r="DX134" s="1027" t="s">
        <v>975</v>
      </c>
      <c r="DY134" s="1027" t="s">
        <v>976</v>
      </c>
      <c r="DZ134" s="1027" t="s">
        <v>977</v>
      </c>
      <c r="EA134" s="1027" t="s">
        <v>978</v>
      </c>
      <c r="EB134" s="1027" t="s">
        <v>979</v>
      </c>
      <c r="EC134" s="1027" t="s">
        <v>980</v>
      </c>
      <c r="ED134" s="1027" t="s">
        <v>981</v>
      </c>
      <c r="EE134" s="1027" t="s">
        <v>982</v>
      </c>
      <c r="EF134" s="1027" t="s">
        <v>983</v>
      </c>
      <c r="EG134" s="1027" t="s">
        <v>984</v>
      </c>
      <c r="EH134" s="1027" t="s">
        <v>985</v>
      </c>
      <c r="EI134" s="1027" t="s">
        <v>986</v>
      </c>
      <c r="EJ134" s="1027" t="s">
        <v>987</v>
      </c>
      <c r="EK134" s="1027" t="s">
        <v>988</v>
      </c>
      <c r="EL134" s="1027" t="s">
        <v>989</v>
      </c>
      <c r="EM134" s="1027" t="s">
        <v>990</v>
      </c>
      <c r="EN134" s="1027" t="s">
        <v>991</v>
      </c>
      <c r="EO134" s="1027" t="s">
        <v>992</v>
      </c>
      <c r="EP134" s="1027" t="s">
        <v>993</v>
      </c>
      <c r="EQ134" s="1027" t="s">
        <v>994</v>
      </c>
    </row>
    <row r="135" spans="1:162" ht="13.5" outlineLevel="1">
      <c r="B135" s="1093" t="s">
        <v>203</v>
      </c>
      <c r="C135" s="1029" t="s">
        <v>995</v>
      </c>
      <c r="D135" s="1039">
        <f>39100-E135</f>
        <v>18600</v>
      </c>
      <c r="E135" s="1039">
        <v>20500</v>
      </c>
      <c r="F135" s="1039">
        <v>23500</v>
      </c>
      <c r="G135" s="1039">
        <v>22200</v>
      </c>
      <c r="H135" s="1039">
        <v>24400</v>
      </c>
      <c r="I135" s="1039">
        <v>26800</v>
      </c>
      <c r="J135" s="1039">
        <v>24200</v>
      </c>
      <c r="K135" s="1039">
        <v>15900</v>
      </c>
      <c r="L135" s="1039">
        <v>18500</v>
      </c>
      <c r="M135" s="1039">
        <v>19800</v>
      </c>
      <c r="N135" s="1039">
        <v>18800</v>
      </c>
      <c r="O135" s="1039">
        <v>14400</v>
      </c>
      <c r="P135" s="1039">
        <v>17000</v>
      </c>
      <c r="Q135" s="1039">
        <v>21200</v>
      </c>
      <c r="R135" s="1039">
        <v>23300</v>
      </c>
      <c r="S135" s="1039">
        <v>22700</v>
      </c>
      <c r="T135" s="1039">
        <v>24200</v>
      </c>
      <c r="U135" s="1039">
        <v>25900</v>
      </c>
      <c r="V135" s="1039">
        <v>28400</v>
      </c>
      <c r="W135" s="1039">
        <v>26800</v>
      </c>
      <c r="X135" s="1039">
        <v>28900</v>
      </c>
      <c r="Y135" s="1039">
        <v>30000</v>
      </c>
      <c r="Z135" s="1039">
        <v>31700</v>
      </c>
      <c r="AA135" s="1039">
        <v>26600</v>
      </c>
      <c r="AB135" s="1039">
        <v>22200</v>
      </c>
      <c r="AC135" s="1039">
        <v>9300</v>
      </c>
      <c r="AD135" s="1039">
        <v>20700</v>
      </c>
      <c r="AE135" s="1039">
        <v>21100</v>
      </c>
      <c r="AF135" s="1039">
        <v>23000</v>
      </c>
      <c r="AG135" s="1039">
        <v>22600</v>
      </c>
      <c r="AH135" s="1039">
        <v>17200</v>
      </c>
      <c r="AI135" s="1039">
        <v>23500</v>
      </c>
      <c r="AJ135" s="1039">
        <v>20700</v>
      </c>
      <c r="AK135" s="1039">
        <v>24400</v>
      </c>
      <c r="AL135" s="1039">
        <v>24400</v>
      </c>
      <c r="AM135" s="1039">
        <v>26100</v>
      </c>
      <c r="AN135" s="1039">
        <v>26000</v>
      </c>
      <c r="AO135" s="1039">
        <v>27500</v>
      </c>
      <c r="AP135" s="1039">
        <v>27500</v>
      </c>
      <c r="AQ135" s="1039">
        <v>28100</v>
      </c>
      <c r="AR135" s="1098">
        <v>29500</v>
      </c>
      <c r="AS135" s="1101"/>
      <c r="AT135" s="1102"/>
      <c r="AU135" s="1102"/>
      <c r="AV135" s="1102"/>
      <c r="AW135" s="1102"/>
      <c r="AX135" s="1102"/>
      <c r="AY135" s="1101"/>
      <c r="AZ135" s="1102"/>
      <c r="BA135" s="1102"/>
      <c r="BB135" s="1102"/>
      <c r="BC135" s="1102"/>
      <c r="BD135" s="1102"/>
      <c r="BE135" s="1102"/>
      <c r="BF135" s="1102"/>
      <c r="BG135" s="1107"/>
      <c r="BH135" s="1101"/>
      <c r="BI135" s="1102"/>
      <c r="BJ135" s="1102"/>
      <c r="BK135" s="1102"/>
      <c r="BL135" s="1102"/>
      <c r="BM135" s="1102"/>
      <c r="BN135" s="1102"/>
      <c r="BO135" s="1102"/>
      <c r="BP135" s="1102"/>
      <c r="BQ135" s="1102"/>
      <c r="BR135" s="1102"/>
      <c r="BS135" s="1102"/>
      <c r="BT135" s="1102"/>
      <c r="BU135" s="1102"/>
      <c r="BV135" s="1102"/>
      <c r="BW135" s="1102"/>
      <c r="BX135" s="1102"/>
      <c r="BY135" s="1102"/>
      <c r="BZ135" s="1102"/>
      <c r="CA135" s="1102"/>
      <c r="CB135" s="1102"/>
      <c r="CC135" s="1102"/>
      <c r="CD135" s="1102"/>
      <c r="CE135" s="1102"/>
      <c r="CF135" s="1102"/>
      <c r="CG135" s="1102"/>
      <c r="CH135" s="1102"/>
      <c r="CI135" s="1102"/>
      <c r="CJ135" s="1102"/>
      <c r="CK135" s="1102"/>
      <c r="CL135" s="1102"/>
      <c r="CM135" s="1102"/>
      <c r="CN135" s="1102"/>
      <c r="CO135" s="1102"/>
      <c r="CP135" s="1102"/>
      <c r="CQ135" s="1102"/>
      <c r="CR135" s="1102"/>
      <c r="CS135" s="1102"/>
      <c r="CT135" s="1102"/>
      <c r="CU135" s="1102"/>
      <c r="CV135" s="1102"/>
      <c r="CW135" s="1102"/>
      <c r="CX135" s="1102"/>
      <c r="CY135" s="1102"/>
      <c r="CZ135" s="1102"/>
      <c r="DA135" s="1102"/>
      <c r="DB135" s="1102"/>
      <c r="DC135" s="1102"/>
      <c r="DD135" s="1102"/>
      <c r="DE135" s="1102"/>
      <c r="DF135" s="1102"/>
      <c r="DG135" s="1102"/>
      <c r="DH135" s="1102"/>
      <c r="DI135" s="1102"/>
      <c r="DJ135" s="1102"/>
      <c r="DK135" s="1102"/>
      <c r="DL135" s="1102"/>
      <c r="DM135" s="1102"/>
      <c r="DN135" s="1102"/>
      <c r="DO135" s="1102"/>
      <c r="DP135" s="1102"/>
      <c r="DQ135" s="1102"/>
      <c r="DR135" s="1102"/>
      <c r="DS135" s="1102"/>
      <c r="DT135" s="1102"/>
      <c r="DU135" s="1102"/>
      <c r="DV135" s="1102"/>
      <c r="DW135" s="1102"/>
      <c r="DX135" s="1102"/>
      <c r="DY135" s="1102"/>
      <c r="DZ135" s="1102"/>
      <c r="EA135" s="1102"/>
      <c r="EB135" s="1102"/>
      <c r="EC135" s="1102"/>
      <c r="ED135" s="1102"/>
      <c r="EE135" s="1102"/>
      <c r="EF135" s="1102"/>
      <c r="EG135" s="1102"/>
      <c r="EH135" s="1102"/>
      <c r="EI135" s="1102"/>
      <c r="EJ135" s="1102"/>
      <c r="EK135" s="1102"/>
      <c r="EL135" s="1102"/>
      <c r="EM135" s="1102"/>
      <c r="EN135" s="1102"/>
      <c r="EO135" s="1102"/>
      <c r="EP135" s="1102"/>
      <c r="EQ135" s="1102"/>
    </row>
    <row r="136" spans="1:162" ht="13.5" outlineLevel="1">
      <c r="A136" s="748"/>
      <c r="B136" s="1094" t="s">
        <v>204</v>
      </c>
      <c r="C136" s="1031" t="s">
        <v>995</v>
      </c>
      <c r="D136" s="1039">
        <f>18200-E136</f>
        <v>9300</v>
      </c>
      <c r="E136" s="1039">
        <v>8900</v>
      </c>
      <c r="F136" s="1039">
        <v>9200</v>
      </c>
      <c r="G136" s="1039">
        <v>12100</v>
      </c>
      <c r="H136" s="1039">
        <v>10100</v>
      </c>
      <c r="I136" s="1039">
        <v>11200</v>
      </c>
      <c r="J136" s="1039">
        <v>11100</v>
      </c>
      <c r="K136" s="1039">
        <v>15000</v>
      </c>
      <c r="L136" s="1039">
        <v>13500</v>
      </c>
      <c r="M136" s="1039">
        <v>13100</v>
      </c>
      <c r="N136" s="1039">
        <v>11600</v>
      </c>
      <c r="O136" s="1039">
        <v>14800</v>
      </c>
      <c r="P136" s="1039">
        <v>14300</v>
      </c>
      <c r="Q136" s="1039">
        <v>13800</v>
      </c>
      <c r="R136" s="1039">
        <v>12400</v>
      </c>
      <c r="S136" s="1039">
        <v>16600</v>
      </c>
      <c r="T136" s="1039">
        <v>15700</v>
      </c>
      <c r="U136" s="1039">
        <v>15800</v>
      </c>
      <c r="V136" s="1039">
        <v>14300</v>
      </c>
      <c r="W136" s="1039">
        <v>18000</v>
      </c>
      <c r="X136" s="1039">
        <v>16900</v>
      </c>
      <c r="Y136" s="1039">
        <v>15700</v>
      </c>
      <c r="Z136" s="1039">
        <v>12700</v>
      </c>
      <c r="AA136" s="1039">
        <v>14600</v>
      </c>
      <c r="AB136" s="1039">
        <v>11600</v>
      </c>
      <c r="AC136" s="1039">
        <v>6400</v>
      </c>
      <c r="AD136" s="1039">
        <v>10500</v>
      </c>
      <c r="AE136" s="1039">
        <v>14400</v>
      </c>
      <c r="AF136" s="1039">
        <v>13700</v>
      </c>
      <c r="AG136" s="1039">
        <v>11800</v>
      </c>
      <c r="AH136" s="1039">
        <v>9700</v>
      </c>
      <c r="AI136" s="1039">
        <v>18000</v>
      </c>
      <c r="AJ136" s="1039">
        <v>16100</v>
      </c>
      <c r="AK136" s="1039">
        <v>15400</v>
      </c>
      <c r="AL136" s="1039">
        <v>13300</v>
      </c>
      <c r="AM136" s="1039">
        <v>14900</v>
      </c>
      <c r="AN136" s="1039">
        <v>17400</v>
      </c>
      <c r="AO136" s="1039">
        <v>16400</v>
      </c>
      <c r="AP136" s="1039">
        <v>14500</v>
      </c>
      <c r="AQ136" s="1039">
        <v>14900</v>
      </c>
      <c r="AR136" s="1098">
        <v>11600</v>
      </c>
      <c r="AS136" s="1101"/>
      <c r="AT136" s="1102"/>
      <c r="AU136" s="1102"/>
      <c r="AV136" s="1102"/>
      <c r="AW136" s="1102"/>
      <c r="AX136" s="1102"/>
      <c r="AY136" s="1101"/>
      <c r="AZ136" s="1102"/>
      <c r="BA136" s="1102"/>
      <c r="BB136" s="1102"/>
      <c r="BC136" s="1102"/>
      <c r="BD136" s="1102"/>
      <c r="BE136" s="1102"/>
      <c r="BF136" s="1102"/>
      <c r="BG136" s="1107"/>
      <c r="BH136" s="1101"/>
      <c r="BI136" s="1102"/>
      <c r="BJ136" s="1102"/>
      <c r="BK136" s="1102"/>
      <c r="BL136" s="1102"/>
      <c r="BM136" s="1102"/>
      <c r="BN136" s="1102"/>
      <c r="BO136" s="1102"/>
      <c r="BP136" s="1102"/>
      <c r="BQ136" s="1102"/>
      <c r="BR136" s="1102"/>
      <c r="BS136" s="1102"/>
      <c r="BT136" s="1102"/>
      <c r="BU136" s="1102"/>
      <c r="BV136" s="1102"/>
      <c r="BW136" s="1102"/>
      <c r="BX136" s="1102"/>
      <c r="BY136" s="1102"/>
      <c r="BZ136" s="1102"/>
      <c r="CA136" s="1102"/>
      <c r="CB136" s="1102"/>
      <c r="CC136" s="1102"/>
      <c r="CD136" s="1102"/>
      <c r="CE136" s="1102"/>
      <c r="CF136" s="1102"/>
      <c r="CG136" s="1102"/>
      <c r="CH136" s="1102"/>
      <c r="CI136" s="1102"/>
      <c r="CJ136" s="1102"/>
      <c r="CK136" s="1102"/>
      <c r="CL136" s="1102"/>
      <c r="CM136" s="1102"/>
      <c r="CN136" s="1102"/>
      <c r="CO136" s="1102"/>
      <c r="CP136" s="1102"/>
      <c r="CQ136" s="1102"/>
      <c r="CR136" s="1102"/>
      <c r="CS136" s="1102"/>
      <c r="CT136" s="1102"/>
      <c r="CU136" s="1102"/>
      <c r="CV136" s="1102"/>
      <c r="CW136" s="1102"/>
      <c r="CX136" s="1102"/>
      <c r="CY136" s="1102"/>
      <c r="CZ136" s="1102"/>
      <c r="DA136" s="1102"/>
      <c r="DB136" s="1102"/>
      <c r="DC136" s="1102"/>
      <c r="DD136" s="1102"/>
      <c r="DE136" s="1102"/>
      <c r="DF136" s="1102"/>
      <c r="DG136" s="1102"/>
      <c r="DH136" s="1102"/>
      <c r="DI136" s="1102"/>
      <c r="DJ136" s="1102"/>
      <c r="DK136" s="1102"/>
      <c r="DL136" s="1102"/>
      <c r="DM136" s="1102"/>
      <c r="DN136" s="1102"/>
      <c r="DO136" s="1102"/>
      <c r="DP136" s="1102"/>
      <c r="DQ136" s="1102"/>
      <c r="DR136" s="1102"/>
      <c r="DS136" s="1102"/>
      <c r="DT136" s="1102"/>
      <c r="DU136" s="1102"/>
      <c r="DV136" s="1102"/>
      <c r="DW136" s="1102"/>
      <c r="DX136" s="1102"/>
      <c r="DY136" s="1102"/>
      <c r="DZ136" s="1102"/>
      <c r="EA136" s="1102"/>
      <c r="EB136" s="1102"/>
      <c r="EC136" s="1102"/>
      <c r="ED136" s="1102"/>
      <c r="EE136" s="1102"/>
      <c r="EF136" s="1102"/>
      <c r="EG136" s="1102"/>
      <c r="EH136" s="1102"/>
      <c r="EI136" s="1102"/>
      <c r="EJ136" s="1102"/>
      <c r="EK136" s="1102"/>
      <c r="EL136" s="1102"/>
      <c r="EM136" s="1102"/>
      <c r="EN136" s="1102"/>
      <c r="EO136" s="1102"/>
      <c r="EP136" s="1102"/>
      <c r="EQ136" s="1102"/>
    </row>
    <row r="137" spans="1:162" ht="13.5" outlineLevel="1">
      <c r="A137" s="748"/>
      <c r="B137" s="1093" t="s">
        <v>205</v>
      </c>
      <c r="C137" s="1029" t="s">
        <v>995</v>
      </c>
      <c r="D137" s="1039">
        <f>8200-E137</f>
        <v>3900</v>
      </c>
      <c r="E137" s="1039">
        <v>4300</v>
      </c>
      <c r="F137" s="1039">
        <v>4600</v>
      </c>
      <c r="G137" s="1039">
        <v>5800</v>
      </c>
      <c r="H137" s="1039">
        <v>3800</v>
      </c>
      <c r="I137" s="1039">
        <v>3600</v>
      </c>
      <c r="J137" s="1039">
        <v>4100</v>
      </c>
      <c r="K137" s="1039">
        <v>4500</v>
      </c>
      <c r="L137" s="1039">
        <v>3300</v>
      </c>
      <c r="M137" s="1039">
        <v>3900</v>
      </c>
      <c r="N137" s="1039">
        <v>4500</v>
      </c>
      <c r="O137" s="1039">
        <v>4700</v>
      </c>
      <c r="P137" s="1039">
        <v>3700</v>
      </c>
      <c r="Q137" s="1039">
        <v>4400</v>
      </c>
      <c r="R137" s="1039">
        <v>4500</v>
      </c>
      <c r="S137" s="1039">
        <v>5000</v>
      </c>
      <c r="T137" s="1039">
        <v>4600</v>
      </c>
      <c r="U137" s="1039">
        <v>4700</v>
      </c>
      <c r="V137" s="1039">
        <v>5100</v>
      </c>
      <c r="W137" s="1039">
        <v>5600</v>
      </c>
      <c r="X137" s="1039">
        <v>5700</v>
      </c>
      <c r="Y137" s="1039">
        <v>6600</v>
      </c>
      <c r="Z137" s="1039">
        <v>4900</v>
      </c>
      <c r="AA137" s="1039">
        <v>4500</v>
      </c>
      <c r="AB137" s="1039">
        <v>4600</v>
      </c>
      <c r="AC137" s="1039">
        <v>2400</v>
      </c>
      <c r="AD137" s="1039">
        <v>4800</v>
      </c>
      <c r="AE137" s="1039">
        <v>5300</v>
      </c>
      <c r="AF137" s="1039">
        <v>5500</v>
      </c>
      <c r="AG137" s="1039">
        <v>5700</v>
      </c>
      <c r="AH137" s="1039">
        <v>5900</v>
      </c>
      <c r="AI137" s="1039">
        <v>6100</v>
      </c>
      <c r="AJ137" s="1039">
        <v>6200</v>
      </c>
      <c r="AK137" s="1039">
        <v>7100</v>
      </c>
      <c r="AL137" s="1039">
        <v>6700</v>
      </c>
      <c r="AM137" s="1039">
        <v>8100</v>
      </c>
      <c r="AN137" s="1039">
        <v>7700</v>
      </c>
      <c r="AO137" s="1039">
        <v>8000</v>
      </c>
      <c r="AP137" s="1039">
        <v>8100</v>
      </c>
      <c r="AQ137" s="1039">
        <v>8100</v>
      </c>
      <c r="AR137" s="1098">
        <v>7000</v>
      </c>
      <c r="AS137" s="1101"/>
      <c r="AT137" s="1102"/>
      <c r="AU137" s="1102"/>
      <c r="AV137" s="1102"/>
      <c r="AW137" s="1102"/>
      <c r="AX137" s="1102"/>
      <c r="AY137" s="1101"/>
      <c r="AZ137" s="1102"/>
      <c r="BA137" s="1102"/>
      <c r="BB137" s="1102"/>
      <c r="BC137" s="1102"/>
      <c r="BD137" s="1102"/>
      <c r="BE137" s="1102"/>
      <c r="BF137" s="1102"/>
      <c r="BG137" s="1107"/>
      <c r="BH137" s="1101"/>
      <c r="BI137" s="1102"/>
      <c r="BJ137" s="1102"/>
      <c r="BK137" s="1102"/>
      <c r="BL137" s="1102"/>
      <c r="BM137" s="1102"/>
      <c r="BN137" s="1102"/>
      <c r="BO137" s="1102"/>
      <c r="BP137" s="1102"/>
      <c r="BQ137" s="1102"/>
      <c r="BR137" s="1102"/>
      <c r="BS137" s="1102"/>
      <c r="BT137" s="1102"/>
      <c r="BU137" s="1102"/>
      <c r="BV137" s="1102"/>
      <c r="BW137" s="1102"/>
      <c r="BX137" s="1102"/>
      <c r="BY137" s="1102"/>
      <c r="BZ137" s="1102"/>
      <c r="CA137" s="1102"/>
      <c r="CB137" s="1102"/>
      <c r="CC137" s="1102"/>
      <c r="CD137" s="1102"/>
      <c r="CE137" s="1102"/>
      <c r="CF137" s="1102"/>
      <c r="CG137" s="1102"/>
      <c r="CH137" s="1102"/>
      <c r="CI137" s="1102"/>
      <c r="CJ137" s="1102"/>
      <c r="CK137" s="1102"/>
      <c r="CL137" s="1102"/>
      <c r="CM137" s="1102"/>
      <c r="CN137" s="1102"/>
      <c r="CO137" s="1102"/>
      <c r="CP137" s="1102"/>
      <c r="CQ137" s="1102"/>
      <c r="CR137" s="1102"/>
      <c r="CS137" s="1102"/>
      <c r="CT137" s="1102"/>
      <c r="CU137" s="1102"/>
      <c r="CV137" s="1102"/>
      <c r="CW137" s="1102"/>
      <c r="CX137" s="1102"/>
      <c r="CY137" s="1102"/>
      <c r="CZ137" s="1102"/>
      <c r="DA137" s="1102"/>
      <c r="DB137" s="1102"/>
      <c r="DC137" s="1102"/>
      <c r="DD137" s="1102"/>
      <c r="DE137" s="1102"/>
      <c r="DF137" s="1102"/>
      <c r="DG137" s="1102"/>
      <c r="DH137" s="1102"/>
      <c r="DI137" s="1102"/>
      <c r="DJ137" s="1102"/>
      <c r="DK137" s="1102"/>
      <c r="DL137" s="1102"/>
      <c r="DM137" s="1102"/>
      <c r="DN137" s="1102"/>
      <c r="DO137" s="1102"/>
      <c r="DP137" s="1102"/>
      <c r="DQ137" s="1102"/>
      <c r="DR137" s="1102"/>
      <c r="DS137" s="1102"/>
      <c r="DT137" s="1102"/>
      <c r="DU137" s="1102"/>
      <c r="DV137" s="1102"/>
      <c r="DW137" s="1102"/>
      <c r="DX137" s="1102"/>
      <c r="DY137" s="1102"/>
      <c r="DZ137" s="1102"/>
      <c r="EA137" s="1102"/>
      <c r="EB137" s="1102"/>
      <c r="EC137" s="1102"/>
      <c r="ED137" s="1102"/>
      <c r="EE137" s="1102"/>
      <c r="EF137" s="1102"/>
      <c r="EG137" s="1102"/>
      <c r="EH137" s="1102"/>
      <c r="EI137" s="1102"/>
      <c r="EJ137" s="1102"/>
      <c r="EK137" s="1102"/>
      <c r="EL137" s="1102"/>
      <c r="EM137" s="1102"/>
      <c r="EN137" s="1102"/>
      <c r="EO137" s="1102"/>
      <c r="EP137" s="1102"/>
      <c r="EQ137" s="1102"/>
    </row>
    <row r="138" spans="1:162" ht="13.5" outlineLevel="1">
      <c r="A138" s="748"/>
      <c r="B138" s="1094" t="s">
        <v>996</v>
      </c>
      <c r="C138" s="1031" t="s">
        <v>995</v>
      </c>
      <c r="D138" s="1039">
        <f>SUM(D135:D137)</f>
        <v>31800</v>
      </c>
      <c r="E138" s="1039">
        <f t="shared" ref="E138:AR138" si="56">SUM(E135:E137)</f>
        <v>33700</v>
      </c>
      <c r="F138" s="1039">
        <f t="shared" si="56"/>
        <v>37300</v>
      </c>
      <c r="G138" s="1039">
        <f t="shared" si="56"/>
        <v>40100</v>
      </c>
      <c r="H138" s="1039">
        <f t="shared" si="56"/>
        <v>38300</v>
      </c>
      <c r="I138" s="1039">
        <f t="shared" si="56"/>
        <v>41600</v>
      </c>
      <c r="J138" s="1039">
        <f t="shared" si="56"/>
        <v>39400</v>
      </c>
      <c r="K138" s="1039">
        <f t="shared" si="56"/>
        <v>35400</v>
      </c>
      <c r="L138" s="1039">
        <f t="shared" si="56"/>
        <v>35300</v>
      </c>
      <c r="M138" s="1039">
        <f t="shared" si="56"/>
        <v>36800</v>
      </c>
      <c r="N138" s="1039">
        <f t="shared" si="56"/>
        <v>34900</v>
      </c>
      <c r="O138" s="1039">
        <f t="shared" si="56"/>
        <v>33900</v>
      </c>
      <c r="P138" s="1039">
        <f t="shared" si="56"/>
        <v>35000</v>
      </c>
      <c r="Q138" s="1039">
        <f t="shared" si="56"/>
        <v>39400</v>
      </c>
      <c r="R138" s="1039">
        <f t="shared" si="56"/>
        <v>40200</v>
      </c>
      <c r="S138" s="1039">
        <f t="shared" si="56"/>
        <v>44300</v>
      </c>
      <c r="T138" s="1039">
        <f t="shared" si="56"/>
        <v>44500</v>
      </c>
      <c r="U138" s="1039">
        <f t="shared" si="56"/>
        <v>46400</v>
      </c>
      <c r="V138" s="1039">
        <f t="shared" si="56"/>
        <v>47800</v>
      </c>
      <c r="W138" s="1039">
        <f t="shared" si="56"/>
        <v>50400</v>
      </c>
      <c r="X138" s="1039">
        <f t="shared" si="56"/>
        <v>51500</v>
      </c>
      <c r="Y138" s="1039">
        <f t="shared" si="56"/>
        <v>52300</v>
      </c>
      <c r="Z138" s="1039">
        <f t="shared" si="56"/>
        <v>49300</v>
      </c>
      <c r="AA138" s="1039">
        <f>SUM(AA135:AA137)</f>
        <v>45700</v>
      </c>
      <c r="AB138" s="1039">
        <f t="shared" si="56"/>
        <v>38400</v>
      </c>
      <c r="AC138" s="1039">
        <f t="shared" si="56"/>
        <v>18100</v>
      </c>
      <c r="AD138" s="1039">
        <f t="shared" si="56"/>
        <v>36000</v>
      </c>
      <c r="AE138" s="1039">
        <f t="shared" si="56"/>
        <v>40800</v>
      </c>
      <c r="AF138" s="1039">
        <f t="shared" si="56"/>
        <v>42200</v>
      </c>
      <c r="AG138" s="1039">
        <f t="shared" si="56"/>
        <v>40100</v>
      </c>
      <c r="AH138" s="1039">
        <f t="shared" si="56"/>
        <v>32800</v>
      </c>
      <c r="AI138" s="1039">
        <f t="shared" si="56"/>
        <v>47600</v>
      </c>
      <c r="AJ138" s="1039">
        <f t="shared" si="56"/>
        <v>43000</v>
      </c>
      <c r="AK138" s="1039">
        <f t="shared" si="56"/>
        <v>46900</v>
      </c>
      <c r="AL138" s="1039">
        <f t="shared" si="56"/>
        <v>44400</v>
      </c>
      <c r="AM138" s="1039">
        <f t="shared" si="56"/>
        <v>49100</v>
      </c>
      <c r="AN138" s="1039">
        <f t="shared" si="56"/>
        <v>51100</v>
      </c>
      <c r="AO138" s="1039">
        <f t="shared" si="56"/>
        <v>51900</v>
      </c>
      <c r="AP138" s="1039">
        <f t="shared" si="56"/>
        <v>50100</v>
      </c>
      <c r="AQ138" s="1039">
        <f t="shared" si="56"/>
        <v>51100</v>
      </c>
      <c r="AR138" s="1098">
        <f t="shared" si="56"/>
        <v>48100</v>
      </c>
      <c r="AS138" s="1108">
        <v>48000</v>
      </c>
      <c r="AT138" s="1109">
        <v>48300</v>
      </c>
      <c r="AU138" s="1109">
        <v>48300</v>
      </c>
      <c r="AV138" s="1109">
        <f>AU138*(1+AV144)</f>
        <v>47194.114711541479</v>
      </c>
      <c r="AW138" s="1109">
        <f t="shared" ref="AW138:DH138" si="57">AV138*(1+AW144)</f>
        <v>49443.377511214188</v>
      </c>
      <c r="AX138" s="1109">
        <f t="shared" si="57"/>
        <v>48871.308340036856</v>
      </c>
      <c r="AY138" s="1109">
        <f t="shared" si="57"/>
        <v>50431.938626133611</v>
      </c>
      <c r="AZ138" s="1109">
        <f t="shared" si="57"/>
        <v>49277.240096214678</v>
      </c>
      <c r="BA138" s="1109">
        <f t="shared" si="57"/>
        <v>51625.784267376992</v>
      </c>
      <c r="BB138" s="1109">
        <f t="shared" si="57"/>
        <v>51028.464239825887</v>
      </c>
      <c r="BC138" s="1109">
        <f t="shared" si="57"/>
        <v>52657.97999151361</v>
      </c>
      <c r="BD138" s="1109">
        <f t="shared" si="57"/>
        <v>51452.313627278454</v>
      </c>
      <c r="BE138" s="1109">
        <f t="shared" si="57"/>
        <v>53904.521401622587</v>
      </c>
      <c r="BF138" s="1109">
        <f t="shared" si="57"/>
        <v>53280.835957117044</v>
      </c>
      <c r="BG138" s="1110">
        <f t="shared" si="57"/>
        <v>54982.277745511106</v>
      </c>
      <c r="BH138" s="1108">
        <f t="shared" si="57"/>
        <v>53723.393851417917</v>
      </c>
      <c r="BI138" s="1109">
        <f t="shared" si="57"/>
        <v>56283.840890222287</v>
      </c>
      <c r="BJ138" s="1109">
        <f t="shared" si="57"/>
        <v>55632.626272016983</v>
      </c>
      <c r="BK138" s="1109">
        <f t="shared" si="57"/>
        <v>57409.168877570366</v>
      </c>
      <c r="BL138" s="1109">
        <f t="shared" si="57"/>
        <v>56835.077188794661</v>
      </c>
      <c r="BM138" s="1109">
        <f t="shared" si="57"/>
        <v>59108.480276346447</v>
      </c>
      <c r="BN138" s="1109">
        <f t="shared" si="57"/>
        <v>58517.395473582983</v>
      </c>
      <c r="BO138" s="1109">
        <f t="shared" si="57"/>
        <v>60272.917337790474</v>
      </c>
      <c r="BP138" s="1109">
        <f t="shared" si="57"/>
        <v>59670.188164412568</v>
      </c>
      <c r="BQ138" s="1109">
        <f t="shared" si="57"/>
        <v>62056.995690989075</v>
      </c>
      <c r="BR138" s="1109">
        <f t="shared" si="57"/>
        <v>61436.425734079181</v>
      </c>
      <c r="BS138" s="1109">
        <f t="shared" si="57"/>
        <v>63279.518506101558</v>
      </c>
      <c r="BT138" s="1109">
        <f t="shared" si="57"/>
        <v>62646.723321040539</v>
      </c>
      <c r="BU138" s="1109">
        <f t="shared" si="57"/>
        <v>65152.592253882161</v>
      </c>
      <c r="BV138" s="1109">
        <f t="shared" si="57"/>
        <v>64501.06633134334</v>
      </c>
      <c r="BW138" s="1109">
        <f t="shared" si="57"/>
        <v>66436.098321283644</v>
      </c>
      <c r="BX138" s="1109">
        <f t="shared" si="57"/>
        <v>65771.737338070801</v>
      </c>
      <c r="BY138" s="1109">
        <f t="shared" si="57"/>
        <v>68402.606831593643</v>
      </c>
      <c r="BZ138" s="1109">
        <f t="shared" si="57"/>
        <v>67718.5807632777</v>
      </c>
      <c r="CA138" s="1109">
        <f t="shared" si="57"/>
        <v>69750.138186176031</v>
      </c>
      <c r="CB138" s="1109">
        <f t="shared" si="57"/>
        <v>69052.636804314272</v>
      </c>
      <c r="CC138" s="1109">
        <f t="shared" si="57"/>
        <v>71814.742276486839</v>
      </c>
      <c r="CD138" s="1109">
        <f t="shared" si="57"/>
        <v>71096.594853721967</v>
      </c>
      <c r="CE138" s="1109">
        <f t="shared" si="57"/>
        <v>73229.492699333627</v>
      </c>
      <c r="CF138" s="1109">
        <f t="shared" si="57"/>
        <v>72863.345235836954</v>
      </c>
      <c r="CG138" s="1109">
        <f t="shared" si="57"/>
        <v>74684.928866732866</v>
      </c>
      <c r="CH138" s="1109">
        <f t="shared" si="57"/>
        <v>74311.504222399206</v>
      </c>
      <c r="CI138" s="1109">
        <f t="shared" si="57"/>
        <v>75797.734306847196</v>
      </c>
      <c r="CJ138" s="1109">
        <f t="shared" si="57"/>
        <v>75418.745635312967</v>
      </c>
      <c r="CK138" s="1109">
        <f t="shared" si="57"/>
        <v>77304.21427619578</v>
      </c>
      <c r="CL138" s="1109">
        <f t="shared" si="57"/>
        <v>76917.693204814801</v>
      </c>
      <c r="CM138" s="1109">
        <f t="shared" si="57"/>
        <v>78456.047068911095</v>
      </c>
      <c r="CN138" s="1109">
        <f t="shared" si="57"/>
        <v>78063.766833566537</v>
      </c>
      <c r="CO138" s="1109">
        <f t="shared" si="57"/>
        <v>80015.361004405699</v>
      </c>
      <c r="CP138" s="1109">
        <f t="shared" si="57"/>
        <v>79615.284199383663</v>
      </c>
      <c r="CQ138" s="1109">
        <f t="shared" si="57"/>
        <v>81207.589883371344</v>
      </c>
      <c r="CR138" s="1109">
        <f t="shared" si="57"/>
        <v>80801.551933954484</v>
      </c>
      <c r="CS138" s="1109">
        <f t="shared" si="57"/>
        <v>82821.590732303346</v>
      </c>
      <c r="CT138" s="1109">
        <f t="shared" si="57"/>
        <v>82407.482778641832</v>
      </c>
      <c r="CU138" s="1109">
        <f t="shared" si="57"/>
        <v>84055.632434214669</v>
      </c>
      <c r="CV138" s="1109">
        <f t="shared" si="57"/>
        <v>83635.354272043594</v>
      </c>
      <c r="CW138" s="1109">
        <f t="shared" si="57"/>
        <v>85726.238128844678</v>
      </c>
      <c r="CX138" s="1109">
        <f t="shared" si="57"/>
        <v>85297.60693820045</v>
      </c>
      <c r="CY138" s="1109">
        <f t="shared" si="57"/>
        <v>87003.559076964462</v>
      </c>
      <c r="CZ138" s="1109">
        <f t="shared" si="57"/>
        <v>86568.541281579644</v>
      </c>
      <c r="DA138" s="1109">
        <f t="shared" si="57"/>
        <v>88732.754813619133</v>
      </c>
      <c r="DB138" s="1109">
        <f t="shared" si="57"/>
        <v>88289.091039551044</v>
      </c>
      <c r="DC138" s="1109">
        <f t="shared" si="57"/>
        <v>90054.87286034206</v>
      </c>
      <c r="DD138" s="1109">
        <f t="shared" si="57"/>
        <v>89604.598496040344</v>
      </c>
      <c r="DE138" s="1109">
        <f t="shared" si="57"/>
        <v>91844.713458441343</v>
      </c>
      <c r="DF138" s="1109">
        <f t="shared" si="57"/>
        <v>91385.489891149133</v>
      </c>
      <c r="DG138" s="1109">
        <f t="shared" si="57"/>
        <v>93213.199688972119</v>
      </c>
      <c r="DH138" s="1109">
        <f t="shared" si="57"/>
        <v>92747.133690527262</v>
      </c>
      <c r="DI138" s="1109">
        <f t="shared" ref="DI138:EQ138" si="58">DH138*(1+DI144)</f>
        <v>95065.812032790433</v>
      </c>
      <c r="DJ138" s="1109">
        <f t="shared" si="58"/>
        <v>94590.482972626487</v>
      </c>
      <c r="DK138" s="1109">
        <f t="shared" si="58"/>
        <v>96482.292632079014</v>
      </c>
      <c r="DL138" s="1109">
        <f t="shared" si="58"/>
        <v>95999.881168918611</v>
      </c>
      <c r="DM138" s="1109">
        <f t="shared" si="58"/>
        <v>98399.878198141567</v>
      </c>
      <c r="DN138" s="1109">
        <f t="shared" si="58"/>
        <v>97907.878807150861</v>
      </c>
      <c r="DO138" s="1109">
        <f t="shared" si="58"/>
        <v>99866.036383293875</v>
      </c>
      <c r="DP138" s="1109">
        <f t="shared" si="58"/>
        <v>99366.706201377412</v>
      </c>
      <c r="DQ138" s="1109">
        <f t="shared" si="58"/>
        <v>101850.87385641184</v>
      </c>
      <c r="DR138" s="1109">
        <f t="shared" si="58"/>
        <v>101341.61948712978</v>
      </c>
      <c r="DS138" s="1109">
        <f t="shared" si="58"/>
        <v>103368.45187687238</v>
      </c>
      <c r="DT138" s="1109">
        <f t="shared" si="58"/>
        <v>102851.60961748802</v>
      </c>
      <c r="DU138" s="1109">
        <f t="shared" si="58"/>
        <v>105422.89985792521</v>
      </c>
      <c r="DV138" s="1109">
        <f t="shared" si="58"/>
        <v>104895.78535863558</v>
      </c>
      <c r="DW138" s="1109">
        <f t="shared" si="58"/>
        <v>106993.70106580829</v>
      </c>
      <c r="DX138" s="1109">
        <f t="shared" si="58"/>
        <v>106458.73256047924</v>
      </c>
      <c r="DY138" s="1109">
        <f t="shared" si="58"/>
        <v>109120.20087449122</v>
      </c>
      <c r="DZ138" s="1109">
        <f t="shared" si="58"/>
        <v>108574.59987011876</v>
      </c>
      <c r="EA138" s="1109">
        <f t="shared" si="58"/>
        <v>110746.09186752114</v>
      </c>
      <c r="EB138" s="1109">
        <f t="shared" si="58"/>
        <v>110192.36140818354</v>
      </c>
      <c r="EC138" s="1109">
        <f t="shared" si="58"/>
        <v>112947.17044338812</v>
      </c>
      <c r="ED138" s="1109">
        <f t="shared" si="58"/>
        <v>112382.43459117119</v>
      </c>
      <c r="EE138" s="1109">
        <f t="shared" si="58"/>
        <v>114630.08328299462</v>
      </c>
      <c r="EF138" s="1109">
        <f t="shared" si="58"/>
        <v>114056.93286657965</v>
      </c>
      <c r="EG138" s="1109">
        <f t="shared" si="58"/>
        <v>116908.35618824413</v>
      </c>
      <c r="EH138" s="1109">
        <f t="shared" si="58"/>
        <v>116323.81440730291</v>
      </c>
      <c r="EI138" s="1109">
        <f t="shared" si="58"/>
        <v>118650.29069544897</v>
      </c>
      <c r="EJ138" s="1109">
        <f t="shared" si="58"/>
        <v>118057.03924197172</v>
      </c>
      <c r="EK138" s="1109">
        <f t="shared" si="58"/>
        <v>121008.465223021</v>
      </c>
      <c r="EL138" s="1109">
        <f t="shared" si="58"/>
        <v>120403.4228969059</v>
      </c>
      <c r="EM138" s="1109">
        <f t="shared" si="58"/>
        <v>122811.49135484402</v>
      </c>
      <c r="EN138" s="1109">
        <f t="shared" si="58"/>
        <v>122197.43389806981</v>
      </c>
      <c r="EO138" s="1109">
        <f t="shared" si="58"/>
        <v>125252.36974552154</v>
      </c>
      <c r="EP138" s="1109">
        <f t="shared" si="58"/>
        <v>124626.10789679394</v>
      </c>
      <c r="EQ138" s="1109">
        <f t="shared" si="58"/>
        <v>127118.63005472982</v>
      </c>
    </row>
    <row r="139" spans="1:162" ht="13.5" outlineLevel="1">
      <c r="A139" s="748"/>
      <c r="B139" s="1093" t="s">
        <v>997</v>
      </c>
      <c r="C139" s="1029" t="s">
        <v>830</v>
      </c>
      <c r="D139" s="1040">
        <v>3329.2</v>
      </c>
      <c r="E139" s="1040">
        <v>3455</v>
      </c>
      <c r="F139" s="1040">
        <v>3810.6</v>
      </c>
      <c r="G139" s="1040">
        <v>3999.2</v>
      </c>
      <c r="H139" s="1040">
        <v>3769.1</v>
      </c>
      <c r="I139" s="1040">
        <v>3983.4</v>
      </c>
      <c r="J139" s="1040">
        <v>3744.7</v>
      </c>
      <c r="K139" s="1040">
        <v>3285.3</v>
      </c>
      <c r="L139" s="1040">
        <v>3270.5</v>
      </c>
      <c r="M139" s="1040">
        <v>3341.2</v>
      </c>
      <c r="N139" s="1040">
        <v>3170.7</v>
      </c>
      <c r="O139" s="1040">
        <v>2984.9</v>
      </c>
      <c r="P139" s="1040">
        <v>3130.1</v>
      </c>
      <c r="Q139" s="1040">
        <v>3553.6</v>
      </c>
      <c r="R139" s="1040">
        <v>3867.4</v>
      </c>
      <c r="S139" s="1040">
        <v>4223.7</v>
      </c>
      <c r="T139" s="1040">
        <v>4353</v>
      </c>
      <c r="U139" s="1040">
        <v>4467.8</v>
      </c>
      <c r="V139" s="1040">
        <v>4429.3999999999996</v>
      </c>
      <c r="W139" s="1040">
        <v>4936.8</v>
      </c>
      <c r="X139" s="1040">
        <v>5107.3</v>
      </c>
      <c r="Y139" s="1040">
        <v>5211.8999999999996</v>
      </c>
      <c r="Z139" s="1040">
        <v>4977.3999999999996</v>
      </c>
      <c r="AA139" s="1040">
        <v>4692.8999999999996</v>
      </c>
      <c r="AB139" s="1040">
        <v>3757.6</v>
      </c>
      <c r="AC139" s="1040">
        <v>1858.4</v>
      </c>
      <c r="AD139" s="1040">
        <v>3504</v>
      </c>
      <c r="AE139" s="1040">
        <v>4044.8</v>
      </c>
      <c r="AF139" s="1040">
        <v>4233</v>
      </c>
      <c r="AG139" s="1040">
        <v>4152.2</v>
      </c>
      <c r="AH139" s="1040">
        <v>3452.6</v>
      </c>
      <c r="AI139" s="1040">
        <v>4961.8999999999996</v>
      </c>
      <c r="AJ139" s="1040">
        <v>4697.1000000000004</v>
      </c>
      <c r="AK139" s="1040">
        <v>5336.4</v>
      </c>
      <c r="AL139" s="1040">
        <v>5198.2</v>
      </c>
      <c r="AM139" s="1040">
        <v>6254.5</v>
      </c>
      <c r="AN139" s="1040">
        <v>6413.8</v>
      </c>
      <c r="AO139" s="1040">
        <v>6827.5</v>
      </c>
      <c r="AP139" s="1040">
        <v>6636.4</v>
      </c>
      <c r="AQ139" s="1040">
        <v>6968.7</v>
      </c>
      <c r="AR139" s="1099">
        <v>6541</v>
      </c>
      <c r="AS139" s="1111">
        <f>E103</f>
        <v>6447.0829495352373</v>
      </c>
      <c r="AT139" s="1112">
        <f>F103</f>
        <v>6640.2146693941659</v>
      </c>
      <c r="AU139" s="1112">
        <f>G103</f>
        <v>7169.5565836706692</v>
      </c>
      <c r="AV139" s="1113">
        <f t="shared" ref="AV139:BT139" si="59">AV138*AV140/10^6</f>
        <v>7138.1098501206479</v>
      </c>
      <c r="AW139" s="1113">
        <f t="shared" si="59"/>
        <v>7490.6716929489494</v>
      </c>
      <c r="AX139" s="1124">
        <f t="shared" si="59"/>
        <v>7416.2210406005925</v>
      </c>
      <c r="AY139" s="1113">
        <f t="shared" si="59"/>
        <v>7665.6546711723086</v>
      </c>
      <c r="AZ139" s="1113">
        <f t="shared" si="59"/>
        <v>7502.4598046486844</v>
      </c>
      <c r="BA139" s="1113">
        <f t="shared" si="59"/>
        <v>7872.9321007749913</v>
      </c>
      <c r="BB139" s="1113">
        <f t="shared" si="59"/>
        <v>7794.597912633405</v>
      </c>
      <c r="BC139" s="1113">
        <f t="shared" si="59"/>
        <v>8056.6709387015817</v>
      </c>
      <c r="BD139" s="1113">
        <f t="shared" si="59"/>
        <v>7885.0670633804239</v>
      </c>
      <c r="BE139" s="1113">
        <f t="shared" si="59"/>
        <v>8290.5153915695537</v>
      </c>
      <c r="BF139" s="1113">
        <f t="shared" si="59"/>
        <v>8178.6083194174662</v>
      </c>
      <c r="BG139" s="1114">
        <f t="shared" si="59"/>
        <v>8423.2849506123021</v>
      </c>
      <c r="BH139" s="1113">
        <f t="shared" si="59"/>
        <v>8214.3069198817993</v>
      </c>
      <c r="BI139" s="1113">
        <f t="shared" si="59"/>
        <v>8588.914119847921</v>
      </c>
      <c r="BJ139" s="1113">
        <f t="shared" si="59"/>
        <v>8472.8489812281859</v>
      </c>
      <c r="BK139" s="1113">
        <f t="shared" si="59"/>
        <v>8726.1936693906955</v>
      </c>
      <c r="BL139" s="1113">
        <f t="shared" si="59"/>
        <v>8621.8812095401499</v>
      </c>
      <c r="BM139" s="1113">
        <f t="shared" si="59"/>
        <v>8949.0239138388515</v>
      </c>
      <c r="BN139" s="1113">
        <f t="shared" si="59"/>
        <v>8841.9784560583903</v>
      </c>
      <c r="BO139" s="1113">
        <f t="shared" si="59"/>
        <v>9089.1559345388032</v>
      </c>
      <c r="BP139" s="1113">
        <f t="shared" si="59"/>
        <v>8980.3633187440919</v>
      </c>
      <c r="BQ139" s="1113">
        <f t="shared" si="59"/>
        <v>9134.7897657135927</v>
      </c>
      <c r="BR139" s="1113">
        <f t="shared" si="59"/>
        <v>8994.292727469192</v>
      </c>
      <c r="BS139" s="1113">
        <f t="shared" si="59"/>
        <v>9213.497894488386</v>
      </c>
      <c r="BT139" s="1113">
        <f t="shared" si="59"/>
        <v>9071.2455368866686</v>
      </c>
      <c r="BU139" s="1113">
        <f t="shared" ref="BU139" si="60">BU138*BU140/10^6</f>
        <v>9381.9732845590297</v>
      </c>
      <c r="BV139" s="1113">
        <f t="shared" ref="BV139" si="61">BV138*BV140/10^6</f>
        <v>9236.5526986483674</v>
      </c>
      <c r="BW139" s="1113">
        <f t="shared" ref="BW139" si="62">BW138*BW140/10^6</f>
        <v>9460.5004009507902</v>
      </c>
      <c r="BX139" s="1113">
        <f t="shared" ref="BX139" si="63">BX138*BX140/10^6</f>
        <v>9313.278007070825</v>
      </c>
      <c r="BY139" s="1113">
        <f t="shared" ref="BY139" si="64">BY138*BY140/10^6</f>
        <v>9631.087041888386</v>
      </c>
      <c r="BZ139" s="1113">
        <f t="shared" ref="BZ139" si="65">BZ138*BZ140/10^6</f>
        <v>9480.6013068588763</v>
      </c>
      <c r="CA139" s="1113">
        <f t="shared" ref="CA139" si="66">CA138*CA140/10^6</f>
        <v>9709.219235515704</v>
      </c>
      <c r="CB139" s="1113">
        <f t="shared" ref="CB139" si="67">CB138*CB140/10^6</f>
        <v>9556.8849337170941</v>
      </c>
      <c r="CC139" s="1113">
        <f t="shared" ref="CC139" si="68">CC138*CC140/10^6</f>
        <v>10054.063918708156</v>
      </c>
      <c r="CD139" s="1113">
        <f t="shared" ref="CD139" si="69">CD138*CD140/10^6</f>
        <v>10131.26476665538</v>
      </c>
      <c r="CE139" s="1113">
        <f t="shared" ref="CE139" si="70">CE138*CE140/10^6</f>
        <v>10618.276441403375</v>
      </c>
      <c r="CF139" s="1113">
        <f t="shared" ref="CF139" si="71">CF138*CF140/10^6</f>
        <v>10747.343422285952</v>
      </c>
      <c r="CG139" s="1113">
        <f t="shared" ref="CG139" si="72">CG138*CG140/10^6</f>
        <v>11202.73933000993</v>
      </c>
      <c r="CH139" s="1113">
        <f t="shared" ref="CH139" si="73">CH138*CH140/10^6</f>
        <v>11332.504393915879</v>
      </c>
      <c r="CI139" s="1113">
        <f t="shared" ref="CI139" si="74">CI138*CI140/10^6</f>
        <v>11748.648817561316</v>
      </c>
      <c r="CJ139" s="1113">
        <f t="shared" ref="CJ139" si="75">CJ138*CJ140/10^6</f>
        <v>11878.452437561793</v>
      </c>
      <c r="CK139" s="1113">
        <f t="shared" ref="CK139" si="76">CK138*CK140/10^6</f>
        <v>12368.674284191324</v>
      </c>
      <c r="CL139" s="1113">
        <f t="shared" ref="CL139" si="77">CL138*CL140/10^6</f>
        <v>12499.125145782406</v>
      </c>
      <c r="CM139" s="1113">
        <f t="shared" ref="CM139" si="78">CM138*CM140/10^6</f>
        <v>12945.24776637033</v>
      </c>
      <c r="CN139" s="1113">
        <f t="shared" ref="CN139" si="79">CN138*CN140/10^6</f>
        <v>13075.680944622394</v>
      </c>
      <c r="CO139" s="1113">
        <f t="shared" ref="CO139" si="80">CO138*CO140/10^6</f>
        <v>13602.611370748968</v>
      </c>
      <c r="CP139" s="1113">
        <f t="shared" ref="CP139" si="81">CP138*CP140/10^6</f>
        <v>13932.674734892142</v>
      </c>
      <c r="CQ139" s="1113">
        <f t="shared" ref="CQ139" si="82">CQ138*CQ140/10^6</f>
        <v>14617.366179006842</v>
      </c>
      <c r="CR139" s="1113">
        <f t="shared" ref="CR139" si="83">CR138*CR140/10^6</f>
        <v>14948.28710778158</v>
      </c>
      <c r="CS139" s="1113">
        <f t="shared" ref="CS139" si="84">CS138*CS140/10^6</f>
        <v>15736.102239137635</v>
      </c>
      <c r="CT139" s="1113">
        <f t="shared" ref="CT139" si="85">CT138*CT140/10^6</f>
        <v>16069.459141835157</v>
      </c>
      <c r="CU139" s="1113">
        <f t="shared" ref="CU139" si="86">CU138*CU140/10^6</f>
        <v>16811.126486842935</v>
      </c>
      <c r="CV139" s="1113">
        <f t="shared" ref="CV139" si="87">CV138*CV140/10^6</f>
        <v>17145.247625768938</v>
      </c>
      <c r="CW139" s="1113">
        <f t="shared" ref="CW139" si="88">CW138*CW140/10^6</f>
        <v>18002.510007057379</v>
      </c>
      <c r="CX139" s="1113">
        <f t="shared" ref="CX139" si="89">CX138*CX140/10^6</f>
        <v>18338.985491713098</v>
      </c>
      <c r="CY139" s="1113">
        <f t="shared" ref="CY139" si="90">CY138*CY140/10^6</f>
        <v>19140.782996932183</v>
      </c>
      <c r="CZ139" s="1113">
        <f t="shared" ref="CZ139" si="91">CZ138*CZ140/10^6</f>
        <v>19477.921788355419</v>
      </c>
      <c r="DA139" s="1113">
        <f t="shared" ref="DA139" si="92">DA138*DA140/10^6</f>
        <v>19876.137078250686</v>
      </c>
      <c r="DB139" s="1113">
        <f t="shared" ref="DB139" si="93">DB138*DB140/10^6</f>
        <v>19511.889119740779</v>
      </c>
      <c r="DC139" s="1113">
        <f t="shared" ref="DC139" si="94">DC138*DC140/10^6</f>
        <v>19631.962283554571</v>
      </c>
      <c r="DD139" s="1113">
        <f t="shared" ref="DD139" si="95">DD138*DD140/10^6</f>
        <v>19264.988676648674</v>
      </c>
      <c r="DE139" s="1113">
        <f t="shared" ref="DE139" si="96">DE138*DE140/10^6</f>
        <v>19471.079253189564</v>
      </c>
      <c r="DF139" s="1113">
        <f t="shared" ref="DF139" si="97">DF138*DF140/10^6</f>
        <v>19099.567387250168</v>
      </c>
      <c r="DG139" s="1113">
        <f t="shared" ref="DG139" si="98">DG138*DG140/10^6</f>
        <v>19201.919135928256</v>
      </c>
      <c r="DH139" s="1113">
        <f t="shared" ref="DH139" si="99">DH138*DH140/10^6</f>
        <v>18827.668139177033</v>
      </c>
      <c r="DI139" s="1113">
        <f t="shared" ref="DI139" si="100">DI138*DI140/10^6</f>
        <v>19013.162406558087</v>
      </c>
      <c r="DJ139" s="1113">
        <f t="shared" ref="DJ139" si="101">DJ138*DJ140/10^6</f>
        <v>18634.325145607418</v>
      </c>
      <c r="DK139" s="1113">
        <f t="shared" ref="DK139" si="102">DK138*DK140/10^6</f>
        <v>18717.564770623329</v>
      </c>
      <c r="DL139" s="1113">
        <f t="shared" ref="DL139" si="103">DL138*DL140/10^6</f>
        <v>18335.977303263455</v>
      </c>
      <c r="DM139" s="1113">
        <f t="shared" ref="DM139" si="104">DM138*DM140/10^6</f>
        <v>18518.857076890243</v>
      </c>
      <c r="DN139" s="1113">
        <f t="shared" ref="DN139" si="105">DN138*DN140/10^6</f>
        <v>18308.773336937211</v>
      </c>
      <c r="DO139" s="1113">
        <f t="shared" ref="DO139" si="106">DO138*DO140/10^6</f>
        <v>18555.109560016004</v>
      </c>
      <c r="DP139" s="1113">
        <f t="shared" ref="DP139" si="107">DP138*DP140/10^6</f>
        <v>18343.093964774271</v>
      </c>
      <c r="DQ139" s="1113">
        <f t="shared" ref="DQ139" si="108">DQ138*DQ140/10^6</f>
        <v>18679.450265265928</v>
      </c>
      <c r="DR139" s="1113">
        <f t="shared" ref="DR139" si="109">DR138*DR140/10^6</f>
        <v>18464.443070555048</v>
      </c>
      <c r="DS139" s="1113">
        <f t="shared" ref="DS139" si="110">DS138*DS140/10^6</f>
        <v>18709.689789713902</v>
      </c>
      <c r="DT139" s="1113">
        <f t="shared" ref="DT139" si="111">DT138*DT140/10^6</f>
        <v>18492.719409224344</v>
      </c>
      <c r="DU139" s="1113">
        <f t="shared" ref="DU139" si="112">DU138*DU140/10^6</f>
        <v>18828.529914625444</v>
      </c>
      <c r="DV139" s="1113">
        <f t="shared" ref="DV139" si="113">DV138*DV140/10^6</f>
        <v>18608.512322621951</v>
      </c>
      <c r="DW139" s="1113">
        <f t="shared" ref="DW139" si="114">DW138*DW140/10^6</f>
        <v>18852.290127795422</v>
      </c>
      <c r="DX139" s="1113">
        <f t="shared" ref="DX139" si="115">DX138*DX140/10^6</f>
        <v>18630.278198083866</v>
      </c>
      <c r="DY139" s="1113">
        <f t="shared" ref="DY139" si="116">DY138*DY140/10^6</f>
        <v>19750.75635828291</v>
      </c>
      <c r="DZ139" s="1113">
        <f t="shared" ref="DZ139" si="117">DZ138*DZ140/10^6</f>
        <v>20032.01367603691</v>
      </c>
      <c r="EA139" s="1113">
        <f t="shared" ref="EA139" si="118">EA138*EA140/10^6</f>
        <v>20820.265271093976</v>
      </c>
      <c r="EB139" s="1113">
        <f t="shared" ref="EB139" si="119">EB138*EB140/10^6</f>
        <v>21101.837209667148</v>
      </c>
      <c r="EC139" s="1113">
        <f t="shared" ref="EC139" si="120">EC138*EC140/10^6</f>
        <v>22024.698236460685</v>
      </c>
      <c r="ED139" s="1113">
        <f t="shared" ref="ED139" si="121">ED138*ED140/10^6</f>
        <v>22307.913266347481</v>
      </c>
      <c r="EE139" s="1113">
        <f t="shared" ref="EE139" si="122">EE138*EE140/10^6</f>
        <v>23155.276823164913</v>
      </c>
      <c r="EF139" s="1113">
        <f t="shared" ref="EF139" si="123">EF138*EF140/10^6</f>
        <v>23438.699704082119</v>
      </c>
      <c r="EG139" s="1113">
        <f t="shared" ref="EG139" si="124">EG138*EG140/10^6</f>
        <v>24433.84644334302</v>
      </c>
      <c r="EH139" s="1113">
        <f t="shared" ref="EH139" si="125">EH138*EH140/10^6</f>
        <v>24718.810561551869</v>
      </c>
      <c r="EI139" s="1113">
        <f t="shared" ref="EI139" si="126">EI138*EI140/10^6</f>
        <v>25628.462790216981</v>
      </c>
      <c r="EJ139" s="1113">
        <f t="shared" ref="EJ139" si="127">EJ138*EJ140/10^6</f>
        <v>25913.520113612794</v>
      </c>
      <c r="EK139" s="1113">
        <f t="shared" ref="EK139" si="128">EK138*EK140/10^6</f>
        <v>26553.923356349809</v>
      </c>
      <c r="EL139" s="1113">
        <f t="shared" ref="EL139" si="129">EL138*EL140/10^6</f>
        <v>26539.223744129224</v>
      </c>
      <c r="EM139" s="1113">
        <f t="shared" ref="EM139" si="130">EM138*EM140/10^6</f>
        <v>27190.439623664195</v>
      </c>
      <c r="EN139" s="1113">
        <f t="shared" ref="EN139" si="131">EN138*EN140/10^6</f>
        <v>27174.316673175003</v>
      </c>
      <c r="EO139" s="1113">
        <f t="shared" ref="EO139" si="132">EO138*EO140/10^6</f>
        <v>27976.499568824231</v>
      </c>
      <c r="EP139" s="1113">
        <f t="shared" ref="EP139" si="133">EP138*EP140/10^6</f>
        <v>27958.827924905861</v>
      </c>
      <c r="EQ139" s="1113">
        <f t="shared" ref="EQ139" si="134">EQ138*EQ140/10^6</f>
        <v>28642.659554408245</v>
      </c>
    </row>
    <row r="140" spans="1:162" ht="13.5" outlineLevel="1">
      <c r="A140" s="748"/>
      <c r="B140" s="1095" t="s">
        <v>998</v>
      </c>
      <c r="C140" s="1033" t="s">
        <v>830</v>
      </c>
      <c r="D140" s="1091">
        <f t="shared" ref="D140:AR140" si="135">D139*10^6/D138</f>
        <v>104691.82389937107</v>
      </c>
      <c r="E140" s="1091">
        <f t="shared" si="135"/>
        <v>102522.25519287834</v>
      </c>
      <c r="F140" s="1091">
        <f t="shared" si="135"/>
        <v>102160.85790884719</v>
      </c>
      <c r="G140" s="1091">
        <f t="shared" si="135"/>
        <v>99730.673316708228</v>
      </c>
      <c r="H140" s="1091">
        <f t="shared" si="135"/>
        <v>98409.921671018281</v>
      </c>
      <c r="I140" s="1091">
        <f t="shared" si="135"/>
        <v>95754.807692307688</v>
      </c>
      <c r="J140" s="1091">
        <f t="shared" si="135"/>
        <v>95043.147208121823</v>
      </c>
      <c r="K140" s="1091">
        <f t="shared" si="135"/>
        <v>92805.08474576271</v>
      </c>
      <c r="L140" s="1091">
        <f t="shared" si="135"/>
        <v>92648.725212464589</v>
      </c>
      <c r="M140" s="1091">
        <f t="shared" si="135"/>
        <v>90793.478260869568</v>
      </c>
      <c r="N140" s="1091">
        <f t="shared" si="135"/>
        <v>90851.002865329516</v>
      </c>
      <c r="O140" s="1091">
        <f t="shared" si="135"/>
        <v>88050.147492625372</v>
      </c>
      <c r="P140" s="1091">
        <f t="shared" si="135"/>
        <v>89431.428571428565</v>
      </c>
      <c r="Q140" s="1091">
        <f t="shared" si="135"/>
        <v>90192.89340101523</v>
      </c>
      <c r="R140" s="1091">
        <f t="shared" si="135"/>
        <v>96203.980099502485</v>
      </c>
      <c r="S140" s="1091">
        <f t="shared" si="135"/>
        <v>95343.115124153497</v>
      </c>
      <c r="T140" s="1091">
        <f t="shared" si="135"/>
        <v>97820.224719101127</v>
      </c>
      <c r="U140" s="1091">
        <f t="shared" si="135"/>
        <v>96288.793103448275</v>
      </c>
      <c r="V140" s="1091">
        <f t="shared" si="135"/>
        <v>92665.271966527202</v>
      </c>
      <c r="W140" s="1091">
        <f t="shared" si="135"/>
        <v>97952.380952380947</v>
      </c>
      <c r="X140" s="1091">
        <f t="shared" si="135"/>
        <v>99170.87378640777</v>
      </c>
      <c r="Y140" s="1091">
        <f t="shared" si="135"/>
        <v>99653.919694072654</v>
      </c>
      <c r="Z140" s="1091">
        <f t="shared" si="135"/>
        <v>100961.46044624747</v>
      </c>
      <c r="AA140" s="1091">
        <f t="shared" si="135"/>
        <v>102689.27789934355</v>
      </c>
      <c r="AB140" s="1091">
        <f t="shared" si="135"/>
        <v>97854.166666666672</v>
      </c>
      <c r="AC140" s="1091">
        <f t="shared" si="135"/>
        <v>102674.03314917127</v>
      </c>
      <c r="AD140" s="1091">
        <f t="shared" si="135"/>
        <v>97333.333333333328</v>
      </c>
      <c r="AE140" s="1091">
        <f t="shared" si="135"/>
        <v>99137.254901960783</v>
      </c>
      <c r="AF140" s="1091">
        <f t="shared" si="135"/>
        <v>100308.05687203791</v>
      </c>
      <c r="AG140" s="1091">
        <f t="shared" si="135"/>
        <v>103546.13466334164</v>
      </c>
      <c r="AH140" s="1091">
        <f t="shared" si="135"/>
        <v>105262.19512195123</v>
      </c>
      <c r="AI140" s="1091">
        <f t="shared" si="135"/>
        <v>104241.59663865546</v>
      </c>
      <c r="AJ140" s="1091">
        <f t="shared" si="135"/>
        <v>109234.88372093023</v>
      </c>
      <c r="AK140" s="1091">
        <f t="shared" si="135"/>
        <v>113782.51599147121</v>
      </c>
      <c r="AL140" s="1091">
        <f t="shared" si="135"/>
        <v>117076.57657657658</v>
      </c>
      <c r="AM140" s="1091">
        <f t="shared" si="135"/>
        <v>127382.89205702647</v>
      </c>
      <c r="AN140" s="1091">
        <f t="shared" si="135"/>
        <v>125514.6771037182</v>
      </c>
      <c r="AO140" s="1091">
        <f t="shared" si="135"/>
        <v>131551.05973025048</v>
      </c>
      <c r="AP140" s="1091">
        <f t="shared" si="135"/>
        <v>132463.07385229541</v>
      </c>
      <c r="AQ140" s="1091">
        <f t="shared" si="135"/>
        <v>136373.77690802349</v>
      </c>
      <c r="AR140" s="1100">
        <f t="shared" si="135"/>
        <v>135987.52598752599</v>
      </c>
      <c r="AS140" s="1115">
        <f t="shared" ref="AS140:AU140" si="136">AS139*10^6/AS138</f>
        <v>134314.22811531744</v>
      </c>
      <c r="AT140" s="1116">
        <f t="shared" si="136"/>
        <v>137478.56458373016</v>
      </c>
      <c r="AU140" s="1116">
        <f t="shared" si="136"/>
        <v>148438.02450663911</v>
      </c>
      <c r="AV140" s="1135">
        <f t="shared" ref="AV140:BD140" si="137">$U$202*AV133+$V$202</f>
        <v>151250</v>
      </c>
      <c r="AW140" s="1135">
        <f t="shared" si="137"/>
        <v>151500</v>
      </c>
      <c r="AX140" s="1135">
        <f t="shared" si="137"/>
        <v>151750</v>
      </c>
      <c r="AY140" s="1135">
        <f t="shared" si="137"/>
        <v>152000</v>
      </c>
      <c r="AZ140" s="1135">
        <f t="shared" si="137"/>
        <v>152250</v>
      </c>
      <c r="BA140" s="1135">
        <f t="shared" si="137"/>
        <v>152500</v>
      </c>
      <c r="BB140" s="1135">
        <f t="shared" si="137"/>
        <v>152750</v>
      </c>
      <c r="BC140" s="1135">
        <f t="shared" si="137"/>
        <v>153000</v>
      </c>
      <c r="BD140" s="1135">
        <f t="shared" si="137"/>
        <v>153250</v>
      </c>
      <c r="BE140" s="1135">
        <f t="shared" ref="BE140:BP140" si="138">$U$203*BE133+$V$203</f>
        <v>153800</v>
      </c>
      <c r="BF140" s="1135">
        <f t="shared" si="138"/>
        <v>153500</v>
      </c>
      <c r="BG140" s="1135">
        <f t="shared" si="138"/>
        <v>153200</v>
      </c>
      <c r="BH140" s="1135">
        <f t="shared" si="138"/>
        <v>152900</v>
      </c>
      <c r="BI140" s="1135">
        <f t="shared" si="138"/>
        <v>152600</v>
      </c>
      <c r="BJ140" s="1135">
        <f t="shared" si="138"/>
        <v>152300</v>
      </c>
      <c r="BK140" s="1135">
        <f t="shared" si="138"/>
        <v>152000</v>
      </c>
      <c r="BL140" s="1135">
        <f t="shared" si="138"/>
        <v>151700</v>
      </c>
      <c r="BM140" s="1135">
        <f t="shared" si="138"/>
        <v>151400</v>
      </c>
      <c r="BN140" s="1135">
        <f t="shared" si="138"/>
        <v>151100</v>
      </c>
      <c r="BO140" s="1135">
        <f t="shared" si="138"/>
        <v>150800</v>
      </c>
      <c r="BP140" s="1135">
        <f t="shared" si="138"/>
        <v>150500</v>
      </c>
      <c r="BQ140" s="1135">
        <f t="shared" ref="BQ140:CB140" si="139">$U$204*BQ133+$V$204</f>
        <v>147200</v>
      </c>
      <c r="BR140" s="1135">
        <f t="shared" si="139"/>
        <v>146400</v>
      </c>
      <c r="BS140" s="1135">
        <f t="shared" si="139"/>
        <v>145600</v>
      </c>
      <c r="BT140" s="1135">
        <f t="shared" si="139"/>
        <v>144800</v>
      </c>
      <c r="BU140" s="1135">
        <f t="shared" si="139"/>
        <v>144000</v>
      </c>
      <c r="BV140" s="1135">
        <f t="shared" si="139"/>
        <v>143200</v>
      </c>
      <c r="BW140" s="1135">
        <f t="shared" si="139"/>
        <v>142400</v>
      </c>
      <c r="BX140" s="1135">
        <f t="shared" si="139"/>
        <v>141600</v>
      </c>
      <c r="BY140" s="1135">
        <f t="shared" si="139"/>
        <v>140800</v>
      </c>
      <c r="BZ140" s="1135">
        <f t="shared" si="139"/>
        <v>140000</v>
      </c>
      <c r="CA140" s="1135">
        <f t="shared" si="139"/>
        <v>139200</v>
      </c>
      <c r="CB140" s="1135">
        <f t="shared" si="139"/>
        <v>138400</v>
      </c>
      <c r="CC140" s="1135">
        <f t="shared" ref="CC140:CN140" si="140">$U$205*CC133+$V$205</f>
        <v>140000</v>
      </c>
      <c r="CD140" s="1135">
        <f t="shared" si="140"/>
        <v>142500</v>
      </c>
      <c r="CE140" s="1135">
        <f t="shared" si="140"/>
        <v>145000</v>
      </c>
      <c r="CF140" s="1135">
        <f t="shared" si="140"/>
        <v>147500</v>
      </c>
      <c r="CG140" s="1135">
        <f t="shared" si="140"/>
        <v>150000</v>
      </c>
      <c r="CH140" s="1135">
        <f t="shared" si="140"/>
        <v>152500</v>
      </c>
      <c r="CI140" s="1135">
        <f t="shared" si="140"/>
        <v>155000</v>
      </c>
      <c r="CJ140" s="1135">
        <f t="shared" si="140"/>
        <v>157500</v>
      </c>
      <c r="CK140" s="1135">
        <f t="shared" si="140"/>
        <v>160000</v>
      </c>
      <c r="CL140" s="1135">
        <f t="shared" si="140"/>
        <v>162500</v>
      </c>
      <c r="CM140" s="1135">
        <f t="shared" si="140"/>
        <v>165000</v>
      </c>
      <c r="CN140" s="1135">
        <f t="shared" si="140"/>
        <v>167500</v>
      </c>
      <c r="CO140" s="1135">
        <f t="shared" ref="CO140:CZ140" si="141">$U$206*CO133+$V$206</f>
        <v>170000</v>
      </c>
      <c r="CP140" s="1135">
        <f t="shared" si="141"/>
        <v>175000</v>
      </c>
      <c r="CQ140" s="1135">
        <f t="shared" si="141"/>
        <v>180000</v>
      </c>
      <c r="CR140" s="1135">
        <f t="shared" si="141"/>
        <v>185000</v>
      </c>
      <c r="CS140" s="1135">
        <f t="shared" si="141"/>
        <v>190000</v>
      </c>
      <c r="CT140" s="1135">
        <f t="shared" si="141"/>
        <v>195000</v>
      </c>
      <c r="CU140" s="1135">
        <f t="shared" si="141"/>
        <v>200000</v>
      </c>
      <c r="CV140" s="1135">
        <f t="shared" si="141"/>
        <v>205000</v>
      </c>
      <c r="CW140" s="1135">
        <f t="shared" si="141"/>
        <v>210000</v>
      </c>
      <c r="CX140" s="1135">
        <f t="shared" si="141"/>
        <v>215000</v>
      </c>
      <c r="CY140" s="1135">
        <f t="shared" si="141"/>
        <v>220000</v>
      </c>
      <c r="CZ140" s="1135">
        <f t="shared" si="141"/>
        <v>225000</v>
      </c>
      <c r="DA140" s="1135">
        <f t="shared" ref="DA140:DL140" si="142">$U$207*DA133+$V$207</f>
        <v>224000</v>
      </c>
      <c r="DB140" s="1135">
        <f t="shared" si="142"/>
        <v>221000</v>
      </c>
      <c r="DC140" s="1135">
        <f t="shared" si="142"/>
        <v>218000</v>
      </c>
      <c r="DD140" s="1135">
        <f t="shared" si="142"/>
        <v>215000</v>
      </c>
      <c r="DE140" s="1135">
        <f t="shared" si="142"/>
        <v>212000</v>
      </c>
      <c r="DF140" s="1135">
        <f t="shared" si="142"/>
        <v>209000</v>
      </c>
      <c r="DG140" s="1135">
        <f t="shared" si="142"/>
        <v>206000</v>
      </c>
      <c r="DH140" s="1135">
        <f t="shared" si="142"/>
        <v>203000</v>
      </c>
      <c r="DI140" s="1135">
        <f t="shared" si="142"/>
        <v>200000</v>
      </c>
      <c r="DJ140" s="1135">
        <f t="shared" si="142"/>
        <v>197000</v>
      </c>
      <c r="DK140" s="1135">
        <f t="shared" si="142"/>
        <v>194000</v>
      </c>
      <c r="DL140" s="1135">
        <f t="shared" si="142"/>
        <v>191000</v>
      </c>
      <c r="DM140" s="1135">
        <f t="shared" ref="DM140:DX140" si="143">$U$208*DM133+$V$208</f>
        <v>188200</v>
      </c>
      <c r="DN140" s="1135">
        <f t="shared" si="143"/>
        <v>187000</v>
      </c>
      <c r="DO140" s="1135">
        <f t="shared" si="143"/>
        <v>185800</v>
      </c>
      <c r="DP140" s="1135">
        <f t="shared" si="143"/>
        <v>184600</v>
      </c>
      <c r="DQ140" s="1135">
        <f t="shared" si="143"/>
        <v>183400</v>
      </c>
      <c r="DR140" s="1135">
        <f t="shared" si="143"/>
        <v>182200</v>
      </c>
      <c r="DS140" s="1135">
        <f t="shared" si="143"/>
        <v>181000</v>
      </c>
      <c r="DT140" s="1135">
        <f t="shared" si="143"/>
        <v>179800</v>
      </c>
      <c r="DU140" s="1135">
        <f t="shared" si="143"/>
        <v>178600</v>
      </c>
      <c r="DV140" s="1135">
        <f t="shared" si="143"/>
        <v>177400</v>
      </c>
      <c r="DW140" s="1135">
        <f t="shared" si="143"/>
        <v>176200</v>
      </c>
      <c r="DX140" s="1135">
        <f t="shared" si="143"/>
        <v>175000</v>
      </c>
      <c r="DY140" s="1135">
        <f t="shared" ref="DY140:EJ140" si="144">$U$209*DY133+$V$209</f>
        <v>181000</v>
      </c>
      <c r="DZ140" s="1135">
        <f t="shared" si="144"/>
        <v>184500</v>
      </c>
      <c r="EA140" s="1135">
        <f t="shared" si="144"/>
        <v>188000</v>
      </c>
      <c r="EB140" s="1135">
        <f t="shared" si="144"/>
        <v>191500</v>
      </c>
      <c r="EC140" s="1135">
        <f t="shared" si="144"/>
        <v>195000</v>
      </c>
      <c r="ED140" s="1135">
        <f t="shared" si="144"/>
        <v>198500</v>
      </c>
      <c r="EE140" s="1135">
        <f t="shared" si="144"/>
        <v>202000</v>
      </c>
      <c r="EF140" s="1135">
        <f t="shared" si="144"/>
        <v>205500</v>
      </c>
      <c r="EG140" s="1135">
        <f t="shared" si="144"/>
        <v>209000</v>
      </c>
      <c r="EH140" s="1135">
        <f t="shared" si="144"/>
        <v>212500</v>
      </c>
      <c r="EI140" s="1135">
        <f t="shared" si="144"/>
        <v>216000</v>
      </c>
      <c r="EJ140" s="1135">
        <f t="shared" si="144"/>
        <v>219500</v>
      </c>
      <c r="EK140" s="1135">
        <f t="shared" ref="EK140:EQ140" si="145">$U$210*EK133+$V$210</f>
        <v>219438.56</v>
      </c>
      <c r="EL140" s="1135">
        <f t="shared" si="145"/>
        <v>220419.18</v>
      </c>
      <c r="EM140" s="1135">
        <f t="shared" si="145"/>
        <v>221399.8</v>
      </c>
      <c r="EN140" s="1135">
        <f t="shared" si="145"/>
        <v>222380.42</v>
      </c>
      <c r="EO140" s="1135">
        <f t="shared" si="145"/>
        <v>223361.04</v>
      </c>
      <c r="EP140" s="1135">
        <f t="shared" si="145"/>
        <v>224341.66</v>
      </c>
      <c r="EQ140" s="1135">
        <f t="shared" si="145"/>
        <v>225322.28</v>
      </c>
    </row>
    <row r="141" spans="1:162" outlineLevel="1">
      <c r="A141" s="748"/>
      <c r="B141" s="443"/>
      <c r="C141" s="443"/>
      <c r="D141" s="443"/>
      <c r="E141" s="443"/>
      <c r="F141" s="443"/>
      <c r="G141" s="443"/>
      <c r="H141" s="443"/>
      <c r="I141" s="443"/>
      <c r="J141" s="443"/>
      <c r="K141" s="443"/>
    </row>
    <row r="142" spans="1:162" outlineLevel="1">
      <c r="A142" s="748"/>
      <c r="C142" s="443"/>
      <c r="D142" s="443"/>
      <c r="E142" s="443"/>
      <c r="F142" s="443"/>
      <c r="G142" s="443"/>
      <c r="H142" s="443"/>
      <c r="I142" s="443"/>
      <c r="J142" s="443"/>
      <c r="K142" s="443"/>
    </row>
    <row r="143" spans="1:162" outlineLevel="1">
      <c r="A143" s="748"/>
      <c r="C143" s="443"/>
      <c r="D143" s="1486">
        <v>2014</v>
      </c>
      <c r="E143" s="1487"/>
      <c r="F143" s="1487"/>
      <c r="G143" s="1488"/>
      <c r="H143" s="1486">
        <v>2015</v>
      </c>
      <c r="I143" s="1487"/>
      <c r="J143" s="1487"/>
      <c r="K143" s="1488"/>
      <c r="L143" s="1486">
        <v>2016</v>
      </c>
      <c r="M143" s="1487"/>
      <c r="N143" s="1487"/>
      <c r="O143" s="1488"/>
      <c r="P143" s="1486">
        <v>2017</v>
      </c>
      <c r="Q143" s="1487"/>
      <c r="R143" s="1487"/>
      <c r="S143" s="1488"/>
      <c r="T143" s="1486">
        <v>2018</v>
      </c>
      <c r="U143" s="1487"/>
      <c r="V143" s="1487"/>
      <c r="W143" s="1488"/>
      <c r="X143" s="1486">
        <v>2019</v>
      </c>
      <c r="Y143" s="1487"/>
      <c r="Z143" s="1487"/>
      <c r="AA143" s="1488"/>
      <c r="AB143" s="1486">
        <v>2020</v>
      </c>
      <c r="AC143" s="1487"/>
      <c r="AD143" s="1487"/>
      <c r="AE143" s="1488"/>
      <c r="AF143" s="1486">
        <v>2021</v>
      </c>
      <c r="AG143" s="1487"/>
      <c r="AH143" s="1487"/>
      <c r="AI143" s="1488"/>
      <c r="AJ143" s="1486">
        <v>2022</v>
      </c>
      <c r="AK143" s="1487"/>
      <c r="AL143" s="1487"/>
      <c r="AM143" s="1488"/>
      <c r="AN143" s="1486">
        <v>2023</v>
      </c>
      <c r="AO143" s="1487"/>
      <c r="AP143" s="1487"/>
      <c r="AQ143" s="1488"/>
      <c r="AR143" s="1486">
        <v>2024</v>
      </c>
      <c r="AS143" s="1487"/>
      <c r="AT143" s="1487"/>
      <c r="AU143" s="1488"/>
      <c r="AV143" s="1486">
        <v>2025</v>
      </c>
      <c r="AW143" s="1487"/>
      <c r="AX143" s="1487"/>
      <c r="AY143" s="1488"/>
      <c r="AZ143" s="1486">
        <v>2026</v>
      </c>
      <c r="BA143" s="1487"/>
      <c r="BB143" s="1487"/>
      <c r="BC143" s="1488"/>
      <c r="BD143" s="1486">
        <v>2027</v>
      </c>
      <c r="BE143" s="1487"/>
      <c r="BF143" s="1487"/>
      <c r="BG143" s="1488"/>
      <c r="BH143" s="1486">
        <v>2028</v>
      </c>
      <c r="BI143" s="1487"/>
      <c r="BJ143" s="1487"/>
      <c r="BK143" s="1488"/>
      <c r="BL143" s="1486">
        <v>2029</v>
      </c>
      <c r="BM143" s="1487"/>
      <c r="BN143" s="1487"/>
      <c r="BO143" s="1488"/>
      <c r="BP143" s="1486">
        <v>2030</v>
      </c>
      <c r="BQ143" s="1487"/>
      <c r="BR143" s="1487"/>
      <c r="BS143" s="1488"/>
      <c r="BT143" s="1486">
        <v>2031</v>
      </c>
      <c r="BU143" s="1487"/>
      <c r="BV143" s="1487"/>
      <c r="BW143" s="1488"/>
      <c r="BX143" s="1486">
        <v>2032</v>
      </c>
      <c r="BY143" s="1487"/>
      <c r="BZ143" s="1487"/>
      <c r="CA143" s="1488"/>
      <c r="CB143" s="1486">
        <v>2033</v>
      </c>
      <c r="CC143" s="1487"/>
      <c r="CD143" s="1487"/>
      <c r="CE143" s="1488"/>
      <c r="CF143" s="1486">
        <v>2034</v>
      </c>
      <c r="CG143" s="1487"/>
      <c r="CH143" s="1487"/>
      <c r="CI143" s="1488"/>
      <c r="CJ143" s="1486">
        <v>2035</v>
      </c>
      <c r="CK143" s="1487"/>
      <c r="CL143" s="1487"/>
      <c r="CM143" s="1488"/>
      <c r="CN143" s="1486">
        <v>2036</v>
      </c>
      <c r="CO143" s="1487"/>
      <c r="CP143" s="1487"/>
      <c r="CQ143" s="1488"/>
      <c r="CR143" s="1486">
        <v>2037</v>
      </c>
      <c r="CS143" s="1487"/>
      <c r="CT143" s="1487"/>
      <c r="CU143" s="1488"/>
      <c r="CV143" s="1486">
        <v>2038</v>
      </c>
      <c r="CW143" s="1487"/>
      <c r="CX143" s="1487"/>
      <c r="CY143" s="1488"/>
      <c r="CZ143" s="1486">
        <v>2039</v>
      </c>
      <c r="DA143" s="1487"/>
      <c r="DB143" s="1487"/>
      <c r="DC143" s="1488"/>
      <c r="DD143" s="1486">
        <v>2040</v>
      </c>
      <c r="DE143" s="1487"/>
      <c r="DF143" s="1487"/>
      <c r="DG143" s="1488"/>
      <c r="DH143" s="1486">
        <v>2041</v>
      </c>
      <c r="DI143" s="1487"/>
      <c r="DJ143" s="1487"/>
      <c r="DK143" s="1488"/>
      <c r="DL143" s="1486">
        <v>2042</v>
      </c>
      <c r="DM143" s="1487"/>
      <c r="DN143" s="1487"/>
      <c r="DO143" s="1488"/>
      <c r="DP143" s="1486">
        <v>2043</v>
      </c>
      <c r="DQ143" s="1487"/>
      <c r="DR143" s="1487"/>
      <c r="DS143" s="1488"/>
      <c r="DT143" s="1486">
        <v>2044</v>
      </c>
      <c r="DU143" s="1487"/>
      <c r="DV143" s="1487"/>
      <c r="DW143" s="1488"/>
      <c r="DX143" s="1486">
        <v>2045</v>
      </c>
      <c r="DY143" s="1487"/>
      <c r="DZ143" s="1487"/>
      <c r="EA143" s="1488"/>
      <c r="EB143" s="1486">
        <v>2046</v>
      </c>
      <c r="EC143" s="1487"/>
      <c r="ED143" s="1487"/>
      <c r="EE143" s="1488"/>
      <c r="EF143" s="1486">
        <v>2047</v>
      </c>
      <c r="EG143" s="1487"/>
      <c r="EH143" s="1487"/>
      <c r="EI143" s="1488"/>
      <c r="EJ143" s="1486">
        <v>2048</v>
      </c>
      <c r="EK143" s="1487"/>
      <c r="EL143" s="1487"/>
      <c r="EM143" s="1488"/>
      <c r="EN143" s="1486">
        <v>2049</v>
      </c>
      <c r="EO143" s="1487"/>
      <c r="EP143" s="1487"/>
      <c r="EQ143" s="1488"/>
    </row>
    <row r="144" spans="1:162" ht="13.5" outlineLevel="1">
      <c r="A144" s="748"/>
      <c r="B144" s="1497" t="s">
        <v>999</v>
      </c>
      <c r="C144" s="1498"/>
      <c r="D144" s="1125"/>
      <c r="E144" s="1125">
        <f>E138/D138-1</f>
        <v>5.9748427672956073E-2</v>
      </c>
      <c r="F144" s="1125">
        <f t="shared" ref="F144:AU144" si="146">F138/E138-1</f>
        <v>0.10682492581602365</v>
      </c>
      <c r="G144" s="1125">
        <f t="shared" si="146"/>
        <v>7.5067024128686377E-2</v>
      </c>
      <c r="H144" s="1125">
        <f t="shared" si="146"/>
        <v>-4.4887780548628409E-2</v>
      </c>
      <c r="I144" s="1125">
        <f t="shared" si="146"/>
        <v>8.6161879895561455E-2</v>
      </c>
      <c r="J144" s="1125">
        <f t="shared" si="146"/>
        <v>-5.2884615384615419E-2</v>
      </c>
      <c r="K144" s="1125">
        <f t="shared" si="146"/>
        <v>-0.10152284263959388</v>
      </c>
      <c r="L144" s="1125">
        <f t="shared" si="146"/>
        <v>-2.8248587570621764E-3</v>
      </c>
      <c r="M144" s="1125">
        <f t="shared" si="146"/>
        <v>4.2492917847025469E-2</v>
      </c>
      <c r="N144" s="1125">
        <f t="shared" si="146"/>
        <v>-5.1630434782608647E-2</v>
      </c>
      <c r="O144" s="1125">
        <f t="shared" si="146"/>
        <v>-2.8653295128939882E-2</v>
      </c>
      <c r="P144" s="1125">
        <f t="shared" si="146"/>
        <v>3.2448377581120846E-2</v>
      </c>
      <c r="Q144" s="1125">
        <f t="shared" si="146"/>
        <v>0.12571428571428567</v>
      </c>
      <c r="R144" s="1125">
        <f t="shared" si="146"/>
        <v>2.0304568527918843E-2</v>
      </c>
      <c r="S144" s="1125">
        <f t="shared" si="146"/>
        <v>0.10199004975124382</v>
      </c>
      <c r="T144" s="1125">
        <f t="shared" si="146"/>
        <v>4.5146726862301811E-3</v>
      </c>
      <c r="U144" s="1125">
        <f t="shared" si="146"/>
        <v>4.2696629213483162E-2</v>
      </c>
      <c r="V144" s="1125">
        <f t="shared" si="146"/>
        <v>3.0172413793103425E-2</v>
      </c>
      <c r="W144" s="1125">
        <f t="shared" si="146"/>
        <v>5.439330543933063E-2</v>
      </c>
      <c r="X144" s="1125">
        <f t="shared" si="146"/>
        <v>2.1825396825396748E-2</v>
      </c>
      <c r="Y144" s="1125">
        <f t="shared" si="146"/>
        <v>1.5533980582524309E-2</v>
      </c>
      <c r="Z144" s="1125">
        <f t="shared" si="146"/>
        <v>-5.7361376673040199E-2</v>
      </c>
      <c r="AA144" s="1125">
        <f t="shared" si="146"/>
        <v>-7.3022312373225207E-2</v>
      </c>
      <c r="AB144" s="1125">
        <f t="shared" si="146"/>
        <v>-0.15973741794310725</v>
      </c>
      <c r="AC144" s="1125">
        <f t="shared" si="146"/>
        <v>-0.52864583333333326</v>
      </c>
      <c r="AD144" s="1125">
        <f t="shared" si="146"/>
        <v>0.98895027624309395</v>
      </c>
      <c r="AE144" s="1125">
        <f t="shared" si="146"/>
        <v>0.1333333333333333</v>
      </c>
      <c r="AF144" s="1125">
        <f t="shared" si="146"/>
        <v>3.4313725490196179E-2</v>
      </c>
      <c r="AG144" s="1125">
        <f t="shared" si="146"/>
        <v>-4.9763033175355464E-2</v>
      </c>
      <c r="AH144" s="1125">
        <f t="shared" si="146"/>
        <v>-0.18204488778054861</v>
      </c>
      <c r="AI144" s="1125">
        <f t="shared" si="146"/>
        <v>0.45121951219512191</v>
      </c>
      <c r="AJ144" s="1125">
        <f t="shared" si="146"/>
        <v>-9.6638655462184864E-2</v>
      </c>
      <c r="AK144" s="1125">
        <f t="shared" si="146"/>
        <v>9.0697674418604546E-2</v>
      </c>
      <c r="AL144" s="1125">
        <f t="shared" si="146"/>
        <v>-5.3304904051172719E-2</v>
      </c>
      <c r="AM144" s="1125">
        <f t="shared" si="146"/>
        <v>0.10585585585585577</v>
      </c>
      <c r="AN144" s="1125">
        <f t="shared" si="146"/>
        <v>4.0733197556008127E-2</v>
      </c>
      <c r="AO144" s="1125">
        <f t="shared" si="146"/>
        <v>1.5655577299412915E-2</v>
      </c>
      <c r="AP144" s="1125">
        <f t="shared" si="146"/>
        <v>-3.4682080924855474E-2</v>
      </c>
      <c r="AQ144" s="1125">
        <f t="shared" si="146"/>
        <v>1.9960079840319445E-2</v>
      </c>
      <c r="AR144" s="1125">
        <f t="shared" si="146"/>
        <v>-5.8708414872798431E-2</v>
      </c>
      <c r="AS144" s="1117">
        <f t="shared" si="146"/>
        <v>-2.0790020790020236E-3</v>
      </c>
      <c r="AT144" s="1117">
        <f t="shared" si="146"/>
        <v>6.2500000000000888E-3</v>
      </c>
      <c r="AU144" s="1117">
        <f t="shared" si="146"/>
        <v>0</v>
      </c>
      <c r="AV144" s="1117" cm="1">
        <f t="array" ref="AV144:AY144">D174:G174</f>
        <v>-2.2896175744482904E-2</v>
      </c>
      <c r="AW144" s="1117">
        <v>4.7659815496499794E-2</v>
      </c>
      <c r="AX144" s="1117">
        <v>-1.1570187959905817E-2</v>
      </c>
      <c r="AY144" s="1117">
        <v>3.1933466467445597E-2</v>
      </c>
      <c r="AZ144" s="1117" cm="1">
        <f t="array" ref="AZ144:BC144">D174:G174</f>
        <v>-2.2896175744482904E-2</v>
      </c>
      <c r="BA144" s="1117">
        <v>4.7659815496499794E-2</v>
      </c>
      <c r="BB144" s="1117">
        <v>-1.1570187959905817E-2</v>
      </c>
      <c r="BC144" s="1117">
        <v>3.1933466467445597E-2</v>
      </c>
      <c r="BD144" s="1117" cm="1">
        <f t="array" ref="BD144:BG144">D174:G174</f>
        <v>-2.2896175744482904E-2</v>
      </c>
      <c r="BE144" s="1117">
        <v>4.7659815496499794E-2</v>
      </c>
      <c r="BF144" s="1117">
        <v>-1.1570187959905817E-2</v>
      </c>
      <c r="BG144" s="1118">
        <v>3.1933466467445597E-2</v>
      </c>
      <c r="BH144" s="1119" cm="1">
        <f t="array" ref="BH144:BK144">D174:G174</f>
        <v>-2.2896175744482904E-2</v>
      </c>
      <c r="BI144" s="1117">
        <v>4.7659815496499794E-2</v>
      </c>
      <c r="BJ144" s="1117">
        <v>-1.1570187959905817E-2</v>
      </c>
      <c r="BK144" s="1117">
        <v>3.1933466467445597E-2</v>
      </c>
      <c r="BL144" s="1117">
        <v>-0.01</v>
      </c>
      <c r="BM144" s="1117">
        <v>0.04</v>
      </c>
      <c r="BN144" s="1117">
        <v>-0.01</v>
      </c>
      <c r="BO144" s="1117">
        <v>0.03</v>
      </c>
      <c r="BP144" s="1117">
        <v>-0.01</v>
      </c>
      <c r="BQ144" s="1117">
        <v>0.04</v>
      </c>
      <c r="BR144" s="1117">
        <v>-0.01</v>
      </c>
      <c r="BS144" s="1117">
        <v>0.03</v>
      </c>
      <c r="BT144" s="1117">
        <v>-0.01</v>
      </c>
      <c r="BU144" s="1117">
        <v>0.04</v>
      </c>
      <c r="BV144" s="1117">
        <v>-0.01</v>
      </c>
      <c r="BW144" s="1117">
        <v>0.03</v>
      </c>
      <c r="BX144" s="1117">
        <v>-0.01</v>
      </c>
      <c r="BY144" s="1117">
        <v>0.04</v>
      </c>
      <c r="BZ144" s="1117">
        <v>-0.01</v>
      </c>
      <c r="CA144" s="1117">
        <v>0.03</v>
      </c>
      <c r="CB144" s="1117">
        <v>-0.01</v>
      </c>
      <c r="CC144" s="1117">
        <v>0.04</v>
      </c>
      <c r="CD144" s="1117">
        <v>-0.01</v>
      </c>
      <c r="CE144" s="1117">
        <v>0.03</v>
      </c>
      <c r="CF144" s="1117">
        <v>-5.0000000000000001E-3</v>
      </c>
      <c r="CG144" s="1117">
        <v>2.5000000000000001E-2</v>
      </c>
      <c r="CH144" s="1117">
        <v>-5.0000000000000001E-3</v>
      </c>
      <c r="CI144" s="1117">
        <v>0.02</v>
      </c>
      <c r="CJ144" s="1117">
        <v>-5.0000000000000001E-3</v>
      </c>
      <c r="CK144" s="1117">
        <v>2.5000000000000001E-2</v>
      </c>
      <c r="CL144" s="1117">
        <v>-5.0000000000000001E-3</v>
      </c>
      <c r="CM144" s="1117">
        <v>0.02</v>
      </c>
      <c r="CN144" s="1117">
        <v>-5.0000000000000001E-3</v>
      </c>
      <c r="CO144" s="1117">
        <v>2.5000000000000001E-2</v>
      </c>
      <c r="CP144" s="1117">
        <v>-5.0000000000000001E-3</v>
      </c>
      <c r="CQ144" s="1117">
        <v>0.02</v>
      </c>
      <c r="CR144" s="1117">
        <v>-5.0000000000000001E-3</v>
      </c>
      <c r="CS144" s="1117">
        <v>2.5000000000000001E-2</v>
      </c>
      <c r="CT144" s="1117">
        <v>-5.0000000000000001E-3</v>
      </c>
      <c r="CU144" s="1117">
        <v>0.02</v>
      </c>
      <c r="CV144" s="1117">
        <v>-5.0000000000000001E-3</v>
      </c>
      <c r="CW144" s="1117">
        <v>2.5000000000000001E-2</v>
      </c>
      <c r="CX144" s="1117">
        <v>-5.0000000000000001E-3</v>
      </c>
      <c r="CY144" s="1117">
        <v>0.02</v>
      </c>
      <c r="CZ144" s="1117">
        <v>-5.0000000000000001E-3</v>
      </c>
      <c r="DA144" s="1117">
        <v>2.5000000000000001E-2</v>
      </c>
      <c r="DB144" s="1117">
        <v>-5.0000000000000001E-3</v>
      </c>
      <c r="DC144" s="1117">
        <v>0.02</v>
      </c>
      <c r="DD144" s="1117">
        <v>-5.0000000000000001E-3</v>
      </c>
      <c r="DE144" s="1117">
        <v>2.5000000000000001E-2</v>
      </c>
      <c r="DF144" s="1117">
        <v>-5.0000000000000001E-3</v>
      </c>
      <c r="DG144" s="1117">
        <v>0.02</v>
      </c>
      <c r="DH144" s="1117">
        <v>-5.0000000000000001E-3</v>
      </c>
      <c r="DI144" s="1117">
        <v>2.5000000000000001E-2</v>
      </c>
      <c r="DJ144" s="1117">
        <v>-5.0000000000000001E-3</v>
      </c>
      <c r="DK144" s="1117">
        <v>0.02</v>
      </c>
      <c r="DL144" s="1117">
        <v>-5.0000000000000001E-3</v>
      </c>
      <c r="DM144" s="1117">
        <v>2.5000000000000001E-2</v>
      </c>
      <c r="DN144" s="1117">
        <v>-5.0000000000000001E-3</v>
      </c>
      <c r="DO144" s="1117">
        <v>0.02</v>
      </c>
      <c r="DP144" s="1117">
        <v>-5.0000000000000001E-3</v>
      </c>
      <c r="DQ144" s="1117">
        <v>2.5000000000000001E-2</v>
      </c>
      <c r="DR144" s="1117">
        <v>-5.0000000000000001E-3</v>
      </c>
      <c r="DS144" s="1117">
        <v>0.02</v>
      </c>
      <c r="DT144" s="1117">
        <v>-5.0000000000000001E-3</v>
      </c>
      <c r="DU144" s="1117">
        <v>2.5000000000000001E-2</v>
      </c>
      <c r="DV144" s="1117">
        <v>-5.0000000000000001E-3</v>
      </c>
      <c r="DW144" s="1117">
        <v>0.02</v>
      </c>
      <c r="DX144" s="1117">
        <v>-5.0000000000000001E-3</v>
      </c>
      <c r="DY144" s="1117">
        <v>2.5000000000000001E-2</v>
      </c>
      <c r="DZ144" s="1117">
        <v>-5.0000000000000001E-3</v>
      </c>
      <c r="EA144" s="1117">
        <v>0.02</v>
      </c>
      <c r="EB144" s="1117">
        <v>-5.0000000000000001E-3</v>
      </c>
      <c r="EC144" s="1117">
        <v>2.5000000000000001E-2</v>
      </c>
      <c r="ED144" s="1117">
        <v>-5.0000000000000001E-3</v>
      </c>
      <c r="EE144" s="1117">
        <v>0.02</v>
      </c>
      <c r="EF144" s="1117">
        <v>-5.0000000000000001E-3</v>
      </c>
      <c r="EG144" s="1117">
        <v>2.5000000000000001E-2</v>
      </c>
      <c r="EH144" s="1117">
        <v>-5.0000000000000001E-3</v>
      </c>
      <c r="EI144" s="1117">
        <v>0.02</v>
      </c>
      <c r="EJ144" s="1117">
        <v>-5.0000000000000001E-3</v>
      </c>
      <c r="EK144" s="1117">
        <v>2.5000000000000001E-2</v>
      </c>
      <c r="EL144" s="1117">
        <v>-5.0000000000000001E-3</v>
      </c>
      <c r="EM144" s="1117">
        <v>0.02</v>
      </c>
      <c r="EN144" s="1117">
        <v>-5.0000000000000001E-3</v>
      </c>
      <c r="EO144" s="1117">
        <v>2.5000000000000001E-2</v>
      </c>
      <c r="EP144" s="1117">
        <v>-5.0000000000000001E-3</v>
      </c>
      <c r="EQ144" s="1117">
        <v>0.02</v>
      </c>
    </row>
    <row r="145" spans="1:147" ht="13.5" outlineLevel="1">
      <c r="A145" s="748"/>
      <c r="B145" s="1489" t="s">
        <v>1000</v>
      </c>
      <c r="C145" s="1490"/>
      <c r="D145" s="1031"/>
      <c r="E145" s="1031"/>
      <c r="F145" s="1031"/>
      <c r="G145" s="1031"/>
      <c r="H145" s="1031"/>
      <c r="I145" s="1031"/>
      <c r="J145" s="1031"/>
      <c r="K145" s="1031"/>
      <c r="L145" s="1031"/>
      <c r="M145" s="1031"/>
      <c r="N145" s="1031"/>
      <c r="O145" s="1031"/>
      <c r="P145" s="1031"/>
      <c r="Q145" s="1031"/>
      <c r="R145" s="1031"/>
      <c r="S145" s="1031"/>
      <c r="T145" s="1031"/>
      <c r="U145" s="1031"/>
      <c r="V145" s="1031"/>
      <c r="W145" s="1031"/>
      <c r="X145" s="1031"/>
      <c r="Y145" s="1031"/>
      <c r="Z145" s="1031"/>
      <c r="AA145" s="1031"/>
      <c r="AB145" s="1031"/>
      <c r="AC145" s="1031"/>
      <c r="AD145" s="1031"/>
      <c r="AE145" s="1031"/>
      <c r="AF145" s="1031"/>
      <c r="AG145" s="1031"/>
      <c r="AH145" s="1031"/>
      <c r="AI145" s="1031"/>
      <c r="AJ145" s="1031"/>
      <c r="AK145" s="1031"/>
      <c r="AL145" s="1031"/>
      <c r="AM145" s="1031"/>
      <c r="AN145" s="1031"/>
      <c r="AO145" s="1031"/>
      <c r="AP145" s="1031"/>
      <c r="AQ145" s="1031"/>
      <c r="AR145" s="1031"/>
      <c r="AS145" s="1133"/>
      <c r="AT145" s="1133"/>
      <c r="AU145" s="1133"/>
      <c r="AV145" s="1120"/>
      <c r="AW145" s="1120"/>
      <c r="AX145" s="1120"/>
      <c r="AY145" s="1122"/>
      <c r="AZ145" s="1120"/>
      <c r="BA145" s="1120"/>
      <c r="BB145" s="1120"/>
      <c r="BC145" s="1120"/>
      <c r="BD145" s="1120"/>
      <c r="BE145" s="1120"/>
      <c r="BF145" s="1120"/>
      <c r="BG145" s="1121"/>
      <c r="BH145" s="1122"/>
      <c r="BI145" s="1120"/>
      <c r="BJ145" s="1120"/>
      <c r="BK145" s="1120"/>
      <c r="BL145" s="1120"/>
      <c r="BM145" s="1120"/>
      <c r="BN145" s="1120"/>
      <c r="BO145" s="1120"/>
      <c r="BP145" s="1120"/>
      <c r="BQ145" s="1120"/>
      <c r="BR145" s="1120"/>
      <c r="BS145" s="1120"/>
      <c r="BT145" s="1120"/>
      <c r="BU145" s="1120"/>
      <c r="BV145" s="1120"/>
      <c r="BW145" s="1120"/>
      <c r="BX145" s="1120"/>
      <c r="BY145" s="1120"/>
      <c r="BZ145" s="1120"/>
      <c r="CA145" s="1120"/>
      <c r="CB145" s="1120"/>
      <c r="CC145" s="1120"/>
      <c r="CD145" s="1120"/>
      <c r="CE145" s="1120"/>
      <c r="CF145" s="1120"/>
      <c r="CG145" s="1120"/>
      <c r="CH145" s="1120"/>
      <c r="CI145" s="1120"/>
      <c r="CJ145" s="1120"/>
      <c r="CK145" s="1120"/>
      <c r="CL145" s="1120"/>
      <c r="CM145" s="1120"/>
      <c r="CN145" s="1120"/>
      <c r="CO145" s="1120"/>
      <c r="CP145" s="1120"/>
      <c r="CQ145" s="1120"/>
      <c r="CR145" s="1120"/>
      <c r="CS145" s="1120"/>
      <c r="CT145" s="1120"/>
      <c r="CU145" s="1120"/>
      <c r="CV145" s="1120"/>
      <c r="CW145" s="1120"/>
      <c r="CX145" s="1120"/>
      <c r="CY145" s="1120"/>
      <c r="CZ145" s="1120"/>
      <c r="DA145" s="1120"/>
      <c r="DB145" s="1120"/>
      <c r="DC145" s="1120"/>
      <c r="DD145" s="1120"/>
      <c r="DE145" s="1120"/>
      <c r="DF145" s="1120"/>
      <c r="DG145" s="1120"/>
      <c r="DH145" s="1120"/>
      <c r="DI145" s="1120"/>
      <c r="DJ145" s="1120"/>
      <c r="DK145" s="1120"/>
      <c r="DL145" s="1120"/>
      <c r="DM145" s="1120"/>
      <c r="DN145" s="1120"/>
      <c r="DO145" s="1120"/>
      <c r="DP145" s="1120"/>
      <c r="DQ145" s="1120"/>
      <c r="DR145" s="1120"/>
      <c r="DS145" s="1120"/>
      <c r="DT145" s="1120"/>
      <c r="DU145" s="1120"/>
      <c r="DV145" s="1120"/>
      <c r="DW145" s="1120"/>
      <c r="DX145" s="1120"/>
      <c r="DY145" s="1120"/>
      <c r="DZ145" s="1120"/>
      <c r="EA145" s="1120"/>
      <c r="EB145" s="1120"/>
      <c r="EC145" s="1120"/>
      <c r="ED145" s="1120"/>
      <c r="EE145" s="1120"/>
      <c r="EF145" s="1120"/>
      <c r="EG145" s="1120"/>
      <c r="EH145" s="1120"/>
      <c r="EI145" s="1120"/>
      <c r="EJ145" s="1120"/>
      <c r="EK145" s="1120"/>
      <c r="EL145" s="1120"/>
      <c r="EM145" s="1120"/>
      <c r="EN145" s="1120"/>
      <c r="EO145" s="1120"/>
      <c r="EP145" s="1120"/>
      <c r="EQ145" s="1120"/>
    </row>
    <row r="146" spans="1:147" outlineLevel="1">
      <c r="A146" s="748"/>
      <c r="B146" s="1497" t="s">
        <v>1001</v>
      </c>
      <c r="C146" s="1498"/>
      <c r="D146" s="1491">
        <f t="shared" ref="D146" si="147">SUM(D139:G139)</f>
        <v>14594</v>
      </c>
      <c r="E146" s="1492"/>
      <c r="F146" s="1492"/>
      <c r="G146" s="1493"/>
      <c r="H146" s="1491">
        <f t="shared" ref="H146" si="148">SUM(H139:K139)</f>
        <v>14782.5</v>
      </c>
      <c r="I146" s="1492"/>
      <c r="J146" s="1492"/>
      <c r="K146" s="1493"/>
      <c r="L146" s="1491">
        <f t="shared" ref="L146" si="149">SUM(L139:O139)</f>
        <v>12767.3</v>
      </c>
      <c r="M146" s="1492"/>
      <c r="N146" s="1492"/>
      <c r="O146" s="1493"/>
      <c r="P146" s="1491">
        <f t="shared" ref="P146" si="150">SUM(P139:S139)</f>
        <v>14774.8</v>
      </c>
      <c r="Q146" s="1492"/>
      <c r="R146" s="1492"/>
      <c r="S146" s="1493"/>
      <c r="T146" s="1491">
        <f t="shared" ref="T146" si="151">SUM(T139:W139)</f>
        <v>18187</v>
      </c>
      <c r="U146" s="1492"/>
      <c r="V146" s="1492"/>
      <c r="W146" s="1493"/>
      <c r="X146" s="1491">
        <f t="shared" ref="X146" si="152">SUM(X139:AA139)</f>
        <v>19989.5</v>
      </c>
      <c r="Y146" s="1492"/>
      <c r="Z146" s="1492"/>
      <c r="AA146" s="1493"/>
      <c r="AB146" s="1491">
        <f t="shared" ref="AB146" si="153">SUM(AB139:AE139)</f>
        <v>13164.8</v>
      </c>
      <c r="AC146" s="1492"/>
      <c r="AD146" s="1492"/>
      <c r="AE146" s="1493"/>
      <c r="AF146" s="1491">
        <f t="shared" ref="AF146" si="154">SUM(AF139:AI139)</f>
        <v>16799.7</v>
      </c>
      <c r="AG146" s="1492"/>
      <c r="AH146" s="1492"/>
      <c r="AI146" s="1493"/>
      <c r="AJ146" s="1491">
        <f t="shared" ref="AJ146" si="155">SUM(AJ139:AM139)</f>
        <v>21486.2</v>
      </c>
      <c r="AK146" s="1492"/>
      <c r="AL146" s="1492"/>
      <c r="AM146" s="1493"/>
      <c r="AN146" s="1491">
        <f t="shared" ref="AN146" si="156">SUM(AN139:AQ139)</f>
        <v>26846.399999999998</v>
      </c>
      <c r="AO146" s="1492"/>
      <c r="AP146" s="1492"/>
      <c r="AQ146" s="1493"/>
      <c r="AR146" s="1478">
        <f t="shared" ref="AR146" si="157">SUM(AR139:AU139)</f>
        <v>26797.854202600072</v>
      </c>
      <c r="AS146" s="1479"/>
      <c r="AT146" s="1479"/>
      <c r="AU146" s="1480"/>
      <c r="AV146" s="1478">
        <f>SUM(AV139:AY139)</f>
        <v>29710.657254842499</v>
      </c>
      <c r="AW146" s="1479"/>
      <c r="AX146" s="1479"/>
      <c r="AY146" s="1480"/>
      <c r="AZ146" s="1478">
        <f>SUM(AZ139:BC139)</f>
        <v>31226.660756758662</v>
      </c>
      <c r="BA146" s="1479"/>
      <c r="BB146" s="1479"/>
      <c r="BC146" s="1480"/>
      <c r="BD146" s="1478">
        <f t="shared" ref="BD146" si="158">SUM(BD139:BG139)</f>
        <v>32777.475724979748</v>
      </c>
      <c r="BE146" s="1479"/>
      <c r="BF146" s="1479"/>
      <c r="BG146" s="1480"/>
      <c r="BH146" s="1478">
        <f t="shared" ref="BH146" si="159">SUM(BH139:BK139)</f>
        <v>34002.263690348605</v>
      </c>
      <c r="BI146" s="1479"/>
      <c r="BJ146" s="1479"/>
      <c r="BK146" s="1480"/>
      <c r="BL146" s="1478">
        <f t="shared" ref="BL146" si="160">SUM(BL139:BO139)</f>
        <v>35502.039513976197</v>
      </c>
      <c r="BM146" s="1479"/>
      <c r="BN146" s="1479"/>
      <c r="BO146" s="1480"/>
      <c r="BP146" s="1478">
        <f t="shared" ref="BP146" si="161">SUM(BP139:BS139)</f>
        <v>36322.943706415259</v>
      </c>
      <c r="BQ146" s="1479"/>
      <c r="BR146" s="1479"/>
      <c r="BS146" s="1480"/>
      <c r="BT146" s="1478">
        <f t="shared" ref="BT146" si="162">SUM(BT139:BW139)</f>
        <v>37150.271921044856</v>
      </c>
      <c r="BU146" s="1479"/>
      <c r="BV146" s="1479"/>
      <c r="BW146" s="1480"/>
      <c r="BX146" s="1478">
        <f t="shared" ref="BX146" si="163">SUM(BX139:CA139)</f>
        <v>38134.185591333793</v>
      </c>
      <c r="BY146" s="1479"/>
      <c r="BZ146" s="1479"/>
      <c r="CA146" s="1480"/>
      <c r="CB146" s="1478">
        <f t="shared" ref="CB146" si="164">SUM(CB139:CE139)</f>
        <v>40360.490060484008</v>
      </c>
      <c r="CC146" s="1479"/>
      <c r="CD146" s="1479"/>
      <c r="CE146" s="1480"/>
      <c r="CF146" s="1478">
        <f t="shared" ref="CF146" si="165">SUM(CF139:CI139)</f>
        <v>45031.235963773084</v>
      </c>
      <c r="CG146" s="1479"/>
      <c r="CH146" s="1479"/>
      <c r="CI146" s="1480"/>
      <c r="CJ146" s="1478">
        <f t="shared" ref="CJ146" si="166">SUM(CJ139:CM139)</f>
        <v>49691.499633905856</v>
      </c>
      <c r="CK146" s="1479"/>
      <c r="CL146" s="1479"/>
      <c r="CM146" s="1480"/>
      <c r="CN146" s="1478">
        <f t="shared" ref="CN146" si="167">SUM(CN139:CQ139)</f>
        <v>55228.333229270349</v>
      </c>
      <c r="CO146" s="1479"/>
      <c r="CP146" s="1479"/>
      <c r="CQ146" s="1480"/>
      <c r="CR146" s="1478">
        <f t="shared" ref="CR146" si="168">SUM(CR139:CU139)</f>
        <v>63564.97497559731</v>
      </c>
      <c r="CS146" s="1479"/>
      <c r="CT146" s="1479"/>
      <c r="CU146" s="1480"/>
      <c r="CV146" s="1478">
        <f t="shared" ref="CV146" si="169">SUM(CV139:CY139)</f>
        <v>72627.526121471601</v>
      </c>
      <c r="CW146" s="1479"/>
      <c r="CX146" s="1479"/>
      <c r="CY146" s="1480"/>
      <c r="CZ146" s="1478">
        <f t="shared" ref="CZ146" si="170">SUM(CZ139:DC139)</f>
        <v>78497.910269901462</v>
      </c>
      <c r="DA146" s="1479"/>
      <c r="DB146" s="1479"/>
      <c r="DC146" s="1480"/>
      <c r="DD146" s="1478">
        <f t="shared" ref="DD146" si="171">SUM(DD139:DG139)</f>
        <v>77037.554453016666</v>
      </c>
      <c r="DE146" s="1479"/>
      <c r="DF146" s="1479"/>
      <c r="DG146" s="1480"/>
      <c r="DH146" s="1478">
        <f t="shared" ref="DH146" si="172">SUM(DH139:DK139)</f>
        <v>75192.720461965873</v>
      </c>
      <c r="DI146" s="1479"/>
      <c r="DJ146" s="1479"/>
      <c r="DK146" s="1480"/>
      <c r="DL146" s="1478">
        <f t="shared" ref="DL146" si="173">SUM(DL139:DO139)</f>
        <v>73718.717277106916</v>
      </c>
      <c r="DM146" s="1479"/>
      <c r="DN146" s="1479"/>
      <c r="DO146" s="1480"/>
      <c r="DP146" s="1478">
        <f t="shared" ref="DP146" si="174">SUM(DP139:DS139)</f>
        <v>74196.677090309153</v>
      </c>
      <c r="DQ146" s="1479"/>
      <c r="DR146" s="1479"/>
      <c r="DS146" s="1480"/>
      <c r="DT146" s="1478">
        <f t="shared" ref="DT146" si="175">SUM(DT139:DW139)</f>
        <v>74782.051774267165</v>
      </c>
      <c r="DU146" s="1479"/>
      <c r="DV146" s="1479"/>
      <c r="DW146" s="1480"/>
      <c r="DX146" s="1478">
        <f t="shared" ref="DX146" si="176">SUM(DX139:EA139)</f>
        <v>79233.313503497659</v>
      </c>
      <c r="DY146" s="1479"/>
      <c r="DZ146" s="1479"/>
      <c r="EA146" s="1480"/>
      <c r="EB146" s="1478">
        <f t="shared" ref="EB146" si="177">SUM(EB139:EE139)</f>
        <v>88589.725535640231</v>
      </c>
      <c r="EC146" s="1479"/>
      <c r="ED146" s="1479"/>
      <c r="EE146" s="1480"/>
      <c r="EF146" s="1478">
        <f t="shared" ref="EF146" si="178">SUM(EF139:EI139)</f>
        <v>98219.819499193982</v>
      </c>
      <c r="EG146" s="1479"/>
      <c r="EH146" s="1479"/>
      <c r="EI146" s="1480"/>
      <c r="EJ146" s="1478">
        <f t="shared" ref="EJ146" si="179">SUM(EJ139:EM139)</f>
        <v>106197.10683775602</v>
      </c>
      <c r="EK146" s="1479"/>
      <c r="EL146" s="1479"/>
      <c r="EM146" s="1480"/>
      <c r="EN146" s="1478">
        <f t="shared" ref="EN146" si="180">SUM(EN139:EQ139)</f>
        <v>111752.30372131334</v>
      </c>
      <c r="EO146" s="1479"/>
      <c r="EP146" s="1479"/>
      <c r="EQ146" s="1480"/>
    </row>
    <row r="147" spans="1:147" outlineLevel="1">
      <c r="A147" s="748"/>
      <c r="B147" s="1481" t="s">
        <v>1001</v>
      </c>
      <c r="C147" s="1482"/>
      <c r="D147" s="1483">
        <f>'Fin. Data'!K5</f>
        <v>18997</v>
      </c>
      <c r="E147" s="1484"/>
      <c r="F147" s="1484"/>
      <c r="G147" s="1485"/>
      <c r="H147" s="1483">
        <f>'Fin. Data'!J5</f>
        <v>19115</v>
      </c>
      <c r="I147" s="1484"/>
      <c r="J147" s="1484"/>
      <c r="K147" s="1485"/>
      <c r="L147" s="1483">
        <f>'Fin. Data'!I5</f>
        <v>17033</v>
      </c>
      <c r="M147" s="1484"/>
      <c r="N147" s="1484"/>
      <c r="O147" s="1485"/>
      <c r="P147" s="1483">
        <f>'Fin. Data'!H5</f>
        <v>19456</v>
      </c>
      <c r="Q147" s="1484"/>
      <c r="R147" s="1484"/>
      <c r="S147" s="1485"/>
      <c r="T147" s="1483">
        <f>'Fin. Data'!G5</f>
        <v>23496</v>
      </c>
      <c r="U147" s="1484"/>
      <c r="V147" s="1484"/>
      <c r="W147" s="1485"/>
      <c r="X147" s="1483">
        <f>'Fin. Data'!F5</f>
        <v>25600</v>
      </c>
      <c r="Y147" s="1484"/>
      <c r="Z147" s="1484"/>
      <c r="AA147" s="1485"/>
      <c r="AB147" s="1483">
        <f>'Fin. Data'!E5</f>
        <v>18729</v>
      </c>
      <c r="AC147" s="1484"/>
      <c r="AD147" s="1484"/>
      <c r="AE147" s="1485"/>
      <c r="AF147" s="1483">
        <f>'Fin. Data'!D5</f>
        <v>23522</v>
      </c>
      <c r="AG147" s="1484"/>
      <c r="AH147" s="1484"/>
      <c r="AI147" s="1485"/>
      <c r="AJ147" s="1483">
        <f>'Fin. Data'!C5</f>
        <v>28820</v>
      </c>
      <c r="AK147" s="1484"/>
      <c r="AL147" s="1484"/>
      <c r="AM147" s="1485"/>
      <c r="AN147" s="1483">
        <f>'Fin. Data'!B5</f>
        <v>35127</v>
      </c>
      <c r="AO147" s="1484"/>
      <c r="AP147" s="1484"/>
      <c r="AQ147" s="1485"/>
      <c r="AR147" s="1478">
        <f>M259</f>
        <v>35845.924638343487</v>
      </c>
      <c r="AS147" s="1479"/>
      <c r="AT147" s="1479"/>
      <c r="AU147" s="1480"/>
      <c r="AV147" s="1478">
        <f>AV146/0.77</f>
        <v>38585.269162133118</v>
      </c>
      <c r="AW147" s="1479"/>
      <c r="AX147" s="1479"/>
      <c r="AY147" s="1480"/>
      <c r="AZ147" s="1478">
        <f t="shared" ref="AZ147" si="181">AZ146/0.77</f>
        <v>40554.104878907354</v>
      </c>
      <c r="BA147" s="1479"/>
      <c r="BB147" s="1479"/>
      <c r="BC147" s="1480"/>
      <c r="BD147" s="1478">
        <f t="shared" ref="BD147" si="182">BD146/0.77</f>
        <v>42568.15029218149</v>
      </c>
      <c r="BE147" s="1479"/>
      <c r="BF147" s="1479"/>
      <c r="BG147" s="1480"/>
      <c r="BH147" s="1478">
        <f t="shared" ref="BH147" si="183">BH146/0.77</f>
        <v>44158.784013439748</v>
      </c>
      <c r="BI147" s="1479"/>
      <c r="BJ147" s="1479"/>
      <c r="BK147" s="1480"/>
      <c r="BL147" s="1478">
        <f t="shared" ref="BL147" si="184">BL146/0.77</f>
        <v>46106.544823345706</v>
      </c>
      <c r="BM147" s="1479"/>
      <c r="BN147" s="1479"/>
      <c r="BO147" s="1480"/>
      <c r="BP147" s="1478">
        <f t="shared" ref="BP147" si="185">BP146/0.77</f>
        <v>47172.654164175663</v>
      </c>
      <c r="BQ147" s="1479"/>
      <c r="BR147" s="1479"/>
      <c r="BS147" s="1480"/>
      <c r="BT147" s="1478">
        <f t="shared" ref="BT147" si="186">BT146/0.77</f>
        <v>48247.106390967347</v>
      </c>
      <c r="BU147" s="1479"/>
      <c r="BV147" s="1479"/>
      <c r="BW147" s="1480"/>
      <c r="BX147" s="1478">
        <f t="shared" ref="BX147" si="187">BX146/0.77</f>
        <v>49524.916352381551</v>
      </c>
      <c r="BY147" s="1479"/>
      <c r="BZ147" s="1479"/>
      <c r="CA147" s="1480"/>
      <c r="CB147" s="1478">
        <f t="shared" ref="CB147" si="188">CB146/0.77</f>
        <v>52416.220857771441</v>
      </c>
      <c r="CC147" s="1479"/>
      <c r="CD147" s="1479"/>
      <c r="CE147" s="1480"/>
      <c r="CF147" s="1478">
        <f t="shared" ref="CF147" si="189">CF146/0.77</f>
        <v>58482.124628276732</v>
      </c>
      <c r="CG147" s="1479"/>
      <c r="CH147" s="1479"/>
      <c r="CI147" s="1480"/>
      <c r="CJ147" s="1478">
        <f t="shared" ref="CJ147" si="190">CJ146/0.77</f>
        <v>64534.415108968642</v>
      </c>
      <c r="CK147" s="1479"/>
      <c r="CL147" s="1479"/>
      <c r="CM147" s="1480"/>
      <c r="CN147" s="1478">
        <f t="shared" ref="CN147" si="191">CN146/0.77</f>
        <v>71725.10808996149</v>
      </c>
      <c r="CO147" s="1479"/>
      <c r="CP147" s="1479"/>
      <c r="CQ147" s="1480"/>
      <c r="CR147" s="1478">
        <f t="shared" ref="CR147" si="192">CR146/0.77</f>
        <v>82551.915552723774</v>
      </c>
      <c r="CS147" s="1479"/>
      <c r="CT147" s="1479"/>
      <c r="CU147" s="1480"/>
      <c r="CV147" s="1478">
        <f t="shared" ref="CV147" si="193">CV146/0.77</f>
        <v>94321.462495417654</v>
      </c>
      <c r="CW147" s="1479"/>
      <c r="CX147" s="1479"/>
      <c r="CY147" s="1480"/>
      <c r="CZ147" s="1478">
        <f t="shared" ref="CZ147" si="194">CZ146/0.77</f>
        <v>101945.33801285904</v>
      </c>
      <c r="DA147" s="1479"/>
      <c r="DB147" s="1479"/>
      <c r="DC147" s="1480"/>
      <c r="DD147" s="1478">
        <f t="shared" ref="DD147" si="195">DD146/0.77</f>
        <v>100048.77201690475</v>
      </c>
      <c r="DE147" s="1479"/>
      <c r="DF147" s="1479"/>
      <c r="DG147" s="1480"/>
      <c r="DH147" s="1478">
        <f t="shared" ref="DH147" si="196">DH146/0.77</f>
        <v>97652.883716838798</v>
      </c>
      <c r="DI147" s="1479"/>
      <c r="DJ147" s="1479"/>
      <c r="DK147" s="1480"/>
      <c r="DL147" s="1478">
        <f t="shared" ref="DL147" si="197">DL146/0.77</f>
        <v>95738.593866372612</v>
      </c>
      <c r="DM147" s="1479"/>
      <c r="DN147" s="1479"/>
      <c r="DO147" s="1480"/>
      <c r="DP147" s="1478">
        <f t="shared" ref="DP147" si="198">DP146/0.77</f>
        <v>96359.320896505393</v>
      </c>
      <c r="DQ147" s="1479"/>
      <c r="DR147" s="1479"/>
      <c r="DS147" s="1480"/>
      <c r="DT147" s="1478">
        <f t="shared" ref="DT147" si="199">DT146/0.77</f>
        <v>97119.547758788525</v>
      </c>
      <c r="DU147" s="1479"/>
      <c r="DV147" s="1479"/>
      <c r="DW147" s="1480"/>
      <c r="DX147" s="1478">
        <f t="shared" ref="DX147" si="200">DX146/0.77</f>
        <v>102900.40714739956</v>
      </c>
      <c r="DY147" s="1479"/>
      <c r="DZ147" s="1479"/>
      <c r="EA147" s="1480"/>
      <c r="EB147" s="1478">
        <f t="shared" ref="EB147" si="201">EB146/0.77</f>
        <v>115051.59160472757</v>
      </c>
      <c r="EC147" s="1479"/>
      <c r="ED147" s="1479"/>
      <c r="EE147" s="1480"/>
      <c r="EF147" s="1478">
        <f t="shared" ref="EF147" si="202">EF146/0.77</f>
        <v>127558.20714181036</v>
      </c>
      <c r="EG147" s="1479"/>
      <c r="EH147" s="1479"/>
      <c r="EI147" s="1480"/>
      <c r="EJ147" s="1478">
        <f t="shared" ref="EJ147" si="203">EJ146/0.77</f>
        <v>137918.32056851429</v>
      </c>
      <c r="EK147" s="1479"/>
      <c r="EL147" s="1479"/>
      <c r="EM147" s="1480"/>
      <c r="EN147" s="1478">
        <f t="shared" ref="EN147" si="204">EN146/0.77</f>
        <v>145132.86197573159</v>
      </c>
      <c r="EO147" s="1479"/>
      <c r="EP147" s="1479"/>
      <c r="EQ147" s="1480"/>
    </row>
    <row r="148" spans="1:147" outlineLevel="1">
      <c r="A148" s="748"/>
      <c r="B148" s="1126"/>
      <c r="C148" s="1126"/>
      <c r="D148" s="1127"/>
      <c r="E148" s="1128"/>
      <c r="F148" s="1128"/>
      <c r="G148" s="1128"/>
      <c r="H148" s="1127"/>
      <c r="I148" s="1128"/>
      <c r="J148" s="1128"/>
      <c r="K148" s="1128"/>
      <c r="L148" s="1127"/>
      <c r="M148" s="1128"/>
      <c r="N148" s="1128"/>
      <c r="O148" s="1128"/>
      <c r="P148" s="1127"/>
      <c r="Q148" s="1128"/>
      <c r="R148" s="1128"/>
      <c r="S148" s="1128"/>
      <c r="T148" s="1127"/>
      <c r="U148" s="1128"/>
      <c r="V148" s="1128"/>
      <c r="W148" s="1128"/>
      <c r="X148" s="1127"/>
      <c r="Y148" s="1128"/>
      <c r="Z148" s="1128"/>
      <c r="AA148" s="1128"/>
      <c r="AB148" s="1127"/>
      <c r="AC148" s="1128"/>
      <c r="AD148" s="1128"/>
      <c r="AE148" s="1128"/>
      <c r="AF148" s="1127"/>
      <c r="AG148" s="1128"/>
      <c r="AH148" s="1128"/>
      <c r="AI148" s="1128"/>
      <c r="AJ148" s="1127"/>
      <c r="AK148" s="1128"/>
      <c r="AL148" s="1128"/>
      <c r="AM148" s="1128"/>
      <c r="AN148" s="1127"/>
      <c r="AO148" s="1128"/>
      <c r="AP148" s="1128"/>
      <c r="AQ148" s="1128"/>
      <c r="AR148" s="1127"/>
      <c r="AS148" s="1128"/>
      <c r="AT148" s="1128"/>
      <c r="AU148" s="1128"/>
      <c r="AV148" s="1127"/>
      <c r="AW148" s="1128"/>
      <c r="AX148" s="1128"/>
      <c r="AY148" s="1128"/>
      <c r="AZ148" s="1127"/>
      <c r="BA148" s="1128"/>
      <c r="BB148" s="1128"/>
      <c r="BC148" s="1128"/>
      <c r="BD148" s="1127"/>
      <c r="BE148" s="1128"/>
      <c r="BF148" s="1128"/>
      <c r="BG148" s="1128"/>
      <c r="BH148" s="1127"/>
      <c r="BI148" s="1128"/>
      <c r="BJ148" s="1128"/>
      <c r="BK148" s="1128"/>
      <c r="BL148" s="1127"/>
      <c r="BM148" s="1128"/>
      <c r="BN148" s="1128"/>
      <c r="BO148" s="1128"/>
      <c r="BP148" s="1127"/>
      <c r="BQ148" s="1128"/>
      <c r="BR148" s="1128"/>
      <c r="BS148" s="1128"/>
      <c r="BT148" s="1127"/>
      <c r="BU148" s="1128"/>
      <c r="BV148" s="1128"/>
      <c r="BW148" s="1128"/>
      <c r="BX148" s="1127"/>
      <c r="BY148" s="1128"/>
      <c r="BZ148" s="1128"/>
      <c r="CA148" s="1128"/>
      <c r="CB148" s="1127"/>
      <c r="CC148" s="1128"/>
      <c r="CD148" s="1128"/>
      <c r="CE148" s="1128"/>
      <c r="CF148" s="1127"/>
      <c r="CG148" s="1128"/>
      <c r="CH148" s="1128"/>
      <c r="CI148" s="1128"/>
      <c r="CJ148" s="1127"/>
      <c r="CK148" s="1128"/>
      <c r="CL148" s="1128"/>
      <c r="CM148" s="1128"/>
      <c r="CN148" s="1127"/>
      <c r="CO148" s="1128"/>
      <c r="CP148" s="1128"/>
      <c r="CQ148" s="1128"/>
      <c r="CR148" s="1127"/>
      <c r="CS148" s="1128"/>
      <c r="CT148" s="1128"/>
      <c r="CU148" s="1128"/>
      <c r="CV148" s="1127"/>
      <c r="CW148" s="1128"/>
      <c r="CX148" s="1128"/>
      <c r="CY148" s="1128"/>
      <c r="CZ148" s="1127"/>
      <c r="DA148" s="1128"/>
      <c r="DB148" s="1128"/>
      <c r="DC148" s="1128"/>
      <c r="DD148" s="1127"/>
      <c r="DE148" s="1128"/>
      <c r="DF148" s="1128"/>
      <c r="DG148" s="1128"/>
      <c r="DH148" s="1127"/>
      <c r="DI148" s="1128"/>
      <c r="DJ148" s="1128"/>
      <c r="DK148" s="1128"/>
      <c r="DL148" s="1127"/>
      <c r="DM148" s="1128"/>
      <c r="DN148" s="1128"/>
      <c r="DO148" s="1128"/>
      <c r="DP148" s="1127"/>
      <c r="DQ148" s="1128"/>
      <c r="DR148" s="1128"/>
      <c r="DS148" s="1128"/>
      <c r="DT148" s="1127"/>
      <c r="DU148" s="1128"/>
      <c r="DV148" s="1128"/>
      <c r="DW148" s="1128"/>
      <c r="DX148" s="1127"/>
      <c r="DY148" s="1128"/>
      <c r="DZ148" s="1128"/>
      <c r="EA148" s="1128"/>
      <c r="EB148" s="1127"/>
      <c r="EC148" s="1128"/>
      <c r="ED148" s="1128"/>
      <c r="EE148" s="1128"/>
      <c r="EF148" s="1127"/>
      <c r="EG148" s="1128"/>
      <c r="EH148" s="1128"/>
      <c r="EI148" s="1128"/>
      <c r="EJ148" s="1127"/>
      <c r="EK148" s="1128"/>
      <c r="EL148" s="1128"/>
      <c r="EM148" s="1128"/>
      <c r="EN148" s="1127"/>
      <c r="EO148" s="1128"/>
      <c r="EP148" s="1128"/>
      <c r="EQ148" s="1128"/>
    </row>
    <row r="149" spans="1:147" outlineLevel="1">
      <c r="A149" s="748"/>
      <c r="B149" s="1126"/>
      <c r="C149" s="1126"/>
      <c r="E149" s="443"/>
      <c r="F149" s="443"/>
      <c r="G149" s="443"/>
      <c r="H149" s="443"/>
      <c r="I149" s="443"/>
      <c r="J149" s="443"/>
      <c r="K149" s="443"/>
      <c r="AT149" s="748" t="s">
        <v>1002</v>
      </c>
      <c r="AU149" s="450">
        <f>(SUM(AN138:AQ138)/SUM(D138:G138))^(1/9)-1</f>
        <v>4.0458672060288192E-2</v>
      </c>
      <c r="AV149" s="1127"/>
      <c r="AW149" s="1128"/>
      <c r="AX149" s="1128"/>
      <c r="AY149" s="1128"/>
      <c r="AZ149" s="1127"/>
      <c r="BA149" s="1128"/>
      <c r="BB149" s="1128"/>
      <c r="BC149" s="1128"/>
      <c r="BD149" s="1127"/>
      <c r="BE149" s="1128"/>
      <c r="BF149" s="1128"/>
      <c r="BG149" s="1128"/>
      <c r="BH149" s="1127"/>
      <c r="BI149" s="1128"/>
      <c r="BJ149" s="1128"/>
      <c r="BK149" s="1128"/>
      <c r="BL149" s="1127"/>
      <c r="BM149" s="1128"/>
      <c r="BN149" s="1128"/>
      <c r="BO149" s="1128"/>
      <c r="BP149" s="1127"/>
      <c r="BQ149" s="1128"/>
      <c r="BR149" s="1128"/>
      <c r="BS149" s="1128"/>
      <c r="BT149" s="1127"/>
      <c r="BU149" s="1128"/>
      <c r="BV149" s="1128"/>
      <c r="BW149" s="1128"/>
      <c r="BX149" s="1127"/>
      <c r="BY149" s="1128"/>
      <c r="BZ149" s="1128"/>
      <c r="CA149" s="1128"/>
      <c r="CB149" s="1127"/>
      <c r="CC149" s="1128"/>
      <c r="CD149" s="1128"/>
      <c r="CE149" s="1128"/>
      <c r="CF149" s="1127"/>
      <c r="CG149" s="1128"/>
      <c r="CH149" s="1128"/>
      <c r="CI149" s="1128"/>
      <c r="CJ149" s="1127"/>
      <c r="CK149" s="1128"/>
      <c r="CL149" s="1128"/>
      <c r="CM149" s="1128"/>
      <c r="CN149" s="1127"/>
      <c r="CO149" s="1128"/>
      <c r="CP149" s="1128"/>
      <c r="CQ149" s="1128"/>
      <c r="CR149" s="1127"/>
      <c r="CS149" s="1128"/>
      <c r="CT149" s="1128"/>
      <c r="CU149" s="1128"/>
      <c r="CV149" s="1127"/>
      <c r="CW149" s="1128"/>
      <c r="CX149" s="1128"/>
      <c r="CY149" s="1128"/>
      <c r="CZ149" s="1127"/>
      <c r="DA149" s="1128"/>
      <c r="DB149" s="1128"/>
      <c r="DC149" s="1128"/>
      <c r="DD149" s="1127"/>
      <c r="DE149" s="1128"/>
      <c r="DF149" s="1128"/>
      <c r="DG149" s="1128"/>
      <c r="DH149" s="1127"/>
      <c r="DI149" s="1128"/>
      <c r="DJ149" s="1128"/>
      <c r="DK149" s="1128"/>
      <c r="DL149" s="1127"/>
      <c r="DM149" s="1128"/>
      <c r="DN149" s="1128"/>
      <c r="DO149" s="1128"/>
      <c r="DP149" s="1127"/>
      <c r="DQ149" s="1128"/>
      <c r="DR149" s="1128"/>
      <c r="DS149" s="1128"/>
      <c r="DT149" s="1127"/>
      <c r="DU149" s="1128"/>
      <c r="DV149" s="1128"/>
      <c r="DW149" s="1128"/>
      <c r="DX149" s="1127"/>
      <c r="DY149" s="1128"/>
      <c r="DZ149" s="1128"/>
      <c r="EA149" s="1128"/>
      <c r="EB149" s="1127"/>
      <c r="EC149" s="1128"/>
      <c r="ED149" s="1128"/>
      <c r="EE149" s="1128"/>
      <c r="EF149" s="1127"/>
      <c r="EG149" s="1128"/>
      <c r="EH149" s="1128"/>
      <c r="EI149" s="1128"/>
      <c r="EJ149" s="1127"/>
      <c r="EK149" s="1128"/>
      <c r="EL149" s="1128"/>
      <c r="EM149" s="1128"/>
      <c r="EN149" s="1127"/>
      <c r="EO149" s="1128"/>
      <c r="EP149" s="1128"/>
      <c r="EQ149" s="1128"/>
    </row>
    <row r="150" spans="1:147" outlineLevel="1">
      <c r="A150" s="748"/>
      <c r="B150" s="1126"/>
      <c r="C150" s="1126"/>
      <c r="E150" s="443"/>
      <c r="F150" s="443"/>
      <c r="G150" s="443"/>
      <c r="H150" s="443"/>
      <c r="I150" s="443"/>
      <c r="J150" s="443"/>
      <c r="K150" s="443"/>
      <c r="AT150" s="748" t="s">
        <v>1003</v>
      </c>
      <c r="AU150" s="450">
        <f>(SUM(AN138:AQ138)/SUM(L138:O138))^(1/7)-1</f>
        <v>5.4437099485177498E-2</v>
      </c>
      <c r="AV150" s="1127"/>
      <c r="AW150" s="1128"/>
      <c r="AX150" s="1128"/>
      <c r="AY150" s="1128"/>
      <c r="AZ150" s="1127"/>
      <c r="BA150" s="1128"/>
      <c r="BB150" s="1128"/>
      <c r="BC150" s="1128"/>
      <c r="BD150" s="1127"/>
      <c r="BE150" s="1128"/>
      <c r="BF150" s="1128"/>
      <c r="BG150" s="1128"/>
      <c r="BH150" s="1127"/>
      <c r="BI150" s="1128"/>
      <c r="BJ150" s="1128"/>
      <c r="BK150" s="1128"/>
      <c r="BL150" s="1127"/>
      <c r="BM150" s="1128"/>
      <c r="BN150" s="1128"/>
      <c r="BO150" s="1128"/>
      <c r="BP150" s="1127"/>
      <c r="BQ150" s="1128"/>
      <c r="BR150" s="1128"/>
      <c r="BS150" s="1128"/>
      <c r="BT150" s="1127"/>
      <c r="BU150" s="1128"/>
      <c r="BV150" s="1128"/>
      <c r="BW150" s="1128"/>
      <c r="BX150" s="1127"/>
      <c r="BY150" s="1128"/>
      <c r="BZ150" s="1128"/>
      <c r="CA150" s="1128"/>
      <c r="CB150" s="1127"/>
      <c r="CC150" s="1128"/>
      <c r="CD150" s="1128"/>
      <c r="CE150" s="1128"/>
      <c r="CF150" s="1127"/>
      <c r="CG150" s="1128"/>
      <c r="CH150" s="1128"/>
      <c r="CI150" s="1128"/>
      <c r="CJ150" s="1127"/>
      <c r="CK150" s="1128"/>
      <c r="CL150" s="1128"/>
      <c r="CM150" s="1128"/>
      <c r="CN150" s="1127"/>
      <c r="CO150" s="1128"/>
      <c r="CP150" s="1128"/>
      <c r="CQ150" s="1128"/>
      <c r="CR150" s="1127"/>
      <c r="CS150" s="1128"/>
      <c r="CT150" s="1128"/>
      <c r="CU150" s="1128"/>
      <c r="CV150" s="1127"/>
      <c r="CW150" s="1128"/>
      <c r="CX150" s="1128"/>
      <c r="CY150" s="1128"/>
      <c r="CZ150" s="1127"/>
      <c r="DA150" s="1128"/>
      <c r="DB150" s="1128"/>
      <c r="DC150" s="1128"/>
      <c r="DD150" s="1127"/>
      <c r="DE150" s="1128"/>
      <c r="DF150" s="1128"/>
      <c r="DG150" s="1128"/>
      <c r="DH150" s="1127"/>
      <c r="DI150" s="1128"/>
      <c r="DJ150" s="1128"/>
      <c r="DK150" s="1128"/>
      <c r="DL150" s="1127"/>
      <c r="DM150" s="1128"/>
      <c r="DN150" s="1128"/>
      <c r="DO150" s="1128"/>
      <c r="DP150" s="1127"/>
      <c r="DQ150" s="1128"/>
      <c r="DR150" s="1128"/>
      <c r="DS150" s="1128"/>
      <c r="DT150" s="1127"/>
      <c r="DU150" s="1128"/>
      <c r="DV150" s="1128"/>
      <c r="DW150" s="1128"/>
      <c r="DX150" s="1127"/>
      <c r="DY150" s="1128"/>
      <c r="DZ150" s="1128"/>
      <c r="EA150" s="1128"/>
      <c r="EB150" s="1127"/>
      <c r="EC150" s="1128"/>
      <c r="ED150" s="1128"/>
      <c r="EE150" s="1128"/>
      <c r="EF150" s="1127"/>
      <c r="EG150" s="1128"/>
      <c r="EH150" s="1128"/>
      <c r="EI150" s="1128"/>
      <c r="EJ150" s="1127"/>
      <c r="EK150" s="1128"/>
      <c r="EL150" s="1128"/>
      <c r="EM150" s="1128"/>
      <c r="EN150" s="1127"/>
      <c r="EO150" s="1128"/>
      <c r="EP150" s="1128"/>
      <c r="EQ150" s="1128"/>
    </row>
    <row r="151" spans="1:147" outlineLevel="1">
      <c r="A151" s="748"/>
      <c r="B151" s="1026" t="s">
        <v>1004</v>
      </c>
      <c r="C151" s="1027" t="s">
        <v>821</v>
      </c>
      <c r="D151" s="1027" t="s">
        <v>822</v>
      </c>
      <c r="E151" s="1027" t="s">
        <v>823</v>
      </c>
      <c r="F151" s="1027" t="s">
        <v>824</v>
      </c>
      <c r="G151" s="1027" t="s">
        <v>825</v>
      </c>
      <c r="H151" s="1027" t="s">
        <v>826</v>
      </c>
      <c r="I151" s="443"/>
      <c r="J151" s="445" t="s">
        <v>1005</v>
      </c>
      <c r="K151" s="443"/>
      <c r="AV151" s="1127"/>
      <c r="AW151" s="1128"/>
      <c r="AX151" s="1128"/>
      <c r="AY151" s="1128"/>
      <c r="AZ151" s="1127"/>
      <c r="BA151" s="1128"/>
      <c r="BB151" s="1128"/>
      <c r="BC151" s="1128"/>
      <c r="BD151" s="1127"/>
      <c r="BE151" s="1128"/>
      <c r="BF151" s="1128"/>
      <c r="BG151" s="1128"/>
      <c r="BH151" s="1127"/>
      <c r="BI151" s="1128"/>
      <c r="BJ151" s="1128"/>
      <c r="BK151" s="1128"/>
      <c r="BL151" s="1127"/>
      <c r="BM151" s="1128"/>
      <c r="BN151" s="1128"/>
      <c r="BO151" s="1128"/>
      <c r="BP151" s="1127"/>
      <c r="BQ151" s="1128"/>
      <c r="BR151" s="1128"/>
      <c r="BS151" s="1128"/>
      <c r="BT151" s="1127"/>
      <c r="BU151" s="1128"/>
      <c r="BV151" s="1128"/>
      <c r="BW151" s="1128"/>
      <c r="BX151" s="1127"/>
      <c r="BY151" s="1128"/>
      <c r="BZ151" s="1128"/>
      <c r="CA151" s="1128"/>
      <c r="CB151" s="1127"/>
      <c r="CC151" s="1128"/>
      <c r="CD151" s="1128"/>
      <c r="CE151" s="1128"/>
      <c r="CF151" s="1127"/>
      <c r="CG151" s="1128"/>
      <c r="CH151" s="1128"/>
      <c r="CI151" s="1128"/>
      <c r="CJ151" s="1127"/>
      <c r="CK151" s="1128"/>
      <c r="CL151" s="1128"/>
      <c r="CM151" s="1128"/>
      <c r="CN151" s="1127"/>
      <c r="CO151" s="1128"/>
      <c r="CP151" s="1128"/>
      <c r="CQ151" s="1128"/>
      <c r="CR151" s="1127"/>
      <c r="CS151" s="1128"/>
      <c r="CT151" s="1128"/>
      <c r="CU151" s="1128"/>
      <c r="CV151" s="1127"/>
      <c r="CW151" s="1128"/>
      <c r="CX151" s="1128"/>
      <c r="CY151" s="1128"/>
      <c r="CZ151" s="1127"/>
      <c r="DA151" s="1128"/>
      <c r="DB151" s="1128"/>
      <c r="DC151" s="1128"/>
      <c r="DD151" s="1127"/>
      <c r="DE151" s="1128"/>
      <c r="DF151" s="1128"/>
      <c r="DG151" s="1128"/>
      <c r="DH151" s="1127"/>
      <c r="DI151" s="1128"/>
      <c r="DJ151" s="1128"/>
      <c r="DK151" s="1128"/>
      <c r="DL151" s="1127"/>
      <c r="DM151" s="1128"/>
      <c r="DN151" s="1128"/>
      <c r="DO151" s="1128"/>
      <c r="DP151" s="1127"/>
      <c r="DQ151" s="1128"/>
      <c r="DR151" s="1128"/>
      <c r="DS151" s="1128"/>
      <c r="DT151" s="1127"/>
      <c r="DU151" s="1128"/>
      <c r="DV151" s="1128"/>
      <c r="DW151" s="1128"/>
      <c r="DX151" s="1127"/>
      <c r="DY151" s="1128"/>
      <c r="DZ151" s="1128"/>
      <c r="EA151" s="1128"/>
      <c r="EB151" s="1127"/>
      <c r="EC151" s="1128"/>
      <c r="ED151" s="1128"/>
      <c r="EE151" s="1128"/>
      <c r="EF151" s="1127"/>
      <c r="EG151" s="1128"/>
      <c r="EH151" s="1128"/>
      <c r="EI151" s="1128"/>
      <c r="EJ151" s="1127"/>
      <c r="EK151" s="1128"/>
      <c r="EL151" s="1128"/>
      <c r="EM151" s="1128"/>
      <c r="EN151" s="1127"/>
      <c r="EO151" s="1128"/>
      <c r="EP151" s="1128"/>
      <c r="EQ151" s="1128"/>
    </row>
    <row r="152" spans="1:147" ht="13.5" outlineLevel="1">
      <c r="A152" s="748"/>
      <c r="B152" s="1028">
        <v>2014</v>
      </c>
      <c r="C152" s="1029" t="s">
        <v>995</v>
      </c>
      <c r="D152" s="1131" cm="1">
        <f t="array" ref="D152:G152">D138:G138</f>
        <v>31800</v>
      </c>
      <c r="E152" s="1131">
        <v>33700</v>
      </c>
      <c r="F152" s="1131">
        <v>37300</v>
      </c>
      <c r="G152" s="1131">
        <v>40100</v>
      </c>
      <c r="H152" s="1130">
        <f>IFERROR(SUM(D152:G152),"-")</f>
        <v>142900</v>
      </c>
      <c r="I152" s="443"/>
      <c r="J152" s="443"/>
      <c r="K152" s="443"/>
      <c r="AV152" s="1127"/>
      <c r="AW152" s="1128"/>
      <c r="AX152" s="1128"/>
      <c r="AY152" s="1128"/>
      <c r="AZ152" s="1127"/>
      <c r="BA152" s="1128"/>
      <c r="BB152" s="1128"/>
      <c r="BC152" s="1128"/>
      <c r="BD152" s="1127"/>
      <c r="BE152" s="1128"/>
      <c r="BF152" s="1128"/>
      <c r="BG152" s="1128"/>
      <c r="BH152" s="1127"/>
      <c r="BI152" s="1128"/>
      <c r="BJ152" s="1128"/>
      <c r="BK152" s="1128"/>
      <c r="BL152" s="1127"/>
      <c r="BM152" s="1128"/>
      <c r="BN152" s="1128"/>
      <c r="BO152" s="1128"/>
      <c r="BP152" s="1127"/>
      <c r="BQ152" s="1128"/>
      <c r="BR152" s="1128"/>
      <c r="BS152" s="1128"/>
      <c r="BT152" s="1127"/>
      <c r="BU152" s="1128"/>
      <c r="BV152" s="1128"/>
      <c r="BW152" s="1128"/>
      <c r="BX152" s="1127"/>
      <c r="BY152" s="1128"/>
      <c r="BZ152" s="1128"/>
      <c r="CA152" s="1128"/>
      <c r="CB152" s="1127"/>
      <c r="CC152" s="1128"/>
      <c r="CD152" s="1128"/>
      <c r="CE152" s="1128"/>
      <c r="CF152" s="1127"/>
      <c r="CG152" s="1128"/>
      <c r="CH152" s="1128"/>
      <c r="CI152" s="1128"/>
      <c r="CJ152" s="1127"/>
      <c r="CK152" s="1128"/>
      <c r="CL152" s="1128"/>
      <c r="CM152" s="1128"/>
      <c r="CN152" s="1127"/>
      <c r="CO152" s="1128"/>
      <c r="CP152" s="1128"/>
      <c r="CQ152" s="1128"/>
      <c r="CR152" s="1127"/>
      <c r="CS152" s="1128"/>
      <c r="CT152" s="1128"/>
      <c r="CU152" s="1128"/>
      <c r="CV152" s="1127"/>
      <c r="CW152" s="1128"/>
      <c r="CX152" s="1128"/>
      <c r="CY152" s="1128"/>
      <c r="CZ152" s="1127"/>
      <c r="DA152" s="1128"/>
      <c r="DB152" s="1128"/>
      <c r="DC152" s="1128"/>
      <c r="DD152" s="1127"/>
      <c r="DE152" s="1128"/>
      <c r="DF152" s="1128"/>
      <c r="DG152" s="1128"/>
      <c r="DH152" s="1127"/>
      <c r="DI152" s="1128"/>
      <c r="DJ152" s="1128"/>
      <c r="DK152" s="1128"/>
      <c r="DL152" s="1127"/>
      <c r="DM152" s="1128"/>
      <c r="DN152" s="1128"/>
      <c r="DO152" s="1128"/>
      <c r="DP152" s="1127"/>
      <c r="DQ152" s="1128"/>
      <c r="DR152" s="1128"/>
      <c r="DS152" s="1128"/>
      <c r="DT152" s="1127"/>
      <c r="DU152" s="1128"/>
      <c r="DV152" s="1128"/>
      <c r="DW152" s="1128"/>
      <c r="DX152" s="1127"/>
      <c r="DY152" s="1128"/>
      <c r="DZ152" s="1128"/>
      <c r="EA152" s="1128"/>
      <c r="EB152" s="1127"/>
      <c r="EC152" s="1128"/>
      <c r="ED152" s="1128"/>
      <c r="EE152" s="1128"/>
      <c r="EF152" s="1127"/>
      <c r="EG152" s="1128"/>
      <c r="EH152" s="1128"/>
      <c r="EI152" s="1128"/>
      <c r="EJ152" s="1127"/>
      <c r="EK152" s="1128"/>
      <c r="EL152" s="1128"/>
      <c r="EM152" s="1128"/>
      <c r="EN152" s="1127"/>
      <c r="EO152" s="1128"/>
      <c r="EP152" s="1128"/>
      <c r="EQ152" s="1128"/>
    </row>
    <row r="153" spans="1:147" outlineLevel="1">
      <c r="A153" s="748"/>
      <c r="B153" s="1030" t="s">
        <v>1006</v>
      </c>
      <c r="C153" s="1031" t="s">
        <v>832</v>
      </c>
      <c r="D153" s="1031" t="str">
        <f>IFERROR(D152/G150-1,"-")</f>
        <v>-</v>
      </c>
      <c r="E153" s="1031">
        <f>IFERROR(E152/D152-1,"-")</f>
        <v>5.9748427672956073E-2</v>
      </c>
      <c r="F153" s="1031">
        <f>IFERROR(F152/E152-1,"-")</f>
        <v>0.10682492581602365</v>
      </c>
      <c r="G153" s="1031">
        <f>IFERROR(G152/F152-1,"-")</f>
        <v>7.5067024128686377E-2</v>
      </c>
      <c r="H153" s="1031">
        <f>IFERROR(H152/SUM($D152:$G152),"-")</f>
        <v>1</v>
      </c>
      <c r="I153" s="443"/>
      <c r="J153" s="1502" t="s">
        <v>1007</v>
      </c>
      <c r="K153" s="1503"/>
      <c r="L153" s="1027">
        <v>2024</v>
      </c>
      <c r="M153" s="1027" t="s">
        <v>1008</v>
      </c>
      <c r="AV153" s="1127"/>
      <c r="AW153" s="1128"/>
      <c r="AX153" s="1128"/>
      <c r="AY153" s="1128"/>
      <c r="AZ153" s="1127"/>
      <c r="BA153" s="1128"/>
      <c r="BB153" s="1128"/>
      <c r="BC153" s="1128"/>
      <c r="BD153" s="1127"/>
      <c r="BE153" s="1128"/>
      <c r="BF153" s="1128"/>
      <c r="BG153" s="1128"/>
      <c r="BH153" s="1127"/>
      <c r="BI153" s="1128"/>
      <c r="BJ153" s="1128"/>
      <c r="BK153" s="1128"/>
      <c r="BL153" s="1127"/>
      <c r="BM153" s="1128"/>
      <c r="BN153" s="1128"/>
      <c r="BO153" s="1128"/>
      <c r="BP153" s="1127"/>
      <c r="BQ153" s="1128"/>
      <c r="BR153" s="1128"/>
      <c r="BS153" s="1128"/>
      <c r="BT153" s="1127"/>
      <c r="BU153" s="1128"/>
      <c r="BV153" s="1128"/>
      <c r="BW153" s="1128"/>
      <c r="BX153" s="1127"/>
      <c r="BY153" s="1128"/>
      <c r="BZ153" s="1128"/>
      <c r="CA153" s="1128"/>
      <c r="CB153" s="1127"/>
      <c r="CC153" s="1128"/>
      <c r="CD153" s="1128"/>
      <c r="CE153" s="1128"/>
      <c r="CF153" s="1127"/>
      <c r="CG153" s="1128"/>
      <c r="CH153" s="1128"/>
      <c r="CI153" s="1128"/>
      <c r="CJ153" s="1127"/>
      <c r="CK153" s="1128"/>
      <c r="CL153" s="1128"/>
      <c r="CM153" s="1128"/>
      <c r="CN153" s="1127"/>
      <c r="CO153" s="1128"/>
      <c r="CP153" s="1128"/>
      <c r="CQ153" s="1128"/>
      <c r="CR153" s="1127"/>
      <c r="CS153" s="1128"/>
      <c r="CT153" s="1128"/>
      <c r="CU153" s="1128"/>
      <c r="CV153" s="1127"/>
      <c r="CW153" s="1128"/>
      <c r="CX153" s="1128"/>
      <c r="CY153" s="1128"/>
      <c r="CZ153" s="1127"/>
      <c r="DA153" s="1128"/>
      <c r="DB153" s="1128"/>
      <c r="DC153" s="1128"/>
      <c r="DD153" s="1127"/>
      <c r="DE153" s="1128"/>
      <c r="DF153" s="1128"/>
      <c r="DG153" s="1128"/>
      <c r="DH153" s="1127"/>
      <c r="DI153" s="1128"/>
      <c r="DJ153" s="1128"/>
      <c r="DK153" s="1128"/>
      <c r="DL153" s="1127"/>
      <c r="DM153" s="1128"/>
      <c r="DN153" s="1128"/>
      <c r="DO153" s="1128"/>
      <c r="DP153" s="1127"/>
      <c r="DQ153" s="1128"/>
      <c r="DR153" s="1128"/>
      <c r="DS153" s="1128"/>
      <c r="DT153" s="1127"/>
      <c r="DU153" s="1128"/>
      <c r="DV153" s="1128"/>
      <c r="DW153" s="1128"/>
      <c r="DX153" s="1127"/>
      <c r="DY153" s="1128"/>
      <c r="DZ153" s="1128"/>
      <c r="EA153" s="1128"/>
      <c r="EB153" s="1127"/>
      <c r="EC153" s="1128"/>
      <c r="ED153" s="1128"/>
      <c r="EE153" s="1128"/>
      <c r="EF153" s="1127"/>
      <c r="EG153" s="1128"/>
      <c r="EH153" s="1128"/>
      <c r="EI153" s="1128"/>
      <c r="EJ153" s="1127"/>
      <c r="EK153" s="1128"/>
      <c r="EL153" s="1128"/>
      <c r="EM153" s="1128"/>
      <c r="EN153" s="1127"/>
      <c r="EO153" s="1128"/>
      <c r="EP153" s="1128"/>
      <c r="EQ153" s="1128"/>
    </row>
    <row r="154" spans="1:147" ht="13.5" outlineLevel="1">
      <c r="A154" s="748"/>
      <c r="B154" s="1028">
        <v>2015</v>
      </c>
      <c r="C154" s="1029" t="s">
        <v>995</v>
      </c>
      <c r="D154" s="1131" cm="1">
        <f t="array" ref="D154:G154">H138:K138</f>
        <v>38300</v>
      </c>
      <c r="E154" s="1131">
        <v>41600</v>
      </c>
      <c r="F154" s="1131">
        <v>39400</v>
      </c>
      <c r="G154" s="1131">
        <v>35400</v>
      </c>
      <c r="H154" s="1130">
        <f>IFERROR(SUM(D154:G154),"-")</f>
        <v>154700</v>
      </c>
      <c r="I154" s="443"/>
      <c r="J154" s="1500" t="s">
        <v>1009</v>
      </c>
      <c r="K154" s="1501"/>
      <c r="L154" s="1029" t="s">
        <v>1010</v>
      </c>
      <c r="M154" s="1029" t="s">
        <v>1011</v>
      </c>
      <c r="AV154" s="1127"/>
      <c r="AW154" s="1128"/>
      <c r="AX154" s="1128"/>
      <c r="AY154" s="1128"/>
      <c r="AZ154" s="1127"/>
      <c r="BA154" s="1128"/>
      <c r="BB154" s="1128"/>
      <c r="BC154" s="1128"/>
      <c r="BD154" s="1127"/>
      <c r="BE154" s="1128"/>
      <c r="BF154" s="1128"/>
      <c r="BG154" s="1128"/>
      <c r="BH154" s="1127"/>
      <c r="BI154" s="1128"/>
      <c r="BJ154" s="1128"/>
      <c r="BK154" s="1128"/>
      <c r="BL154" s="1127"/>
      <c r="BM154" s="1128"/>
      <c r="BN154" s="1128"/>
      <c r="BO154" s="1128"/>
      <c r="BP154" s="1127"/>
      <c r="BQ154" s="1128"/>
      <c r="BR154" s="1128"/>
      <c r="BS154" s="1128"/>
      <c r="BT154" s="1127"/>
      <c r="BU154" s="1128"/>
      <c r="BV154" s="1128"/>
      <c r="BW154" s="1128"/>
      <c r="BX154" s="1127"/>
      <c r="BY154" s="1128"/>
      <c r="BZ154" s="1128"/>
      <c r="CA154" s="1128"/>
      <c r="CB154" s="1127"/>
      <c r="CC154" s="1128"/>
      <c r="CD154" s="1128"/>
      <c r="CE154" s="1128"/>
      <c r="CF154" s="1127"/>
      <c r="CG154" s="1128"/>
      <c r="CH154" s="1128"/>
      <c r="CI154" s="1128"/>
      <c r="CJ154" s="1127"/>
      <c r="CK154" s="1128"/>
      <c r="CL154" s="1128"/>
      <c r="CM154" s="1128"/>
      <c r="CN154" s="1127"/>
      <c r="CO154" s="1128"/>
      <c r="CP154" s="1128"/>
      <c r="CQ154" s="1128"/>
      <c r="CR154" s="1127"/>
      <c r="CS154" s="1128"/>
      <c r="CT154" s="1128"/>
      <c r="CU154" s="1128"/>
      <c r="CV154" s="1127"/>
      <c r="CW154" s="1128"/>
      <c r="CX154" s="1128"/>
      <c r="CY154" s="1128"/>
      <c r="CZ154" s="1127"/>
      <c r="DA154" s="1128"/>
      <c r="DB154" s="1128"/>
      <c r="DC154" s="1128"/>
      <c r="DD154" s="1127"/>
      <c r="DE154" s="1128"/>
      <c r="DF154" s="1128"/>
      <c r="DG154" s="1128"/>
      <c r="DH154" s="1127"/>
      <c r="DI154" s="1128"/>
      <c r="DJ154" s="1128"/>
      <c r="DK154" s="1128"/>
      <c r="DL154" s="1127"/>
      <c r="DM154" s="1128"/>
      <c r="DN154" s="1128"/>
      <c r="DO154" s="1128"/>
      <c r="DP154" s="1127"/>
      <c r="DQ154" s="1128"/>
      <c r="DR154" s="1128"/>
      <c r="DS154" s="1128"/>
      <c r="DT154" s="1127"/>
      <c r="DU154" s="1128"/>
      <c r="DV154" s="1128"/>
      <c r="DW154" s="1128"/>
      <c r="DX154" s="1127"/>
      <c r="DY154" s="1128"/>
      <c r="DZ154" s="1128"/>
      <c r="EA154" s="1128"/>
      <c r="EB154" s="1127"/>
      <c r="EC154" s="1128"/>
      <c r="ED154" s="1128"/>
      <c r="EE154" s="1128"/>
      <c r="EF154" s="1127"/>
      <c r="EG154" s="1128"/>
      <c r="EH154" s="1128"/>
      <c r="EI154" s="1128"/>
      <c r="EJ154" s="1127"/>
      <c r="EK154" s="1128"/>
      <c r="EL154" s="1128"/>
      <c r="EM154" s="1128"/>
      <c r="EN154" s="1127"/>
      <c r="EO154" s="1128"/>
      <c r="EP154" s="1128"/>
      <c r="EQ154" s="1128"/>
    </row>
    <row r="155" spans="1:147" outlineLevel="1">
      <c r="A155" s="748"/>
      <c r="B155" s="1030" t="s">
        <v>1006</v>
      </c>
      <c r="C155" s="1031" t="s">
        <v>832</v>
      </c>
      <c r="D155" s="1031">
        <f>IFERROR(D154/G152-1,"-")</f>
        <v>-4.4887780548628409E-2</v>
      </c>
      <c r="E155" s="1031">
        <f>IFERROR(E154/D154-1,"-")</f>
        <v>8.6161879895561455E-2</v>
      </c>
      <c r="F155" s="1031">
        <f>IFERROR(F154/E154-1,"-")</f>
        <v>-5.2884615384615419E-2</v>
      </c>
      <c r="G155" s="1031">
        <f>IFERROR(G154/F154-1,"-")</f>
        <v>-0.10152284263959388</v>
      </c>
      <c r="H155" s="1031">
        <f>IFERROR(H154/SUM($D154:$G154),"-")</f>
        <v>1</v>
      </c>
      <c r="I155" s="443"/>
      <c r="J155" s="1504" t="s">
        <v>1012</v>
      </c>
      <c r="K155" s="1501"/>
      <c r="L155" s="1029" t="s">
        <v>1013</v>
      </c>
      <c r="M155" s="1029" t="s">
        <v>1014</v>
      </c>
      <c r="AV155" s="1127"/>
      <c r="AW155" s="1128"/>
      <c r="AX155" s="1128"/>
      <c r="AY155" s="1128"/>
      <c r="AZ155" s="1127"/>
      <c r="BA155" s="1128"/>
      <c r="BB155" s="1128"/>
      <c r="BC155" s="1128"/>
      <c r="BD155" s="1127"/>
      <c r="BE155" s="1128"/>
      <c r="BF155" s="1128"/>
      <c r="BG155" s="1128"/>
      <c r="BH155" s="1127"/>
      <c r="BI155" s="1128"/>
      <c r="BJ155" s="1128"/>
      <c r="BK155" s="1128"/>
      <c r="BL155" s="1127"/>
      <c r="BM155" s="1128"/>
      <c r="BN155" s="1128"/>
      <c r="BO155" s="1128"/>
      <c r="BP155" s="1127"/>
      <c r="BQ155" s="1128"/>
      <c r="BR155" s="1128"/>
      <c r="BS155" s="1128"/>
      <c r="BT155" s="1127"/>
      <c r="BU155" s="1128"/>
      <c r="BV155" s="1128"/>
      <c r="BW155" s="1128"/>
      <c r="BX155" s="1127"/>
      <c r="BY155" s="1128"/>
      <c r="BZ155" s="1128"/>
      <c r="CA155" s="1128"/>
      <c r="CB155" s="1127"/>
      <c r="CC155" s="1128"/>
      <c r="CD155" s="1128"/>
      <c r="CE155" s="1128"/>
      <c r="CF155" s="1127"/>
      <c r="CG155" s="1128"/>
      <c r="CH155" s="1128"/>
      <c r="CI155" s="1128"/>
      <c r="CJ155" s="1127"/>
      <c r="CK155" s="1128"/>
      <c r="CL155" s="1128"/>
      <c r="CM155" s="1128"/>
      <c r="CN155" s="1127"/>
      <c r="CO155" s="1128"/>
      <c r="CP155" s="1128"/>
      <c r="CQ155" s="1128"/>
      <c r="CR155" s="1127"/>
      <c r="CS155" s="1128"/>
      <c r="CT155" s="1128"/>
      <c r="CU155" s="1128"/>
      <c r="CV155" s="1127"/>
      <c r="CW155" s="1128"/>
      <c r="CX155" s="1128"/>
      <c r="CY155" s="1128"/>
      <c r="CZ155" s="1127"/>
      <c r="DA155" s="1128"/>
      <c r="DB155" s="1128"/>
      <c r="DC155" s="1128"/>
      <c r="DD155" s="1127"/>
      <c r="DE155" s="1128"/>
      <c r="DF155" s="1128"/>
      <c r="DG155" s="1128"/>
      <c r="DH155" s="1127"/>
      <c r="DI155" s="1128"/>
      <c r="DJ155" s="1128"/>
      <c r="DK155" s="1128"/>
      <c r="DL155" s="1127"/>
      <c r="DM155" s="1128"/>
      <c r="DN155" s="1128"/>
      <c r="DO155" s="1128"/>
      <c r="DP155" s="1127"/>
      <c r="DQ155" s="1128"/>
      <c r="DR155" s="1128"/>
      <c r="DS155" s="1128"/>
      <c r="DT155" s="1127"/>
      <c r="DU155" s="1128"/>
      <c r="DV155" s="1128"/>
      <c r="DW155" s="1128"/>
      <c r="DX155" s="1127"/>
      <c r="DY155" s="1128"/>
      <c r="DZ155" s="1128"/>
      <c r="EA155" s="1128"/>
      <c r="EB155" s="1127"/>
      <c r="EC155" s="1128"/>
      <c r="ED155" s="1128"/>
      <c r="EE155" s="1128"/>
      <c r="EF155" s="1127"/>
      <c r="EG155" s="1128"/>
      <c r="EH155" s="1128"/>
      <c r="EI155" s="1128"/>
      <c r="EJ155" s="1127"/>
      <c r="EK155" s="1128"/>
      <c r="EL155" s="1128"/>
      <c r="EM155" s="1128"/>
      <c r="EN155" s="1127"/>
      <c r="EO155" s="1128"/>
      <c r="EP155" s="1128"/>
      <c r="EQ155" s="1128"/>
    </row>
    <row r="156" spans="1:147" ht="13.5" outlineLevel="1">
      <c r="A156" s="748"/>
      <c r="B156" s="1028">
        <v>2016</v>
      </c>
      <c r="C156" s="1029" t="s">
        <v>995</v>
      </c>
      <c r="D156" s="1131" cm="1">
        <f t="array" ref="D156:G156">L138:O138</f>
        <v>35300</v>
      </c>
      <c r="E156" s="1131">
        <v>36800</v>
      </c>
      <c r="F156" s="1131">
        <v>34900</v>
      </c>
      <c r="G156" s="1131">
        <v>33900</v>
      </c>
      <c r="H156" s="1130">
        <f t="shared" ref="H156" si="205">IFERROR(SUM(D156:G156),"-")</f>
        <v>140900</v>
      </c>
      <c r="I156" s="443"/>
      <c r="J156" s="1500" t="s">
        <v>1015</v>
      </c>
      <c r="K156" s="1501"/>
      <c r="L156" s="1029" t="s">
        <v>1016</v>
      </c>
      <c r="M156" s="1029" t="s">
        <v>1017</v>
      </c>
      <c r="AV156" s="1127"/>
      <c r="AW156" s="1128"/>
      <c r="AX156" s="1128"/>
      <c r="AY156" s="1128"/>
      <c r="AZ156" s="1127"/>
      <c r="BA156" s="1128"/>
      <c r="BB156" s="1128"/>
      <c r="BC156" s="1128"/>
      <c r="BD156" s="1127"/>
      <c r="BE156" s="1128"/>
      <c r="BF156" s="1128"/>
      <c r="BG156" s="1128"/>
      <c r="BH156" s="1127"/>
      <c r="BI156" s="1128"/>
      <c r="BJ156" s="1128"/>
      <c r="BK156" s="1128"/>
      <c r="BL156" s="1127"/>
      <c r="BM156" s="1128"/>
      <c r="BN156" s="1128"/>
      <c r="BO156" s="1128"/>
      <c r="BP156" s="1127"/>
      <c r="BQ156" s="1128"/>
      <c r="BR156" s="1128"/>
      <c r="BS156" s="1128"/>
      <c r="BT156" s="1127"/>
      <c r="BU156" s="1128"/>
      <c r="BV156" s="1128"/>
      <c r="BW156" s="1128"/>
      <c r="BX156" s="1127"/>
      <c r="BY156" s="1128"/>
      <c r="BZ156" s="1128"/>
      <c r="CA156" s="1128"/>
      <c r="CB156" s="1127"/>
      <c r="CC156" s="1128"/>
      <c r="CD156" s="1128"/>
      <c r="CE156" s="1128"/>
      <c r="CF156" s="1127"/>
      <c r="CG156" s="1128"/>
      <c r="CH156" s="1128"/>
      <c r="CI156" s="1128"/>
      <c r="CJ156" s="1127"/>
      <c r="CK156" s="1128"/>
      <c r="CL156" s="1128"/>
      <c r="CM156" s="1128"/>
      <c r="CN156" s="1127"/>
      <c r="CO156" s="1128"/>
      <c r="CP156" s="1128"/>
      <c r="CQ156" s="1128"/>
      <c r="CR156" s="1127"/>
      <c r="CS156" s="1128"/>
      <c r="CT156" s="1128"/>
      <c r="CU156" s="1128"/>
      <c r="CV156" s="1127"/>
      <c r="CW156" s="1128"/>
      <c r="CX156" s="1128"/>
      <c r="CY156" s="1128"/>
      <c r="CZ156" s="1127"/>
      <c r="DA156" s="1128"/>
      <c r="DB156" s="1128"/>
      <c r="DC156" s="1128"/>
      <c r="DD156" s="1127"/>
      <c r="DE156" s="1128"/>
      <c r="DF156" s="1128"/>
      <c r="DG156" s="1128"/>
      <c r="DH156" s="1127"/>
      <c r="DI156" s="1128"/>
      <c r="DJ156" s="1128"/>
      <c r="DK156" s="1128"/>
      <c r="DL156" s="1127"/>
      <c r="DM156" s="1128"/>
      <c r="DN156" s="1128"/>
      <c r="DO156" s="1128"/>
      <c r="DP156" s="1127"/>
      <c r="DQ156" s="1128"/>
      <c r="DR156" s="1128"/>
      <c r="DS156" s="1128"/>
      <c r="DT156" s="1127"/>
      <c r="DU156" s="1128"/>
      <c r="DV156" s="1128"/>
      <c r="DW156" s="1128"/>
      <c r="DX156" s="1127"/>
      <c r="DY156" s="1128"/>
      <c r="DZ156" s="1128"/>
      <c r="EA156" s="1128"/>
      <c r="EB156" s="1127"/>
      <c r="EC156" s="1128"/>
      <c r="ED156" s="1128"/>
      <c r="EE156" s="1128"/>
      <c r="EF156" s="1127"/>
      <c r="EG156" s="1128"/>
      <c r="EH156" s="1128"/>
      <c r="EI156" s="1128"/>
      <c r="EJ156" s="1127"/>
      <c r="EK156" s="1128"/>
      <c r="EL156" s="1128"/>
      <c r="EM156" s="1128"/>
      <c r="EN156" s="1127"/>
      <c r="EO156" s="1128"/>
      <c r="EP156" s="1128"/>
      <c r="EQ156" s="1128"/>
    </row>
    <row r="157" spans="1:147" outlineLevel="1">
      <c r="A157" s="748"/>
      <c r="B157" s="1030" t="s">
        <v>1006</v>
      </c>
      <c r="C157" s="1031" t="s">
        <v>832</v>
      </c>
      <c r="D157" s="1031">
        <f>IFERROR(D156/G154-1,"-")</f>
        <v>-2.8248587570621764E-3</v>
      </c>
      <c r="E157" s="1031">
        <f>IFERROR(E156/D156-1,"-")</f>
        <v>4.2492917847025469E-2</v>
      </c>
      <c r="F157" s="1031">
        <f>IFERROR(F156/E156-1,"-")</f>
        <v>-5.1630434782608647E-2</v>
      </c>
      <c r="G157" s="1031">
        <f>IFERROR(G156/F156-1,"-")</f>
        <v>-2.8653295128939882E-2</v>
      </c>
      <c r="H157" s="1031">
        <f>IFERROR(H156/SUM($D156:$G156),"-")</f>
        <v>1</v>
      </c>
      <c r="I157" s="443"/>
      <c r="J157" s="443"/>
      <c r="K157" s="443"/>
      <c r="AV157" s="1127"/>
      <c r="AW157" s="1128"/>
      <c r="AX157" s="1128"/>
      <c r="AY157" s="1128"/>
      <c r="AZ157" s="1127"/>
      <c r="BA157" s="1128"/>
      <c r="BB157" s="1128"/>
      <c r="BC157" s="1128"/>
      <c r="BD157" s="1127"/>
      <c r="BE157" s="1128"/>
      <c r="BF157" s="1128"/>
      <c r="BG157" s="1128"/>
      <c r="BH157" s="1127"/>
      <c r="BI157" s="1128"/>
      <c r="BJ157" s="1128"/>
      <c r="BK157" s="1128"/>
      <c r="BL157" s="1127"/>
      <c r="BM157" s="1128"/>
      <c r="BN157" s="1128"/>
      <c r="BO157" s="1128"/>
      <c r="BP157" s="1127"/>
      <c r="BQ157" s="1128"/>
      <c r="BR157" s="1128"/>
      <c r="BS157" s="1128"/>
      <c r="BT157" s="1127"/>
      <c r="BU157" s="1128"/>
      <c r="BV157" s="1128"/>
      <c r="BW157" s="1128"/>
      <c r="BX157" s="1127"/>
      <c r="BY157" s="1128"/>
      <c r="BZ157" s="1128"/>
      <c r="CA157" s="1128"/>
      <c r="CB157" s="1127"/>
      <c r="CC157" s="1128"/>
      <c r="CD157" s="1128"/>
      <c r="CE157" s="1128"/>
      <c r="CF157" s="1127"/>
      <c r="CG157" s="1128"/>
      <c r="CH157" s="1128"/>
      <c r="CI157" s="1128"/>
      <c r="CJ157" s="1127"/>
      <c r="CK157" s="1128"/>
      <c r="CL157" s="1128"/>
      <c r="CM157" s="1128"/>
      <c r="CN157" s="1127"/>
      <c r="CO157" s="1128"/>
      <c r="CP157" s="1128"/>
      <c r="CQ157" s="1128"/>
      <c r="CR157" s="1127"/>
      <c r="CS157" s="1128"/>
      <c r="CT157" s="1128"/>
      <c r="CU157" s="1128"/>
      <c r="CV157" s="1127"/>
      <c r="CW157" s="1128"/>
      <c r="CX157" s="1128"/>
      <c r="CY157" s="1128"/>
      <c r="CZ157" s="1127"/>
      <c r="DA157" s="1128"/>
      <c r="DB157" s="1128"/>
      <c r="DC157" s="1128"/>
      <c r="DD157" s="1127"/>
      <c r="DE157" s="1128"/>
      <c r="DF157" s="1128"/>
      <c r="DG157" s="1128"/>
      <c r="DH157" s="1127"/>
      <c r="DI157" s="1128"/>
      <c r="DJ157" s="1128"/>
      <c r="DK157" s="1128"/>
      <c r="DL157" s="1127"/>
      <c r="DM157" s="1128"/>
      <c r="DN157" s="1128"/>
      <c r="DO157" s="1128"/>
      <c r="DP157" s="1127"/>
      <c r="DQ157" s="1128"/>
      <c r="DR157" s="1128"/>
      <c r="DS157" s="1128"/>
      <c r="DT157" s="1127"/>
      <c r="DU157" s="1128"/>
      <c r="DV157" s="1128"/>
      <c r="DW157" s="1128"/>
      <c r="DX157" s="1127"/>
      <c r="DY157" s="1128"/>
      <c r="DZ157" s="1128"/>
      <c r="EA157" s="1128"/>
      <c r="EB157" s="1127"/>
      <c r="EC157" s="1128"/>
      <c r="ED157" s="1128"/>
      <c r="EE157" s="1128"/>
      <c r="EF157" s="1127"/>
      <c r="EG157" s="1128"/>
      <c r="EH157" s="1128"/>
      <c r="EI157" s="1128"/>
      <c r="EJ157" s="1127"/>
      <c r="EK157" s="1128"/>
      <c r="EL157" s="1128"/>
      <c r="EM157" s="1128"/>
      <c r="EN157" s="1127"/>
      <c r="EO157" s="1128"/>
      <c r="EP157" s="1128"/>
      <c r="EQ157" s="1128"/>
    </row>
    <row r="158" spans="1:147" ht="13.5" outlineLevel="1">
      <c r="A158" s="748"/>
      <c r="B158" s="1028">
        <v>2017</v>
      </c>
      <c r="C158" s="1029" t="s">
        <v>995</v>
      </c>
      <c r="D158" s="1131" cm="1">
        <f t="array" ref="D158:G158">P138:S138</f>
        <v>35000</v>
      </c>
      <c r="E158" s="1131">
        <v>39400</v>
      </c>
      <c r="F158" s="1131">
        <v>40200</v>
      </c>
      <c r="G158" s="1131">
        <v>44300</v>
      </c>
      <c r="H158" s="1130">
        <f t="shared" ref="H158" si="206">IFERROR(SUM(D158:G158),"-")</f>
        <v>158900</v>
      </c>
      <c r="I158" s="443"/>
      <c r="J158" s="443"/>
      <c r="K158" s="443"/>
      <c r="AV158" s="1127"/>
      <c r="AW158" s="1128"/>
      <c r="AX158" s="1128"/>
      <c r="AY158" s="1128"/>
      <c r="AZ158" s="1127"/>
      <c r="BA158" s="1128"/>
      <c r="BB158" s="1128"/>
      <c r="BC158" s="1128"/>
      <c r="BD158" s="1127"/>
      <c r="BE158" s="1128"/>
      <c r="BF158" s="1128"/>
      <c r="BG158" s="1128"/>
      <c r="BH158" s="1127"/>
      <c r="BI158" s="1128"/>
      <c r="BJ158" s="1128"/>
      <c r="BK158" s="1128"/>
      <c r="BL158" s="1127"/>
      <c r="BM158" s="1128"/>
      <c r="BN158" s="1128"/>
      <c r="BO158" s="1128"/>
      <c r="BP158" s="1127"/>
      <c r="BQ158" s="1128"/>
      <c r="BR158" s="1128"/>
      <c r="BS158" s="1128"/>
      <c r="BT158" s="1127"/>
      <c r="BU158" s="1128"/>
      <c r="BV158" s="1128"/>
      <c r="BW158" s="1128"/>
      <c r="BX158" s="1127"/>
      <c r="BY158" s="1128"/>
      <c r="BZ158" s="1128"/>
      <c r="CA158" s="1128"/>
      <c r="CB158" s="1127"/>
      <c r="CC158" s="1128"/>
      <c r="CD158" s="1128"/>
      <c r="CE158" s="1128"/>
      <c r="CF158" s="1127"/>
      <c r="CG158" s="1128"/>
      <c r="CH158" s="1128"/>
      <c r="CI158" s="1128"/>
      <c r="CJ158" s="1127"/>
      <c r="CK158" s="1128"/>
      <c r="CL158" s="1128"/>
      <c r="CM158" s="1128"/>
      <c r="CN158" s="1127"/>
      <c r="CO158" s="1128"/>
      <c r="CP158" s="1128"/>
      <c r="CQ158" s="1128"/>
      <c r="CR158" s="1127"/>
      <c r="CS158" s="1128"/>
      <c r="CT158" s="1128"/>
      <c r="CU158" s="1128"/>
      <c r="CV158" s="1127"/>
      <c r="CW158" s="1128"/>
      <c r="CX158" s="1128"/>
      <c r="CY158" s="1128"/>
      <c r="CZ158" s="1127"/>
      <c r="DA158" s="1128"/>
      <c r="DB158" s="1128"/>
      <c r="DC158" s="1128"/>
      <c r="DD158" s="1127"/>
      <c r="DE158" s="1128"/>
      <c r="DF158" s="1128"/>
      <c r="DG158" s="1128"/>
      <c r="DH158" s="1127"/>
      <c r="DI158" s="1128"/>
      <c r="DJ158" s="1128"/>
      <c r="DK158" s="1128"/>
      <c r="DL158" s="1127"/>
      <c r="DM158" s="1128"/>
      <c r="DN158" s="1128"/>
      <c r="DO158" s="1128"/>
      <c r="DP158" s="1127"/>
      <c r="DQ158" s="1128"/>
      <c r="DR158" s="1128"/>
      <c r="DS158" s="1128"/>
      <c r="DT158" s="1127"/>
      <c r="DU158" s="1128"/>
      <c r="DV158" s="1128"/>
      <c r="DW158" s="1128"/>
      <c r="DX158" s="1127"/>
      <c r="DY158" s="1128"/>
      <c r="DZ158" s="1128"/>
      <c r="EA158" s="1128"/>
      <c r="EB158" s="1127"/>
      <c r="EC158" s="1128"/>
      <c r="ED158" s="1128"/>
      <c r="EE158" s="1128"/>
      <c r="EF158" s="1127"/>
      <c r="EG158" s="1128"/>
      <c r="EH158" s="1128"/>
      <c r="EI158" s="1128"/>
      <c r="EJ158" s="1127"/>
      <c r="EK158" s="1128"/>
      <c r="EL158" s="1128"/>
      <c r="EM158" s="1128"/>
      <c r="EN158" s="1127"/>
      <c r="EO158" s="1128"/>
      <c r="EP158" s="1128"/>
      <c r="EQ158" s="1128"/>
    </row>
    <row r="159" spans="1:147" outlineLevel="1">
      <c r="A159" s="748"/>
      <c r="B159" s="1030" t="s">
        <v>1006</v>
      </c>
      <c r="C159" s="1031" t="s">
        <v>832</v>
      </c>
      <c r="D159" s="1031">
        <f>IFERROR(D158/G156-1,"-")</f>
        <v>3.2448377581120846E-2</v>
      </c>
      <c r="E159" s="1031">
        <f>IFERROR(E158/D158-1,"-")</f>
        <v>0.12571428571428567</v>
      </c>
      <c r="F159" s="1031">
        <f>IFERROR(F158/E158-1,"-")</f>
        <v>2.0304568527918843E-2</v>
      </c>
      <c r="G159" s="1031">
        <f>IFERROR(G158/F158-1,"-")</f>
        <v>0.10199004975124382</v>
      </c>
      <c r="H159" s="1031">
        <f>IFERROR(H158/SUM($D158:$G158),"-")</f>
        <v>1</v>
      </c>
      <c r="I159" s="443"/>
      <c r="J159" s="443"/>
      <c r="K159" s="443"/>
      <c r="AV159" s="1127"/>
      <c r="AW159" s="1128"/>
      <c r="AX159" s="1128"/>
      <c r="AY159" s="1128"/>
      <c r="AZ159" s="1127"/>
      <c r="BA159" s="1128"/>
      <c r="BB159" s="1128"/>
      <c r="BC159" s="1128"/>
      <c r="BD159" s="1127"/>
      <c r="BE159" s="1128"/>
      <c r="BF159" s="1128"/>
      <c r="BG159" s="1128"/>
      <c r="BH159" s="1127"/>
      <c r="BI159" s="1128"/>
      <c r="BJ159" s="1128"/>
      <c r="BK159" s="1128"/>
      <c r="BL159" s="1127"/>
      <c r="BM159" s="1128"/>
      <c r="BN159" s="1128"/>
      <c r="BO159" s="1128"/>
      <c r="BP159" s="1127"/>
      <c r="BQ159" s="1128"/>
      <c r="BR159" s="1128"/>
      <c r="BS159" s="1128"/>
      <c r="BT159" s="1127"/>
      <c r="BU159" s="1128"/>
      <c r="BV159" s="1128"/>
      <c r="BW159" s="1128"/>
      <c r="BX159" s="1127"/>
      <c r="BY159" s="1128"/>
      <c r="BZ159" s="1128"/>
      <c r="CA159" s="1128"/>
      <c r="CB159" s="1127"/>
      <c r="CC159" s="1128"/>
      <c r="CD159" s="1128"/>
      <c r="CE159" s="1128"/>
      <c r="CF159" s="1127"/>
      <c r="CG159" s="1128"/>
      <c r="CH159" s="1128"/>
      <c r="CI159" s="1128"/>
      <c r="CJ159" s="1127"/>
      <c r="CK159" s="1128"/>
      <c r="CL159" s="1128"/>
      <c r="CM159" s="1128"/>
      <c r="CN159" s="1127"/>
      <c r="CO159" s="1128"/>
      <c r="CP159" s="1128"/>
      <c r="CQ159" s="1128"/>
      <c r="CR159" s="1127"/>
      <c r="CS159" s="1128"/>
      <c r="CT159" s="1128"/>
      <c r="CU159" s="1128"/>
      <c r="CV159" s="1127"/>
      <c r="CW159" s="1128"/>
      <c r="CX159" s="1128"/>
      <c r="CY159" s="1128"/>
      <c r="CZ159" s="1127"/>
      <c r="DA159" s="1128"/>
      <c r="DB159" s="1128"/>
      <c r="DC159" s="1128"/>
      <c r="DD159" s="1127"/>
      <c r="DE159" s="1128"/>
      <c r="DF159" s="1128"/>
      <c r="DG159" s="1128"/>
      <c r="DH159" s="1127"/>
      <c r="DI159" s="1128"/>
      <c r="DJ159" s="1128"/>
      <c r="DK159" s="1128"/>
      <c r="DL159" s="1127"/>
      <c r="DM159" s="1128"/>
      <c r="DN159" s="1128"/>
      <c r="DO159" s="1128"/>
      <c r="DP159" s="1127"/>
      <c r="DQ159" s="1128"/>
      <c r="DR159" s="1128"/>
      <c r="DS159" s="1128"/>
      <c r="DT159" s="1127"/>
      <c r="DU159" s="1128"/>
      <c r="DV159" s="1128"/>
      <c r="DW159" s="1128"/>
      <c r="DX159" s="1127"/>
      <c r="DY159" s="1128"/>
      <c r="DZ159" s="1128"/>
      <c r="EA159" s="1128"/>
      <c r="EB159" s="1127"/>
      <c r="EC159" s="1128"/>
      <c r="ED159" s="1128"/>
      <c r="EE159" s="1128"/>
      <c r="EF159" s="1127"/>
      <c r="EG159" s="1128"/>
      <c r="EH159" s="1128"/>
      <c r="EI159" s="1128"/>
      <c r="EJ159" s="1127"/>
      <c r="EK159" s="1128"/>
      <c r="EL159" s="1128"/>
      <c r="EM159" s="1128"/>
      <c r="EN159" s="1127"/>
      <c r="EO159" s="1128"/>
      <c r="EP159" s="1128"/>
      <c r="EQ159" s="1128"/>
    </row>
    <row r="160" spans="1:147" ht="13.5" outlineLevel="1">
      <c r="A160" s="748"/>
      <c r="B160" s="1028">
        <v>2018</v>
      </c>
      <c r="C160" s="1029" t="s">
        <v>995</v>
      </c>
      <c r="D160" s="1131" cm="1">
        <f t="array" ref="D160:G160">T138:W138</f>
        <v>44500</v>
      </c>
      <c r="E160" s="1131">
        <v>46400</v>
      </c>
      <c r="F160" s="1131">
        <v>47800</v>
      </c>
      <c r="G160" s="1131">
        <v>50400</v>
      </c>
      <c r="H160" s="1130">
        <f t="shared" ref="H160" si="207">IFERROR(SUM(D160:G160),"-")</f>
        <v>189100</v>
      </c>
      <c r="I160" s="443"/>
      <c r="J160" s="443"/>
      <c r="K160" s="443"/>
      <c r="AV160" s="1127"/>
      <c r="AW160" s="1128"/>
      <c r="AX160" s="1128"/>
      <c r="AY160" s="1128"/>
      <c r="AZ160" s="1127"/>
      <c r="BA160" s="1128"/>
      <c r="BB160" s="1128"/>
      <c r="BC160" s="1128"/>
      <c r="BD160" s="1127"/>
      <c r="BE160" s="1128"/>
      <c r="BF160" s="1128"/>
      <c r="BG160" s="1128"/>
      <c r="BH160" s="1127"/>
      <c r="BI160" s="1128"/>
      <c r="BJ160" s="1128"/>
      <c r="BK160" s="1128"/>
      <c r="BL160" s="1127"/>
      <c r="BM160" s="1128"/>
      <c r="BN160" s="1128"/>
      <c r="BO160" s="1128"/>
      <c r="BP160" s="1127"/>
      <c r="BQ160" s="1128"/>
      <c r="BR160" s="1128"/>
      <c r="BS160" s="1128"/>
      <c r="BT160" s="1127"/>
      <c r="BU160" s="1128"/>
      <c r="BV160" s="1128"/>
      <c r="BW160" s="1128"/>
      <c r="BX160" s="1127"/>
      <c r="BY160" s="1128"/>
      <c r="BZ160" s="1128"/>
      <c r="CA160" s="1128"/>
      <c r="CB160" s="1127"/>
      <c r="CC160" s="1128"/>
      <c r="CD160" s="1128"/>
      <c r="CE160" s="1128"/>
      <c r="CF160" s="1127"/>
      <c r="CG160" s="1128"/>
      <c r="CH160" s="1128"/>
      <c r="CI160" s="1128"/>
      <c r="CJ160" s="1127"/>
      <c r="CK160" s="1128"/>
      <c r="CL160" s="1128"/>
      <c r="CM160" s="1128"/>
      <c r="CN160" s="1127"/>
      <c r="CO160" s="1128"/>
      <c r="CP160" s="1128"/>
      <c r="CQ160" s="1128"/>
      <c r="CR160" s="1127"/>
      <c r="CS160" s="1128"/>
      <c r="CT160" s="1128"/>
      <c r="CU160" s="1128"/>
      <c r="CV160" s="1127"/>
      <c r="CW160" s="1128"/>
      <c r="CX160" s="1128"/>
      <c r="CY160" s="1128"/>
      <c r="CZ160" s="1127"/>
      <c r="DA160" s="1128"/>
      <c r="DB160" s="1128"/>
      <c r="DC160" s="1128"/>
      <c r="DD160" s="1127"/>
      <c r="DE160" s="1128"/>
      <c r="DF160" s="1128"/>
      <c r="DG160" s="1128"/>
      <c r="DH160" s="1127"/>
      <c r="DI160" s="1128"/>
      <c r="DJ160" s="1128"/>
      <c r="DK160" s="1128"/>
      <c r="DL160" s="1127"/>
      <c r="DM160" s="1128"/>
      <c r="DN160" s="1128"/>
      <c r="DO160" s="1128"/>
      <c r="DP160" s="1127"/>
      <c r="DQ160" s="1128"/>
      <c r="DR160" s="1128"/>
      <c r="DS160" s="1128"/>
      <c r="DT160" s="1127"/>
      <c r="DU160" s="1128"/>
      <c r="DV160" s="1128"/>
      <c r="DW160" s="1128"/>
      <c r="DX160" s="1127"/>
      <c r="DY160" s="1128"/>
      <c r="DZ160" s="1128"/>
      <c r="EA160" s="1128"/>
      <c r="EB160" s="1127"/>
      <c r="EC160" s="1128"/>
      <c r="ED160" s="1128"/>
      <c r="EE160" s="1128"/>
      <c r="EF160" s="1127"/>
      <c r="EG160" s="1128"/>
      <c r="EH160" s="1128"/>
      <c r="EI160" s="1128"/>
      <c r="EJ160" s="1127"/>
      <c r="EK160" s="1128"/>
      <c r="EL160" s="1128"/>
      <c r="EM160" s="1128"/>
      <c r="EN160" s="1127"/>
      <c r="EO160" s="1128"/>
      <c r="EP160" s="1128"/>
      <c r="EQ160" s="1128"/>
    </row>
    <row r="161" spans="1:147" outlineLevel="1">
      <c r="A161" s="748"/>
      <c r="B161" s="1030" t="s">
        <v>1006</v>
      </c>
      <c r="C161" s="1031" t="s">
        <v>832</v>
      </c>
      <c r="D161" s="1031">
        <f>IFERROR(D160/G158-1,"-")</f>
        <v>4.5146726862301811E-3</v>
      </c>
      <c r="E161" s="1031">
        <f>IFERROR(E160/D160-1,"-")</f>
        <v>4.2696629213483162E-2</v>
      </c>
      <c r="F161" s="1031">
        <f>IFERROR(F160/E160-1,"-")</f>
        <v>3.0172413793103425E-2</v>
      </c>
      <c r="G161" s="1031">
        <f>IFERROR(G160/F160-1,"-")</f>
        <v>5.439330543933063E-2</v>
      </c>
      <c r="H161" s="1031">
        <f>IFERROR(H160/SUM($D160:$G160),"-")</f>
        <v>1</v>
      </c>
      <c r="I161" s="443"/>
      <c r="J161" s="443"/>
      <c r="K161" s="443"/>
      <c r="AV161" s="1127"/>
      <c r="AW161" s="1128"/>
      <c r="AX161" s="1128"/>
      <c r="AY161" s="1128"/>
      <c r="AZ161" s="1127"/>
      <c r="BA161" s="1128"/>
      <c r="BB161" s="1128"/>
      <c r="BC161" s="1128"/>
      <c r="BD161" s="1127"/>
      <c r="BE161" s="1128"/>
      <c r="BF161" s="1128"/>
      <c r="BG161" s="1128"/>
      <c r="BH161" s="1127"/>
      <c r="BI161" s="1128"/>
      <c r="BJ161" s="1128"/>
      <c r="BK161" s="1128"/>
      <c r="BL161" s="1127"/>
      <c r="BM161" s="1128"/>
      <c r="BN161" s="1128"/>
      <c r="BO161" s="1128"/>
      <c r="BP161" s="1127"/>
      <c r="BQ161" s="1128"/>
      <c r="BR161" s="1128"/>
      <c r="BS161" s="1128"/>
      <c r="BT161" s="1127"/>
      <c r="BU161" s="1128"/>
      <c r="BV161" s="1128"/>
      <c r="BW161" s="1128"/>
      <c r="BX161" s="1127"/>
      <c r="BY161" s="1128"/>
      <c r="BZ161" s="1128"/>
      <c r="CA161" s="1128"/>
      <c r="CB161" s="1127"/>
      <c r="CC161" s="1128"/>
      <c r="CD161" s="1128"/>
      <c r="CE161" s="1128"/>
      <c r="CF161" s="1127"/>
      <c r="CG161" s="1128"/>
      <c r="CH161" s="1128"/>
      <c r="CI161" s="1128"/>
      <c r="CJ161" s="1127"/>
      <c r="CK161" s="1128"/>
      <c r="CL161" s="1128"/>
      <c r="CM161" s="1128"/>
      <c r="CN161" s="1127"/>
      <c r="CO161" s="1128"/>
      <c r="CP161" s="1128"/>
      <c r="CQ161" s="1128"/>
      <c r="CR161" s="1127"/>
      <c r="CS161" s="1128"/>
      <c r="CT161" s="1128"/>
      <c r="CU161" s="1128"/>
      <c r="CV161" s="1127"/>
      <c r="CW161" s="1128"/>
      <c r="CX161" s="1128"/>
      <c r="CY161" s="1128"/>
      <c r="CZ161" s="1127"/>
      <c r="DA161" s="1128"/>
      <c r="DB161" s="1128"/>
      <c r="DC161" s="1128"/>
      <c r="DD161" s="1127"/>
      <c r="DE161" s="1128"/>
      <c r="DF161" s="1128"/>
      <c r="DG161" s="1128"/>
      <c r="DH161" s="1127"/>
      <c r="DI161" s="1128"/>
      <c r="DJ161" s="1128"/>
      <c r="DK161" s="1128"/>
      <c r="DL161" s="1127"/>
      <c r="DM161" s="1128"/>
      <c r="DN161" s="1128"/>
      <c r="DO161" s="1128"/>
      <c r="DP161" s="1127"/>
      <c r="DQ161" s="1128"/>
      <c r="DR161" s="1128"/>
      <c r="DS161" s="1128"/>
      <c r="DT161" s="1127"/>
      <c r="DU161" s="1128"/>
      <c r="DV161" s="1128"/>
      <c r="DW161" s="1128"/>
      <c r="DX161" s="1127"/>
      <c r="DY161" s="1128"/>
      <c r="DZ161" s="1128"/>
      <c r="EA161" s="1128"/>
      <c r="EB161" s="1127"/>
      <c r="EC161" s="1128"/>
      <c r="ED161" s="1128"/>
      <c r="EE161" s="1128"/>
      <c r="EF161" s="1127"/>
      <c r="EG161" s="1128"/>
      <c r="EH161" s="1128"/>
      <c r="EI161" s="1128"/>
      <c r="EJ161" s="1127"/>
      <c r="EK161" s="1128"/>
      <c r="EL161" s="1128"/>
      <c r="EM161" s="1128"/>
      <c r="EN161" s="1127"/>
      <c r="EO161" s="1128"/>
      <c r="EP161" s="1128"/>
      <c r="EQ161" s="1128"/>
    </row>
    <row r="162" spans="1:147" ht="13.5" outlineLevel="1">
      <c r="A162" s="748"/>
      <c r="B162" s="1028">
        <v>2019</v>
      </c>
      <c r="C162" s="1029" t="s">
        <v>995</v>
      </c>
      <c r="D162" s="1131" cm="1">
        <f t="array" ref="D162:G162">X138:AA138</f>
        <v>51500</v>
      </c>
      <c r="E162" s="1131">
        <v>52300</v>
      </c>
      <c r="F162" s="1131">
        <v>49300</v>
      </c>
      <c r="G162" s="1131">
        <v>45700</v>
      </c>
      <c r="H162" s="1130">
        <f t="shared" ref="H162" si="208">IFERROR(SUM(D162:G162),"-")</f>
        <v>198800</v>
      </c>
      <c r="I162" s="443"/>
      <c r="J162" s="443"/>
      <c r="K162" s="443"/>
      <c r="AV162" s="1127"/>
      <c r="AW162" s="1128"/>
      <c r="AX162" s="1128"/>
      <c r="AY162" s="1128"/>
      <c r="AZ162" s="1127"/>
      <c r="BA162" s="1128"/>
      <c r="BB162" s="1128"/>
      <c r="BC162" s="1128"/>
      <c r="BD162" s="1127"/>
      <c r="BE162" s="1128"/>
      <c r="BF162" s="1128"/>
      <c r="BG162" s="1128"/>
      <c r="BH162" s="1127"/>
      <c r="BI162" s="1128"/>
      <c r="BJ162" s="1128"/>
      <c r="BK162" s="1128"/>
      <c r="BL162" s="1127"/>
      <c r="BM162" s="1128"/>
      <c r="BN162" s="1128"/>
      <c r="BO162" s="1128"/>
      <c r="BP162" s="1127"/>
      <c r="BQ162" s="1128"/>
      <c r="BR162" s="1128"/>
      <c r="BS162" s="1128"/>
      <c r="BT162" s="1127"/>
      <c r="BU162" s="1128"/>
      <c r="BV162" s="1128"/>
      <c r="BW162" s="1128"/>
      <c r="BX162" s="1127"/>
      <c r="BY162" s="1128"/>
      <c r="BZ162" s="1128"/>
      <c r="CA162" s="1128"/>
      <c r="CB162" s="1127"/>
      <c r="CC162" s="1128"/>
      <c r="CD162" s="1128"/>
      <c r="CE162" s="1128"/>
      <c r="CF162" s="1127"/>
      <c r="CG162" s="1128"/>
      <c r="CH162" s="1128"/>
      <c r="CI162" s="1128"/>
      <c r="CJ162" s="1127"/>
      <c r="CK162" s="1128"/>
      <c r="CL162" s="1128"/>
      <c r="CM162" s="1128"/>
      <c r="CN162" s="1127"/>
      <c r="CO162" s="1128"/>
      <c r="CP162" s="1128"/>
      <c r="CQ162" s="1128"/>
      <c r="CR162" s="1127"/>
      <c r="CS162" s="1128"/>
      <c r="CT162" s="1128"/>
      <c r="CU162" s="1128"/>
      <c r="CV162" s="1127"/>
      <c r="CW162" s="1128"/>
      <c r="CX162" s="1128"/>
      <c r="CY162" s="1128"/>
      <c r="CZ162" s="1127"/>
      <c r="DA162" s="1128"/>
      <c r="DB162" s="1128"/>
      <c r="DC162" s="1128"/>
      <c r="DD162" s="1127"/>
      <c r="DE162" s="1128"/>
      <c r="DF162" s="1128"/>
      <c r="DG162" s="1128"/>
      <c r="DH162" s="1127"/>
      <c r="DI162" s="1128"/>
      <c r="DJ162" s="1128"/>
      <c r="DK162" s="1128"/>
      <c r="DL162" s="1127"/>
      <c r="DM162" s="1128"/>
      <c r="DN162" s="1128"/>
      <c r="DO162" s="1128"/>
      <c r="DP162" s="1127"/>
      <c r="DQ162" s="1128"/>
      <c r="DR162" s="1128"/>
      <c r="DS162" s="1128"/>
      <c r="DT162" s="1127"/>
      <c r="DU162" s="1128"/>
      <c r="DV162" s="1128"/>
      <c r="DW162" s="1128"/>
      <c r="DX162" s="1127"/>
      <c r="DY162" s="1128"/>
      <c r="DZ162" s="1128"/>
      <c r="EA162" s="1128"/>
      <c r="EB162" s="1127"/>
      <c r="EC162" s="1128"/>
      <c r="ED162" s="1128"/>
      <c r="EE162" s="1128"/>
      <c r="EF162" s="1127"/>
      <c r="EG162" s="1128"/>
      <c r="EH162" s="1128"/>
      <c r="EI162" s="1128"/>
      <c r="EJ162" s="1127"/>
      <c r="EK162" s="1128"/>
      <c r="EL162" s="1128"/>
      <c r="EM162" s="1128"/>
      <c r="EN162" s="1127"/>
      <c r="EO162" s="1128"/>
      <c r="EP162" s="1128"/>
      <c r="EQ162" s="1128"/>
    </row>
    <row r="163" spans="1:147" outlineLevel="1">
      <c r="A163" s="748"/>
      <c r="B163" s="1030" t="s">
        <v>1006</v>
      </c>
      <c r="C163" s="1031" t="s">
        <v>832</v>
      </c>
      <c r="D163" s="1031">
        <f>IFERROR(D162/G160-1,"-")</f>
        <v>2.1825396825396748E-2</v>
      </c>
      <c r="E163" s="1031">
        <f>IFERROR(E162/D162-1,"-")</f>
        <v>1.5533980582524309E-2</v>
      </c>
      <c r="F163" s="1031">
        <f>IFERROR(F162/E162-1,"-")</f>
        <v>-5.7361376673040199E-2</v>
      </c>
      <c r="G163" s="1031">
        <f>IFERROR(G162/F162-1,"-")</f>
        <v>-7.3022312373225207E-2</v>
      </c>
      <c r="H163" s="1031">
        <f>IFERROR(H162/SUM($D162:$G162),"-")</f>
        <v>1</v>
      </c>
      <c r="I163" s="443"/>
      <c r="J163" s="443"/>
      <c r="K163" s="443"/>
      <c r="AV163" s="1127"/>
      <c r="AW163" s="1128"/>
      <c r="AX163" s="1128"/>
      <c r="AY163" s="1128"/>
      <c r="AZ163" s="1127"/>
      <c r="BA163" s="1128"/>
      <c r="BB163" s="1128"/>
      <c r="BC163" s="1128"/>
      <c r="BD163" s="1127"/>
      <c r="BE163" s="1128"/>
      <c r="BF163" s="1128"/>
      <c r="BG163" s="1128"/>
      <c r="BH163" s="1127"/>
      <c r="BI163" s="1128"/>
      <c r="BJ163" s="1128"/>
      <c r="BK163" s="1128"/>
      <c r="BL163" s="1127"/>
      <c r="BM163" s="1128"/>
      <c r="BN163" s="1128"/>
      <c r="BO163" s="1128"/>
      <c r="BP163" s="1127"/>
      <c r="BQ163" s="1128"/>
      <c r="BR163" s="1128"/>
      <c r="BS163" s="1128"/>
      <c r="BT163" s="1127"/>
      <c r="BU163" s="1128"/>
      <c r="BV163" s="1128"/>
      <c r="BW163" s="1128"/>
      <c r="BX163" s="1127"/>
      <c r="BY163" s="1128"/>
      <c r="BZ163" s="1128"/>
      <c r="CA163" s="1128"/>
      <c r="CB163" s="1127"/>
      <c r="CC163" s="1128"/>
      <c r="CD163" s="1128"/>
      <c r="CE163" s="1128"/>
      <c r="CF163" s="1127"/>
      <c r="CG163" s="1128"/>
      <c r="CH163" s="1128"/>
      <c r="CI163" s="1128"/>
      <c r="CJ163" s="1127"/>
      <c r="CK163" s="1128"/>
      <c r="CL163" s="1128"/>
      <c r="CM163" s="1128"/>
      <c r="CN163" s="1127"/>
      <c r="CO163" s="1128"/>
      <c r="CP163" s="1128"/>
      <c r="CQ163" s="1128"/>
      <c r="CR163" s="1127"/>
      <c r="CS163" s="1128"/>
      <c r="CT163" s="1128"/>
      <c r="CU163" s="1128"/>
      <c r="CV163" s="1127"/>
      <c r="CW163" s="1128"/>
      <c r="CX163" s="1128"/>
      <c r="CY163" s="1128"/>
      <c r="CZ163" s="1127"/>
      <c r="DA163" s="1128"/>
      <c r="DB163" s="1128"/>
      <c r="DC163" s="1128"/>
      <c r="DD163" s="1127"/>
      <c r="DE163" s="1128"/>
      <c r="DF163" s="1128"/>
      <c r="DG163" s="1128"/>
      <c r="DH163" s="1127"/>
      <c r="DI163" s="1128"/>
      <c r="DJ163" s="1128"/>
      <c r="DK163" s="1128"/>
      <c r="DL163" s="1127"/>
      <c r="DM163" s="1128"/>
      <c r="DN163" s="1128"/>
      <c r="DO163" s="1128"/>
      <c r="DP163" s="1127"/>
      <c r="DQ163" s="1128"/>
      <c r="DR163" s="1128"/>
      <c r="DS163" s="1128"/>
      <c r="DT163" s="1127"/>
      <c r="DU163" s="1128"/>
      <c r="DV163" s="1128"/>
      <c r="DW163" s="1128"/>
      <c r="DX163" s="1127"/>
      <c r="DY163" s="1128"/>
      <c r="DZ163" s="1128"/>
      <c r="EA163" s="1128"/>
      <c r="EB163" s="1127"/>
      <c r="EC163" s="1128"/>
      <c r="ED163" s="1128"/>
      <c r="EE163" s="1128"/>
      <c r="EF163" s="1127"/>
      <c r="EG163" s="1128"/>
      <c r="EH163" s="1128"/>
      <c r="EI163" s="1128"/>
      <c r="EJ163" s="1127"/>
      <c r="EK163" s="1128"/>
      <c r="EL163" s="1128"/>
      <c r="EM163" s="1128"/>
      <c r="EN163" s="1127"/>
      <c r="EO163" s="1128"/>
      <c r="EP163" s="1128"/>
      <c r="EQ163" s="1128"/>
    </row>
    <row r="164" spans="1:147" ht="13.5" outlineLevel="1">
      <c r="A164" s="748"/>
      <c r="B164" s="1028">
        <v>2020</v>
      </c>
      <c r="C164" s="1029" t="s">
        <v>995</v>
      </c>
      <c r="D164" s="1131" cm="1">
        <f t="array" ref="D164:G164">AB138:AE138</f>
        <v>38400</v>
      </c>
      <c r="E164" s="1131">
        <v>18100</v>
      </c>
      <c r="F164" s="1131">
        <v>36000</v>
      </c>
      <c r="G164" s="1131">
        <v>40800</v>
      </c>
      <c r="H164" s="1130">
        <f t="shared" ref="H164" si="209">IFERROR(SUM(D164:G164),"-")</f>
        <v>133300</v>
      </c>
      <c r="I164" s="443"/>
      <c r="J164" s="443"/>
      <c r="K164" s="443"/>
      <c r="AV164" s="1127"/>
      <c r="AW164" s="1128"/>
      <c r="AX164" s="1128"/>
      <c r="AY164" s="1128"/>
      <c r="AZ164" s="1127"/>
      <c r="BA164" s="1128"/>
      <c r="BB164" s="1128"/>
      <c r="BC164" s="1128"/>
      <c r="BD164" s="1127"/>
      <c r="BE164" s="1128"/>
      <c r="BF164" s="1128"/>
      <c r="BG164" s="1128"/>
      <c r="BH164" s="1127"/>
      <c r="BI164" s="1128"/>
      <c r="BJ164" s="1128"/>
      <c r="BK164" s="1128"/>
      <c r="BL164" s="1127"/>
      <c r="BM164" s="1128"/>
      <c r="BN164" s="1128"/>
      <c r="BO164" s="1128"/>
      <c r="BP164" s="1127"/>
      <c r="BQ164" s="1128"/>
      <c r="BR164" s="1128"/>
      <c r="BS164" s="1128"/>
      <c r="BT164" s="1127"/>
      <c r="BU164" s="1128"/>
      <c r="BV164" s="1128"/>
      <c r="BW164" s="1128"/>
      <c r="BX164" s="1127"/>
      <c r="BY164" s="1128"/>
      <c r="BZ164" s="1128"/>
      <c r="CA164" s="1128"/>
      <c r="CB164" s="1127"/>
      <c r="CC164" s="1128"/>
      <c r="CD164" s="1128"/>
      <c r="CE164" s="1128"/>
      <c r="CF164" s="1127"/>
      <c r="CG164" s="1128"/>
      <c r="CH164" s="1128"/>
      <c r="CI164" s="1128"/>
      <c r="CJ164" s="1127"/>
      <c r="CK164" s="1128"/>
      <c r="CL164" s="1128"/>
      <c r="CM164" s="1128"/>
      <c r="CN164" s="1127"/>
      <c r="CO164" s="1128"/>
      <c r="CP164" s="1128"/>
      <c r="CQ164" s="1128"/>
      <c r="CR164" s="1127"/>
      <c r="CS164" s="1128"/>
      <c r="CT164" s="1128"/>
      <c r="CU164" s="1128"/>
      <c r="CV164" s="1127"/>
      <c r="CW164" s="1128"/>
      <c r="CX164" s="1128"/>
      <c r="CY164" s="1128"/>
      <c r="CZ164" s="1127"/>
      <c r="DA164" s="1128"/>
      <c r="DB164" s="1128"/>
      <c r="DC164" s="1128"/>
      <c r="DD164" s="1127"/>
      <c r="DE164" s="1128"/>
      <c r="DF164" s="1128"/>
      <c r="DG164" s="1128"/>
      <c r="DH164" s="1127"/>
      <c r="DI164" s="1128"/>
      <c r="DJ164" s="1128"/>
      <c r="DK164" s="1128"/>
      <c r="DL164" s="1127"/>
      <c r="DM164" s="1128"/>
      <c r="DN164" s="1128"/>
      <c r="DO164" s="1128"/>
      <c r="DP164" s="1127"/>
      <c r="DQ164" s="1128"/>
      <c r="DR164" s="1128"/>
      <c r="DS164" s="1128"/>
      <c r="DT164" s="1127"/>
      <c r="DU164" s="1128"/>
      <c r="DV164" s="1128"/>
      <c r="DW164" s="1128"/>
      <c r="DX164" s="1127"/>
      <c r="DY164" s="1128"/>
      <c r="DZ164" s="1128"/>
      <c r="EA164" s="1128"/>
      <c r="EB164" s="1127"/>
      <c r="EC164" s="1128"/>
      <c r="ED164" s="1128"/>
      <c r="EE164" s="1128"/>
      <c r="EF164" s="1127"/>
      <c r="EG164" s="1128"/>
      <c r="EH164" s="1128"/>
      <c r="EI164" s="1128"/>
      <c r="EJ164" s="1127"/>
      <c r="EK164" s="1128"/>
      <c r="EL164" s="1128"/>
      <c r="EM164" s="1128"/>
      <c r="EN164" s="1127"/>
      <c r="EO164" s="1128"/>
      <c r="EP164" s="1128"/>
      <c r="EQ164" s="1128"/>
    </row>
    <row r="165" spans="1:147" outlineLevel="1">
      <c r="A165" s="748"/>
      <c r="B165" s="1030" t="s">
        <v>1006</v>
      </c>
      <c r="C165" s="1031" t="s">
        <v>832</v>
      </c>
      <c r="D165" s="1031">
        <f>IFERROR(D164/G162-1,"-")</f>
        <v>-0.15973741794310725</v>
      </c>
      <c r="E165" s="1031">
        <f>IFERROR(E164/D164-1,"-")</f>
        <v>-0.52864583333333326</v>
      </c>
      <c r="F165" s="1031">
        <f>IFERROR(F164/E164-1,"-")</f>
        <v>0.98895027624309395</v>
      </c>
      <c r="G165" s="1031">
        <f>IFERROR(G164/F164-1,"-")</f>
        <v>0.1333333333333333</v>
      </c>
      <c r="H165" s="1031">
        <f>IFERROR(H164/SUM($D164:$G164),"-")</f>
        <v>1</v>
      </c>
      <c r="I165" s="443"/>
      <c r="J165" s="443"/>
      <c r="K165" s="443"/>
      <c r="AV165" s="1127"/>
      <c r="AW165" s="1128"/>
      <c r="AX165" s="1128"/>
      <c r="AY165" s="1128"/>
      <c r="AZ165" s="1127"/>
      <c r="BA165" s="1128"/>
      <c r="BB165" s="1128"/>
      <c r="BC165" s="1128"/>
      <c r="BD165" s="1127"/>
      <c r="BE165" s="1128"/>
      <c r="BF165" s="1128"/>
      <c r="BG165" s="1128"/>
      <c r="BH165" s="1127"/>
      <c r="BI165" s="1128"/>
      <c r="BJ165" s="1128"/>
      <c r="BK165" s="1128"/>
      <c r="BL165" s="1127"/>
      <c r="BM165" s="1128"/>
      <c r="BN165" s="1128"/>
      <c r="BO165" s="1128"/>
      <c r="BP165" s="1127"/>
      <c r="BQ165" s="1128"/>
      <c r="BR165" s="1128"/>
      <c r="BS165" s="1128"/>
      <c r="BT165" s="1127"/>
      <c r="BU165" s="1128"/>
      <c r="BV165" s="1128"/>
      <c r="BW165" s="1128"/>
      <c r="BX165" s="1127"/>
      <c r="BY165" s="1128"/>
      <c r="BZ165" s="1128"/>
      <c r="CA165" s="1128"/>
      <c r="CB165" s="1127"/>
      <c r="CC165" s="1128"/>
      <c r="CD165" s="1128"/>
      <c r="CE165" s="1128"/>
      <c r="CF165" s="1127"/>
      <c r="CG165" s="1128"/>
      <c r="CH165" s="1128"/>
      <c r="CI165" s="1128"/>
      <c r="CJ165" s="1127"/>
      <c r="CK165" s="1128"/>
      <c r="CL165" s="1128"/>
      <c r="CM165" s="1128"/>
      <c r="CN165" s="1127"/>
      <c r="CO165" s="1128"/>
      <c r="CP165" s="1128"/>
      <c r="CQ165" s="1128"/>
      <c r="CR165" s="1127"/>
      <c r="CS165" s="1128"/>
      <c r="CT165" s="1128"/>
      <c r="CU165" s="1128"/>
      <c r="CV165" s="1127"/>
      <c r="CW165" s="1128"/>
      <c r="CX165" s="1128"/>
      <c r="CY165" s="1128"/>
      <c r="CZ165" s="1127"/>
      <c r="DA165" s="1128"/>
      <c r="DB165" s="1128"/>
      <c r="DC165" s="1128"/>
      <c r="DD165" s="1127"/>
      <c r="DE165" s="1128"/>
      <c r="DF165" s="1128"/>
      <c r="DG165" s="1128"/>
      <c r="DH165" s="1127"/>
      <c r="DI165" s="1128"/>
      <c r="DJ165" s="1128"/>
      <c r="DK165" s="1128"/>
      <c r="DL165" s="1127"/>
      <c r="DM165" s="1128"/>
      <c r="DN165" s="1128"/>
      <c r="DO165" s="1128"/>
      <c r="DP165" s="1127"/>
      <c r="DQ165" s="1128"/>
      <c r="DR165" s="1128"/>
      <c r="DS165" s="1128"/>
      <c r="DT165" s="1127"/>
      <c r="DU165" s="1128"/>
      <c r="DV165" s="1128"/>
      <c r="DW165" s="1128"/>
      <c r="DX165" s="1127"/>
      <c r="DY165" s="1128"/>
      <c r="DZ165" s="1128"/>
      <c r="EA165" s="1128"/>
      <c r="EB165" s="1127"/>
      <c r="EC165" s="1128"/>
      <c r="ED165" s="1128"/>
      <c r="EE165" s="1128"/>
      <c r="EF165" s="1127"/>
      <c r="EG165" s="1128"/>
      <c r="EH165" s="1128"/>
      <c r="EI165" s="1128"/>
      <c r="EJ165" s="1127"/>
      <c r="EK165" s="1128"/>
      <c r="EL165" s="1128"/>
      <c r="EM165" s="1128"/>
      <c r="EN165" s="1127"/>
      <c r="EO165" s="1128"/>
      <c r="EP165" s="1128"/>
      <c r="EQ165" s="1128"/>
    </row>
    <row r="166" spans="1:147" ht="13.5" outlineLevel="1">
      <c r="A166" s="748"/>
      <c r="B166" s="1028">
        <v>2021</v>
      </c>
      <c r="C166" s="1029" t="s">
        <v>995</v>
      </c>
      <c r="D166" s="1131" cm="1">
        <f t="array" ref="D166:G166">AF138:AI138</f>
        <v>42200</v>
      </c>
      <c r="E166" s="1131">
        <v>40100</v>
      </c>
      <c r="F166" s="1131">
        <v>32800</v>
      </c>
      <c r="G166" s="1131">
        <v>47600</v>
      </c>
      <c r="H166" s="1130">
        <f t="shared" ref="H166" si="210">IFERROR(SUM(D166:G166),"-")</f>
        <v>162700</v>
      </c>
      <c r="I166" s="443"/>
      <c r="J166" s="443"/>
      <c r="K166" s="443"/>
      <c r="AV166" s="1127"/>
      <c r="AW166" s="1128"/>
      <c r="AX166" s="1128"/>
      <c r="AY166" s="1128"/>
      <c r="AZ166" s="1127"/>
      <c r="BA166" s="1128"/>
      <c r="BB166" s="1128"/>
      <c r="BC166" s="1128"/>
      <c r="BD166" s="1127"/>
      <c r="BE166" s="1128"/>
      <c r="BF166" s="1128"/>
      <c r="BG166" s="1128"/>
      <c r="BH166" s="1127"/>
      <c r="BI166" s="1128"/>
      <c r="BJ166" s="1128"/>
      <c r="BK166" s="1128"/>
      <c r="BL166" s="1127"/>
      <c r="BM166" s="1128"/>
      <c r="BN166" s="1128"/>
      <c r="BO166" s="1128"/>
      <c r="BP166" s="1127"/>
      <c r="BQ166" s="1128"/>
      <c r="BR166" s="1128"/>
      <c r="BS166" s="1128"/>
      <c r="BT166" s="1127"/>
      <c r="BU166" s="1128"/>
      <c r="BV166" s="1128"/>
      <c r="BW166" s="1128"/>
      <c r="BX166" s="1127"/>
      <c r="BY166" s="1128"/>
      <c r="BZ166" s="1128"/>
      <c r="CA166" s="1128"/>
      <c r="CB166" s="1127"/>
      <c r="CC166" s="1128"/>
      <c r="CD166" s="1128"/>
      <c r="CE166" s="1128"/>
      <c r="CF166" s="1127"/>
      <c r="CG166" s="1128"/>
      <c r="CH166" s="1128"/>
      <c r="CI166" s="1128"/>
      <c r="CJ166" s="1127"/>
      <c r="CK166" s="1128"/>
      <c r="CL166" s="1128"/>
      <c r="CM166" s="1128"/>
      <c r="CN166" s="1127"/>
      <c r="CO166" s="1128"/>
      <c r="CP166" s="1128"/>
      <c r="CQ166" s="1128"/>
      <c r="CR166" s="1127"/>
      <c r="CS166" s="1128"/>
      <c r="CT166" s="1128"/>
      <c r="CU166" s="1128"/>
      <c r="CV166" s="1127"/>
      <c r="CW166" s="1128"/>
      <c r="CX166" s="1128"/>
      <c r="CY166" s="1128"/>
      <c r="CZ166" s="1127"/>
      <c r="DA166" s="1128"/>
      <c r="DB166" s="1128"/>
      <c r="DC166" s="1128"/>
      <c r="DD166" s="1127"/>
      <c r="DE166" s="1128"/>
      <c r="DF166" s="1128"/>
      <c r="DG166" s="1128"/>
      <c r="DH166" s="1127"/>
      <c r="DI166" s="1128"/>
      <c r="DJ166" s="1128"/>
      <c r="DK166" s="1128"/>
      <c r="DL166" s="1127"/>
      <c r="DM166" s="1128"/>
      <c r="DN166" s="1128"/>
      <c r="DO166" s="1128"/>
      <c r="DP166" s="1127"/>
      <c r="DQ166" s="1128"/>
      <c r="DR166" s="1128"/>
      <c r="DS166" s="1128"/>
      <c r="DT166" s="1127"/>
      <c r="DU166" s="1128"/>
      <c r="DV166" s="1128"/>
      <c r="DW166" s="1128"/>
      <c r="DX166" s="1127"/>
      <c r="DY166" s="1128"/>
      <c r="DZ166" s="1128"/>
      <c r="EA166" s="1128"/>
      <c r="EB166" s="1127"/>
      <c r="EC166" s="1128"/>
      <c r="ED166" s="1128"/>
      <c r="EE166" s="1128"/>
      <c r="EF166" s="1127"/>
      <c r="EG166" s="1128"/>
      <c r="EH166" s="1128"/>
      <c r="EI166" s="1128"/>
      <c r="EJ166" s="1127"/>
      <c r="EK166" s="1128"/>
      <c r="EL166" s="1128"/>
      <c r="EM166" s="1128"/>
      <c r="EN166" s="1127"/>
      <c r="EO166" s="1128"/>
      <c r="EP166" s="1128"/>
      <c r="EQ166" s="1128"/>
    </row>
    <row r="167" spans="1:147" outlineLevel="1">
      <c r="A167" s="748"/>
      <c r="B167" s="1030" t="s">
        <v>1006</v>
      </c>
      <c r="C167" s="1031" t="s">
        <v>832</v>
      </c>
      <c r="D167" s="1031">
        <f>IFERROR(D166/G164-1,"-")</f>
        <v>3.4313725490196179E-2</v>
      </c>
      <c r="E167" s="1031">
        <f>IFERROR(E166/D166-1,"-")</f>
        <v>-4.9763033175355464E-2</v>
      </c>
      <c r="F167" s="1031">
        <f>IFERROR(F166/E166-1,"-")</f>
        <v>-0.18204488778054861</v>
      </c>
      <c r="G167" s="1031">
        <f>IFERROR(G166/F166-1,"-")</f>
        <v>0.45121951219512191</v>
      </c>
      <c r="H167" s="1031">
        <f>IFERROR(H166/SUM($D166:$G166),"-")</f>
        <v>1</v>
      </c>
      <c r="I167" s="443"/>
      <c r="J167" s="443"/>
      <c r="K167" s="443"/>
      <c r="AV167" s="1127"/>
      <c r="AW167" s="1128"/>
      <c r="AX167" s="1128"/>
      <c r="AY167" s="1128"/>
      <c r="AZ167" s="1127"/>
      <c r="BA167" s="1128"/>
      <c r="BB167" s="1128"/>
      <c r="BC167" s="1128"/>
      <c r="BD167" s="1127"/>
      <c r="BE167" s="1128"/>
      <c r="BF167" s="1128"/>
      <c r="BG167" s="1128"/>
      <c r="BH167" s="1127"/>
      <c r="BI167" s="1128"/>
      <c r="BJ167" s="1128"/>
      <c r="BK167" s="1128"/>
      <c r="BL167" s="1127"/>
      <c r="BM167" s="1128"/>
      <c r="BN167" s="1128"/>
      <c r="BO167" s="1128"/>
      <c r="BP167" s="1127"/>
      <c r="BQ167" s="1128"/>
      <c r="BR167" s="1128"/>
      <c r="BS167" s="1128"/>
      <c r="BT167" s="1127"/>
      <c r="BU167" s="1128"/>
      <c r="BV167" s="1128"/>
      <c r="BW167" s="1128"/>
      <c r="BX167" s="1127"/>
      <c r="BY167" s="1128"/>
      <c r="BZ167" s="1128"/>
      <c r="CA167" s="1128"/>
      <c r="CB167" s="1127"/>
      <c r="CC167" s="1128"/>
      <c r="CD167" s="1128"/>
      <c r="CE167" s="1128"/>
      <c r="CF167" s="1127"/>
      <c r="CG167" s="1128"/>
      <c r="CH167" s="1128"/>
      <c r="CI167" s="1128"/>
      <c r="CJ167" s="1127"/>
      <c r="CK167" s="1128"/>
      <c r="CL167" s="1128"/>
      <c r="CM167" s="1128"/>
      <c r="CN167" s="1127"/>
      <c r="CO167" s="1128"/>
      <c r="CP167" s="1128"/>
      <c r="CQ167" s="1128"/>
      <c r="CR167" s="1127"/>
      <c r="CS167" s="1128"/>
      <c r="CT167" s="1128"/>
      <c r="CU167" s="1128"/>
      <c r="CV167" s="1127"/>
      <c r="CW167" s="1128"/>
      <c r="CX167" s="1128"/>
      <c r="CY167" s="1128"/>
      <c r="CZ167" s="1127"/>
      <c r="DA167" s="1128"/>
      <c r="DB167" s="1128"/>
      <c r="DC167" s="1128"/>
      <c r="DD167" s="1127"/>
      <c r="DE167" s="1128"/>
      <c r="DF167" s="1128"/>
      <c r="DG167" s="1128"/>
      <c r="DH167" s="1127"/>
      <c r="DI167" s="1128"/>
      <c r="DJ167" s="1128"/>
      <c r="DK167" s="1128"/>
      <c r="DL167" s="1127"/>
      <c r="DM167" s="1128"/>
      <c r="DN167" s="1128"/>
      <c r="DO167" s="1128"/>
      <c r="DP167" s="1127"/>
      <c r="DQ167" s="1128"/>
      <c r="DR167" s="1128"/>
      <c r="DS167" s="1128"/>
      <c r="DT167" s="1127"/>
      <c r="DU167" s="1128"/>
      <c r="DV167" s="1128"/>
      <c r="DW167" s="1128"/>
      <c r="DX167" s="1127"/>
      <c r="DY167" s="1128"/>
      <c r="DZ167" s="1128"/>
      <c r="EA167" s="1128"/>
      <c r="EB167" s="1127"/>
      <c r="EC167" s="1128"/>
      <c r="ED167" s="1128"/>
      <c r="EE167" s="1128"/>
      <c r="EF167" s="1127"/>
      <c r="EG167" s="1128"/>
      <c r="EH167" s="1128"/>
      <c r="EI167" s="1128"/>
      <c r="EJ167" s="1127"/>
      <c r="EK167" s="1128"/>
      <c r="EL167" s="1128"/>
      <c r="EM167" s="1128"/>
      <c r="EN167" s="1127"/>
      <c r="EO167" s="1128"/>
      <c r="EP167" s="1128"/>
      <c r="EQ167" s="1128"/>
    </row>
    <row r="168" spans="1:147" ht="13.5" outlineLevel="1">
      <c r="A168" s="748"/>
      <c r="B168" s="1028">
        <v>2022</v>
      </c>
      <c r="C168" s="1029" t="s">
        <v>995</v>
      </c>
      <c r="D168" s="1131" cm="1">
        <f t="array" ref="D168:G168">AJ138:AM138</f>
        <v>43000</v>
      </c>
      <c r="E168" s="1131">
        <v>46900</v>
      </c>
      <c r="F168" s="1131">
        <v>44400</v>
      </c>
      <c r="G168" s="1131">
        <v>49100</v>
      </c>
      <c r="H168" s="1130">
        <f t="shared" ref="H168" si="211">IFERROR(SUM(D168:G168),"-")</f>
        <v>183400</v>
      </c>
      <c r="I168" s="443"/>
      <c r="J168" s="443"/>
      <c r="K168" s="443"/>
      <c r="AV168" s="1127"/>
      <c r="AW168" s="1128"/>
      <c r="AX168" s="1128"/>
      <c r="AY168" s="1128"/>
      <c r="AZ168" s="1127"/>
      <c r="BA168" s="1128"/>
      <c r="BB168" s="1128"/>
      <c r="BC168" s="1128"/>
      <c r="BD168" s="1127"/>
      <c r="BE168" s="1128"/>
      <c r="BF168" s="1128"/>
      <c r="BG168" s="1128"/>
      <c r="BH168" s="1127"/>
      <c r="BI168" s="1128"/>
      <c r="BJ168" s="1128"/>
      <c r="BK168" s="1128"/>
      <c r="BL168" s="1127"/>
      <c r="BM168" s="1128"/>
      <c r="BN168" s="1128"/>
      <c r="BO168" s="1128"/>
      <c r="BP168" s="1127"/>
      <c r="BQ168" s="1128"/>
      <c r="BR168" s="1128"/>
      <c r="BS168" s="1128"/>
      <c r="BT168" s="1127"/>
      <c r="BU168" s="1128"/>
      <c r="BV168" s="1128"/>
      <c r="BW168" s="1128"/>
      <c r="BX168" s="1127"/>
      <c r="BY168" s="1128"/>
      <c r="BZ168" s="1128"/>
      <c r="CA168" s="1128"/>
      <c r="CB168" s="1127"/>
      <c r="CC168" s="1128"/>
      <c r="CD168" s="1128"/>
      <c r="CE168" s="1128"/>
      <c r="CF168" s="1127"/>
      <c r="CG168" s="1128"/>
      <c r="CH168" s="1128"/>
      <c r="CI168" s="1128"/>
      <c r="CJ168" s="1127"/>
      <c r="CK168" s="1128"/>
      <c r="CL168" s="1128"/>
      <c r="CM168" s="1128"/>
      <c r="CN168" s="1127"/>
      <c r="CO168" s="1128"/>
      <c r="CP168" s="1128"/>
      <c r="CQ168" s="1128"/>
      <c r="CR168" s="1127"/>
      <c r="CS168" s="1128"/>
      <c r="CT168" s="1128"/>
      <c r="CU168" s="1128"/>
      <c r="CV168" s="1127"/>
      <c r="CW168" s="1128"/>
      <c r="CX168" s="1128"/>
      <c r="CY168" s="1128"/>
      <c r="CZ168" s="1127"/>
      <c r="DA168" s="1128"/>
      <c r="DB168" s="1128"/>
      <c r="DC168" s="1128"/>
      <c r="DD168" s="1127"/>
      <c r="DE168" s="1128"/>
      <c r="DF168" s="1128"/>
      <c r="DG168" s="1128"/>
      <c r="DH168" s="1127"/>
      <c r="DI168" s="1128"/>
      <c r="DJ168" s="1128"/>
      <c r="DK168" s="1128"/>
      <c r="DL168" s="1127"/>
      <c r="DM168" s="1128"/>
      <c r="DN168" s="1128"/>
      <c r="DO168" s="1128"/>
      <c r="DP168" s="1127"/>
      <c r="DQ168" s="1128"/>
      <c r="DR168" s="1128"/>
      <c r="DS168" s="1128"/>
      <c r="DT168" s="1127"/>
      <c r="DU168" s="1128"/>
      <c r="DV168" s="1128"/>
      <c r="DW168" s="1128"/>
      <c r="DX168" s="1127"/>
      <c r="DY168" s="1128"/>
      <c r="DZ168" s="1128"/>
      <c r="EA168" s="1128"/>
      <c r="EB168" s="1127"/>
      <c r="EC168" s="1128"/>
      <c r="ED168" s="1128"/>
      <c r="EE168" s="1128"/>
      <c r="EF168" s="1127"/>
      <c r="EG168" s="1128"/>
      <c r="EH168" s="1128"/>
      <c r="EI168" s="1128"/>
      <c r="EJ168" s="1127"/>
      <c r="EK168" s="1128"/>
      <c r="EL168" s="1128"/>
      <c r="EM168" s="1128"/>
      <c r="EN168" s="1127"/>
      <c r="EO168" s="1128"/>
      <c r="EP168" s="1128"/>
      <c r="EQ168" s="1128"/>
    </row>
    <row r="169" spans="1:147" outlineLevel="1">
      <c r="A169" s="748"/>
      <c r="B169" s="1030" t="s">
        <v>1006</v>
      </c>
      <c r="C169" s="1031" t="s">
        <v>832</v>
      </c>
      <c r="D169" s="1031">
        <f>IFERROR(D168/G166-1,"-")</f>
        <v>-9.6638655462184864E-2</v>
      </c>
      <c r="E169" s="1031">
        <f>IFERROR(E168/D168-1,"-")</f>
        <v>9.0697674418604546E-2</v>
      </c>
      <c r="F169" s="1031">
        <f>IFERROR(F168/E168-1,"-")</f>
        <v>-5.3304904051172719E-2</v>
      </c>
      <c r="G169" s="1031">
        <f>IFERROR(G168/F168-1,"-")</f>
        <v>0.10585585585585577</v>
      </c>
      <c r="H169" s="1031">
        <f>IFERROR(H168/SUM($D168:$G168),"-")</f>
        <v>1</v>
      </c>
      <c r="I169" s="443"/>
      <c r="J169" s="443"/>
      <c r="K169" s="443"/>
      <c r="AV169" s="1127"/>
      <c r="AW169" s="1128"/>
      <c r="AX169" s="1128"/>
      <c r="AY169" s="1128"/>
      <c r="AZ169" s="1127"/>
      <c r="BA169" s="1128"/>
      <c r="BB169" s="1128"/>
      <c r="BC169" s="1128"/>
      <c r="BD169" s="1127"/>
      <c r="BE169" s="1128"/>
      <c r="BF169" s="1128"/>
      <c r="BG169" s="1128"/>
      <c r="BH169" s="1127"/>
      <c r="BI169" s="1128"/>
      <c r="BJ169" s="1128"/>
      <c r="BK169" s="1128"/>
      <c r="BL169" s="1127"/>
      <c r="BM169" s="1128"/>
      <c r="BN169" s="1128"/>
      <c r="BO169" s="1128"/>
      <c r="BP169" s="1127"/>
      <c r="BQ169" s="1128"/>
      <c r="BR169" s="1128"/>
      <c r="BS169" s="1128"/>
      <c r="BT169" s="1127"/>
      <c r="BU169" s="1128"/>
      <c r="BV169" s="1128"/>
      <c r="BW169" s="1128"/>
      <c r="BX169" s="1127"/>
      <c r="BY169" s="1128"/>
      <c r="BZ169" s="1128"/>
      <c r="CA169" s="1128"/>
      <c r="CB169" s="1127"/>
      <c r="CC169" s="1128"/>
      <c r="CD169" s="1128"/>
      <c r="CE169" s="1128"/>
      <c r="CF169" s="1127"/>
      <c r="CG169" s="1128"/>
      <c r="CH169" s="1128"/>
      <c r="CI169" s="1128"/>
      <c r="CJ169" s="1127"/>
      <c r="CK169" s="1128"/>
      <c r="CL169" s="1128"/>
      <c r="CM169" s="1128"/>
      <c r="CN169" s="1127"/>
      <c r="CO169" s="1128"/>
      <c r="CP169" s="1128"/>
      <c r="CQ169" s="1128"/>
      <c r="CR169" s="1127"/>
      <c r="CS169" s="1128"/>
      <c r="CT169" s="1128"/>
      <c r="CU169" s="1128"/>
      <c r="CV169" s="1127"/>
      <c r="CW169" s="1128"/>
      <c r="CX169" s="1128"/>
      <c r="CY169" s="1128"/>
      <c r="CZ169" s="1127"/>
      <c r="DA169" s="1128"/>
      <c r="DB169" s="1128"/>
      <c r="DC169" s="1128"/>
      <c r="DD169" s="1127"/>
      <c r="DE169" s="1128"/>
      <c r="DF169" s="1128"/>
      <c r="DG169" s="1128"/>
      <c r="DH169" s="1127"/>
      <c r="DI169" s="1128"/>
      <c r="DJ169" s="1128"/>
      <c r="DK169" s="1128"/>
      <c r="DL169" s="1127"/>
      <c r="DM169" s="1128"/>
      <c r="DN169" s="1128"/>
      <c r="DO169" s="1128"/>
      <c r="DP169" s="1127"/>
      <c r="DQ169" s="1128"/>
      <c r="DR169" s="1128"/>
      <c r="DS169" s="1128"/>
      <c r="DT169" s="1127"/>
      <c r="DU169" s="1128"/>
      <c r="DV169" s="1128"/>
      <c r="DW169" s="1128"/>
      <c r="DX169" s="1127"/>
      <c r="DY169" s="1128"/>
      <c r="DZ169" s="1128"/>
      <c r="EA169" s="1128"/>
      <c r="EB169" s="1127"/>
      <c r="EC169" s="1128"/>
      <c r="ED169" s="1128"/>
      <c r="EE169" s="1128"/>
      <c r="EF169" s="1127"/>
      <c r="EG169" s="1128"/>
      <c r="EH169" s="1128"/>
      <c r="EI169" s="1128"/>
      <c r="EJ169" s="1127"/>
      <c r="EK169" s="1128"/>
      <c r="EL169" s="1128"/>
      <c r="EM169" s="1128"/>
      <c r="EN169" s="1127"/>
      <c r="EO169" s="1128"/>
      <c r="EP169" s="1128"/>
      <c r="EQ169" s="1128"/>
    </row>
    <row r="170" spans="1:147" ht="13.5" outlineLevel="1">
      <c r="A170" s="748"/>
      <c r="B170" s="1028">
        <v>2023</v>
      </c>
      <c r="C170" s="1029" t="s">
        <v>995</v>
      </c>
      <c r="D170" s="1131" cm="1">
        <f t="array" ref="D170:G170">AN138:AQ138</f>
        <v>51100</v>
      </c>
      <c r="E170" s="1131">
        <v>51900</v>
      </c>
      <c r="F170" s="1131">
        <v>50100</v>
      </c>
      <c r="G170" s="1131">
        <v>51100</v>
      </c>
      <c r="H170" s="1130">
        <f t="shared" ref="H170:H172" si="212">IFERROR(SUM(D170:G170),"-")</f>
        <v>204200</v>
      </c>
      <c r="I170" s="443"/>
      <c r="J170" s="443"/>
      <c r="K170" s="443"/>
      <c r="AV170" s="1127"/>
      <c r="AW170" s="1128"/>
      <c r="AX170" s="1128"/>
      <c r="AY170" s="1128"/>
      <c r="AZ170" s="1127"/>
      <c r="BA170" s="1128"/>
      <c r="BB170" s="1128"/>
      <c r="BC170" s="1128"/>
      <c r="BD170" s="1127"/>
      <c r="BE170" s="1128"/>
      <c r="BF170" s="1128"/>
      <c r="BG170" s="1128"/>
      <c r="BH170" s="1127"/>
      <c r="BI170" s="1128"/>
      <c r="BJ170" s="1128"/>
      <c r="BK170" s="1128"/>
      <c r="BL170" s="1127"/>
      <c r="BM170" s="1128"/>
      <c r="BN170" s="1128"/>
      <c r="BO170" s="1128"/>
      <c r="BP170" s="1127"/>
      <c r="BQ170" s="1128"/>
      <c r="BR170" s="1128"/>
      <c r="BS170" s="1128"/>
      <c r="BT170" s="1127"/>
      <c r="BU170" s="1128"/>
      <c r="BV170" s="1128"/>
      <c r="BW170" s="1128"/>
      <c r="BX170" s="1127"/>
      <c r="BY170" s="1128"/>
      <c r="BZ170" s="1128"/>
      <c r="CA170" s="1128"/>
      <c r="CB170" s="1127"/>
      <c r="CC170" s="1128"/>
      <c r="CD170" s="1128"/>
      <c r="CE170" s="1128"/>
      <c r="CF170" s="1127"/>
      <c r="CG170" s="1128"/>
      <c r="CH170" s="1128"/>
      <c r="CI170" s="1128"/>
      <c r="CJ170" s="1127"/>
      <c r="CK170" s="1128"/>
      <c r="CL170" s="1128"/>
      <c r="CM170" s="1128"/>
      <c r="CN170" s="1127"/>
      <c r="CO170" s="1128"/>
      <c r="CP170" s="1128"/>
      <c r="CQ170" s="1128"/>
      <c r="CR170" s="1127"/>
      <c r="CS170" s="1128"/>
      <c r="CT170" s="1128"/>
      <c r="CU170" s="1128"/>
      <c r="CV170" s="1127"/>
      <c r="CW170" s="1128"/>
      <c r="CX170" s="1128"/>
      <c r="CY170" s="1128"/>
      <c r="CZ170" s="1127"/>
      <c r="DA170" s="1128"/>
      <c r="DB170" s="1128"/>
      <c r="DC170" s="1128"/>
      <c r="DD170" s="1127"/>
      <c r="DE170" s="1128"/>
      <c r="DF170" s="1128"/>
      <c r="DG170" s="1128"/>
      <c r="DH170" s="1127"/>
      <c r="DI170" s="1128"/>
      <c r="DJ170" s="1128"/>
      <c r="DK170" s="1128"/>
      <c r="DL170" s="1127"/>
      <c r="DM170" s="1128"/>
      <c r="DN170" s="1128"/>
      <c r="DO170" s="1128"/>
      <c r="DP170" s="1127"/>
      <c r="DQ170" s="1128"/>
      <c r="DR170" s="1128"/>
      <c r="DS170" s="1128"/>
      <c r="DT170" s="1127"/>
      <c r="DU170" s="1128"/>
      <c r="DV170" s="1128"/>
      <c r="DW170" s="1128"/>
      <c r="DX170" s="1127"/>
      <c r="DY170" s="1128"/>
      <c r="DZ170" s="1128"/>
      <c r="EA170" s="1128"/>
      <c r="EB170" s="1127"/>
      <c r="EC170" s="1128"/>
      <c r="ED170" s="1128"/>
      <c r="EE170" s="1128"/>
      <c r="EF170" s="1127"/>
      <c r="EG170" s="1128"/>
      <c r="EH170" s="1128"/>
      <c r="EI170" s="1128"/>
      <c r="EJ170" s="1127"/>
      <c r="EK170" s="1128"/>
      <c r="EL170" s="1128"/>
      <c r="EM170" s="1128"/>
      <c r="EN170" s="1127"/>
      <c r="EO170" s="1128"/>
      <c r="EP170" s="1128"/>
      <c r="EQ170" s="1128"/>
    </row>
    <row r="171" spans="1:147" outlineLevel="1">
      <c r="A171" s="748"/>
      <c r="B171" s="1030" t="s">
        <v>1006</v>
      </c>
      <c r="C171" s="1031" t="s">
        <v>832</v>
      </c>
      <c r="D171" s="1031">
        <f>IFERROR(D170/G168-1,"-")</f>
        <v>4.0733197556008127E-2</v>
      </c>
      <c r="E171" s="1031">
        <f>IFERROR(E170/D170-1,"-")</f>
        <v>1.5655577299412915E-2</v>
      </c>
      <c r="F171" s="1031">
        <f>IFERROR(F170/E170-1,"-")</f>
        <v>-3.4682080924855474E-2</v>
      </c>
      <c r="G171" s="1031">
        <f>IFERROR(G170/F170-1,"-")</f>
        <v>1.9960079840319445E-2</v>
      </c>
      <c r="H171" s="1031">
        <f>IFERROR(H170/SUM($D170:$G170),"-")</f>
        <v>1</v>
      </c>
      <c r="I171" s="443"/>
      <c r="J171" s="443"/>
      <c r="K171" s="443"/>
      <c r="AV171" s="1127"/>
      <c r="AW171" s="1128"/>
      <c r="AX171" s="1128"/>
      <c r="AY171" s="1128"/>
      <c r="AZ171" s="1127"/>
      <c r="BA171" s="1128"/>
      <c r="BB171" s="1128"/>
      <c r="BC171" s="1128"/>
      <c r="BD171" s="1127"/>
      <c r="BE171" s="1128"/>
      <c r="BF171" s="1128"/>
      <c r="BG171" s="1128"/>
      <c r="BH171" s="1127"/>
      <c r="BI171" s="1128"/>
      <c r="BJ171" s="1128"/>
      <c r="BK171" s="1128"/>
      <c r="BL171" s="1127"/>
      <c r="BM171" s="1128"/>
      <c r="BN171" s="1128"/>
      <c r="BO171" s="1128"/>
      <c r="BP171" s="1127"/>
      <c r="BQ171" s="1128"/>
      <c r="BR171" s="1128"/>
      <c r="BS171" s="1128"/>
      <c r="BT171" s="1127"/>
      <c r="BU171" s="1128"/>
      <c r="BV171" s="1128"/>
      <c r="BW171" s="1128"/>
      <c r="BX171" s="1127"/>
      <c r="BY171" s="1128"/>
      <c r="BZ171" s="1128"/>
      <c r="CA171" s="1128"/>
      <c r="CB171" s="1127"/>
      <c r="CC171" s="1128"/>
      <c r="CD171" s="1128"/>
      <c r="CE171" s="1128"/>
      <c r="CF171" s="1127"/>
      <c r="CG171" s="1128"/>
      <c r="CH171" s="1128"/>
      <c r="CI171" s="1128"/>
      <c r="CJ171" s="1127"/>
      <c r="CK171" s="1128"/>
      <c r="CL171" s="1128"/>
      <c r="CM171" s="1128"/>
      <c r="CN171" s="1127"/>
      <c r="CO171" s="1128"/>
      <c r="CP171" s="1128"/>
      <c r="CQ171" s="1128"/>
      <c r="CR171" s="1127"/>
      <c r="CS171" s="1128"/>
      <c r="CT171" s="1128"/>
      <c r="CU171" s="1128"/>
      <c r="CV171" s="1127"/>
      <c r="CW171" s="1128"/>
      <c r="CX171" s="1128"/>
      <c r="CY171" s="1128"/>
      <c r="CZ171" s="1127"/>
      <c r="DA171" s="1128"/>
      <c r="DB171" s="1128"/>
      <c r="DC171" s="1128"/>
      <c r="DD171" s="1127"/>
      <c r="DE171" s="1128"/>
      <c r="DF171" s="1128"/>
      <c r="DG171" s="1128"/>
      <c r="DH171" s="1127"/>
      <c r="DI171" s="1128"/>
      <c r="DJ171" s="1128"/>
      <c r="DK171" s="1128"/>
      <c r="DL171" s="1127"/>
      <c r="DM171" s="1128"/>
      <c r="DN171" s="1128"/>
      <c r="DO171" s="1128"/>
      <c r="DP171" s="1127"/>
      <c r="DQ171" s="1128"/>
      <c r="DR171" s="1128"/>
      <c r="DS171" s="1128"/>
      <c r="DT171" s="1127"/>
      <c r="DU171" s="1128"/>
      <c r="DV171" s="1128"/>
      <c r="DW171" s="1128"/>
      <c r="DX171" s="1127"/>
      <c r="DY171" s="1128"/>
      <c r="DZ171" s="1128"/>
      <c r="EA171" s="1128"/>
      <c r="EB171" s="1127"/>
      <c r="EC171" s="1128"/>
      <c r="ED171" s="1128"/>
      <c r="EE171" s="1128"/>
      <c r="EF171" s="1127"/>
      <c r="EG171" s="1128"/>
      <c r="EH171" s="1128"/>
      <c r="EI171" s="1128"/>
      <c r="EJ171" s="1127"/>
      <c r="EK171" s="1128"/>
      <c r="EL171" s="1128"/>
      <c r="EM171" s="1128"/>
      <c r="EN171" s="1127"/>
      <c r="EO171" s="1128"/>
      <c r="EP171" s="1128"/>
      <c r="EQ171" s="1128"/>
    </row>
    <row r="172" spans="1:147" ht="13.5" outlineLevel="1">
      <c r="A172" s="748"/>
      <c r="B172" s="1028">
        <v>2024</v>
      </c>
      <c r="C172" s="1029" t="s">
        <v>995</v>
      </c>
      <c r="D172" s="1131" cm="1">
        <f t="array" ref="D172:G172">AR138:AU138</f>
        <v>48100</v>
      </c>
      <c r="E172" s="1132">
        <v>48000</v>
      </c>
      <c r="F172" s="1132">
        <v>48300</v>
      </c>
      <c r="G172" s="1132">
        <v>48300</v>
      </c>
      <c r="H172" s="1130">
        <f t="shared" si="212"/>
        <v>192700</v>
      </c>
      <c r="I172" s="443"/>
      <c r="J172" s="443"/>
      <c r="K172" s="443"/>
      <c r="AV172" s="1127"/>
      <c r="AW172" s="1128"/>
      <c r="AX172" s="1128"/>
      <c r="AY172" s="1128"/>
      <c r="AZ172" s="1127"/>
      <c r="BA172" s="1128"/>
      <c r="BB172" s="1128"/>
      <c r="BC172" s="1128"/>
      <c r="BD172" s="1127"/>
      <c r="BE172" s="1128"/>
      <c r="BF172" s="1128"/>
      <c r="BG172" s="1128"/>
      <c r="BH172" s="1127"/>
      <c r="BI172" s="1128"/>
      <c r="BJ172" s="1128"/>
      <c r="BK172" s="1128"/>
      <c r="BL172" s="1127"/>
      <c r="BM172" s="1128"/>
      <c r="BN172" s="1128"/>
      <c r="BO172" s="1128"/>
      <c r="BP172" s="1127"/>
      <c r="BQ172" s="1128"/>
      <c r="BR172" s="1128"/>
      <c r="BS172" s="1128"/>
      <c r="BT172" s="1127"/>
      <c r="BU172" s="1128"/>
      <c r="BV172" s="1128"/>
      <c r="BW172" s="1128"/>
      <c r="BX172" s="1127"/>
      <c r="BY172" s="1128"/>
      <c r="BZ172" s="1128"/>
      <c r="CA172" s="1128"/>
      <c r="CB172" s="1127"/>
      <c r="CC172" s="1128"/>
      <c r="CD172" s="1128"/>
      <c r="CE172" s="1128"/>
      <c r="CF172" s="1127"/>
      <c r="CG172" s="1128"/>
      <c r="CH172" s="1128"/>
      <c r="CI172" s="1128"/>
      <c r="CJ172" s="1127"/>
      <c r="CK172" s="1128"/>
      <c r="CL172" s="1128"/>
      <c r="CM172" s="1128"/>
      <c r="CN172" s="1127"/>
      <c r="CO172" s="1128"/>
      <c r="CP172" s="1128"/>
      <c r="CQ172" s="1128"/>
      <c r="CR172" s="1127"/>
      <c r="CS172" s="1128"/>
      <c r="CT172" s="1128"/>
      <c r="CU172" s="1128"/>
      <c r="CV172" s="1127"/>
      <c r="CW172" s="1128"/>
      <c r="CX172" s="1128"/>
      <c r="CY172" s="1128"/>
      <c r="CZ172" s="1127"/>
      <c r="DA172" s="1128"/>
      <c r="DB172" s="1128"/>
      <c r="DC172" s="1128"/>
      <c r="DD172" s="1127"/>
      <c r="DE172" s="1128"/>
      <c r="DF172" s="1128"/>
      <c r="DG172" s="1128"/>
      <c r="DH172" s="1127"/>
      <c r="DI172" s="1128"/>
      <c r="DJ172" s="1128"/>
      <c r="DK172" s="1128"/>
      <c r="DL172" s="1127"/>
      <c r="DM172" s="1128"/>
      <c r="DN172" s="1128"/>
      <c r="DO172" s="1128"/>
      <c r="DP172" s="1127"/>
      <c r="DQ172" s="1128"/>
      <c r="DR172" s="1128"/>
      <c r="DS172" s="1128"/>
      <c r="DT172" s="1127"/>
      <c r="DU172" s="1128"/>
      <c r="DV172" s="1128"/>
      <c r="DW172" s="1128"/>
      <c r="DX172" s="1127"/>
      <c r="DY172" s="1128"/>
      <c r="DZ172" s="1128"/>
      <c r="EA172" s="1128"/>
      <c r="EB172" s="1127"/>
      <c r="EC172" s="1128"/>
      <c r="ED172" s="1128"/>
      <c r="EE172" s="1128"/>
      <c r="EF172" s="1127"/>
      <c r="EG172" s="1128"/>
      <c r="EH172" s="1128"/>
      <c r="EI172" s="1128"/>
      <c r="EJ172" s="1127"/>
      <c r="EK172" s="1128"/>
      <c r="EL172" s="1128"/>
      <c r="EM172" s="1128"/>
      <c r="EN172" s="1127"/>
      <c r="EO172" s="1128"/>
      <c r="EP172" s="1128"/>
      <c r="EQ172" s="1128"/>
    </row>
    <row r="173" spans="1:147" outlineLevel="1">
      <c r="A173" s="748"/>
      <c r="B173" s="1030" t="s">
        <v>1006</v>
      </c>
      <c r="C173" s="1031" t="s">
        <v>832</v>
      </c>
      <c r="D173" s="1031">
        <f>IFERROR(D172/G170-1,"-")</f>
        <v>-5.8708414872798431E-2</v>
      </c>
      <c r="E173" s="1031">
        <f>IFERROR(E172/D172-1,"-")</f>
        <v>-2.0790020790020236E-3</v>
      </c>
      <c r="F173" s="1031">
        <f>IFERROR(F172/E172-1,"-")</f>
        <v>6.2500000000000888E-3</v>
      </c>
      <c r="G173" s="1031">
        <f>IFERROR(G172/F172-1,"-")</f>
        <v>0</v>
      </c>
      <c r="H173" s="1031">
        <f>IFERROR(D173,"-")</f>
        <v>-5.8708414872798431E-2</v>
      </c>
      <c r="I173" s="443"/>
      <c r="J173" s="443"/>
      <c r="K173" s="443"/>
      <c r="AV173" s="1127"/>
      <c r="AW173" s="1128"/>
      <c r="AX173" s="1128"/>
      <c r="AY173" s="1128"/>
      <c r="AZ173" s="1127"/>
      <c r="BA173" s="1128"/>
      <c r="BB173" s="1128"/>
      <c r="BC173" s="1128"/>
      <c r="BD173" s="1127"/>
      <c r="BE173" s="1128"/>
      <c r="BF173" s="1128"/>
      <c r="BG173" s="1128"/>
      <c r="BH173" s="1127"/>
      <c r="BI173" s="1128"/>
      <c r="BJ173" s="1128"/>
      <c r="BK173" s="1128"/>
      <c r="BL173" s="1127"/>
      <c r="BM173" s="1128"/>
      <c r="BN173" s="1128"/>
      <c r="BO173" s="1128"/>
      <c r="BP173" s="1127"/>
      <c r="BQ173" s="1128"/>
      <c r="BR173" s="1128"/>
      <c r="BS173" s="1128"/>
      <c r="BT173" s="1127"/>
      <c r="BU173" s="1128"/>
      <c r="BV173" s="1128"/>
      <c r="BW173" s="1128"/>
      <c r="BX173" s="1127"/>
      <c r="BY173" s="1128"/>
      <c r="BZ173" s="1128"/>
      <c r="CA173" s="1128"/>
      <c r="CB173" s="1127"/>
      <c r="CC173" s="1128"/>
      <c r="CD173" s="1128"/>
      <c r="CE173" s="1128"/>
      <c r="CF173" s="1127"/>
      <c r="CG173" s="1128"/>
      <c r="CH173" s="1128"/>
      <c r="CI173" s="1128"/>
      <c r="CJ173" s="1127"/>
      <c r="CK173" s="1128"/>
      <c r="CL173" s="1128"/>
      <c r="CM173" s="1128"/>
      <c r="CN173" s="1127"/>
      <c r="CO173" s="1128"/>
      <c r="CP173" s="1128"/>
      <c r="CQ173" s="1128"/>
      <c r="CR173" s="1127"/>
      <c r="CS173" s="1128"/>
      <c r="CT173" s="1128"/>
      <c r="CU173" s="1128"/>
      <c r="CV173" s="1127"/>
      <c r="CW173" s="1128"/>
      <c r="CX173" s="1128"/>
      <c r="CY173" s="1128"/>
      <c r="CZ173" s="1127"/>
      <c r="DA173" s="1128"/>
      <c r="DB173" s="1128"/>
      <c r="DC173" s="1128"/>
      <c r="DD173" s="1127"/>
      <c r="DE173" s="1128"/>
      <c r="DF173" s="1128"/>
      <c r="DG173" s="1128"/>
      <c r="DH173" s="1127"/>
      <c r="DI173" s="1128"/>
      <c r="DJ173" s="1128"/>
      <c r="DK173" s="1128"/>
      <c r="DL173" s="1127"/>
      <c r="DM173" s="1128"/>
      <c r="DN173" s="1128"/>
      <c r="DO173" s="1128"/>
      <c r="DP173" s="1127"/>
      <c r="DQ173" s="1128"/>
      <c r="DR173" s="1128"/>
      <c r="DS173" s="1128"/>
      <c r="DT173" s="1127"/>
      <c r="DU173" s="1128"/>
      <c r="DV173" s="1128"/>
      <c r="DW173" s="1128"/>
      <c r="DX173" s="1127"/>
      <c r="DY173" s="1128"/>
      <c r="DZ173" s="1128"/>
      <c r="EA173" s="1128"/>
      <c r="EB173" s="1127"/>
      <c r="EC173" s="1128"/>
      <c r="ED173" s="1128"/>
      <c r="EE173" s="1128"/>
      <c r="EF173" s="1127"/>
      <c r="EG173" s="1128"/>
      <c r="EH173" s="1128"/>
      <c r="EI173" s="1128"/>
      <c r="EJ173" s="1127"/>
      <c r="EK173" s="1128"/>
      <c r="EL173" s="1128"/>
      <c r="EM173" s="1128"/>
      <c r="EN173" s="1127"/>
      <c r="EO173" s="1128"/>
      <c r="EP173" s="1128"/>
      <c r="EQ173" s="1128"/>
    </row>
    <row r="174" spans="1:147" outlineLevel="1">
      <c r="A174" s="748"/>
      <c r="B174" s="1034" t="s">
        <v>235</v>
      </c>
      <c r="C174" s="1035" t="s">
        <v>995</v>
      </c>
      <c r="D174" s="1036">
        <f>IFERROR(AVERAGE(D153,D155,D157,D159,D161,D163,D165,D167,D169,D171,D173),"-")</f>
        <v>-2.2896175744482904E-2</v>
      </c>
      <c r="E174" s="1036">
        <f>IFERROR(AVERAGE(E153,E155,E157,E159,E161,E163,E167,E169,E171),"-")</f>
        <v>4.7659815496499794E-2</v>
      </c>
      <c r="F174" s="1036">
        <f>IFERROR(AVERAGE(F153,F155,F157,F159,F161,F163,F169,F171),"-")</f>
        <v>-1.1570187959905817E-2</v>
      </c>
      <c r="G174" s="1036">
        <f>IFERROR(AVERAGE(G153,G155,G157,G159,G161,G163,G165,G169,G171),"-")</f>
        <v>3.1933466467445597E-2</v>
      </c>
      <c r="H174" s="1036">
        <f>IFERROR(SUM(D174:G174),"-")</f>
        <v>4.512691825955667E-2</v>
      </c>
      <c r="I174" s="443"/>
      <c r="J174" s="443"/>
      <c r="K174" s="443"/>
      <c r="AV174" s="1127"/>
      <c r="AW174" s="1128"/>
      <c r="AX174" s="1128"/>
      <c r="AY174" s="1128"/>
      <c r="AZ174" s="1127"/>
      <c r="BA174" s="1128"/>
      <c r="BB174" s="1128"/>
      <c r="BC174" s="1128"/>
      <c r="BD174" s="1127"/>
      <c r="BE174" s="1128"/>
      <c r="BF174" s="1128"/>
      <c r="BG174" s="1128"/>
      <c r="BH174" s="1127"/>
      <c r="BI174" s="1128"/>
      <c r="BJ174" s="1128"/>
      <c r="BK174" s="1128"/>
      <c r="BL174" s="1127"/>
      <c r="BM174" s="1128"/>
      <c r="BN174" s="1128"/>
      <c r="BO174" s="1128"/>
      <c r="BP174" s="1127"/>
      <c r="BQ174" s="1128"/>
      <c r="BR174" s="1128"/>
      <c r="BS174" s="1128"/>
      <c r="BT174" s="1127"/>
      <c r="BU174" s="1128"/>
      <c r="BV174" s="1128"/>
      <c r="BW174" s="1128"/>
      <c r="BX174" s="1127"/>
      <c r="BY174" s="1128"/>
      <c r="BZ174" s="1128"/>
      <c r="CA174" s="1128"/>
      <c r="CB174" s="1127"/>
      <c r="CC174" s="1128"/>
      <c r="CD174" s="1128"/>
      <c r="CE174" s="1128"/>
      <c r="CF174" s="1127"/>
      <c r="CG174" s="1128"/>
      <c r="CH174" s="1128"/>
      <c r="CI174" s="1128"/>
      <c r="CJ174" s="1127"/>
      <c r="CK174" s="1128"/>
      <c r="CL174" s="1128"/>
      <c r="CM174" s="1128"/>
      <c r="CN174" s="1127"/>
      <c r="CO174" s="1128"/>
      <c r="CP174" s="1128"/>
      <c r="CQ174" s="1128"/>
      <c r="CR174" s="1127"/>
      <c r="CS174" s="1128"/>
      <c r="CT174" s="1128"/>
      <c r="CU174" s="1128"/>
      <c r="CV174" s="1127"/>
      <c r="CW174" s="1128"/>
      <c r="CX174" s="1128"/>
      <c r="CY174" s="1128"/>
      <c r="CZ174" s="1127"/>
      <c r="DA174" s="1128"/>
      <c r="DB174" s="1128"/>
      <c r="DC174" s="1128"/>
      <c r="DD174" s="1127"/>
      <c r="DE174" s="1128"/>
      <c r="DF174" s="1128"/>
      <c r="DG174" s="1128"/>
      <c r="DH174" s="1127"/>
      <c r="DI174" s="1128"/>
      <c r="DJ174" s="1128"/>
      <c r="DK174" s="1128"/>
      <c r="DL174" s="1127"/>
      <c r="DM174" s="1128"/>
      <c r="DN174" s="1128"/>
      <c r="DO174" s="1128"/>
      <c r="DP174" s="1127"/>
      <c r="DQ174" s="1128"/>
      <c r="DR174" s="1128"/>
      <c r="DS174" s="1128"/>
      <c r="DT174" s="1127"/>
      <c r="DU174" s="1128"/>
      <c r="DV174" s="1128"/>
      <c r="DW174" s="1128"/>
      <c r="DX174" s="1127"/>
      <c r="DY174" s="1128"/>
      <c r="DZ174" s="1128"/>
      <c r="EA174" s="1128"/>
      <c r="EB174" s="1127"/>
      <c r="EC174" s="1128"/>
      <c r="ED174" s="1128"/>
      <c r="EE174" s="1128"/>
      <c r="EF174" s="1127"/>
      <c r="EG174" s="1128"/>
      <c r="EH174" s="1128"/>
      <c r="EI174" s="1128"/>
      <c r="EJ174" s="1127"/>
      <c r="EK174" s="1128"/>
      <c r="EL174" s="1128"/>
      <c r="EM174" s="1128"/>
      <c r="EN174" s="1127"/>
      <c r="EO174" s="1128"/>
      <c r="EP174" s="1128"/>
      <c r="EQ174" s="1128"/>
    </row>
    <row r="175" spans="1:147" outlineLevel="1">
      <c r="A175" s="748"/>
      <c r="F175" s="443"/>
      <c r="G175" s="443"/>
      <c r="H175" s="443"/>
      <c r="I175" s="443"/>
      <c r="J175" s="443"/>
      <c r="K175" s="443"/>
    </row>
    <row r="176" spans="1:147" outlineLevel="1">
      <c r="A176" s="748"/>
      <c r="B176" s="1129"/>
      <c r="C176" s="1129"/>
      <c r="D176" s="1126"/>
      <c r="E176" s="1126"/>
      <c r="F176" s="443"/>
      <c r="G176" s="443"/>
      <c r="H176" s="443"/>
      <c r="I176" s="443"/>
      <c r="J176" s="443"/>
      <c r="K176" s="443"/>
    </row>
    <row r="177" spans="1:11" outlineLevel="1">
      <c r="A177" s="748"/>
      <c r="B177" s="1129"/>
      <c r="C177" s="1129"/>
      <c r="D177" s="1126"/>
      <c r="E177" s="1126"/>
      <c r="F177" s="443"/>
      <c r="G177" s="443"/>
      <c r="H177" s="443"/>
      <c r="I177" s="443"/>
      <c r="J177" s="443"/>
      <c r="K177" s="443"/>
    </row>
    <row r="178" spans="1:11" outlineLevel="1">
      <c r="A178" s="748"/>
      <c r="B178" s="1129"/>
      <c r="C178" s="1129"/>
      <c r="D178" s="1126"/>
      <c r="E178" s="1126"/>
      <c r="F178" s="443"/>
      <c r="G178" s="443"/>
      <c r="H178" s="443"/>
      <c r="I178" s="443"/>
      <c r="J178" s="443"/>
      <c r="K178" s="443"/>
    </row>
    <row r="179" spans="1:11" outlineLevel="1">
      <c r="A179" s="748"/>
      <c r="B179" s="1129"/>
      <c r="C179" s="1129"/>
      <c r="D179" s="1126"/>
      <c r="E179" s="1126"/>
      <c r="F179" s="443"/>
      <c r="G179" s="443"/>
      <c r="H179" s="443"/>
      <c r="I179" s="443"/>
      <c r="J179" s="443"/>
      <c r="K179" s="443"/>
    </row>
    <row r="180" spans="1:11" outlineLevel="1">
      <c r="A180" s="748"/>
      <c r="B180" s="1129"/>
      <c r="C180" s="1129"/>
      <c r="D180" s="1126"/>
      <c r="E180" s="1126"/>
      <c r="F180" s="443"/>
      <c r="G180" s="443"/>
      <c r="H180" s="443"/>
      <c r="I180" s="443"/>
      <c r="J180" s="443"/>
      <c r="K180" s="443"/>
    </row>
    <row r="181" spans="1:11" outlineLevel="1">
      <c r="A181" s="748"/>
      <c r="B181" s="1129"/>
      <c r="C181" s="1129"/>
      <c r="D181" s="1126"/>
      <c r="E181" s="1126"/>
      <c r="F181" s="443"/>
      <c r="G181" s="443"/>
      <c r="H181" s="443"/>
      <c r="I181" s="443"/>
      <c r="J181" s="443"/>
      <c r="K181" s="443"/>
    </row>
    <row r="182" spans="1:11" outlineLevel="1">
      <c r="A182" s="748"/>
      <c r="B182" s="1129"/>
      <c r="C182" s="1129"/>
      <c r="D182" s="1126"/>
      <c r="E182" s="1126"/>
      <c r="F182" s="443"/>
      <c r="G182" s="443"/>
      <c r="H182" s="443"/>
      <c r="I182" s="443"/>
      <c r="J182" s="443"/>
      <c r="K182" s="443"/>
    </row>
    <row r="183" spans="1:11" outlineLevel="1">
      <c r="A183" s="748"/>
      <c r="B183" s="1129"/>
      <c r="C183" s="1129"/>
      <c r="D183" s="1126"/>
      <c r="E183" s="1126"/>
      <c r="F183" s="443"/>
      <c r="G183" s="443"/>
      <c r="H183" s="443"/>
      <c r="I183" s="443"/>
      <c r="J183" s="443"/>
      <c r="K183" s="443"/>
    </row>
    <row r="184" spans="1:11" outlineLevel="1">
      <c r="A184" s="748"/>
      <c r="B184" s="1129"/>
      <c r="C184" s="1129"/>
      <c r="D184" s="1126"/>
      <c r="E184" s="1126"/>
      <c r="F184" s="443"/>
      <c r="G184" s="443"/>
      <c r="H184" s="443"/>
      <c r="I184" s="443"/>
      <c r="J184" s="443"/>
      <c r="K184" s="443"/>
    </row>
    <row r="185" spans="1:11" outlineLevel="1">
      <c r="A185" s="748"/>
      <c r="B185" s="1129"/>
      <c r="C185" s="1129"/>
      <c r="D185" s="1126"/>
      <c r="E185" s="1126"/>
      <c r="F185" s="443"/>
      <c r="G185" s="443"/>
      <c r="H185" s="443"/>
      <c r="I185" s="443"/>
      <c r="J185" s="443"/>
      <c r="K185" s="443"/>
    </row>
    <row r="186" spans="1:11" outlineLevel="1">
      <c r="A186" s="748"/>
      <c r="B186" s="1129"/>
      <c r="C186" s="1129"/>
      <c r="D186" s="1126"/>
      <c r="E186" s="1126"/>
      <c r="F186" s="443"/>
      <c r="G186" s="443"/>
      <c r="H186" s="443"/>
      <c r="I186" s="443"/>
      <c r="J186" s="443"/>
      <c r="K186" s="443"/>
    </row>
    <row r="187" spans="1:11" outlineLevel="1">
      <c r="A187" s="748"/>
      <c r="B187" s="1129"/>
      <c r="C187" s="1129"/>
      <c r="D187" s="1126"/>
      <c r="E187" s="1126"/>
      <c r="F187" s="443"/>
      <c r="G187" s="443"/>
      <c r="H187" s="443"/>
      <c r="I187" s="443"/>
      <c r="J187" s="443"/>
      <c r="K187" s="443"/>
    </row>
    <row r="188" spans="1:11" outlineLevel="1">
      <c r="A188" s="748"/>
      <c r="B188" s="1129"/>
      <c r="C188" s="1129"/>
      <c r="D188" s="1126"/>
      <c r="E188" s="1126"/>
      <c r="F188" s="443"/>
      <c r="G188" s="443"/>
      <c r="H188" s="443"/>
      <c r="I188" s="443"/>
      <c r="J188" s="443"/>
      <c r="K188" s="443"/>
    </row>
    <row r="189" spans="1:11" outlineLevel="1">
      <c r="A189" s="748"/>
      <c r="B189" s="1129"/>
      <c r="C189" s="1129"/>
      <c r="D189" s="1126"/>
      <c r="E189" s="1126"/>
      <c r="F189" s="443"/>
      <c r="G189" s="443"/>
      <c r="H189" s="443"/>
      <c r="I189" s="443"/>
      <c r="J189" s="443"/>
      <c r="K189" s="443"/>
    </row>
    <row r="190" spans="1:11" outlineLevel="1">
      <c r="A190" s="748"/>
      <c r="B190" s="1129"/>
      <c r="C190" s="1129"/>
      <c r="D190" s="1126"/>
      <c r="E190" s="1126"/>
      <c r="F190" s="443"/>
      <c r="G190" s="443"/>
      <c r="H190" s="443"/>
      <c r="I190" s="443"/>
      <c r="J190" s="443"/>
      <c r="K190" s="443"/>
    </row>
    <row r="191" spans="1:11" outlineLevel="1">
      <c r="A191" s="748"/>
      <c r="B191" s="1129"/>
      <c r="C191" s="1129"/>
      <c r="D191" s="1126"/>
      <c r="E191" s="1126"/>
      <c r="F191" s="443"/>
      <c r="G191" s="443"/>
      <c r="H191" s="443"/>
      <c r="I191" s="443"/>
      <c r="J191" s="443"/>
      <c r="K191" s="443"/>
    </row>
    <row r="192" spans="1:11" outlineLevel="1">
      <c r="A192" s="748"/>
      <c r="B192" s="1129"/>
      <c r="C192" s="1129"/>
      <c r="D192" s="1126"/>
      <c r="E192" s="1126"/>
      <c r="F192" s="443"/>
      <c r="G192" s="443"/>
      <c r="H192" s="443"/>
      <c r="I192" s="443"/>
      <c r="J192" s="443"/>
      <c r="K192" s="443"/>
    </row>
    <row r="193" spans="3:22" outlineLevel="1">
      <c r="J193" s="443"/>
      <c r="K193" s="443"/>
    </row>
    <row r="194" spans="3:22">
      <c r="J194" s="443"/>
      <c r="K194" s="443"/>
    </row>
    <row r="195" spans="3:22" outlineLevel="1">
      <c r="J195" s="443"/>
      <c r="K195" s="443"/>
    </row>
    <row r="196" spans="3:22" outlineLevel="1">
      <c r="J196" s="443"/>
      <c r="K196" s="443"/>
    </row>
    <row r="197" spans="3:22" outlineLevel="1">
      <c r="C197" s="793"/>
    </row>
    <row r="198" spans="3:22" outlineLevel="1"/>
    <row r="199" spans="3:22" outlineLevel="1">
      <c r="C199" s="793"/>
      <c r="M199" s="748"/>
    </row>
    <row r="200" spans="3:22" outlineLevel="1">
      <c r="C200" s="793"/>
      <c r="M200" s="748"/>
      <c r="T200" s="1026"/>
      <c r="U200" s="1027" t="s">
        <v>1018</v>
      </c>
      <c r="V200" s="1027" t="s">
        <v>1019</v>
      </c>
    </row>
    <row r="201" spans="3:22" outlineLevel="1">
      <c r="C201" s="793"/>
      <c r="M201" s="748"/>
      <c r="T201" s="1093" t="s">
        <v>1020</v>
      </c>
      <c r="U201" s="1035">
        <v>980.62</v>
      </c>
      <c r="V201" s="1035">
        <v>84113</v>
      </c>
    </row>
    <row r="202" spans="3:22" outlineLevel="1">
      <c r="C202" s="793"/>
      <c r="M202" s="748"/>
      <c r="T202" s="1094" t="s">
        <v>1021</v>
      </c>
      <c r="U202" s="1145">
        <v>250</v>
      </c>
      <c r="V202" s="1147">
        <v>140000</v>
      </c>
    </row>
    <row r="203" spans="3:22" outlineLevel="1">
      <c r="C203" s="793"/>
      <c r="M203" s="748"/>
      <c r="T203" s="1093" t="s">
        <v>1022</v>
      </c>
      <c r="U203" s="1029">
        <v>-300</v>
      </c>
      <c r="V203" s="1148">
        <v>170000</v>
      </c>
    </row>
    <row r="204" spans="3:22" outlineLevel="1">
      <c r="C204" s="793"/>
      <c r="M204" s="748"/>
      <c r="T204" s="1094" t="s">
        <v>1023</v>
      </c>
      <c r="U204" s="1145">
        <v>-800</v>
      </c>
      <c r="V204" s="1147">
        <v>200000</v>
      </c>
    </row>
    <row r="205" spans="3:22" outlineLevel="1">
      <c r="C205" s="793"/>
      <c r="M205" s="748"/>
      <c r="T205" s="1093" t="s">
        <v>1024</v>
      </c>
      <c r="U205" s="1029">
        <v>2500</v>
      </c>
      <c r="V205" s="1148">
        <v>-55000</v>
      </c>
    </row>
    <row r="206" spans="3:22" outlineLevel="1">
      <c r="C206" s="793"/>
      <c r="M206" s="748"/>
      <c r="T206" s="1094" t="s">
        <v>1025</v>
      </c>
      <c r="U206" s="1145">
        <v>5000</v>
      </c>
      <c r="V206" s="1147">
        <v>-280000</v>
      </c>
    </row>
    <row r="207" spans="3:22" outlineLevel="1">
      <c r="C207" s="793"/>
      <c r="M207" s="748"/>
      <c r="T207" s="1093" t="s">
        <v>1026</v>
      </c>
      <c r="U207" s="1029">
        <v>-3000</v>
      </c>
      <c r="V207" s="1148">
        <v>530000</v>
      </c>
    </row>
    <row r="208" spans="3:22" outlineLevel="1">
      <c r="C208" s="793"/>
      <c r="M208" s="748"/>
      <c r="T208" s="1094" t="s">
        <v>1027</v>
      </c>
      <c r="U208" s="1145">
        <v>-1200</v>
      </c>
      <c r="V208" s="1147">
        <v>325000</v>
      </c>
    </row>
    <row r="209" spans="3:22" outlineLevel="1">
      <c r="C209" s="793"/>
      <c r="M209" s="748"/>
      <c r="T209" s="1093" t="s">
        <v>1028</v>
      </c>
      <c r="U209" s="1029">
        <v>3500</v>
      </c>
      <c r="V209" s="1148">
        <v>-260000</v>
      </c>
    </row>
    <row r="210" spans="3:22" outlineLevel="1">
      <c r="C210" s="793"/>
      <c r="M210" s="748"/>
      <c r="T210" s="1095" t="s">
        <v>1029</v>
      </c>
      <c r="U210" s="1146">
        <f>U201</f>
        <v>980.62</v>
      </c>
      <c r="V210" s="1149">
        <v>84113</v>
      </c>
    </row>
    <row r="211" spans="3:22" outlineLevel="1">
      <c r="C211" s="793"/>
      <c r="M211" s="748"/>
    </row>
    <row r="212" spans="3:22" outlineLevel="1">
      <c r="C212" s="793"/>
      <c r="M212" s="748"/>
    </row>
    <row r="213" spans="3:22" outlineLevel="1">
      <c r="C213" s="793"/>
      <c r="M213" s="748"/>
    </row>
    <row r="214" spans="3:22" outlineLevel="1">
      <c r="C214" s="793"/>
      <c r="M214" s="748"/>
    </row>
    <row r="215" spans="3:22" outlineLevel="1">
      <c r="C215" s="793"/>
      <c r="M215" s="748"/>
    </row>
    <row r="216" spans="3:22" outlineLevel="1">
      <c r="C216" s="793"/>
      <c r="M216" s="748"/>
    </row>
    <row r="217" spans="3:22" outlineLevel="1">
      <c r="C217" s="793"/>
      <c r="M217" s="748"/>
    </row>
    <row r="218" spans="3:22" outlineLevel="1">
      <c r="C218" s="793"/>
      <c r="M218" s="748"/>
    </row>
    <row r="219" spans="3:22" outlineLevel="1">
      <c r="C219" s="793"/>
      <c r="M219" s="748"/>
    </row>
    <row r="220" spans="3:22" outlineLevel="1">
      <c r="C220" s="793"/>
      <c r="M220" s="748"/>
    </row>
    <row r="221" spans="3:22" outlineLevel="1">
      <c r="C221" s="793"/>
      <c r="M221" s="748"/>
    </row>
    <row r="222" spans="3:22" outlineLevel="1">
      <c r="C222" s="793"/>
      <c r="M222" s="748"/>
    </row>
    <row r="223" spans="3:22" outlineLevel="1">
      <c r="C223" s="793"/>
      <c r="M223" s="748"/>
    </row>
    <row r="224" spans="3:22" outlineLevel="1">
      <c r="C224" s="793"/>
      <c r="M224" s="748"/>
    </row>
    <row r="225" spans="3:13" outlineLevel="1">
      <c r="C225" s="793"/>
      <c r="M225" s="748"/>
    </row>
    <row r="226" spans="3:13" outlineLevel="1">
      <c r="C226" s="793"/>
      <c r="M226" s="748"/>
    </row>
    <row r="227" spans="3:13" outlineLevel="1">
      <c r="C227" s="793"/>
      <c r="M227" s="748"/>
    </row>
    <row r="228" spans="3:13" outlineLevel="1">
      <c r="C228" s="793"/>
      <c r="M228" s="748"/>
    </row>
    <row r="229" spans="3:13" outlineLevel="1">
      <c r="C229" s="793"/>
      <c r="M229" s="748"/>
    </row>
    <row r="230" spans="3:13" outlineLevel="1">
      <c r="C230" s="793"/>
      <c r="M230" s="748"/>
    </row>
    <row r="231" spans="3:13" outlineLevel="1">
      <c r="C231" s="793"/>
      <c r="M231" s="748"/>
    </row>
    <row r="232" spans="3:13" outlineLevel="1">
      <c r="C232" s="793"/>
      <c r="M232" s="748"/>
    </row>
    <row r="233" spans="3:13" outlineLevel="1">
      <c r="C233" s="793"/>
      <c r="M233" s="748"/>
    </row>
    <row r="234" spans="3:13" outlineLevel="1">
      <c r="C234" s="793"/>
      <c r="M234" s="748"/>
    </row>
    <row r="235" spans="3:13" outlineLevel="1">
      <c r="C235" s="793"/>
      <c r="M235" s="748"/>
    </row>
    <row r="236" spans="3:13" outlineLevel="1">
      <c r="C236" s="793"/>
      <c r="M236" s="748"/>
    </row>
    <row r="237" spans="3:13" outlineLevel="1">
      <c r="C237" s="793"/>
      <c r="M237" s="748"/>
    </row>
    <row r="238" spans="3:13" outlineLevel="1">
      <c r="C238" s="793"/>
      <c r="M238" s="748"/>
    </row>
    <row r="239" spans="3:13" outlineLevel="1">
      <c r="C239" s="793"/>
      <c r="M239" s="748"/>
    </row>
    <row r="240" spans="3:13" outlineLevel="1">
      <c r="C240" s="793"/>
      <c r="M240" s="748"/>
    </row>
    <row r="241" spans="2:38" outlineLevel="1">
      <c r="C241" s="793"/>
      <c r="M241" s="748"/>
    </row>
    <row r="242" spans="2:38" outlineLevel="1">
      <c r="C242" s="793"/>
      <c r="M242" s="748"/>
    </row>
    <row r="243" spans="2:38" outlineLevel="1">
      <c r="C243" s="793"/>
      <c r="M243" s="748"/>
    </row>
    <row r="244" spans="2:38" outlineLevel="1">
      <c r="C244" s="793"/>
      <c r="M244" s="748"/>
    </row>
    <row r="245" spans="2:38" outlineLevel="1">
      <c r="C245" s="793"/>
      <c r="M245" s="748"/>
    </row>
    <row r="246" spans="2:38" outlineLevel="1">
      <c r="C246" s="793"/>
      <c r="M246" s="748"/>
    </row>
    <row r="247" spans="2:38" outlineLevel="1">
      <c r="C247" s="793"/>
      <c r="M247" s="748"/>
    </row>
    <row r="248" spans="2:38" outlineLevel="1">
      <c r="C248" s="793"/>
      <c r="M248" s="748"/>
    </row>
    <row r="249" spans="2:38" outlineLevel="1">
      <c r="C249" s="793"/>
      <c r="M249" s="748"/>
    </row>
    <row r="250" spans="2:38" outlineLevel="1">
      <c r="C250" s="793"/>
      <c r="M250" s="748"/>
    </row>
    <row r="251" spans="2:38" s="1065" customFormat="1" ht="13.5" outlineLevel="1">
      <c r="B251" s="1096" t="s">
        <v>1030</v>
      </c>
      <c r="C251" s="1063"/>
      <c r="D251" s="1064"/>
      <c r="E251" s="1064"/>
      <c r="F251" s="1064"/>
      <c r="G251" s="1064"/>
      <c r="H251" s="1064"/>
      <c r="I251" s="1064"/>
      <c r="J251" s="1064"/>
      <c r="K251" s="1064"/>
    </row>
    <row r="252" spans="2:38" outlineLevel="1">
      <c r="C252" s="793"/>
      <c r="M252" s="748"/>
    </row>
    <row r="253" spans="2:38" outlineLevel="1">
      <c r="C253" s="793"/>
      <c r="M253" s="1027" t="s">
        <v>1031</v>
      </c>
    </row>
    <row r="254" spans="2:38" outlineLevel="1">
      <c r="B254" s="1026" t="s">
        <v>1032</v>
      </c>
      <c r="C254" s="1027">
        <v>2014</v>
      </c>
      <c r="D254" s="1027">
        <v>2015</v>
      </c>
      <c r="E254" s="1027">
        <v>2016</v>
      </c>
      <c r="F254" s="1027">
        <v>2017</v>
      </c>
      <c r="G254" s="1027">
        <v>2018</v>
      </c>
      <c r="H254" s="1027">
        <v>2019</v>
      </c>
      <c r="I254" s="1027">
        <v>2020</v>
      </c>
      <c r="J254" s="1027">
        <v>2021</v>
      </c>
      <c r="K254" s="1027">
        <v>2022</v>
      </c>
      <c r="L254" s="1027">
        <v>2023</v>
      </c>
      <c r="M254" s="1047">
        <v>2024</v>
      </c>
      <c r="N254" s="1045">
        <v>2025</v>
      </c>
      <c r="O254" s="1027">
        <v>2026</v>
      </c>
      <c r="P254" s="1027">
        <v>2027</v>
      </c>
      <c r="Q254" s="1027">
        <v>2028</v>
      </c>
      <c r="R254" s="1027">
        <v>2029</v>
      </c>
      <c r="S254" s="1027">
        <v>2030</v>
      </c>
      <c r="T254" s="1027">
        <v>2031</v>
      </c>
      <c r="U254" s="1027">
        <v>2032</v>
      </c>
      <c r="V254" s="1027">
        <v>2033</v>
      </c>
      <c r="W254" s="1027">
        <v>2034</v>
      </c>
      <c r="X254" s="1027">
        <v>2035</v>
      </c>
      <c r="Y254" s="1027">
        <v>2036</v>
      </c>
      <c r="Z254" s="1027">
        <v>2037</v>
      </c>
      <c r="AA254" s="1027">
        <v>2038</v>
      </c>
      <c r="AB254" s="1027">
        <v>2039</v>
      </c>
      <c r="AC254" s="1027">
        <v>2040</v>
      </c>
      <c r="AD254" s="1027">
        <v>2041</v>
      </c>
      <c r="AE254" s="1027">
        <v>2042</v>
      </c>
      <c r="AF254" s="1027">
        <v>2043</v>
      </c>
      <c r="AG254" s="1027">
        <v>2044</v>
      </c>
      <c r="AH254" s="1027">
        <v>2045</v>
      </c>
      <c r="AI254" s="1027">
        <v>2046</v>
      </c>
      <c r="AJ254" s="1027">
        <v>2047</v>
      </c>
      <c r="AK254" s="1027">
        <v>2048</v>
      </c>
      <c r="AL254" s="1027">
        <v>2049</v>
      </c>
    </row>
    <row r="255" spans="2:38" ht="13.5" outlineLevel="1">
      <c r="B255" s="1041" t="s">
        <v>1033</v>
      </c>
      <c r="C255" s="1042">
        <v>14594</v>
      </c>
      <c r="D255" s="1043">
        <v>14783</v>
      </c>
      <c r="E255" s="1043">
        <v>12767</v>
      </c>
      <c r="F255" s="1043">
        <v>14775</v>
      </c>
      <c r="G255" s="1043">
        <v>18187</v>
      </c>
      <c r="H255" s="1043">
        <v>19990</v>
      </c>
      <c r="I255" s="1043">
        <v>13165</v>
      </c>
      <c r="J255" s="1043">
        <v>16800</v>
      </c>
      <c r="K255" s="1043">
        <v>21486</v>
      </c>
      <c r="L255" s="1043">
        <v>26846</v>
      </c>
      <c r="M255" s="1049">
        <f>H103</f>
        <v>26797.854202600072</v>
      </c>
      <c r="N255" s="1046">
        <f>AV146</f>
        <v>29710.657254842499</v>
      </c>
      <c r="O255" s="1140">
        <f>AZ146</f>
        <v>31226.660756758662</v>
      </c>
      <c r="P255" s="1043">
        <f>BD146</f>
        <v>32777.475724979748</v>
      </c>
      <c r="Q255" s="1046">
        <f>BH146</f>
        <v>34002.263690348605</v>
      </c>
      <c r="R255" s="1046">
        <f>BL146</f>
        <v>35502.039513976197</v>
      </c>
      <c r="S255" s="1043">
        <f>BP146</f>
        <v>36322.943706415259</v>
      </c>
      <c r="T255" s="1046">
        <f>BT146</f>
        <v>37150.271921044856</v>
      </c>
      <c r="U255" s="1046">
        <f>BX146</f>
        <v>38134.185591333793</v>
      </c>
      <c r="V255" s="1043">
        <f>CB146</f>
        <v>40360.490060484008</v>
      </c>
      <c r="W255" s="1043">
        <f>CF146</f>
        <v>45031.235963773084</v>
      </c>
      <c r="X255" s="1043">
        <f>CJ146</f>
        <v>49691.499633905856</v>
      </c>
      <c r="Y255" s="1043">
        <f>CN146</f>
        <v>55228.333229270349</v>
      </c>
      <c r="Z255" s="1043">
        <f>CR146</f>
        <v>63564.97497559731</v>
      </c>
      <c r="AA255" s="1043">
        <f>CV146</f>
        <v>72627.526121471601</v>
      </c>
      <c r="AB255" s="1043">
        <f>CZ146</f>
        <v>78497.910269901462</v>
      </c>
      <c r="AC255" s="1043">
        <f>DD146</f>
        <v>77037.554453016666</v>
      </c>
      <c r="AD255" s="1043">
        <f>DH146</f>
        <v>75192.720461965873</v>
      </c>
      <c r="AE255" s="1043">
        <f>DL146</f>
        <v>73718.717277106916</v>
      </c>
      <c r="AF255" s="1043">
        <f>DP146</f>
        <v>74196.677090309153</v>
      </c>
      <c r="AG255" s="1043">
        <f>DT146</f>
        <v>74782.051774267165</v>
      </c>
      <c r="AH255" s="1043">
        <f>DX146</f>
        <v>79233.313503497659</v>
      </c>
      <c r="AI255" s="1043">
        <f>EB146</f>
        <v>88589.725535640231</v>
      </c>
      <c r="AJ255" s="1043">
        <f>EF146</f>
        <v>98219.819499193982</v>
      </c>
      <c r="AK255" s="1043">
        <f>EJ146</f>
        <v>106197.10683775602</v>
      </c>
      <c r="AL255" s="1043">
        <f>EN146</f>
        <v>111752.30372131334</v>
      </c>
    </row>
    <row r="256" spans="2:38" outlineLevel="1">
      <c r="B256" s="1030" t="s">
        <v>208</v>
      </c>
      <c r="C256" s="1044">
        <v>3078</v>
      </c>
      <c r="D256" s="1044">
        <v>3060</v>
      </c>
      <c r="E256" s="1044">
        <v>3006</v>
      </c>
      <c r="F256" s="1044">
        <v>3327</v>
      </c>
      <c r="G256" s="1044">
        <v>3839</v>
      </c>
      <c r="H256" s="1044">
        <v>4025</v>
      </c>
      <c r="I256" s="1044">
        <v>3913</v>
      </c>
      <c r="J256" s="1044">
        <v>4944</v>
      </c>
      <c r="K256" s="1044">
        <v>5764</v>
      </c>
      <c r="L256" s="1044">
        <v>6414</v>
      </c>
      <c r="M256" s="1048">
        <f>P103</f>
        <v>6878.8649746053952</v>
      </c>
      <c r="N256" s="1136"/>
      <c r="O256" s="1137"/>
      <c r="P256" s="1137"/>
      <c r="Q256" s="1137"/>
      <c r="R256" s="1137"/>
      <c r="S256" s="1137"/>
      <c r="T256" s="1137"/>
      <c r="U256" s="1137"/>
      <c r="V256" s="1137"/>
      <c r="W256" s="1137"/>
      <c r="X256" s="1137"/>
      <c r="Y256" s="1137"/>
      <c r="Z256" s="1137"/>
      <c r="AA256" s="1137"/>
      <c r="AB256" s="1137"/>
      <c r="AC256" s="1137"/>
      <c r="AD256" s="1137"/>
      <c r="AE256" s="1137"/>
      <c r="AF256" s="1137"/>
      <c r="AG256" s="1137"/>
      <c r="AH256" s="1137"/>
      <c r="AI256" s="1137"/>
      <c r="AJ256" s="1137"/>
      <c r="AK256" s="1137"/>
      <c r="AL256" s="1137"/>
    </row>
    <row r="257" spans="2:38" ht="13.5" outlineLevel="1">
      <c r="B257" s="1041" t="s">
        <v>209</v>
      </c>
      <c r="C257" s="1042">
        <v>1204</v>
      </c>
      <c r="D257" s="1043">
        <v>1172</v>
      </c>
      <c r="E257" s="1043">
        <v>1187</v>
      </c>
      <c r="F257" s="1043">
        <v>1269</v>
      </c>
      <c r="G257" s="1043">
        <v>1357</v>
      </c>
      <c r="H257" s="1043">
        <v>1480</v>
      </c>
      <c r="I257" s="1043">
        <v>1574</v>
      </c>
      <c r="J257" s="1043">
        <v>1688</v>
      </c>
      <c r="K257" s="1043">
        <v>1505</v>
      </c>
      <c r="L257" s="1043">
        <v>1812</v>
      </c>
      <c r="M257" s="1049">
        <f>X103</f>
        <v>2099.1344298056601</v>
      </c>
      <c r="N257" s="1138"/>
      <c r="O257" s="1139"/>
      <c r="P257" s="1139"/>
      <c r="Q257" s="1139"/>
      <c r="R257" s="1139"/>
      <c r="S257" s="1139"/>
      <c r="T257" s="1139"/>
      <c r="U257" s="1139"/>
      <c r="V257" s="1139"/>
      <c r="W257" s="1139"/>
      <c r="X257" s="1139"/>
      <c r="Y257" s="1139"/>
      <c r="Z257" s="1139"/>
      <c r="AA257" s="1139"/>
      <c r="AB257" s="1139"/>
      <c r="AC257" s="1139"/>
      <c r="AD257" s="1139"/>
      <c r="AE257" s="1139"/>
      <c r="AF257" s="1139"/>
      <c r="AG257" s="1139"/>
      <c r="AH257" s="1139"/>
      <c r="AI257" s="1139"/>
      <c r="AJ257" s="1139"/>
      <c r="AK257" s="1139"/>
      <c r="AL257" s="1139"/>
    </row>
    <row r="258" spans="2:38" outlineLevel="1">
      <c r="B258" s="1030" t="s">
        <v>1034</v>
      </c>
      <c r="C258" s="1044">
        <v>121</v>
      </c>
      <c r="D258" s="1044">
        <v>100</v>
      </c>
      <c r="E258" s="1044">
        <v>74</v>
      </c>
      <c r="F258" s="1044">
        <v>86</v>
      </c>
      <c r="G258" s="1044">
        <v>113</v>
      </c>
      <c r="H258" s="1044">
        <v>105</v>
      </c>
      <c r="I258" s="1044">
        <v>77</v>
      </c>
      <c r="J258" s="1044">
        <v>91</v>
      </c>
      <c r="K258" s="1044">
        <v>64</v>
      </c>
      <c r="L258" s="1044">
        <v>55</v>
      </c>
      <c r="M258" s="1048">
        <f>AF103</f>
        <v>70.071031332366502</v>
      </c>
      <c r="N258" s="1136"/>
      <c r="O258" s="1137"/>
      <c r="P258" s="1137"/>
      <c r="Q258" s="1137"/>
      <c r="R258" s="1137"/>
      <c r="S258" s="1137"/>
      <c r="T258" s="1137"/>
      <c r="U258" s="1137"/>
      <c r="V258" s="1137"/>
      <c r="W258" s="1137"/>
      <c r="X258" s="1137"/>
      <c r="Y258" s="1137"/>
      <c r="Z258" s="1137"/>
      <c r="AA258" s="1137"/>
      <c r="AB258" s="1137"/>
      <c r="AC258" s="1137"/>
      <c r="AD258" s="1137"/>
      <c r="AE258" s="1137"/>
      <c r="AF258" s="1137"/>
      <c r="AG258" s="1137"/>
      <c r="AH258" s="1137"/>
      <c r="AI258" s="1137"/>
      <c r="AJ258" s="1137"/>
      <c r="AK258" s="1137"/>
      <c r="AL258" s="1137"/>
    </row>
    <row r="259" spans="2:38" ht="13.5" outlineLevel="1">
      <c r="B259" s="1041" t="s">
        <v>188</v>
      </c>
      <c r="C259" s="1042">
        <f t="shared" ref="C259:L259" si="213">SUM(C255:C258)</f>
        <v>18997</v>
      </c>
      <c r="D259" s="1043">
        <f t="shared" si="213"/>
        <v>19115</v>
      </c>
      <c r="E259" s="1043">
        <f t="shared" si="213"/>
        <v>17034</v>
      </c>
      <c r="F259" s="1043">
        <f t="shared" si="213"/>
        <v>19457</v>
      </c>
      <c r="G259" s="1043">
        <f t="shared" si="213"/>
        <v>23496</v>
      </c>
      <c r="H259" s="1043">
        <f t="shared" si="213"/>
        <v>25600</v>
      </c>
      <c r="I259" s="1043">
        <f t="shared" si="213"/>
        <v>18729</v>
      </c>
      <c r="J259" s="1043">
        <f t="shared" si="213"/>
        <v>23523</v>
      </c>
      <c r="K259" s="1043">
        <f t="shared" si="213"/>
        <v>28819</v>
      </c>
      <c r="L259" s="1043">
        <f t="shared" si="213"/>
        <v>35127</v>
      </c>
      <c r="M259" s="1049">
        <f t="shared" ref="M259" si="214">SUM(M255:M258)</f>
        <v>35845.924638343487</v>
      </c>
      <c r="N259" s="1043">
        <f>N255/0.77</f>
        <v>38585.269162133118</v>
      </c>
      <c r="O259" s="1043">
        <f>O255/0.77</f>
        <v>40554.104878907354</v>
      </c>
      <c r="P259" s="1043">
        <f t="shared" ref="P259:AL259" si="215">P255/0.77</f>
        <v>42568.15029218149</v>
      </c>
      <c r="Q259" s="1043">
        <f t="shared" si="215"/>
        <v>44158.784013439748</v>
      </c>
      <c r="R259" s="1043">
        <f t="shared" si="215"/>
        <v>46106.544823345706</v>
      </c>
      <c r="S259" s="1043">
        <f t="shared" si="215"/>
        <v>47172.654164175663</v>
      </c>
      <c r="T259" s="1043">
        <f t="shared" si="215"/>
        <v>48247.106390967347</v>
      </c>
      <c r="U259" s="1043">
        <f t="shared" si="215"/>
        <v>49524.916352381551</v>
      </c>
      <c r="V259" s="1043">
        <f t="shared" si="215"/>
        <v>52416.220857771441</v>
      </c>
      <c r="W259" s="1043">
        <f t="shared" si="215"/>
        <v>58482.124628276732</v>
      </c>
      <c r="X259" s="1043">
        <f t="shared" si="215"/>
        <v>64534.415108968642</v>
      </c>
      <c r="Y259" s="1043">
        <f t="shared" si="215"/>
        <v>71725.10808996149</v>
      </c>
      <c r="Z259" s="1043">
        <f t="shared" si="215"/>
        <v>82551.915552723774</v>
      </c>
      <c r="AA259" s="1043">
        <f t="shared" si="215"/>
        <v>94321.462495417654</v>
      </c>
      <c r="AB259" s="1043">
        <f t="shared" si="215"/>
        <v>101945.33801285904</v>
      </c>
      <c r="AC259" s="1043">
        <f t="shared" si="215"/>
        <v>100048.77201690475</v>
      </c>
      <c r="AD259" s="1043">
        <f t="shared" si="215"/>
        <v>97652.883716838798</v>
      </c>
      <c r="AE259" s="1043">
        <f t="shared" si="215"/>
        <v>95738.593866372612</v>
      </c>
      <c r="AF259" s="1043">
        <f t="shared" si="215"/>
        <v>96359.320896505393</v>
      </c>
      <c r="AG259" s="1043">
        <f t="shared" si="215"/>
        <v>97119.547758788525</v>
      </c>
      <c r="AH259" s="1043">
        <f t="shared" si="215"/>
        <v>102900.40714739956</v>
      </c>
      <c r="AI259" s="1043">
        <f t="shared" si="215"/>
        <v>115051.59160472757</v>
      </c>
      <c r="AJ259" s="1043">
        <f t="shared" si="215"/>
        <v>127558.20714181036</v>
      </c>
      <c r="AK259" s="1043">
        <f t="shared" si="215"/>
        <v>137918.32056851429</v>
      </c>
      <c r="AL259" s="1043">
        <f t="shared" si="215"/>
        <v>145132.86197573159</v>
      </c>
    </row>
    <row r="260" spans="2:38" ht="13.5" outlineLevel="1">
      <c r="B260" s="792"/>
      <c r="C260" s="853"/>
    </row>
    <row r="261" spans="2:38" outlineLevel="1">
      <c r="B261" s="1062" t="s">
        <v>1035</v>
      </c>
      <c r="C261" s="1027" t="s">
        <v>821</v>
      </c>
      <c r="D261" s="1027" t="s">
        <v>822</v>
      </c>
      <c r="E261" s="1027" t="s">
        <v>823</v>
      </c>
      <c r="F261" s="1027" t="s">
        <v>824</v>
      </c>
      <c r="G261" s="1027" t="s">
        <v>825</v>
      </c>
      <c r="H261" s="1027" t="s">
        <v>826</v>
      </c>
      <c r="L261" s="748"/>
      <c r="M261" s="748"/>
      <c r="N261" s="748"/>
      <c r="O261" s="748"/>
      <c r="P261" s="748"/>
      <c r="Q261" s="748"/>
      <c r="R261" s="748"/>
      <c r="S261" s="748"/>
      <c r="T261" s="748"/>
      <c r="U261" s="748"/>
      <c r="V261" s="748"/>
      <c r="W261" s="748"/>
      <c r="X261" s="748"/>
      <c r="Y261" s="748"/>
      <c r="Z261" s="748"/>
      <c r="AA261" s="748"/>
      <c r="AB261" s="748"/>
      <c r="AC261" s="748"/>
      <c r="AD261" s="748"/>
      <c r="AE261" s="748"/>
      <c r="AF261" s="748"/>
      <c r="AG261" s="748"/>
      <c r="AH261" s="748"/>
      <c r="AI261" s="748"/>
      <c r="AJ261" s="748"/>
      <c r="AK261" s="748"/>
      <c r="AL261" s="748"/>
    </row>
    <row r="262" spans="2:38" ht="13.5" outlineLevel="1">
      <c r="B262" s="1028">
        <v>2014</v>
      </c>
      <c r="C262" s="1029" t="s">
        <v>830</v>
      </c>
      <c r="D262" s="1037">
        <f>4086.2+293.7</f>
        <v>4379.8999999999996</v>
      </c>
      <c r="E262" s="1037">
        <f>4267+302.6</f>
        <v>4569.6000000000004</v>
      </c>
      <c r="F262" s="1037">
        <f>4622.5+305.9</f>
        <v>4928.3999999999996</v>
      </c>
      <c r="G262" s="1037">
        <f>4817.1+302</f>
        <v>5119.1000000000004</v>
      </c>
      <c r="H262" s="1037">
        <f>IFERROR(SUM(D262:G262),"-")</f>
        <v>18997</v>
      </c>
      <c r="L262" s="748"/>
      <c r="M262" s="748"/>
      <c r="N262" s="748"/>
      <c r="O262" s="748"/>
      <c r="P262" s="748"/>
      <c r="Q262" s="748"/>
      <c r="R262" s="748"/>
      <c r="S262" s="748"/>
      <c r="T262" s="748"/>
      <c r="U262" s="748"/>
      <c r="V262" s="748"/>
      <c r="W262" s="748"/>
      <c r="X262" s="748"/>
      <c r="Y262" s="748"/>
      <c r="Z262" s="748"/>
      <c r="AA262" s="748"/>
      <c r="AB262" s="748"/>
      <c r="AC262" s="748"/>
      <c r="AD262" s="748"/>
      <c r="AE262" s="748"/>
      <c r="AF262" s="748"/>
      <c r="AG262" s="748"/>
      <c r="AH262" s="748"/>
      <c r="AI262" s="748"/>
      <c r="AJ262" s="748"/>
      <c r="AK262" s="748"/>
      <c r="AL262" s="748"/>
    </row>
    <row r="263" spans="2:38">
      <c r="B263" s="1030" t="s">
        <v>831</v>
      </c>
      <c r="C263" s="1031" t="s">
        <v>832</v>
      </c>
      <c r="D263" s="1031">
        <f>IFERROR(D262/SUM($D262:$G262),"-")</f>
        <v>0.23055745644049058</v>
      </c>
      <c r="E263" s="1031">
        <f>IFERROR(E262/SUM($D262:$G262),"-")</f>
        <v>0.2405432436700532</v>
      </c>
      <c r="F263" s="1031">
        <f>IFERROR(F262/SUM($D262:$G262),"-")</f>
        <v>0.25943043638469232</v>
      </c>
      <c r="G263" s="1031">
        <f>IFERROR(G262/SUM($D262:$G262),"-")</f>
        <v>0.26946886350476396</v>
      </c>
      <c r="H263" s="1031">
        <f>IFERROR(H262/SUM($D262:$G262),"-")</f>
        <v>1</v>
      </c>
      <c r="L263" s="748"/>
      <c r="M263" s="748"/>
      <c r="N263" s="748"/>
      <c r="O263" s="748"/>
      <c r="P263" s="748"/>
      <c r="Q263" s="748"/>
      <c r="R263" s="748"/>
      <c r="S263" s="748"/>
      <c r="T263" s="748"/>
      <c r="U263" s="748"/>
      <c r="V263" s="748"/>
      <c r="W263" s="748"/>
      <c r="X263" s="748"/>
      <c r="Y263" s="748"/>
      <c r="Z263" s="748"/>
      <c r="AA263" s="748"/>
      <c r="AB263" s="748"/>
      <c r="AC263" s="748"/>
      <c r="AD263" s="748"/>
      <c r="AE263" s="748"/>
      <c r="AF263" s="748"/>
      <c r="AG263" s="748"/>
      <c r="AH263" s="748"/>
      <c r="AI263" s="748"/>
      <c r="AJ263" s="748"/>
      <c r="AK263" s="748"/>
      <c r="AL263" s="748"/>
    </row>
    <row r="264" spans="2:38" ht="13.5">
      <c r="B264" s="1028">
        <v>2015</v>
      </c>
      <c r="C264" s="1029" t="s">
        <v>830</v>
      </c>
      <c r="D264" s="1037">
        <f>4548+284.7</f>
        <v>4832.7</v>
      </c>
      <c r="E264" s="1037">
        <f>4786.1+293.8</f>
        <v>5079.9000000000005</v>
      </c>
      <c r="F264" s="1037">
        <f>4546.2+301</f>
        <v>4847.2</v>
      </c>
      <c r="G264" s="1037">
        <f>4062.5+292.8</f>
        <v>4355.3</v>
      </c>
      <c r="H264" s="1037">
        <f>IFERROR(SUM(D264:G264),"-")</f>
        <v>19115.099999999999</v>
      </c>
      <c r="L264" s="748"/>
      <c r="M264" s="748"/>
      <c r="N264" s="748"/>
      <c r="O264" s="748"/>
      <c r="P264" s="748"/>
      <c r="Q264" s="748"/>
      <c r="R264" s="748"/>
      <c r="S264" s="748"/>
      <c r="T264" s="748"/>
      <c r="U264" s="748"/>
      <c r="V264" s="748"/>
      <c r="W264" s="748"/>
      <c r="X264" s="748"/>
      <c r="Y264" s="748"/>
      <c r="Z264" s="748"/>
      <c r="AA264" s="748"/>
      <c r="AB264" s="748"/>
      <c r="AC264" s="748"/>
      <c r="AD264" s="748"/>
      <c r="AE264" s="748"/>
      <c r="AF264" s="748"/>
      <c r="AG264" s="748"/>
      <c r="AH264" s="748"/>
      <c r="AI264" s="748"/>
      <c r="AJ264" s="748"/>
      <c r="AK264" s="748"/>
      <c r="AL264" s="748"/>
    </row>
    <row r="265" spans="2:38">
      <c r="B265" s="1030" t="s">
        <v>831</v>
      </c>
      <c r="C265" s="1031" t="s">
        <v>832</v>
      </c>
      <c r="D265" s="1031">
        <f>IFERROR(D264/SUM($D264:$G264),"-")</f>
        <v>0.25282106816077343</v>
      </c>
      <c r="E265" s="1031">
        <f>IFERROR(E264/SUM($D264:$G264),"-")</f>
        <v>0.2657532526641242</v>
      </c>
      <c r="F265" s="1031">
        <f>IFERROR(F264/SUM($D264:$G264),"-")</f>
        <v>0.25357963076311396</v>
      </c>
      <c r="G265" s="1031">
        <f>IFERROR(G264/SUM($D264:$G264),"-")</f>
        <v>0.22784604841198847</v>
      </c>
      <c r="H265" s="1031">
        <f>IFERROR(H264/SUM($D264:$G264),"-")</f>
        <v>1</v>
      </c>
      <c r="L265" s="748"/>
      <c r="M265" s="748"/>
      <c r="N265" s="748"/>
      <c r="O265" s="748"/>
      <c r="P265" s="748"/>
      <c r="Q265" s="748"/>
      <c r="R265" s="748"/>
      <c r="S265" s="748"/>
      <c r="T265" s="748"/>
      <c r="U265" s="748"/>
      <c r="V265" s="748"/>
      <c r="W265" s="748"/>
      <c r="X265" s="748"/>
      <c r="Y265" s="748"/>
      <c r="Z265" s="748"/>
      <c r="AA265" s="748"/>
      <c r="AB265" s="748"/>
      <c r="AC265" s="748"/>
      <c r="AD265" s="748"/>
      <c r="AE265" s="748"/>
      <c r="AF265" s="748"/>
      <c r="AG265" s="748"/>
      <c r="AH265" s="748"/>
      <c r="AI265" s="748"/>
      <c r="AJ265" s="748"/>
      <c r="AK265" s="748"/>
      <c r="AL265" s="748"/>
    </row>
    <row r="266" spans="2:38" ht="13.5">
      <c r="B266" s="1028">
        <v>2016</v>
      </c>
      <c r="C266" s="1029" t="s">
        <v>830</v>
      </c>
      <c r="D266" s="1037">
        <f>4010.6+289.4</f>
        <v>4300</v>
      </c>
      <c r="E266" s="1037">
        <f>4115.8+297.4</f>
        <v>4413.2</v>
      </c>
      <c r="F266" s="1037">
        <f>3953.2+296.2</f>
        <v>4249.3999999999996</v>
      </c>
      <c r="G266" s="1037">
        <f>3767+303.7</f>
        <v>4070.7</v>
      </c>
      <c r="H266" s="1037">
        <f t="shared" ref="H266" si="216">IFERROR(SUM(D266:G266),"-")</f>
        <v>17033.3</v>
      </c>
    </row>
    <row r="267" spans="2:38">
      <c r="B267" s="1030" t="s">
        <v>831</v>
      </c>
      <c r="C267" s="1031" t="s">
        <v>832</v>
      </c>
      <c r="D267" s="1031">
        <f>IFERROR(D266/SUM($D266:$G266),"-")</f>
        <v>0.25244667797784343</v>
      </c>
      <c r="E267" s="1031">
        <f>IFERROR(E266/SUM($D266:$G266),"-")</f>
        <v>0.25909248354693454</v>
      </c>
      <c r="F267" s="1031">
        <f>IFERROR(F266/SUM($D266:$G266),"-")</f>
        <v>0.24947602637187155</v>
      </c>
      <c r="G267" s="1031">
        <f>IFERROR(G266/SUM($D266:$G266),"-")</f>
        <v>0.23898481210335049</v>
      </c>
      <c r="H267" s="1031">
        <f>IFERROR(H266/SUM($D266:$G266),"-")</f>
        <v>1</v>
      </c>
    </row>
    <row r="268" spans="2:38" ht="13.5">
      <c r="B268" s="1028">
        <v>2017</v>
      </c>
      <c r="C268" s="1029" t="s">
        <v>830</v>
      </c>
      <c r="D268" s="1037">
        <f>3935.7+302.2</f>
        <v>4237.8999999999996</v>
      </c>
      <c r="E268" s="1037">
        <f>4397.9+306.3</f>
        <v>4704.2</v>
      </c>
      <c r="F268" s="1037">
        <f>4731.5+328.2</f>
        <v>5059.7</v>
      </c>
      <c r="G268" s="1037">
        <f>5122.4+332.2</f>
        <v>5454.5999999999995</v>
      </c>
      <c r="H268" s="1037">
        <f t="shared" ref="H268" si="217">IFERROR(SUM(D268:G268),"-")</f>
        <v>19456.399999999998</v>
      </c>
    </row>
    <row r="269" spans="2:38">
      <c r="B269" s="1030" t="s">
        <v>831</v>
      </c>
      <c r="C269" s="1031" t="s">
        <v>832</v>
      </c>
      <c r="D269" s="1031">
        <f>IFERROR(D268/SUM($D268:$G268),"-")</f>
        <v>0.21781521761476944</v>
      </c>
      <c r="E269" s="1031">
        <f>IFERROR(E268/SUM($D268:$G268),"-")</f>
        <v>0.24178162455541624</v>
      </c>
      <c r="F269" s="1031">
        <f>IFERROR(F268/SUM($D268:$G268),"-")</f>
        <v>0.26005324726054152</v>
      </c>
      <c r="G269" s="1031">
        <f>IFERROR(G268/SUM($D268:$G268),"-")</f>
        <v>0.28034991056927283</v>
      </c>
      <c r="H269" s="1031">
        <f>IFERROR(H268/SUM($D268:$G268),"-")</f>
        <v>1</v>
      </c>
    </row>
    <row r="270" spans="2:38" ht="13.5">
      <c r="B270" s="1028">
        <v>2018</v>
      </c>
      <c r="C270" s="1029" t="s">
        <v>830</v>
      </c>
      <c r="D270" s="1037">
        <f>5321.8+332.2</f>
        <v>5654</v>
      </c>
      <c r="E270" s="1037">
        <f>5467.2+338</f>
        <v>5805.2</v>
      </c>
      <c r="F270" s="1037">
        <f>5416.9+339.9</f>
        <v>5756.7999999999993</v>
      </c>
      <c r="G270" s="1037">
        <f>5932.7+347</f>
        <v>6279.7</v>
      </c>
      <c r="H270" s="1037">
        <f t="shared" ref="H270" si="218">IFERROR(SUM(D270:G270),"-")</f>
        <v>23495.7</v>
      </c>
    </row>
    <row r="271" spans="2:38">
      <c r="B271" s="1030" t="s">
        <v>831</v>
      </c>
      <c r="C271" s="1031" t="s">
        <v>832</v>
      </c>
      <c r="D271" s="1031">
        <f>IFERROR(D270/SUM($D270:$G270),"-")</f>
        <v>0.24063977663998093</v>
      </c>
      <c r="E271" s="1031">
        <f>IFERROR(E270/SUM($D270:$G270),"-")</f>
        <v>0.24707499670152408</v>
      </c>
      <c r="F271" s="1031">
        <f>IFERROR(F270/SUM($D270:$G270),"-")</f>
        <v>0.24501504530616236</v>
      </c>
      <c r="G271" s="1031">
        <f>IFERROR(G270/SUM($D270:$G270),"-")</f>
        <v>0.26727018135233255</v>
      </c>
      <c r="H271" s="1031">
        <f>IFERROR(H270/SUM($D270:$G270),"-")</f>
        <v>1</v>
      </c>
    </row>
    <row r="272" spans="2:38" ht="13.5">
      <c r="B272" s="1028">
        <v>2019</v>
      </c>
      <c r="C272" s="1029" t="s">
        <v>830</v>
      </c>
      <c r="D272" s="1037">
        <f>6138.1+349.5</f>
        <v>6487.6</v>
      </c>
      <c r="E272" s="1037">
        <f>6266.5+361.4</f>
        <v>6627.9</v>
      </c>
      <c r="F272" s="1037">
        <f>6004.2+362.8</f>
        <v>6367</v>
      </c>
      <c r="G272" s="1037">
        <f>5710.9+406.3</f>
        <v>6117.2</v>
      </c>
      <c r="H272" s="1037">
        <f t="shared" ref="H272" si="219">IFERROR(SUM(D272:G272),"-")</f>
        <v>25599.7</v>
      </c>
    </row>
    <row r="273" spans="1:45">
      <c r="B273" s="1030" t="s">
        <v>831</v>
      </c>
      <c r="C273" s="1031" t="s">
        <v>832</v>
      </c>
      <c r="D273" s="1031">
        <f>IFERROR(D272/SUM($D272:$G272),"-")</f>
        <v>0.2534248448224003</v>
      </c>
      <c r="E273" s="1031">
        <f>IFERROR(E272/SUM($D272:$G272),"-")</f>
        <v>0.25890537779739603</v>
      </c>
      <c r="F273" s="1031">
        <f>IFERROR(F272/SUM($D272:$G272),"-")</f>
        <v>0.24871385211545446</v>
      </c>
      <c r="G273" s="1031">
        <f>IFERROR(G272/SUM($D272:$G272),"-")</f>
        <v>0.23895592526474918</v>
      </c>
      <c r="H273" s="1031">
        <f>IFERROR(H272/SUM($D272:$G272),"-")</f>
        <v>1</v>
      </c>
    </row>
    <row r="274" spans="1:45" ht="13.5">
      <c r="B274" s="1028">
        <v>2020</v>
      </c>
      <c r="C274" s="1029" t="s">
        <v>830</v>
      </c>
      <c r="D274" s="1037">
        <f>4778+383.7</f>
        <v>5161.7</v>
      </c>
      <c r="E274" s="1037">
        <f>2701.9+360.3</f>
        <v>3062.2000000000003</v>
      </c>
      <c r="F274" s="1037">
        <f>4538.4+397.6</f>
        <v>4936</v>
      </c>
      <c r="G274" s="1037">
        <f>5136+432.6</f>
        <v>5568.6</v>
      </c>
      <c r="H274" s="1037">
        <f t="shared" ref="H274" si="220">IFERROR(SUM(D274:G274),"-")</f>
        <v>18728.5</v>
      </c>
    </row>
    <row r="275" spans="1:45">
      <c r="B275" s="1030" t="s">
        <v>831</v>
      </c>
      <c r="C275" s="1031" t="s">
        <v>832</v>
      </c>
      <c r="D275" s="1031">
        <f>IFERROR(D274/SUM($D274:$G274),"-")</f>
        <v>0.27560669567771046</v>
      </c>
      <c r="E275" s="1031">
        <f>IFERROR(E274/SUM($D274:$G274),"-")</f>
        <v>0.16350481885895829</v>
      </c>
      <c r="F275" s="1031">
        <f>IFERROR(F274/SUM($D274:$G274),"-")</f>
        <v>0.26355554369009798</v>
      </c>
      <c r="G275" s="1031">
        <f>IFERROR(G274/SUM($D274:$G274),"-")</f>
        <v>0.29733294177323333</v>
      </c>
      <c r="H275" s="1031">
        <f>IFERROR(H274/SUM($D274:$G274),"-")</f>
        <v>1</v>
      </c>
    </row>
    <row r="276" spans="1:45" ht="13.5">
      <c r="B276" s="1028">
        <v>2021</v>
      </c>
      <c r="C276" s="1029" t="s">
        <v>830</v>
      </c>
      <c r="D276" s="1037">
        <f>5413.5+432</f>
        <v>5845.5</v>
      </c>
      <c r="E276" s="1037">
        <f>5387.6+456.3</f>
        <v>5843.9000000000005</v>
      </c>
      <c r="F276" s="1037">
        <f>4737.7+409.1</f>
        <v>5146.8</v>
      </c>
      <c r="G276" s="1037">
        <f>6295.7+390.4</f>
        <v>6686.0999999999995</v>
      </c>
      <c r="H276" s="1037">
        <f t="shared" ref="H276" si="221">IFERROR(SUM(D276:G276),"-")</f>
        <v>23522.3</v>
      </c>
    </row>
    <row r="277" spans="1:45">
      <c r="B277" s="1030" t="s">
        <v>831</v>
      </c>
      <c r="C277" s="1031" t="s">
        <v>832</v>
      </c>
      <c r="D277" s="1031">
        <f>IFERROR(D276/SUM($D276:$G276),"-")</f>
        <v>0.24850886180348011</v>
      </c>
      <c r="E277" s="1031">
        <f>IFERROR(E276/SUM($D276:$G276),"-")</f>
        <v>0.2484408412442661</v>
      </c>
      <c r="F277" s="1031">
        <f>IFERROR(F276/SUM($D276:$G276),"-")</f>
        <v>0.21880513385170669</v>
      </c>
      <c r="G277" s="1031">
        <f>IFERROR(G276/SUM($D276:$G276),"-")</f>
        <v>0.28424516310054715</v>
      </c>
      <c r="H277" s="1031">
        <f>IFERROR(H276/SUM($D276:$G276),"-")</f>
        <v>1</v>
      </c>
    </row>
    <row r="278" spans="1:45" ht="13.5">
      <c r="B278" s="1028">
        <v>2022</v>
      </c>
      <c r="C278" s="1029" t="s">
        <v>830</v>
      </c>
      <c r="D278" s="1037">
        <f>6106.4+366.2</f>
        <v>6472.5999999999995</v>
      </c>
      <c r="E278" s="1037">
        <f>6786.2+372.5</f>
        <v>7158.7</v>
      </c>
      <c r="F278" s="1037">
        <f>6687+371.9</f>
        <v>7058.9</v>
      </c>
      <c r="G278" s="1037">
        <f>7734.7+394.8</f>
        <v>8129.5</v>
      </c>
      <c r="H278" s="1037">
        <f t="shared" ref="H278" si="222">IFERROR(SUM(D278:G278),"-")</f>
        <v>28819.699999999997</v>
      </c>
    </row>
    <row r="279" spans="1:45">
      <c r="B279" s="1030" t="s">
        <v>831</v>
      </c>
      <c r="C279" s="1031" t="s">
        <v>832</v>
      </c>
      <c r="D279" s="1031">
        <f>IFERROR(D278/SUM($D278:$G278),"-")</f>
        <v>0.2245894301467399</v>
      </c>
      <c r="E279" s="1031">
        <f>IFERROR(E278/SUM($D278:$G278),"-")</f>
        <v>0.24839606241563933</v>
      </c>
      <c r="F279" s="1031">
        <f>IFERROR(F278/SUM($D278:$G278),"-")</f>
        <v>0.24493315336384489</v>
      </c>
      <c r="G279" s="1031">
        <f>IFERROR(G278/SUM($D278:$G278),"-")</f>
        <v>0.28208135407377594</v>
      </c>
      <c r="H279" s="1031">
        <f>IFERROR(H278/SUM($D278:$G278),"-")</f>
        <v>1</v>
      </c>
    </row>
    <row r="280" spans="1:45" ht="13.5">
      <c r="B280" s="1028">
        <v>2023</v>
      </c>
      <c r="C280" s="1029" t="s">
        <v>830</v>
      </c>
      <c r="D280" s="1037">
        <f>8050.1+423.2</f>
        <v>8473.3000000000011</v>
      </c>
      <c r="E280" s="1037">
        <f>8441.3+439.8</f>
        <v>8881.0999999999985</v>
      </c>
      <c r="F280" s="1037">
        <f>8232.3+464.1</f>
        <v>8696.4</v>
      </c>
      <c r="G280" s="1037">
        <f>8591.8+484.8</f>
        <v>9076.5999999999985</v>
      </c>
      <c r="H280" s="1037">
        <f t="shared" ref="H280" si="223">IFERROR(SUM(D280:G280),"-")</f>
        <v>35127.4</v>
      </c>
    </row>
    <row r="281" spans="1:45" s="1065" customFormat="1" outlineLevel="1">
      <c r="A281" s="443"/>
      <c r="B281" s="1032" t="s">
        <v>831</v>
      </c>
      <c r="C281" s="1033" t="s">
        <v>832</v>
      </c>
      <c r="D281" s="1031">
        <f>IFERROR(D280/SUM($D280:$G280),"-")</f>
        <v>0.24121625853322479</v>
      </c>
      <c r="E281" s="1031">
        <f>IFERROR(E280/SUM($D280:$G280),"-")</f>
        <v>0.25282542972152788</v>
      </c>
      <c r="F281" s="1031">
        <f>IFERROR(F280/SUM($D280:$G280),"-")</f>
        <v>0.24756742599793891</v>
      </c>
      <c r="G281" s="1031">
        <f>IFERROR(G280/SUM($D280:$G280),"-")</f>
        <v>0.25839088574730834</v>
      </c>
      <c r="H281" s="1031">
        <f>IFERROR(H280/SUM($D280:$G280),"-")</f>
        <v>1</v>
      </c>
      <c r="I281" s="748"/>
      <c r="J281" s="748"/>
      <c r="K281" s="748"/>
      <c r="L281" s="443"/>
      <c r="M281" s="443"/>
      <c r="N281" s="443"/>
      <c r="O281" s="443"/>
      <c r="P281" s="443"/>
      <c r="Q281" s="443"/>
      <c r="R281" s="443"/>
      <c r="S281" s="443"/>
      <c r="T281" s="443"/>
      <c r="U281" s="443"/>
      <c r="V281" s="443"/>
      <c r="W281" s="443"/>
      <c r="X281" s="443"/>
      <c r="Y281" s="443"/>
      <c r="Z281" s="443"/>
      <c r="AA281" s="443"/>
      <c r="AB281" s="443"/>
      <c r="AC281" s="443"/>
      <c r="AD281" s="443"/>
      <c r="AE281" s="443"/>
      <c r="AF281" s="443"/>
      <c r="AG281" s="443"/>
      <c r="AH281" s="443"/>
      <c r="AI281" s="443"/>
      <c r="AJ281" s="443"/>
      <c r="AK281" s="443"/>
      <c r="AL281" s="443"/>
      <c r="AM281" s="443"/>
      <c r="AN281" s="443"/>
      <c r="AO281" s="443"/>
      <c r="AP281" s="443"/>
      <c r="AQ281" s="443"/>
      <c r="AR281" s="443"/>
      <c r="AS281" s="443"/>
    </row>
    <row r="282" spans="1:45" outlineLevel="1">
      <c r="B282" s="1034" t="s">
        <v>235</v>
      </c>
      <c r="C282" s="1035" t="s">
        <v>830</v>
      </c>
      <c r="D282" s="1036">
        <f>IFERROR(AVERAGE(D263,D265,D267,D269,D271,D273,D275,D277,D279,D281),"-")</f>
        <v>0.24376262878174129</v>
      </c>
      <c r="E282" s="1036">
        <f t="shared" ref="E282:G282" si="224">IFERROR(AVERAGE(E263,E265,E267,E269,E271,E273,E275,E277,E279,E281),"-")</f>
        <v>0.24263181311758397</v>
      </c>
      <c r="F282" s="1036">
        <f t="shared" si="224"/>
        <v>0.24911294951054247</v>
      </c>
      <c r="G282" s="1036">
        <f t="shared" si="224"/>
        <v>0.26449260859013224</v>
      </c>
      <c r="H282" s="1036">
        <f>IFERROR(SUM(D282:G282),"-")</f>
        <v>1</v>
      </c>
    </row>
    <row r="283" spans="1:45" outlineLevel="1"/>
    <row r="284" spans="1:45" outlineLevel="1"/>
    <row r="285" spans="1:45" s="1065" customFormat="1" ht="13.5" outlineLevel="1">
      <c r="B285" s="1096" t="s">
        <v>1036</v>
      </c>
      <c r="C285" s="1063"/>
      <c r="D285" s="1064"/>
      <c r="E285" s="1064"/>
      <c r="F285" s="1064"/>
      <c r="G285" s="1064"/>
      <c r="H285" s="1064"/>
      <c r="I285" s="1064"/>
      <c r="J285" s="1064"/>
      <c r="K285" s="1064"/>
    </row>
    <row r="286" spans="1:45" ht="13.5" outlineLevel="1">
      <c r="B286" s="792"/>
      <c r="C286" s="853"/>
    </row>
    <row r="287" spans="1:45" outlineLevel="1">
      <c r="B287" s="1026" t="s">
        <v>1037</v>
      </c>
      <c r="C287" s="1027" t="s">
        <v>821</v>
      </c>
      <c r="D287" s="1027" t="s">
        <v>822</v>
      </c>
      <c r="E287" s="1027" t="s">
        <v>823</v>
      </c>
      <c r="F287" s="1027" t="s">
        <v>824</v>
      </c>
      <c r="G287" s="1027" t="s">
        <v>825</v>
      </c>
      <c r="H287" s="1027" t="s">
        <v>826</v>
      </c>
      <c r="J287" s="1026" t="s">
        <v>1038</v>
      </c>
      <c r="K287" s="1027" t="s">
        <v>821</v>
      </c>
      <c r="L287" s="1027" t="s">
        <v>822</v>
      </c>
      <c r="M287" s="1027" t="s">
        <v>823</v>
      </c>
      <c r="N287" s="1027" t="s">
        <v>824</v>
      </c>
      <c r="O287" s="1027" t="s">
        <v>825</v>
      </c>
      <c r="P287" s="1027" t="s">
        <v>826</v>
      </c>
    </row>
    <row r="288" spans="1:45" ht="13.5" outlineLevel="1">
      <c r="B288" s="1028">
        <v>2014</v>
      </c>
      <c r="C288" s="1029" t="s">
        <v>830</v>
      </c>
      <c r="D288" s="1037">
        <v>406.5</v>
      </c>
      <c r="E288" s="1037">
        <v>481</v>
      </c>
      <c r="F288" s="1037">
        <v>552.4</v>
      </c>
      <c r="G288" s="1037">
        <v>577.70000000000005</v>
      </c>
      <c r="H288" s="1037">
        <f>IFERROR(SUM(D288:G288),"-")</f>
        <v>2017.6000000000001</v>
      </c>
      <c r="J288" s="1028">
        <v>2014</v>
      </c>
      <c r="K288" s="1029" t="s">
        <v>830</v>
      </c>
      <c r="L288" s="1037">
        <v>273.89999999999998</v>
      </c>
      <c r="M288" s="1037">
        <v>319.2</v>
      </c>
      <c r="N288" s="1037">
        <v>371.4</v>
      </c>
      <c r="O288" s="1037">
        <v>394.3</v>
      </c>
      <c r="P288" s="1037">
        <f>IFERROR(SUM(L288:O288),"-")</f>
        <v>1358.8</v>
      </c>
    </row>
    <row r="289" spans="2:16" outlineLevel="1">
      <c r="B289" s="1030" t="s">
        <v>831</v>
      </c>
      <c r="C289" s="1031" t="s">
        <v>832</v>
      </c>
      <c r="D289" s="1031">
        <f>IFERROR(D288/SUM($D288:$G288),"-")</f>
        <v>0.20147700237906421</v>
      </c>
      <c r="E289" s="1031">
        <f t="shared" ref="E289:G289" si="225">IFERROR(E288/SUM($D288:$G288),"-")</f>
        <v>0.23840206185567009</v>
      </c>
      <c r="F289" s="1031">
        <f t="shared" si="225"/>
        <v>0.27379064234734335</v>
      </c>
      <c r="G289" s="1031">
        <f t="shared" si="225"/>
        <v>0.28633029341792227</v>
      </c>
      <c r="H289" s="1031">
        <f>IFERROR(H288/SUM($D288:$G288),"-")</f>
        <v>1</v>
      </c>
      <c r="J289" s="1030" t="s">
        <v>831</v>
      </c>
      <c r="K289" s="1031" t="s">
        <v>832</v>
      </c>
      <c r="L289" s="1031">
        <f>IFERROR(L288/SUM($L288:$O288),"-")</f>
        <v>0.20157491904621724</v>
      </c>
      <c r="M289" s="1031">
        <f>IFERROR(M288/SUM($L288:$O288),"-")</f>
        <v>0.2349131586694142</v>
      </c>
      <c r="N289" s="1031">
        <f>IFERROR(N288/SUM($L288:$O288),"-")</f>
        <v>0.27332940830144242</v>
      </c>
      <c r="O289" s="1031">
        <f>IFERROR(O288/SUM($L288:$O288),"-")</f>
        <v>0.2901825139829261</v>
      </c>
      <c r="P289" s="1031">
        <f>IFERROR(P288/SUM($L288:$O288),"-")</f>
        <v>1</v>
      </c>
    </row>
    <row r="290" spans="2:16" ht="13.5" outlineLevel="1">
      <c r="B290" s="1028">
        <v>2015</v>
      </c>
      <c r="C290" s="1029" t="s">
        <v>830</v>
      </c>
      <c r="D290" s="1037">
        <v>561.70000000000005</v>
      </c>
      <c r="E290" s="1037">
        <v>652.20000000000005</v>
      </c>
      <c r="F290" s="1037">
        <v>624.5</v>
      </c>
      <c r="G290" s="1037">
        <v>498.7</v>
      </c>
      <c r="H290" s="1037">
        <f>IFERROR(SUM(D290:G290),"-")</f>
        <v>2337.1</v>
      </c>
      <c r="J290" s="1028">
        <v>2015</v>
      </c>
      <c r="K290" s="1029" t="s">
        <v>830</v>
      </c>
      <c r="L290" s="1037">
        <v>378.4</v>
      </c>
      <c r="M290" s="1037">
        <v>447.2</v>
      </c>
      <c r="N290" s="1037">
        <v>431.2</v>
      </c>
      <c r="O290" s="1037">
        <v>347.2</v>
      </c>
      <c r="P290" s="1037">
        <f>IFERROR(SUM(L290:O290),"-")</f>
        <v>1604</v>
      </c>
    </row>
    <row r="291" spans="2:16" outlineLevel="1">
      <c r="B291" s="1030" t="s">
        <v>831</v>
      </c>
      <c r="C291" s="1031" t="s">
        <v>832</v>
      </c>
      <c r="D291" s="1031">
        <f>IFERROR(D290/SUM($D290:$G290),"-")</f>
        <v>0.24034059304265973</v>
      </c>
      <c r="E291" s="1031">
        <f t="shared" ref="E291:G291" si="226">IFERROR(E290/SUM($D290:$G290),"-")</f>
        <v>0.27906379701339268</v>
      </c>
      <c r="F291" s="1031">
        <f t="shared" si="226"/>
        <v>0.26721150143340039</v>
      </c>
      <c r="G291" s="1031">
        <f t="shared" si="226"/>
        <v>0.21338410851054726</v>
      </c>
      <c r="H291" s="1031">
        <f>IFERROR(H290/SUM($D290:$G290),"-")</f>
        <v>1</v>
      </c>
      <c r="J291" s="1030" t="s">
        <v>831</v>
      </c>
      <c r="K291" s="1031" t="s">
        <v>832</v>
      </c>
      <c r="L291" s="1031">
        <f>IFERROR(L290/SUM($L290:$O290),"-")</f>
        <v>0.23591022443890272</v>
      </c>
      <c r="M291" s="1031">
        <f>IFERROR(M290/SUM($L290:$O290),"-")</f>
        <v>0.27880299251870322</v>
      </c>
      <c r="N291" s="1031">
        <f>IFERROR(N290/SUM($L290:$O290),"-")</f>
        <v>0.26882793017456358</v>
      </c>
      <c r="O291" s="1031">
        <f>IFERROR(O290/SUM($L290:$O290),"-")</f>
        <v>0.21645885286783043</v>
      </c>
      <c r="P291" s="1031">
        <f>IFERROR(P290/SUM($L290:$O290),"-")</f>
        <v>1</v>
      </c>
    </row>
    <row r="292" spans="2:16" ht="13.5" outlineLevel="1">
      <c r="B292" s="1028">
        <v>2016</v>
      </c>
      <c r="C292" s="1029" t="s">
        <v>830</v>
      </c>
      <c r="D292" s="1037">
        <v>-429.6</v>
      </c>
      <c r="E292" s="1037">
        <v>646.20000000000005</v>
      </c>
      <c r="F292" s="1037">
        <v>494.9</v>
      </c>
      <c r="G292" s="1037">
        <v>418.9</v>
      </c>
      <c r="H292" s="1037">
        <f t="shared" ref="H292" si="227">IFERROR(SUM(D292:G292),"-")</f>
        <v>1130.4000000000001</v>
      </c>
      <c r="J292" s="1028">
        <v>2016</v>
      </c>
      <c r="K292" s="1029" t="s">
        <v>830</v>
      </c>
      <c r="L292" s="1037">
        <v>-594.6</v>
      </c>
      <c r="M292" s="1037">
        <v>481.3</v>
      </c>
      <c r="N292" s="1037">
        <v>346.2</v>
      </c>
      <c r="O292" s="1037">
        <v>288.8</v>
      </c>
      <c r="P292" s="1037">
        <f t="shared" ref="P292" si="228">IFERROR(SUM(L292:O292),"-")</f>
        <v>521.70000000000005</v>
      </c>
    </row>
    <row r="293" spans="2:16" outlineLevel="1">
      <c r="B293" s="1030" t="s">
        <v>831</v>
      </c>
      <c r="C293" s="1031" t="s">
        <v>832</v>
      </c>
      <c r="D293" s="1031">
        <f>IFERROR(D292/SUM($D292:$G292),"-")</f>
        <v>-0.38004246284501059</v>
      </c>
      <c r="E293" s="1031">
        <f t="shared" ref="E293:G293" si="229">IFERROR(E292/SUM($D292:$G292),"-")</f>
        <v>0.57165605095541405</v>
      </c>
      <c r="F293" s="1031">
        <f t="shared" si="229"/>
        <v>0.43780962491153569</v>
      </c>
      <c r="G293" s="1031">
        <f t="shared" si="229"/>
        <v>0.37057678697806079</v>
      </c>
      <c r="H293" s="1031">
        <f>IFERROR(H292/SUM($D292:$G292),"-")</f>
        <v>1</v>
      </c>
      <c r="J293" s="1030" t="s">
        <v>831</v>
      </c>
      <c r="K293" s="1031" t="s">
        <v>832</v>
      </c>
      <c r="L293" s="1031">
        <f>IFERROR(L292/SUM($L292:$O292),"-")</f>
        <v>-1.139735480161012</v>
      </c>
      <c r="M293" s="1031">
        <f>IFERROR(M292/SUM($L292:$O292),"-")</f>
        <v>0.92256085873107141</v>
      </c>
      <c r="N293" s="1031">
        <f>IFERROR(N292/SUM($L292:$O292),"-")</f>
        <v>0.66359976998274861</v>
      </c>
      <c r="O293" s="1031">
        <f>IFERROR(O292/SUM($L292:$O292),"-")</f>
        <v>0.55357485144719187</v>
      </c>
      <c r="P293" s="1031">
        <f>IFERROR(P292/SUM($L292:$O292),"-")</f>
        <v>1</v>
      </c>
    </row>
    <row r="294" spans="2:16" ht="13.5" outlineLevel="1">
      <c r="B294" s="1028">
        <v>2017</v>
      </c>
      <c r="C294" s="1029" t="s">
        <v>830</v>
      </c>
      <c r="D294" s="1037">
        <v>448.2</v>
      </c>
      <c r="E294" s="1037">
        <v>539</v>
      </c>
      <c r="F294" s="1037">
        <v>581.79999999999995</v>
      </c>
      <c r="G294" s="1037">
        <v>604.29999999999995</v>
      </c>
      <c r="H294" s="1037">
        <f t="shared" ref="H294" si="230">IFERROR(SUM(D294:G294),"-")</f>
        <v>2173.3000000000002</v>
      </c>
      <c r="J294" s="1028">
        <v>2017</v>
      </c>
      <c r="K294" s="1029" t="s">
        <v>830</v>
      </c>
      <c r="L294" s="1037">
        <v>310</v>
      </c>
      <c r="M294" s="1037">
        <v>373</v>
      </c>
      <c r="N294" s="1037">
        <v>402.7</v>
      </c>
      <c r="O294" s="1037">
        <v>589.20000000000005</v>
      </c>
      <c r="P294" s="1037">
        <f t="shared" ref="P294" si="231">IFERROR(SUM(L294:O294),"-")</f>
        <v>1674.9</v>
      </c>
    </row>
    <row r="295" spans="2:16" outlineLevel="1">
      <c r="B295" s="1030" t="s">
        <v>831</v>
      </c>
      <c r="C295" s="1031" t="s">
        <v>832</v>
      </c>
      <c r="D295" s="1031">
        <f>IFERROR(D294/SUM($D294:$G294),"-")</f>
        <v>0.20623015690424698</v>
      </c>
      <c r="E295" s="1031">
        <f t="shared" ref="E295:G295" si="232">IFERROR(E294/SUM($D294:$G294),"-")</f>
        <v>0.24800993880274236</v>
      </c>
      <c r="F295" s="1031">
        <f t="shared" si="232"/>
        <v>0.26770349238485247</v>
      </c>
      <c r="G295" s="1031">
        <f t="shared" si="232"/>
        <v>0.27805641190815805</v>
      </c>
      <c r="H295" s="1031">
        <f>IFERROR(H294/SUM($D294:$G294),"-")</f>
        <v>1</v>
      </c>
      <c r="J295" s="1030" t="s">
        <v>831</v>
      </c>
      <c r="K295" s="1031" t="s">
        <v>832</v>
      </c>
      <c r="L295" s="1031">
        <f>IFERROR(L294/SUM($L294:$O294),"-")</f>
        <v>0.1850856767568213</v>
      </c>
      <c r="M295" s="1031">
        <f>IFERROR(M294/SUM($L294:$O294),"-")</f>
        <v>0.22269986267836886</v>
      </c>
      <c r="N295" s="1031">
        <f>IFERROR(N294/SUM($L294:$O294),"-")</f>
        <v>0.2404322646128127</v>
      </c>
      <c r="O295" s="1031">
        <f>IFERROR(O294/SUM($L294:$O294),"-")</f>
        <v>0.35178219595199717</v>
      </c>
      <c r="P295" s="1031">
        <f>IFERROR(P294/SUM($L294:$O294),"-")</f>
        <v>1</v>
      </c>
    </row>
    <row r="296" spans="2:16" ht="13.5" outlineLevel="1">
      <c r="B296" s="1028">
        <v>2018</v>
      </c>
      <c r="C296" s="1029" t="s">
        <v>830</v>
      </c>
      <c r="D296" s="1037">
        <v>669.4</v>
      </c>
      <c r="E296" s="1037">
        <v>719.6</v>
      </c>
      <c r="F296" s="1037">
        <v>668.8</v>
      </c>
      <c r="G296" s="1037">
        <v>752.4</v>
      </c>
      <c r="H296" s="1037">
        <f t="shared" ref="H296" si="233">IFERROR(SUM(D296:G296),"-")</f>
        <v>2810.2000000000003</v>
      </c>
      <c r="J296" s="1028">
        <v>2018</v>
      </c>
      <c r="K296" s="1029" t="s">
        <v>830</v>
      </c>
      <c r="L296" s="1037">
        <v>512.1</v>
      </c>
      <c r="M296" s="1037">
        <v>559.6</v>
      </c>
      <c r="N296" s="1037">
        <v>545.29999999999995</v>
      </c>
      <c r="O296" s="1037">
        <v>578.1</v>
      </c>
      <c r="P296" s="1037">
        <f t="shared" ref="P296" si="234">IFERROR(SUM(L296:O296),"-")</f>
        <v>2195.1</v>
      </c>
    </row>
    <row r="297" spans="2:16" outlineLevel="1">
      <c r="B297" s="1030" t="s">
        <v>831</v>
      </c>
      <c r="C297" s="1031" t="s">
        <v>832</v>
      </c>
      <c r="D297" s="1031">
        <f>IFERROR(D296/SUM($D296:$G296),"-")</f>
        <v>0.23820368657035082</v>
      </c>
      <c r="E297" s="1031">
        <f t="shared" ref="E297:G297" si="235">IFERROR(E296/SUM($D296:$G296),"-")</f>
        <v>0.25606718383033233</v>
      </c>
      <c r="F297" s="1031">
        <f t="shared" si="235"/>
        <v>0.23799017863497257</v>
      </c>
      <c r="G297" s="1031">
        <f t="shared" si="235"/>
        <v>0.26773895096434414</v>
      </c>
      <c r="H297" s="1031">
        <f>IFERROR(H296/SUM($D296:$G296),"-")</f>
        <v>1</v>
      </c>
      <c r="J297" s="1030" t="s">
        <v>831</v>
      </c>
      <c r="K297" s="1031" t="s">
        <v>832</v>
      </c>
      <c r="L297" s="1031">
        <f>IFERROR(L296/SUM($L296:$O296),"-")</f>
        <v>0.23329233292332927</v>
      </c>
      <c r="M297" s="1031">
        <f>IFERROR(M296/SUM($L296:$O296),"-")</f>
        <v>0.25493143820327097</v>
      </c>
      <c r="N297" s="1031">
        <f>IFERROR(N296/SUM($L296:$O296),"-")</f>
        <v>0.24841692861373058</v>
      </c>
      <c r="O297" s="1031">
        <f>IFERROR(O296/SUM($L296:$O296),"-")</f>
        <v>0.2633593002596693</v>
      </c>
      <c r="P297" s="1031">
        <f>IFERROR(P296/SUM($L296:$O296),"-")</f>
        <v>1</v>
      </c>
    </row>
    <row r="298" spans="2:16" ht="13.5" outlineLevel="1">
      <c r="B298" s="1028">
        <v>2019</v>
      </c>
      <c r="C298" s="1029" t="s">
        <v>830</v>
      </c>
      <c r="D298" s="1037">
        <v>819.4</v>
      </c>
      <c r="E298" s="1037">
        <v>814.4</v>
      </c>
      <c r="F298" s="1037">
        <v>777.6</v>
      </c>
      <c r="G298" s="1037">
        <v>687.8</v>
      </c>
      <c r="H298" s="1037">
        <f t="shared" ref="H298" si="236">IFERROR(SUM(D298:G298),"-")</f>
        <v>3099.2</v>
      </c>
      <c r="J298" s="1028">
        <v>2019</v>
      </c>
      <c r="K298" s="1029" t="s">
        <v>830</v>
      </c>
      <c r="L298" s="1037">
        <v>629</v>
      </c>
      <c r="M298" s="1037">
        <v>619.70000000000005</v>
      </c>
      <c r="N298" s="1037">
        <v>607.9</v>
      </c>
      <c r="O298" s="1037">
        <v>531.29999999999995</v>
      </c>
      <c r="P298" s="1037">
        <f t="shared" ref="P298" si="237">IFERROR(SUM(L298:O298),"-")</f>
        <v>2387.8999999999996</v>
      </c>
    </row>
    <row r="299" spans="2:16" outlineLevel="1">
      <c r="B299" s="1030" t="s">
        <v>831</v>
      </c>
      <c r="C299" s="1031" t="s">
        <v>832</v>
      </c>
      <c r="D299" s="1031">
        <f>IFERROR(D298/SUM($D298:$G298),"-")</f>
        <v>0.26439081053175012</v>
      </c>
      <c r="E299" s="1031">
        <f t="shared" ref="E299:G299" si="238">IFERROR(E298/SUM($D298:$G298),"-")</f>
        <v>0.26277749096541042</v>
      </c>
      <c r="F299" s="1031">
        <f t="shared" si="238"/>
        <v>0.25090345895715027</v>
      </c>
      <c r="G299" s="1031">
        <f t="shared" si="238"/>
        <v>0.22192823954568922</v>
      </c>
      <c r="H299" s="1031">
        <f>IFERROR(H298/SUM($D298:$G298),"-")</f>
        <v>1</v>
      </c>
      <c r="J299" s="1030" t="s">
        <v>831</v>
      </c>
      <c r="K299" s="1031" t="s">
        <v>832</v>
      </c>
      <c r="L299" s="1031">
        <f>IFERROR(L298/SUM($L298:$O298),"-")</f>
        <v>0.26341136563507689</v>
      </c>
      <c r="M299" s="1031">
        <f>IFERROR(M298/SUM($L298:$O298),"-")</f>
        <v>0.25951673018133092</v>
      </c>
      <c r="N299" s="1031">
        <f>IFERROR(N298/SUM($L298:$O298),"-")</f>
        <v>0.25457514971313711</v>
      </c>
      <c r="O299" s="1031">
        <f>IFERROR(O298/SUM($L298:$O298),"-")</f>
        <v>0.22249675447045522</v>
      </c>
      <c r="P299" s="1031">
        <f>IFERROR(P298/SUM($L298:$O298),"-")</f>
        <v>1</v>
      </c>
    </row>
    <row r="300" spans="2:16" ht="13.5" outlineLevel="1">
      <c r="B300" s="1028">
        <v>2020</v>
      </c>
      <c r="C300" s="1029" t="s">
        <v>830</v>
      </c>
      <c r="D300" s="1037">
        <v>462.2</v>
      </c>
      <c r="E300" s="1037">
        <v>184</v>
      </c>
      <c r="F300" s="1037">
        <v>489.9</v>
      </c>
      <c r="G300" s="1037">
        <v>521.79999999999995</v>
      </c>
      <c r="H300" s="1037">
        <f t="shared" ref="H300" si="239">IFERROR(SUM(D300:G300),"-")</f>
        <v>1657.8999999999999</v>
      </c>
      <c r="J300" s="1028">
        <v>2020</v>
      </c>
      <c r="K300" s="1029" t="s">
        <v>830</v>
      </c>
      <c r="L300" s="1037">
        <v>359.4</v>
      </c>
      <c r="M300" s="1037">
        <v>147.69999999999999</v>
      </c>
      <c r="N300" s="1037">
        <v>385.5</v>
      </c>
      <c r="O300" s="1037">
        <v>405.8</v>
      </c>
      <c r="P300" s="1037">
        <f t="shared" ref="P300" si="240">IFERROR(SUM(L300:O300),"-")</f>
        <v>1298.3999999999999</v>
      </c>
    </row>
    <row r="301" spans="2:16" outlineLevel="1">
      <c r="B301" s="1030" t="s">
        <v>831</v>
      </c>
      <c r="C301" s="1031" t="s">
        <v>832</v>
      </c>
      <c r="D301" s="1031">
        <f>IFERROR(D300/SUM($D300:$G300),"-")</f>
        <v>0.27878641655105857</v>
      </c>
      <c r="E301" s="1031">
        <f t="shared" ref="E301:G301" si="241">IFERROR(E300/SUM($D300:$G300),"-")</f>
        <v>0.11098377465468365</v>
      </c>
      <c r="F301" s="1031">
        <f t="shared" si="241"/>
        <v>0.29549430001809518</v>
      </c>
      <c r="G301" s="1031">
        <f t="shared" si="241"/>
        <v>0.31473550877616263</v>
      </c>
      <c r="H301" s="1031">
        <f>IFERROR(H300/SUM($D300:$G300),"-")</f>
        <v>1</v>
      </c>
      <c r="J301" s="1030" t="s">
        <v>831</v>
      </c>
      <c r="K301" s="1031" t="s">
        <v>832</v>
      </c>
      <c r="L301" s="1031">
        <f>IFERROR(L300/SUM($L300:$O300),"-")</f>
        <v>0.27680221811460259</v>
      </c>
      <c r="M301" s="1031">
        <f>IFERROR(M300/SUM($L300:$O300),"-")</f>
        <v>0.11375539125077018</v>
      </c>
      <c r="N301" s="1031">
        <f>IFERROR(N300/SUM($L300:$O300),"-")</f>
        <v>0.29690388170055454</v>
      </c>
      <c r="O301" s="1031">
        <f>IFERROR(O300/SUM($L300:$O300),"-")</f>
        <v>0.31253850893407276</v>
      </c>
      <c r="P301" s="1031">
        <f>IFERROR(P300/SUM($L300:$O300),"-")</f>
        <v>1</v>
      </c>
    </row>
    <row r="302" spans="2:16" ht="13.5" outlineLevel="1">
      <c r="B302" s="1028">
        <v>2021</v>
      </c>
      <c r="C302" s="1029" t="s">
        <v>830</v>
      </c>
      <c r="D302" s="1037">
        <v>608.29999999999995</v>
      </c>
      <c r="E302" s="1037">
        <v>640.29999999999995</v>
      </c>
      <c r="F302" s="1037">
        <v>487.2</v>
      </c>
      <c r="G302" s="1037">
        <v>660.5</v>
      </c>
      <c r="H302" s="1037">
        <f t="shared" ref="H302" si="242">IFERROR(SUM(D302:G302),"-")</f>
        <v>2396.3000000000002</v>
      </c>
      <c r="J302" s="1028">
        <v>2021</v>
      </c>
      <c r="K302" s="1029" t="s">
        <v>830</v>
      </c>
      <c r="L302" s="1037">
        <v>470.8</v>
      </c>
      <c r="M302" s="1037">
        <v>495.5</v>
      </c>
      <c r="N302" s="1037">
        <v>380.5</v>
      </c>
      <c r="O302" s="1037">
        <v>518.70000000000005</v>
      </c>
      <c r="P302" s="1037">
        <f t="shared" ref="P302" si="243">IFERROR(SUM(L302:O302),"-")</f>
        <v>1865.5</v>
      </c>
    </row>
    <row r="303" spans="2:16" outlineLevel="1">
      <c r="B303" s="1030" t="s">
        <v>831</v>
      </c>
      <c r="C303" s="1031" t="s">
        <v>832</v>
      </c>
      <c r="D303" s="1031">
        <f>IFERROR(D302/SUM($D302:$G302),"-")</f>
        <v>0.25384968493093513</v>
      </c>
      <c r="E303" s="1031">
        <f t="shared" ref="E303:G303" si="244">IFERROR(E302/SUM($D302:$G302),"-")</f>
        <v>0.26720360555856942</v>
      </c>
      <c r="F303" s="1031">
        <f t="shared" si="244"/>
        <v>0.20331344155573172</v>
      </c>
      <c r="G303" s="1031">
        <f t="shared" si="244"/>
        <v>0.27563326795476356</v>
      </c>
      <c r="H303" s="1031">
        <f>IFERROR(H302/SUM($D302:$G302),"-")</f>
        <v>1</v>
      </c>
      <c r="J303" s="1030" t="s">
        <v>831</v>
      </c>
      <c r="K303" s="1031" t="s">
        <v>832</v>
      </c>
      <c r="L303" s="1031">
        <f>IFERROR(L302/SUM($L302:$O302),"-")</f>
        <v>0.25237201822567679</v>
      </c>
      <c r="M303" s="1031">
        <f>IFERROR(M302/SUM($L302:$O302),"-")</f>
        <v>0.26561243634414367</v>
      </c>
      <c r="N303" s="1031">
        <f>IFERROR(N302/SUM($L302:$O302),"-")</f>
        <v>0.2039667649423747</v>
      </c>
      <c r="O303" s="1031">
        <f>IFERROR(O302/SUM($L302:$O302),"-")</f>
        <v>0.2780487804878049</v>
      </c>
      <c r="P303" s="1031">
        <f>IFERROR(P302/SUM($L302:$O302),"-")</f>
        <v>1</v>
      </c>
    </row>
    <row r="304" spans="2:16" ht="13.5" outlineLevel="1">
      <c r="B304" s="1028">
        <v>2022</v>
      </c>
      <c r="C304" s="1029" t="s">
        <v>830</v>
      </c>
      <c r="D304" s="1037">
        <v>771.4</v>
      </c>
      <c r="E304" s="1037">
        <v>922.1</v>
      </c>
      <c r="F304" s="1037">
        <v>979.7</v>
      </c>
      <c r="G304" s="1037">
        <v>1175.5</v>
      </c>
      <c r="H304" s="1037">
        <f t="shared" ref="H304" si="245">IFERROR(SUM(D304:G304),"-")</f>
        <v>3848.7</v>
      </c>
      <c r="J304" s="1028">
        <v>2022</v>
      </c>
      <c r="K304" s="1029" t="s">
        <v>830</v>
      </c>
      <c r="L304" s="1037">
        <v>600.5</v>
      </c>
      <c r="M304" s="1037">
        <v>720.4</v>
      </c>
      <c r="N304" s="1037">
        <v>769.4</v>
      </c>
      <c r="O304" s="1037">
        <v>921.3</v>
      </c>
      <c r="P304" s="1037">
        <f t="shared" ref="P304" si="246">IFERROR(SUM(L304:O304),"-")</f>
        <v>3011.6000000000004</v>
      </c>
    </row>
    <row r="305" spans="2:16" outlineLevel="1">
      <c r="B305" s="1030" t="s">
        <v>831</v>
      </c>
      <c r="C305" s="1031" t="s">
        <v>832</v>
      </c>
      <c r="D305" s="1031">
        <f>IFERROR(D304/SUM($D304:$G304),"-")</f>
        <v>0.20043131446982099</v>
      </c>
      <c r="E305" s="1031">
        <f t="shared" ref="E305:G305" si="247">IFERROR(E304/SUM($D304:$G304),"-")</f>
        <v>0.23958739314573754</v>
      </c>
      <c r="F305" s="1031">
        <f t="shared" si="247"/>
        <v>0.25455348559253776</v>
      </c>
      <c r="G305" s="1031">
        <f t="shared" si="247"/>
        <v>0.30542780679190379</v>
      </c>
      <c r="H305" s="1031">
        <f>IFERROR(H304/SUM($D304:$G304),"-")</f>
        <v>1</v>
      </c>
      <c r="J305" s="1030" t="s">
        <v>831</v>
      </c>
      <c r="K305" s="1031" t="s">
        <v>832</v>
      </c>
      <c r="L305" s="1031">
        <f>IFERROR(L304/SUM($L304:$O304),"-")</f>
        <v>0.19939567007570724</v>
      </c>
      <c r="M305" s="1031">
        <f>IFERROR(M304/SUM($L304:$O304),"-")</f>
        <v>0.23920839420905826</v>
      </c>
      <c r="N305" s="1031">
        <f>IFERROR(N304/SUM($L304:$O304),"-")</f>
        <v>0.25547881524770882</v>
      </c>
      <c r="O305" s="1031">
        <f>IFERROR(O304/SUM($L304:$O304),"-")</f>
        <v>0.30591712046752551</v>
      </c>
      <c r="P305" s="1031">
        <f>IFERROR(P304/SUM($L304:$O304),"-")</f>
        <v>1</v>
      </c>
    </row>
    <row r="306" spans="2:16" ht="13.5" outlineLevel="1">
      <c r="B306" s="1028">
        <v>2023</v>
      </c>
      <c r="C306" s="1029" t="s">
        <v>830</v>
      </c>
      <c r="D306" s="1037">
        <v>919</v>
      </c>
      <c r="E306" s="1037">
        <v>1568.5</v>
      </c>
      <c r="F306" s="1037">
        <v>1589.4</v>
      </c>
      <c r="G306" s="1037">
        <v>1641.3</v>
      </c>
      <c r="H306" s="1037">
        <f t="shared" ref="H306" si="248">IFERROR(SUM(D306:G306),"-")</f>
        <v>5718.2</v>
      </c>
      <c r="J306" s="1028">
        <v>2023</v>
      </c>
      <c r="K306" s="1029" t="s">
        <v>830</v>
      </c>
      <c r="L306" s="1037">
        <v>733.8</v>
      </c>
      <c r="M306" s="1037">
        <v>1221.0999999999999</v>
      </c>
      <c r="N306" s="1037">
        <v>1228.5</v>
      </c>
      <c r="O306" s="1037">
        <v>1417.3</v>
      </c>
      <c r="P306" s="1037">
        <f t="shared" ref="P306" si="249">IFERROR(SUM(L306:O306),"-")</f>
        <v>4600.7</v>
      </c>
    </row>
    <row r="307" spans="2:16" outlineLevel="1">
      <c r="B307" s="1032" t="s">
        <v>831</v>
      </c>
      <c r="C307" s="1033" t="s">
        <v>832</v>
      </c>
      <c r="D307" s="1031">
        <f>IFERROR(D306/SUM($D306:$G306),"-")</f>
        <v>0.16071491028645379</v>
      </c>
      <c r="E307" s="1031">
        <f t="shared" ref="E307:G307" si="250">IFERROR(E306/SUM($D306:$G306),"-")</f>
        <v>0.27429960477073206</v>
      </c>
      <c r="F307" s="1031">
        <f t="shared" si="250"/>
        <v>0.27795460109824771</v>
      </c>
      <c r="G307" s="1031">
        <f t="shared" si="250"/>
        <v>0.28703088384456649</v>
      </c>
      <c r="H307" s="1031">
        <f>IFERROR(H306/SUM($D306:$G306),"-")</f>
        <v>1</v>
      </c>
      <c r="J307" s="1032" t="s">
        <v>831</v>
      </c>
      <c r="K307" s="1033" t="s">
        <v>832</v>
      </c>
      <c r="L307" s="1031">
        <f>IFERROR(L306/SUM($L306:$O306),"-")</f>
        <v>0.15949746777664267</v>
      </c>
      <c r="M307" s="1031">
        <f>IFERROR(M306/SUM($L306:$O306),"-")</f>
        <v>0.26541613232768924</v>
      </c>
      <c r="N307" s="1031">
        <f>IFERROR(N306/SUM($L306:$O306),"-")</f>
        <v>0.26702458321559763</v>
      </c>
      <c r="O307" s="1031">
        <f>IFERROR(O306/SUM($L306:$O306),"-")</f>
        <v>0.30806181668007043</v>
      </c>
      <c r="P307" s="1031">
        <f>IFERROR(P306/SUM($L306:$O306),"-")</f>
        <v>1</v>
      </c>
    </row>
    <row r="308" spans="2:16" ht="13.5">
      <c r="B308" s="1028">
        <v>2024</v>
      </c>
      <c r="C308" s="1029" t="s">
        <v>830</v>
      </c>
      <c r="D308" s="1037">
        <v>1534.5</v>
      </c>
      <c r="E308" s="1092">
        <f>D308*E310/D310</f>
        <v>1633.553977971043</v>
      </c>
      <c r="F308" s="1092">
        <f>D308*F310/D310</f>
        <v>1748.0323151019079</v>
      </c>
      <c r="G308" s="1092">
        <f>D308*G310/D310</f>
        <v>1839.1152264053292</v>
      </c>
      <c r="H308" s="1092">
        <f>IFERROR(D308/D310,"-")</f>
        <v>6755.2015194782807</v>
      </c>
      <c r="J308" s="1028">
        <v>2024</v>
      </c>
      <c r="K308" s="1029" t="s">
        <v>830</v>
      </c>
      <c r="L308" s="1037">
        <v>1195.3</v>
      </c>
      <c r="M308" s="1092">
        <f>L308*M310/L310</f>
        <v>1271.2303902219353</v>
      </c>
      <c r="N308" s="1092">
        <f>L308*N310/L310</f>
        <v>1374.9002048657535</v>
      </c>
      <c r="O308" s="1092">
        <f>L308*O310/L310</f>
        <v>1517.7461538019127</v>
      </c>
      <c r="P308" s="1092">
        <f>IFERROR(L308/L310,"-")</f>
        <v>5359.1767488896021</v>
      </c>
    </row>
    <row r="309" spans="2:16" outlineLevel="1">
      <c r="B309" s="1032" t="s">
        <v>831</v>
      </c>
      <c r="C309" s="1033" t="s">
        <v>832</v>
      </c>
      <c r="D309" s="1031">
        <f>IFERROR(D308/SUM($D308:$G308),"-")</f>
        <v>0.22715828618514894</v>
      </c>
      <c r="E309" s="1031">
        <f>IFERROR(E308/SUM(D308:G308),"-")</f>
        <v>0.24182165006636341</v>
      </c>
      <c r="F309" s="1031">
        <f>IFERROR(F308/SUM(D308:G308),"-")</f>
        <v>0.258768344669148</v>
      </c>
      <c r="G309" s="1031">
        <f>IFERROR(G308/SUM(D308:G308),"-")</f>
        <v>0.2722517190793397</v>
      </c>
      <c r="H309" s="1031">
        <f>IFERROR(D309,"-")</f>
        <v>0.22715828618514894</v>
      </c>
      <c r="J309" s="1032" t="s">
        <v>831</v>
      </c>
      <c r="K309" s="1033" t="s">
        <v>832</v>
      </c>
      <c r="L309" s="1031">
        <f>IFERROR(L308/SUM($L308:$O308),"-")</f>
        <v>0.22303798811033076</v>
      </c>
      <c r="M309" s="1031">
        <f>IFERROR(M308/SUM(L308:O308),"-")</f>
        <v>0.23720628182030548</v>
      </c>
      <c r="N309" s="1031">
        <f>IFERROR(N308/SUM(L308:O308),"-")</f>
        <v>0.25655063628021357</v>
      </c>
      <c r="O309" s="1031">
        <f>IFERROR(O308/SUM(L308:O308),"-")</f>
        <v>0.28320509378915021</v>
      </c>
      <c r="P309" s="1031">
        <f>IFERROR(L309,"-")</f>
        <v>0.22303798811033076</v>
      </c>
    </row>
    <row r="310" spans="2:16" outlineLevel="1">
      <c r="B310" s="1034" t="s">
        <v>235</v>
      </c>
      <c r="C310" s="1035" t="s">
        <v>830</v>
      </c>
      <c r="D310" s="1036">
        <f>IFERROR(AVERAGE(D289,D291,D295,D297,D299,D301,D303,D305,D307),"-")</f>
        <v>0.22715828618514891</v>
      </c>
      <c r="E310" s="1036">
        <f t="shared" ref="E310:G310" si="251">IFERROR(AVERAGE(E289,E291,E295,E297,E299,E301,E303,E305,E307),"-")</f>
        <v>0.24182165006636339</v>
      </c>
      <c r="F310" s="1036">
        <f t="shared" si="251"/>
        <v>0.258768344669148</v>
      </c>
      <c r="G310" s="1036">
        <f t="shared" si="251"/>
        <v>0.27225171907933965</v>
      </c>
      <c r="H310" s="1036">
        <f>IFERROR(SUM(D310:G310),"-")</f>
        <v>1</v>
      </c>
      <c r="J310" s="1034" t="s">
        <v>235</v>
      </c>
      <c r="K310" s="1035" t="s">
        <v>830</v>
      </c>
      <c r="L310" s="1036">
        <f>IFERROR(AVERAGE(L289,L291,L295,L297,L299,L301,L303,L305,L307),"-")</f>
        <v>0.22303798811033074</v>
      </c>
      <c r="M310" s="1036">
        <f t="shared" ref="M310:O310" si="252">IFERROR(AVERAGE(M289,M291,M295,M297,M299,M301,M303,M305,M307),"-")</f>
        <v>0.23720628182030548</v>
      </c>
      <c r="N310" s="1036">
        <f t="shared" si="252"/>
        <v>0.25655063628021352</v>
      </c>
      <c r="O310" s="1036">
        <f t="shared" si="252"/>
        <v>0.28320509378915021</v>
      </c>
      <c r="P310" s="1036">
        <f>IFERROR(SUM(L310:O310),"-")</f>
        <v>1</v>
      </c>
    </row>
    <row r="311" spans="2:16" ht="13.5" outlineLevel="1">
      <c r="B311" s="792"/>
      <c r="C311" s="853"/>
    </row>
    <row r="312" spans="2:16" s="442" customFormat="1" ht="13.5" outlineLevel="1">
      <c r="B312" s="452" t="s">
        <v>326</v>
      </c>
    </row>
    <row r="313" spans="2:16" outlineLevel="1"/>
    <row r="314" spans="2:16" outlineLevel="1">
      <c r="B314" s="1010"/>
      <c r="C314" s="1002">
        <v>2023</v>
      </c>
      <c r="D314" s="1089">
        <v>2022</v>
      </c>
      <c r="E314" s="1002">
        <v>2021</v>
      </c>
      <c r="F314" s="1089">
        <v>2020</v>
      </c>
      <c r="G314" s="1002">
        <v>2019</v>
      </c>
      <c r="H314" s="1089">
        <v>2018</v>
      </c>
      <c r="I314" s="1002">
        <v>2017</v>
      </c>
      <c r="J314" s="1089">
        <v>2016</v>
      </c>
      <c r="K314" s="1002">
        <v>2015</v>
      </c>
      <c r="L314" s="1090">
        <v>2014</v>
      </c>
    </row>
    <row r="315" spans="2:16" outlineLevel="1">
      <c r="B315" s="964" t="s">
        <v>293</v>
      </c>
      <c r="C315" s="851">
        <f>+Inputs!B100</f>
        <v>26894</v>
      </c>
      <c r="D315" s="851">
        <f>+Inputs!C100</f>
        <v>23291</v>
      </c>
      <c r="E315" s="851">
        <f>+Inputs!D100</f>
        <v>19110</v>
      </c>
      <c r="F315" s="851">
        <f>+Inputs!E100</f>
        <v>15077</v>
      </c>
      <c r="G315" s="851">
        <f>+Inputs!F100</f>
        <v>20555</v>
      </c>
      <c r="H315" s="851">
        <f>+Inputs!G100</f>
        <v>18926</v>
      </c>
      <c r="I315" s="851">
        <f>+Inputs!H100</f>
        <v>15593</v>
      </c>
      <c r="J315" s="851">
        <f>+Inputs!I100</f>
        <v>13517</v>
      </c>
      <c r="K315" s="851">
        <f>+Inputs!J100</f>
        <v>15293</v>
      </c>
      <c r="L315" s="982">
        <f>+Inputs!K100</f>
        <v>15487</v>
      </c>
      <c r="M315" s="857"/>
      <c r="N315" s="857"/>
      <c r="O315" s="857"/>
    </row>
    <row r="316" spans="2:16" ht="13.5" outlineLevel="1">
      <c r="B316" s="965" t="s">
        <v>846</v>
      </c>
      <c r="C316" s="945">
        <f>+L112</f>
        <v>27047.79</v>
      </c>
      <c r="D316" s="945">
        <f>+K112</f>
        <v>21615</v>
      </c>
      <c r="E316" s="945">
        <f>+J112</f>
        <v>16465.399999999998</v>
      </c>
      <c r="F316" s="945">
        <f>+I112</f>
        <v>14608.62</v>
      </c>
      <c r="G316" s="945">
        <f>+H112</f>
        <v>19968</v>
      </c>
      <c r="H316" s="945">
        <f>+G112</f>
        <v>18091.920000000002</v>
      </c>
      <c r="I316" s="945">
        <f>+F112</f>
        <v>14786.56</v>
      </c>
      <c r="J316" s="945">
        <f>+E112</f>
        <v>12774.75</v>
      </c>
      <c r="K316" s="945">
        <f>+D112</f>
        <v>14718.550000000001</v>
      </c>
      <c r="L316" s="1000">
        <f>+C112</f>
        <v>14627.69</v>
      </c>
    </row>
    <row r="317" spans="2:16" ht="13.5" outlineLevel="1">
      <c r="B317" s="793"/>
      <c r="C317" s="852"/>
      <c r="D317" s="852"/>
      <c r="E317" s="852"/>
      <c r="F317" s="852"/>
      <c r="G317" s="852"/>
      <c r="H317" s="852"/>
      <c r="I317" s="852"/>
      <c r="J317" s="852"/>
      <c r="K317" s="852"/>
      <c r="L317" s="852"/>
    </row>
    <row r="318" spans="2:16" ht="13.5" outlineLevel="1">
      <c r="B318" s="963" t="s">
        <v>135</v>
      </c>
      <c r="C318" s="959">
        <f>+Assumptions!C9</f>
        <v>0.16645315569220259</v>
      </c>
      <c r="D318" s="959">
        <f>+Assumptions!D9</f>
        <v>0.13514920194309507</v>
      </c>
      <c r="E318" s="959">
        <f>+Assumptions!E9</f>
        <v>0.10377518918459315</v>
      </c>
      <c r="F318" s="959">
        <f>+Assumptions!F9</f>
        <v>9.3971915211703769E-2</v>
      </c>
      <c r="G318" s="959">
        <f>+Assumptions!G9</f>
        <v>0.12523437500000001</v>
      </c>
      <c r="H318" s="959">
        <f>+Assumptions!H9</f>
        <v>0.12244637385086823</v>
      </c>
      <c r="I318" s="959">
        <f>+Assumptions!I9</f>
        <v>0.11790707236842106</v>
      </c>
      <c r="J318" s="959">
        <f>+Assumptions!J9</f>
        <v>7.2975987788410732E-2</v>
      </c>
      <c r="K318" s="959">
        <f>+Assumptions!K9</f>
        <v>0.12780538843839917</v>
      </c>
      <c r="L318" s="960">
        <f>+Assumptions!L9</f>
        <v>0.1123335263462652</v>
      </c>
      <c r="N318" s="443" t="s">
        <v>845</v>
      </c>
      <c r="O318" s="443" t="s">
        <v>1039</v>
      </c>
    </row>
    <row r="319" spans="2:16" ht="13.5">
      <c r="B319" s="964" t="s">
        <v>1040</v>
      </c>
      <c r="C319" s="850">
        <f>4405.8/26846.4</f>
        <v>0.16411138923654567</v>
      </c>
      <c r="D319" s="858">
        <v>0.106</v>
      </c>
      <c r="E319" s="858">
        <v>7.8E-2</v>
      </c>
      <c r="F319" s="858">
        <v>7.4999999999999997E-2</v>
      </c>
      <c r="G319" s="450">
        <v>0.121</v>
      </c>
      <c r="H319" s="858">
        <f>2147.5/18187</f>
        <v>0.11807884752845439</v>
      </c>
      <c r="I319" s="858">
        <v>0.115</v>
      </c>
      <c r="J319" s="858">
        <v>0.11799999999999999</v>
      </c>
      <c r="K319" s="858">
        <v>0.122</v>
      </c>
      <c r="L319" s="942">
        <v>0.10199999999999999</v>
      </c>
      <c r="N319" s="450">
        <f>+AVERAGE(C319:L319)</f>
        <v>0.11191902367650002</v>
      </c>
      <c r="O319" s="450">
        <f>+AVERAGE(G319:L319)</f>
        <v>0.11601314125474239</v>
      </c>
    </row>
    <row r="320" spans="2:16" ht="13.5" outlineLevel="1">
      <c r="B320" s="965" t="s">
        <v>1041</v>
      </c>
      <c r="C320" s="961">
        <f>C318-C319</f>
        <v>2.341766455656924E-3</v>
      </c>
      <c r="D320" s="961">
        <f t="shared" ref="D320:L320" si="253">D318-D319</f>
        <v>2.9149201943095074E-2</v>
      </c>
      <c r="E320" s="961">
        <f t="shared" si="253"/>
        <v>2.577518918459315E-2</v>
      </c>
      <c r="F320" s="961">
        <f t="shared" si="253"/>
        <v>1.8971915211703771E-2</v>
      </c>
      <c r="G320" s="961">
        <f t="shared" si="253"/>
        <v>4.2343750000000124E-3</v>
      </c>
      <c r="H320" s="961">
        <f t="shared" si="253"/>
        <v>4.3675263224138422E-3</v>
      </c>
      <c r="I320" s="961">
        <f t="shared" si="253"/>
        <v>2.9070723684210542E-3</v>
      </c>
      <c r="J320" s="961">
        <f t="shared" si="253"/>
        <v>-4.5024012211589262E-2</v>
      </c>
      <c r="K320" s="961">
        <f t="shared" si="253"/>
        <v>5.8053884383991727E-3</v>
      </c>
      <c r="L320" s="962">
        <f t="shared" si="253"/>
        <v>1.0333526346265207E-2</v>
      </c>
    </row>
    <row r="321" spans="2:11" outlineLevel="1"/>
    <row r="322" spans="2:11" ht="13.5" outlineLevel="1">
      <c r="B322" s="792"/>
      <c r="C322" s="853"/>
    </row>
    <row r="323" spans="2:11" s="442" customFormat="1" ht="13.5" outlineLevel="1">
      <c r="B323" s="452" t="s">
        <v>1042</v>
      </c>
    </row>
    <row r="324" spans="2:11" ht="13.5" outlineLevel="1">
      <c r="B324" s="792"/>
      <c r="C324" s="853"/>
    </row>
    <row r="325" spans="2:11" ht="13.5" outlineLevel="1">
      <c r="B325" s="792"/>
      <c r="C325" s="853"/>
    </row>
    <row r="326" spans="2:11" s="1065" customFormat="1" ht="13.5" outlineLevel="1">
      <c r="B326" s="1066" t="s">
        <v>760</v>
      </c>
      <c r="C326" s="1063"/>
      <c r="D326" s="1064"/>
      <c r="E326" s="1064"/>
      <c r="F326" s="1064"/>
      <c r="G326" s="1064"/>
      <c r="H326" s="1064"/>
      <c r="I326" s="1064"/>
      <c r="J326" s="1064"/>
      <c r="K326" s="1064"/>
    </row>
    <row r="327" spans="2:11" ht="13.5" outlineLevel="1">
      <c r="B327" s="792"/>
      <c r="C327" s="853"/>
    </row>
    <row r="328" spans="2:11" ht="13.5" outlineLevel="1">
      <c r="B328" s="792"/>
      <c r="C328" s="853"/>
    </row>
    <row r="329" spans="2:11" ht="13.5" outlineLevel="1">
      <c r="B329" s="792"/>
      <c r="C329" s="853"/>
    </row>
    <row r="330" spans="2:11" ht="13.5" outlineLevel="1">
      <c r="B330" s="792"/>
      <c r="C330" s="853"/>
    </row>
    <row r="331" spans="2:11" ht="13.5" outlineLevel="1">
      <c r="B331" s="792"/>
      <c r="C331" s="853"/>
    </row>
    <row r="332" spans="2:11" ht="13.5" outlineLevel="1">
      <c r="B332" s="792"/>
      <c r="C332" s="853"/>
    </row>
    <row r="333" spans="2:11" ht="13.5" outlineLevel="1">
      <c r="B333" s="792"/>
      <c r="C333" s="853"/>
    </row>
    <row r="334" spans="2:11" ht="13.5" outlineLevel="1">
      <c r="B334" s="792"/>
      <c r="C334" s="853"/>
    </row>
    <row r="335" spans="2:11" ht="13.5" outlineLevel="1">
      <c r="B335" s="792"/>
      <c r="C335" s="853"/>
    </row>
    <row r="336" spans="2:11" ht="13.5" outlineLevel="1">
      <c r="B336" s="792"/>
      <c r="C336" s="853"/>
    </row>
    <row r="337" spans="2:11" ht="13.5" outlineLevel="1">
      <c r="B337" s="792"/>
      <c r="C337" s="853"/>
    </row>
    <row r="338" spans="2:11" ht="13.5" outlineLevel="1">
      <c r="B338" s="792"/>
      <c r="C338" s="853"/>
    </row>
    <row r="339" spans="2:11" ht="13.5" outlineLevel="1">
      <c r="B339" s="792"/>
      <c r="C339" s="853"/>
    </row>
    <row r="340" spans="2:11" ht="13.5" outlineLevel="1">
      <c r="B340" s="792"/>
      <c r="C340" s="853"/>
    </row>
    <row r="341" spans="2:11" ht="13.5" outlineLevel="1">
      <c r="B341" s="792"/>
      <c r="C341" s="853"/>
    </row>
    <row r="342" spans="2:11" ht="13.5" outlineLevel="1">
      <c r="B342" s="792"/>
      <c r="C342" s="853"/>
    </row>
    <row r="343" spans="2:11" s="1065" customFormat="1" ht="13.5" outlineLevel="1">
      <c r="B343" s="1066" t="s">
        <v>1043</v>
      </c>
      <c r="C343" s="1063"/>
      <c r="D343" s="1064"/>
      <c r="E343" s="1064"/>
      <c r="F343" s="1064"/>
      <c r="G343" s="1064"/>
      <c r="H343" s="1064"/>
      <c r="I343" s="1064"/>
      <c r="J343" s="1064"/>
      <c r="K343" s="1064"/>
    </row>
    <row r="344" spans="2:11" ht="13.5" outlineLevel="1">
      <c r="B344" s="792"/>
      <c r="C344" s="853"/>
    </row>
    <row r="345" spans="2:11" outlineLevel="1">
      <c r="B345" s="1494" t="s">
        <v>1044</v>
      </c>
      <c r="C345" s="1495"/>
    </row>
    <row r="346" spans="2:11" outlineLevel="1">
      <c r="B346" s="988" t="s">
        <v>1045</v>
      </c>
      <c r="C346" s="1088">
        <v>9.1999999999999998E-3</v>
      </c>
    </row>
    <row r="347" spans="2:11" ht="13.5" outlineLevel="1">
      <c r="B347" s="975" t="s">
        <v>1046</v>
      </c>
      <c r="C347" s="1059">
        <v>4.6960000000000002E-2</v>
      </c>
    </row>
    <row r="348" spans="2:11" ht="13.5" outlineLevel="1">
      <c r="B348" s="975" t="s">
        <v>1047</v>
      </c>
      <c r="C348" s="1059">
        <v>2.613E-2</v>
      </c>
    </row>
    <row r="349" spans="2:11" ht="13.5" outlineLevel="1">
      <c r="B349" s="1058" t="s">
        <v>1048</v>
      </c>
      <c r="C349" s="1060">
        <f>C347*$Q$125+C348*$Q$126</f>
        <v>4.0358710727622087E-2</v>
      </c>
    </row>
    <row r="350" spans="2:11" ht="13.5" outlineLevel="1">
      <c r="B350" s="975" t="s">
        <v>1049</v>
      </c>
      <c r="C350" s="1059">
        <v>4.7480000000000001E-2</v>
      </c>
    </row>
    <row r="351" spans="2:11" ht="13.5" outlineLevel="1">
      <c r="B351" s="975" t="s">
        <v>1050</v>
      </c>
      <c r="C351" s="1059">
        <v>2.6919999999999999E-2</v>
      </c>
    </row>
    <row r="352" spans="2:11" ht="13.5" outlineLevel="1">
      <c r="B352" s="1058" t="s">
        <v>1051</v>
      </c>
      <c r="C352" s="1060">
        <f>C350*$Q$125+C351*$Q$126</f>
        <v>4.0964277127216044E-2</v>
      </c>
    </row>
    <row r="353" spans="2:17" ht="13.5" outlineLevel="1">
      <c r="B353" s="792"/>
      <c r="C353" s="853"/>
    </row>
    <row r="354" spans="2:17" s="1065" customFormat="1" ht="13.5" outlineLevel="1">
      <c r="B354" s="1066" t="s">
        <v>1052</v>
      </c>
      <c r="C354" s="1063"/>
      <c r="D354" s="1064"/>
      <c r="E354" s="1064"/>
      <c r="F354" s="1064"/>
      <c r="G354" s="1064"/>
      <c r="H354" s="1064"/>
      <c r="I354" s="1064"/>
      <c r="J354" s="1064"/>
      <c r="K354" s="1064"/>
    </row>
    <row r="355" spans="2:17" ht="13.5" outlineLevel="1">
      <c r="B355" s="792"/>
      <c r="C355" s="853"/>
    </row>
    <row r="356" spans="2:17" ht="13.5" outlineLevel="1">
      <c r="B356" s="793"/>
      <c r="C356" s="850"/>
      <c r="D356" s="858"/>
      <c r="E356" s="858"/>
      <c r="F356" s="858"/>
      <c r="G356" s="858"/>
      <c r="H356" s="858"/>
      <c r="I356" s="858"/>
      <c r="J356" s="858"/>
      <c r="K356" s="858"/>
    </row>
    <row r="357" spans="2:17" ht="13.5" outlineLevel="1">
      <c r="B357" s="793"/>
      <c r="C357" s="850"/>
      <c r="D357" s="858"/>
      <c r="E357" s="858"/>
      <c r="F357" s="858"/>
      <c r="G357" s="858"/>
      <c r="H357" s="858"/>
      <c r="I357" s="858"/>
      <c r="J357" s="858"/>
      <c r="K357" s="858"/>
    </row>
    <row r="358" spans="2:17" ht="13.5" outlineLevel="1">
      <c r="B358" s="793" t="s">
        <v>1053</v>
      </c>
      <c r="C358" s="850">
        <f>+Inputs!B101</f>
        <v>0.76562188629828909</v>
      </c>
      <c r="D358" s="850">
        <f>+Inputs!C101</f>
        <v>0.80815405968077725</v>
      </c>
      <c r="E358" s="850">
        <f>+Inputs!D101</f>
        <v>0.8124309157384576</v>
      </c>
      <c r="F358" s="850">
        <f>+Inputs!E101</f>
        <v>0.80500827593571467</v>
      </c>
      <c r="G358" s="850">
        <f>+Inputs!F101</f>
        <v>0.80292968750000004</v>
      </c>
      <c r="H358" s="850">
        <f>+Inputs!G101</f>
        <v>0.80549880830779708</v>
      </c>
      <c r="I358" s="850">
        <f>+Inputs!H101</f>
        <v>0.80144942434210531</v>
      </c>
      <c r="J358" s="850">
        <f>+Inputs!I101</f>
        <v>0.79357717372159919</v>
      </c>
      <c r="K358" s="850">
        <f>+Inputs!J101</f>
        <v>0.80005231493591422</v>
      </c>
      <c r="L358" s="850">
        <f>+Inputs!K101</f>
        <v>0.81523398431331262</v>
      </c>
    </row>
    <row r="359" spans="2:17" ht="13.5" outlineLevel="1">
      <c r="B359" s="793" t="s">
        <v>1054</v>
      </c>
      <c r="C359" s="850">
        <f>22440.6/26846.4</f>
        <v>0.83588861076345422</v>
      </c>
      <c r="D359" s="858">
        <f>19205.4/21486.2</f>
        <v>0.89384814439035287</v>
      </c>
      <c r="E359" s="858"/>
      <c r="F359" s="858"/>
      <c r="G359" s="858"/>
      <c r="H359" s="858"/>
      <c r="I359" s="858"/>
      <c r="J359" s="858"/>
      <c r="K359" s="858"/>
      <c r="L359" s="850"/>
    </row>
    <row r="360" spans="2:17" ht="13.5" outlineLevel="1">
      <c r="B360" s="793"/>
      <c r="C360" s="850"/>
      <c r="D360" s="443"/>
      <c r="E360" s="443"/>
      <c r="F360" s="443"/>
      <c r="G360" s="443"/>
      <c r="H360" s="443"/>
      <c r="I360" s="443"/>
      <c r="J360" s="443"/>
      <c r="K360" s="443"/>
    </row>
    <row r="361" spans="2:17" ht="13.5" outlineLevel="1">
      <c r="B361" s="793"/>
      <c r="C361" s="710"/>
      <c r="D361" s="443"/>
      <c r="E361" s="443"/>
      <c r="F361" s="443"/>
      <c r="G361" s="443"/>
      <c r="H361" s="443"/>
      <c r="I361" s="443"/>
      <c r="J361" s="443"/>
      <c r="K361" s="443"/>
    </row>
    <row r="362" spans="2:17" ht="13.5" outlineLevel="1">
      <c r="B362" s="443"/>
      <c r="C362" s="710"/>
      <c r="D362" s="443"/>
      <c r="E362" s="443"/>
      <c r="F362" s="443"/>
      <c r="G362" s="443"/>
      <c r="H362" s="443"/>
      <c r="I362" s="443"/>
      <c r="J362" s="443"/>
      <c r="K362" s="443"/>
    </row>
    <row r="363" spans="2:17" outlineLevel="1">
      <c r="B363" s="988" t="s">
        <v>1055</v>
      </c>
      <c r="C363" s="985">
        <v>2023</v>
      </c>
      <c r="D363" s="986">
        <v>2022</v>
      </c>
      <c r="E363" s="986">
        <v>2021</v>
      </c>
      <c r="F363" s="986">
        <v>2020</v>
      </c>
      <c r="G363" s="986">
        <v>2019</v>
      </c>
      <c r="H363" s="986">
        <v>2018</v>
      </c>
      <c r="I363" s="986">
        <v>2017</v>
      </c>
      <c r="J363" s="986">
        <v>2016</v>
      </c>
      <c r="K363" s="986">
        <v>2015</v>
      </c>
      <c r="L363" s="987">
        <v>2014</v>
      </c>
      <c r="M363" s="986" t="s">
        <v>795</v>
      </c>
      <c r="N363" s="986" t="s">
        <v>794</v>
      </c>
      <c r="O363" s="986" t="s">
        <v>793</v>
      </c>
      <c r="P363" s="987" t="s">
        <v>1056</v>
      </c>
    </row>
    <row r="364" spans="2:17" outlineLevel="1">
      <c r="B364" s="964" t="s">
        <v>341</v>
      </c>
      <c r="C364" s="1070" cm="1">
        <f t="array" ref="C364:L364">'Fin. Data'!B5:K5</f>
        <v>35127</v>
      </c>
      <c r="D364" s="1071">
        <v>28820</v>
      </c>
      <c r="E364" s="1071">
        <v>23522</v>
      </c>
      <c r="F364" s="1071">
        <v>18729</v>
      </c>
      <c r="G364" s="1071">
        <v>25600</v>
      </c>
      <c r="H364" s="1071">
        <v>23496</v>
      </c>
      <c r="I364" s="1071">
        <v>19456</v>
      </c>
      <c r="J364" s="1071">
        <v>17033</v>
      </c>
      <c r="K364" s="1071">
        <v>19115</v>
      </c>
      <c r="L364" s="1072">
        <v>18997</v>
      </c>
      <c r="M364" s="851">
        <f>+AVERAGE((C364:L364))</f>
        <v>22989.5</v>
      </c>
      <c r="N364" s="851">
        <f>+AVERAGE(C364:H364)</f>
        <v>25882.333333333332</v>
      </c>
      <c r="O364" s="851">
        <f>+AVERAGE(C364:E364)</f>
        <v>29156.333333333332</v>
      </c>
      <c r="P364" s="982">
        <f t="shared" ref="P364" si="254">+AVERAGE(G364:L364)</f>
        <v>20616.166666666668</v>
      </c>
    </row>
    <row r="365" spans="2:17" outlineLevel="1">
      <c r="B365" s="964" t="s">
        <v>293</v>
      </c>
      <c r="C365" s="981" cm="1">
        <f t="array" ref="C365:L365">Inputs!B100:K100</f>
        <v>26894</v>
      </c>
      <c r="D365" s="851">
        <v>23291</v>
      </c>
      <c r="E365" s="851">
        <v>19110</v>
      </c>
      <c r="F365" s="851">
        <v>15077</v>
      </c>
      <c r="G365" s="851">
        <v>20555</v>
      </c>
      <c r="H365" s="851">
        <v>18926</v>
      </c>
      <c r="I365" s="851">
        <v>15593</v>
      </c>
      <c r="J365" s="851">
        <v>13517</v>
      </c>
      <c r="K365" s="851">
        <v>15293</v>
      </c>
      <c r="L365" s="982">
        <v>15487</v>
      </c>
      <c r="M365" s="851">
        <f>+AVERAGE((C365:L365))</f>
        <v>18374.3</v>
      </c>
      <c r="N365" s="851">
        <f>+AVERAGE(C365:H365)</f>
        <v>20642.166666666668</v>
      </c>
      <c r="O365" s="851">
        <f>+AVERAGE(C365:E365)</f>
        <v>23098.333333333332</v>
      </c>
      <c r="P365" s="982">
        <f t="shared" ref="P365" si="255">+AVERAGE(G365:L365)</f>
        <v>16561.833333333332</v>
      </c>
    </row>
    <row r="366" spans="2:17" outlineLevel="1">
      <c r="B366" s="964" t="s">
        <v>1057</v>
      </c>
      <c r="C366" s="1078" cm="1">
        <f t="array" ref="C366:L366">_xlfn.ANCHORARRAY(C365)/_xlfn.ANCHORARRAY(C364)</f>
        <v>0.76562188629828909</v>
      </c>
      <c r="D366" s="450">
        <v>0.80815405968077725</v>
      </c>
      <c r="E366" s="450">
        <v>0.8124309157384576</v>
      </c>
      <c r="F366" s="450">
        <v>0.80500827593571467</v>
      </c>
      <c r="G366" s="450">
        <v>0.80292968750000004</v>
      </c>
      <c r="H366" s="450">
        <v>0.80549880830779708</v>
      </c>
      <c r="I366" s="450">
        <v>0.80144942434210531</v>
      </c>
      <c r="J366" s="450">
        <v>0.79357717372159919</v>
      </c>
      <c r="K366" s="450">
        <v>0.80005231493591422</v>
      </c>
      <c r="L366" s="942">
        <v>0.81523398431331262</v>
      </c>
      <c r="M366" s="1078">
        <f>+AVERAGE((C366:L366))</f>
        <v>0.80099565307739662</v>
      </c>
      <c r="N366" s="450">
        <f>+AVERAGE(C366:H366)</f>
        <v>0.79994060557683921</v>
      </c>
      <c r="O366" s="450">
        <f>+AVERAGE(C366:E366)</f>
        <v>0.79540228723917472</v>
      </c>
      <c r="P366" s="942">
        <f t="shared" ref="P366" si="256">+AVERAGE(G366:L366)</f>
        <v>0.80312356552012132</v>
      </c>
    </row>
    <row r="367" spans="2:17" ht="13.5" outlineLevel="1">
      <c r="B367" s="964" t="s">
        <v>301</v>
      </c>
      <c r="C367" s="981" cm="1">
        <f t="array" ref="C367:L367">+Inputs!B30:K30</f>
        <v>2577</v>
      </c>
      <c r="D367" s="851">
        <v>2199</v>
      </c>
      <c r="E367" s="851">
        <v>1768</v>
      </c>
      <c r="F367" s="851">
        <v>1222</v>
      </c>
      <c r="G367" s="851">
        <v>1153</v>
      </c>
      <c r="H367" s="851">
        <v>1185</v>
      </c>
      <c r="I367" s="851">
        <v>928</v>
      </c>
      <c r="J367" s="851">
        <v>728</v>
      </c>
      <c r="K367" s="851">
        <v>797</v>
      </c>
      <c r="L367" s="982">
        <v>926</v>
      </c>
      <c r="M367" s="851">
        <f>+AVERAGE((C367:L367))</f>
        <v>1348.3</v>
      </c>
      <c r="N367" s="851">
        <f>+AVERAGE(C367:H367)</f>
        <v>1684</v>
      </c>
      <c r="O367" s="851">
        <f>+AVERAGE(C367:E367)</f>
        <v>2181.3333333333335</v>
      </c>
      <c r="P367" s="982">
        <f t="shared" ref="P367:P373" si="257">+AVERAGE(G367:L367)</f>
        <v>952.83333333333337</v>
      </c>
      <c r="Q367" s="886"/>
    </row>
    <row r="368" spans="2:17" outlineLevel="1">
      <c r="B368" s="964" t="s">
        <v>1058</v>
      </c>
      <c r="C368" s="981" cm="1">
        <f t="array" ref="C368:L368">+Inputs!B29:K29</f>
        <v>2198</v>
      </c>
      <c r="D368" s="851">
        <v>1920</v>
      </c>
      <c r="E368" s="851">
        <v>1575</v>
      </c>
      <c r="F368" s="851">
        <v>1198</v>
      </c>
      <c r="G368" s="851">
        <v>1306</v>
      </c>
      <c r="H368" s="851">
        <v>1314</v>
      </c>
      <c r="I368" s="851">
        <v>1128</v>
      </c>
      <c r="J368" s="851">
        <v>862</v>
      </c>
      <c r="K368" s="851">
        <v>879</v>
      </c>
      <c r="L368" s="982">
        <v>1047</v>
      </c>
      <c r="M368" s="851">
        <f t="shared" ref="M368:M373" si="258">+AVERAGE((C368:L368))</f>
        <v>1342.7</v>
      </c>
      <c r="N368" s="851">
        <f t="shared" ref="N368:N373" si="259">+AVERAGE(C368:H368)</f>
        <v>1585.1666666666667</v>
      </c>
      <c r="O368" s="851">
        <f t="shared" ref="O368:O373" si="260">+AVERAGE(C368:E368)</f>
        <v>1897.6666666666667</v>
      </c>
      <c r="P368" s="982">
        <f t="shared" si="257"/>
        <v>1089.3333333333333</v>
      </c>
    </row>
    <row r="369" spans="2:29" outlineLevel="1">
      <c r="B369" s="965" t="s">
        <v>1059</v>
      </c>
      <c r="C369" s="983" cm="1">
        <f t="array" ref="C369:L369">+Inputs!B43:K43</f>
        <v>1668</v>
      </c>
      <c r="D369" s="946">
        <v>1665</v>
      </c>
      <c r="E369" s="946">
        <v>1394</v>
      </c>
      <c r="F369" s="946">
        <v>1176</v>
      </c>
      <c r="G369" s="946">
        <v>1116</v>
      </c>
      <c r="H369" s="946">
        <v>1305</v>
      </c>
      <c r="I369" s="946">
        <v>1155</v>
      </c>
      <c r="J369" s="946">
        <v>939</v>
      </c>
      <c r="K369" s="946">
        <v>930</v>
      </c>
      <c r="L369" s="984">
        <v>1168</v>
      </c>
      <c r="M369" s="946">
        <f t="shared" si="258"/>
        <v>1251.5999999999999</v>
      </c>
      <c r="N369" s="946">
        <f t="shared" si="259"/>
        <v>1387.3333333333333</v>
      </c>
      <c r="O369" s="946">
        <f t="shared" si="260"/>
        <v>1575.6666666666667</v>
      </c>
      <c r="P369" s="984">
        <f t="shared" si="257"/>
        <v>1102.1666666666667</v>
      </c>
    </row>
    <row r="370" spans="2:29" ht="13.5" outlineLevel="1">
      <c r="B370" s="963" t="s">
        <v>1060</v>
      </c>
      <c r="C370" s="989">
        <f>+C367/C365*365</f>
        <v>34.97452963486279</v>
      </c>
      <c r="D370" s="989">
        <f t="shared" ref="D370:L370" si="261">+D367/D365*365</f>
        <v>34.461165256966204</v>
      </c>
      <c r="E370" s="989">
        <f t="shared" si="261"/>
        <v>33.768707482993193</v>
      </c>
      <c r="F370" s="989">
        <f t="shared" si="261"/>
        <v>29.583471512900442</v>
      </c>
      <c r="G370" s="989">
        <f t="shared" si="261"/>
        <v>20.474093894429579</v>
      </c>
      <c r="H370" s="989">
        <f t="shared" si="261"/>
        <v>22.853481982457996</v>
      </c>
      <c r="I370" s="989">
        <f t="shared" si="261"/>
        <v>21.722567818893094</v>
      </c>
      <c r="J370" s="989">
        <f t="shared" si="261"/>
        <v>19.65820818228897</v>
      </c>
      <c r="K370" s="989">
        <f t="shared" si="261"/>
        <v>19.022101615118025</v>
      </c>
      <c r="L370" s="997">
        <f t="shared" si="261"/>
        <v>21.8241105443275</v>
      </c>
      <c r="M370" s="990">
        <f t="shared" si="258"/>
        <v>25.834243792523779</v>
      </c>
      <c r="N370" s="991">
        <f t="shared" si="259"/>
        <v>29.352574960768369</v>
      </c>
      <c r="O370" s="991">
        <f t="shared" si="260"/>
        <v>34.401467458274062</v>
      </c>
      <c r="P370" s="992">
        <f t="shared" si="257"/>
        <v>20.925760672919193</v>
      </c>
      <c r="Q370" s="791" t="s">
        <v>1061</v>
      </c>
      <c r="R370" s="791" t="s">
        <v>1062</v>
      </c>
    </row>
    <row r="371" spans="2:29" ht="13.5" outlineLevel="1">
      <c r="B371" s="964" t="s">
        <v>1063</v>
      </c>
      <c r="C371" s="993">
        <f>+C368/C364*365</f>
        <v>22.839126597773792</v>
      </c>
      <c r="D371" s="993">
        <f t="shared" ref="D371:L371" si="262">+D368/D364*365</f>
        <v>24.316446911866759</v>
      </c>
      <c r="E371" s="993">
        <f t="shared" si="262"/>
        <v>24.439886064110198</v>
      </c>
      <c r="F371" s="993">
        <f t="shared" si="262"/>
        <v>23.347215548080516</v>
      </c>
      <c r="G371" s="993">
        <f t="shared" si="262"/>
        <v>18.620703125000002</v>
      </c>
      <c r="H371" s="993">
        <f t="shared" si="262"/>
        <v>20.412410623084778</v>
      </c>
      <c r="I371" s="993">
        <f t="shared" si="262"/>
        <v>21.161595394736842</v>
      </c>
      <c r="J371" s="993">
        <f t="shared" si="262"/>
        <v>18.471790054599893</v>
      </c>
      <c r="K371" s="993">
        <f t="shared" si="262"/>
        <v>16.784462464033481</v>
      </c>
      <c r="L371" s="998">
        <f t="shared" si="262"/>
        <v>20.116597357477495</v>
      </c>
      <c r="M371" s="994">
        <f t="shared" si="258"/>
        <v>21.051023414076376</v>
      </c>
      <c r="N371" s="995">
        <f t="shared" si="259"/>
        <v>22.329298144986009</v>
      </c>
      <c r="O371" s="995">
        <f t="shared" si="260"/>
        <v>23.865153191250247</v>
      </c>
      <c r="P371" s="996">
        <f t="shared" si="257"/>
        <v>19.261259836488748</v>
      </c>
      <c r="Q371" s="748"/>
      <c r="R371" s="748"/>
    </row>
    <row r="372" spans="2:29" ht="13.5" outlineLevel="1">
      <c r="B372" s="964" t="s">
        <v>1064</v>
      </c>
      <c r="C372" s="993">
        <f>+C369/C365*365</f>
        <v>22.637763069829699</v>
      </c>
      <c r="D372" s="993">
        <f>+D369/D365*365</f>
        <v>26.092696749817527</v>
      </c>
      <c r="E372" s="993">
        <f t="shared" ref="E372:L372" si="263">+E369/E365*365</f>
        <v>26.625327053898481</v>
      </c>
      <c r="F372" s="993">
        <f t="shared" si="263"/>
        <v>28.469854745639051</v>
      </c>
      <c r="G372" s="993">
        <f t="shared" si="263"/>
        <v>19.817076137192895</v>
      </c>
      <c r="H372" s="993">
        <f t="shared" si="263"/>
        <v>25.16775863890944</v>
      </c>
      <c r="I372" s="993">
        <f t="shared" si="263"/>
        <v>27.036170076316296</v>
      </c>
      <c r="J372" s="993">
        <f t="shared" si="263"/>
        <v>25.355848191166679</v>
      </c>
      <c r="K372" s="993">
        <f t="shared" si="263"/>
        <v>22.19642973909632</v>
      </c>
      <c r="L372" s="999">
        <f t="shared" si="263"/>
        <v>27.527603796732745</v>
      </c>
      <c r="M372" s="994">
        <f t="shared" si="258"/>
        <v>25.092652819859911</v>
      </c>
      <c r="N372" s="995">
        <f t="shared" si="259"/>
        <v>24.801746065881179</v>
      </c>
      <c r="O372" s="995">
        <f t="shared" si="260"/>
        <v>25.118595624515233</v>
      </c>
      <c r="P372" s="996">
        <f t="shared" si="257"/>
        <v>24.516814429902393</v>
      </c>
      <c r="Q372" s="748">
        <v>25</v>
      </c>
      <c r="R372" s="748">
        <v>25</v>
      </c>
    </row>
    <row r="373" spans="2:29" ht="13.5" outlineLevel="1">
      <c r="B373" s="988" t="s">
        <v>1065</v>
      </c>
      <c r="C373" s="1073">
        <f>C370+C371-C372</f>
        <v>35.175893162806886</v>
      </c>
      <c r="D373" s="1073">
        <f t="shared" ref="D373:L373" si="264">+D370+D371-D372</f>
        <v>32.684915419015432</v>
      </c>
      <c r="E373" s="1073">
        <f t="shared" si="264"/>
        <v>31.58326649320491</v>
      </c>
      <c r="F373" s="1073">
        <f t="shared" si="264"/>
        <v>24.460832315341907</v>
      </c>
      <c r="G373" s="1073">
        <f t="shared" si="264"/>
        <v>19.277720882236682</v>
      </c>
      <c r="H373" s="1073">
        <f t="shared" si="264"/>
        <v>18.098133966633334</v>
      </c>
      <c r="I373" s="1073">
        <f t="shared" si="264"/>
        <v>15.847993137313637</v>
      </c>
      <c r="J373" s="1073">
        <f t="shared" si="264"/>
        <v>12.774150045722187</v>
      </c>
      <c r="K373" s="1073">
        <f t="shared" si="264"/>
        <v>13.610134340055186</v>
      </c>
      <c r="L373" s="1074">
        <f t="shared" si="264"/>
        <v>14.413104105072254</v>
      </c>
      <c r="M373" s="1075">
        <f t="shared" si="258"/>
        <v>21.792614386740244</v>
      </c>
      <c r="N373" s="1076">
        <f t="shared" si="259"/>
        <v>26.880127039873191</v>
      </c>
      <c r="O373" s="1076">
        <f t="shared" si="260"/>
        <v>33.148025025009076</v>
      </c>
      <c r="P373" s="1077">
        <f t="shared" si="257"/>
        <v>15.670206079505546</v>
      </c>
      <c r="Q373" s="748"/>
      <c r="R373" s="748"/>
      <c r="S373" s="748"/>
      <c r="T373" s="748"/>
      <c r="U373" s="748"/>
      <c r="V373" s="748"/>
      <c r="W373" s="748"/>
      <c r="X373" s="748"/>
      <c r="Y373" s="748"/>
      <c r="Z373" s="748"/>
      <c r="AA373" s="748"/>
      <c r="AB373" s="748"/>
      <c r="AC373" s="748"/>
    </row>
    <row r="374" spans="2:29" ht="13.5" outlineLevel="1">
      <c r="B374" s="793"/>
      <c r="C374" s="710"/>
      <c r="D374" s="443"/>
      <c r="E374" s="443"/>
      <c r="F374" s="443"/>
      <c r="G374" s="443"/>
      <c r="H374" s="443"/>
      <c r="I374" s="443"/>
      <c r="J374" s="443"/>
      <c r="K374" s="443"/>
      <c r="R374" s="857"/>
      <c r="S374" s="857"/>
      <c r="T374" s="857"/>
      <c r="U374" s="857"/>
      <c r="V374" s="857"/>
      <c r="W374" s="857"/>
      <c r="X374" s="857"/>
      <c r="Y374" s="857"/>
      <c r="Z374" s="857"/>
      <c r="AA374" s="857"/>
      <c r="AB374" s="857"/>
      <c r="AC374" s="857"/>
    </row>
    <row r="375" spans="2:29" outlineLevel="1">
      <c r="B375" s="1010"/>
      <c r="C375" s="1081" t="s">
        <v>1057</v>
      </c>
      <c r="D375" s="1081" t="s">
        <v>1060</v>
      </c>
      <c r="E375" s="1081" t="s">
        <v>1063</v>
      </c>
      <c r="F375" s="1081" t="s">
        <v>1064</v>
      </c>
      <c r="G375" s="1081" t="s">
        <v>1065</v>
      </c>
      <c r="H375" s="443"/>
      <c r="I375" s="443"/>
      <c r="J375" s="443"/>
      <c r="K375" s="443"/>
      <c r="R375" s="857"/>
      <c r="S375" s="857"/>
      <c r="T375" s="857"/>
      <c r="U375" s="857"/>
      <c r="V375" s="857"/>
      <c r="W375" s="857"/>
      <c r="X375" s="857"/>
      <c r="Y375" s="857"/>
      <c r="Z375" s="857"/>
      <c r="AA375" s="857"/>
      <c r="AB375" s="857"/>
      <c r="AC375" s="857"/>
    </row>
    <row r="376" spans="2:29" ht="13.5" outlineLevel="1">
      <c r="B376" s="964" t="s">
        <v>1061</v>
      </c>
      <c r="C376" s="1079">
        <v>0.79</v>
      </c>
      <c r="D376" s="1082">
        <v>37</v>
      </c>
      <c r="E376" s="1082">
        <f>AVERAGE(C371:E371)</f>
        <v>23.865153191250247</v>
      </c>
      <c r="F376" s="1082">
        <v>25</v>
      </c>
      <c r="G376" s="1082">
        <f>D376+E376-F376</f>
        <v>35.865153191250243</v>
      </c>
      <c r="H376" s="443"/>
      <c r="I376" s="443"/>
      <c r="J376" s="443"/>
      <c r="K376" s="443"/>
      <c r="R376" s="857"/>
      <c r="S376" s="857"/>
      <c r="T376" s="857"/>
      <c r="U376" s="857"/>
      <c r="V376" s="857"/>
      <c r="W376" s="857"/>
      <c r="X376" s="857"/>
      <c r="Y376" s="857"/>
      <c r="Z376" s="857"/>
      <c r="AA376" s="857"/>
      <c r="AB376" s="857"/>
      <c r="AC376" s="857"/>
    </row>
    <row r="377" spans="2:29" ht="13.5" outlineLevel="1">
      <c r="B377" s="965" t="s">
        <v>1062</v>
      </c>
      <c r="C377" s="1080">
        <v>0.78</v>
      </c>
      <c r="D377" s="1083">
        <f>AVERAGE(C370:E370)</f>
        <v>34.401467458274062</v>
      </c>
      <c r="E377" s="1083">
        <v>25</v>
      </c>
      <c r="F377" s="1083">
        <v>25</v>
      </c>
      <c r="G377" s="1083">
        <f>D377+E377-F377</f>
        <v>34.401467458274062</v>
      </c>
      <c r="H377" s="443"/>
      <c r="I377" s="443"/>
      <c r="J377" s="443"/>
      <c r="K377" s="443"/>
      <c r="R377" s="857"/>
      <c r="S377" s="857"/>
      <c r="T377" s="857"/>
      <c r="U377" s="857"/>
      <c r="V377" s="857"/>
      <c r="W377" s="857"/>
      <c r="X377" s="857"/>
      <c r="Y377" s="857"/>
      <c r="Z377" s="857"/>
      <c r="AA377" s="857"/>
      <c r="AB377" s="857"/>
      <c r="AC377" s="857"/>
    </row>
    <row r="378" spans="2:29" ht="13.5" outlineLevel="1">
      <c r="B378" s="793"/>
      <c r="C378" s="710"/>
      <c r="D378" s="443"/>
      <c r="E378" s="443"/>
      <c r="F378" s="443"/>
      <c r="G378" s="443"/>
      <c r="H378" s="443"/>
      <c r="I378" s="443"/>
      <c r="J378" s="443"/>
      <c r="K378" s="443"/>
      <c r="R378" s="857"/>
      <c r="S378" s="857"/>
      <c r="T378" s="857"/>
      <c r="U378" s="857"/>
      <c r="V378" s="857"/>
      <c r="W378" s="857"/>
      <c r="X378" s="857"/>
      <c r="Y378" s="857"/>
      <c r="Z378" s="857"/>
      <c r="AA378" s="857"/>
      <c r="AB378" s="857"/>
      <c r="AC378" s="857"/>
    </row>
    <row r="379" spans="2:29" outlineLevel="1">
      <c r="B379" s="1001" t="s">
        <v>805</v>
      </c>
      <c r="C379" s="1002">
        <f>+DCF!G4</f>
        <v>2024</v>
      </c>
      <c r="D379" s="1002">
        <f>+DCF!H4</f>
        <v>2025</v>
      </c>
      <c r="E379" s="1002">
        <f>+DCF!I4</f>
        <v>2026</v>
      </c>
      <c r="F379" s="1003">
        <f>+DCF!J4</f>
        <v>2027</v>
      </c>
      <c r="G379" s="1002">
        <f>+DCF!K4</f>
        <v>2028</v>
      </c>
      <c r="H379" s="1002">
        <f>+DCF!L4</f>
        <v>2029</v>
      </c>
      <c r="I379" s="1002">
        <f>+DCF!M4</f>
        <v>2030</v>
      </c>
      <c r="J379" s="1002">
        <f>+DCF!N4</f>
        <v>2031</v>
      </c>
      <c r="K379" s="1002">
        <f>+DCF!O4</f>
        <v>2032</v>
      </c>
      <c r="L379" s="1002">
        <f>+DCF!P4</f>
        <v>2033</v>
      </c>
      <c r="M379" s="1002">
        <f>+DCF!Q4</f>
        <v>2034</v>
      </c>
      <c r="N379" s="1002">
        <f>+DCF!R4</f>
        <v>2035</v>
      </c>
      <c r="O379" s="1002">
        <f>+DCF!S4</f>
        <v>2036</v>
      </c>
      <c r="P379" s="1002">
        <f>+DCF!T4</f>
        <v>2037</v>
      </c>
      <c r="Q379" s="1002">
        <f>+DCF!U4</f>
        <v>2038</v>
      </c>
      <c r="R379" s="1002">
        <f>+DCF!V4</f>
        <v>2039</v>
      </c>
      <c r="S379" s="1002">
        <f>+DCF!W4</f>
        <v>2040</v>
      </c>
      <c r="T379" s="1002">
        <f>+DCF!X4</f>
        <v>2041</v>
      </c>
      <c r="U379" s="1002">
        <f>+DCF!Y4</f>
        <v>2042</v>
      </c>
      <c r="V379" s="1002">
        <f>+DCF!Z4</f>
        <v>2043</v>
      </c>
      <c r="W379" s="1002">
        <f>+DCF!AA4</f>
        <v>2044</v>
      </c>
      <c r="X379" s="1002">
        <f>+DCF!AB4</f>
        <v>2045</v>
      </c>
      <c r="Y379" s="1002">
        <f>+DCF!AC4</f>
        <v>2046</v>
      </c>
      <c r="Z379" s="1002">
        <f>+DCF!AD4</f>
        <v>2047</v>
      </c>
      <c r="AA379" s="1002">
        <f>+DCF!AE4</f>
        <v>2048</v>
      </c>
      <c r="AB379" s="1003">
        <f>+DCF!AF4</f>
        <v>2049</v>
      </c>
    </row>
    <row r="380" spans="2:29" ht="13.5" outlineLevel="1">
      <c r="B380" s="975" t="s">
        <v>341</v>
      </c>
      <c r="C380" s="852">
        <f>DCF!G6</f>
        <v>35845.924638343487</v>
      </c>
      <c r="D380" s="852">
        <f>DCF!H6</f>
        <v>38585.269162133118</v>
      </c>
      <c r="E380" s="852">
        <f>DCF!I6</f>
        <v>40554.104878907354</v>
      </c>
      <c r="F380" s="971">
        <f>DCF!J6</f>
        <v>42568.15029218149</v>
      </c>
      <c r="G380" s="852">
        <f>DCF!K6</f>
        <v>44158.784013439748</v>
      </c>
      <c r="H380" s="852">
        <f>DCF!L6</f>
        <v>46106.544823345706</v>
      </c>
      <c r="I380" s="852">
        <f>DCF!M6</f>
        <v>47172.654164175663</v>
      </c>
      <c r="J380" s="852">
        <f>DCF!N6</f>
        <v>48247.106390967347</v>
      </c>
      <c r="K380" s="852">
        <f>DCF!O6</f>
        <v>49524.916352381551</v>
      </c>
      <c r="L380" s="852">
        <f>DCF!P6</f>
        <v>52416.220857771441</v>
      </c>
      <c r="M380" s="852">
        <f>DCF!Q6</f>
        <v>58482.124628276732</v>
      </c>
      <c r="N380" s="852">
        <f>DCF!R6</f>
        <v>64534.415108968642</v>
      </c>
      <c r="O380" s="852">
        <f>DCF!S6</f>
        <v>71725.10808996149</v>
      </c>
      <c r="P380" s="852">
        <f>DCF!T6</f>
        <v>82551.915552723774</v>
      </c>
      <c r="Q380" s="852">
        <f>DCF!U6</f>
        <v>94321.462495417654</v>
      </c>
      <c r="R380" s="852">
        <f>DCF!V6</f>
        <v>101945.33801285904</v>
      </c>
      <c r="S380" s="852">
        <f>DCF!W6</f>
        <v>100048.77201690475</v>
      </c>
      <c r="T380" s="852">
        <f>DCF!X6</f>
        <v>97652.883716838798</v>
      </c>
      <c r="U380" s="852">
        <f>DCF!Y6</f>
        <v>95738.593866372612</v>
      </c>
      <c r="V380" s="852">
        <f>DCF!Z6</f>
        <v>96359.320896505393</v>
      </c>
      <c r="W380" s="852">
        <f>DCF!AA6</f>
        <v>97119.547758788525</v>
      </c>
      <c r="X380" s="852">
        <f>DCF!AB6</f>
        <v>102900.40714739956</v>
      </c>
      <c r="Y380" s="852">
        <f>DCF!AC6</f>
        <v>115051.59160472757</v>
      </c>
      <c r="Z380" s="852">
        <f>DCF!AD6</f>
        <v>127558.20714181036</v>
      </c>
      <c r="AA380" s="852">
        <f>DCF!AE6</f>
        <v>137918.32056851429</v>
      </c>
      <c r="AB380" s="971">
        <f>DCF!AF6</f>
        <v>140676.68697988457</v>
      </c>
    </row>
    <row r="381" spans="2:29" ht="13.5" outlineLevel="1">
      <c r="B381" s="964" t="s">
        <v>293</v>
      </c>
      <c r="C381" s="852">
        <f>C380*$C$376</f>
        <v>28318.280464291358</v>
      </c>
      <c r="D381" s="852">
        <f>D380*$C$376</f>
        <v>30482.362638085164</v>
      </c>
      <c r="E381" s="852">
        <f>E380*$C$376</f>
        <v>32037.742854336811</v>
      </c>
      <c r="F381" s="971">
        <f>F380*$C$376</f>
        <v>33628.83873082338</v>
      </c>
      <c r="G381" s="852">
        <f t="shared" ref="G381:AB381" si="265">G380*$C$377</f>
        <v>34443.851530483007</v>
      </c>
      <c r="H381" s="852">
        <f t="shared" si="265"/>
        <v>35963.104962209654</v>
      </c>
      <c r="I381" s="852">
        <f t="shared" si="265"/>
        <v>36794.670248057017</v>
      </c>
      <c r="J381" s="852">
        <f t="shared" si="265"/>
        <v>37632.74298495453</v>
      </c>
      <c r="K381" s="852">
        <f t="shared" si="265"/>
        <v>38629.434754857612</v>
      </c>
      <c r="L381" s="852">
        <f t="shared" si="265"/>
        <v>40884.652269061728</v>
      </c>
      <c r="M381" s="852">
        <f t="shared" si="265"/>
        <v>45616.057210055849</v>
      </c>
      <c r="N381" s="852">
        <f t="shared" si="265"/>
        <v>50336.843784995544</v>
      </c>
      <c r="O381" s="852">
        <f t="shared" si="265"/>
        <v>55945.584310169965</v>
      </c>
      <c r="P381" s="852">
        <f t="shared" si="265"/>
        <v>64390.494131124549</v>
      </c>
      <c r="Q381" s="852">
        <f t="shared" si="265"/>
        <v>73570.74074642577</v>
      </c>
      <c r="R381" s="852">
        <f t="shared" si="265"/>
        <v>79517.363650030049</v>
      </c>
      <c r="S381" s="852">
        <f t="shared" si="265"/>
        <v>78038.042173185706</v>
      </c>
      <c r="T381" s="852">
        <f t="shared" si="265"/>
        <v>76169.249299134259</v>
      </c>
      <c r="U381" s="852">
        <f t="shared" si="265"/>
        <v>74676.103215770636</v>
      </c>
      <c r="V381" s="852">
        <f t="shared" si="265"/>
        <v>75160.270299274212</v>
      </c>
      <c r="W381" s="852">
        <f t="shared" si="265"/>
        <v>75753.247251855049</v>
      </c>
      <c r="X381" s="852">
        <f t="shared" si="265"/>
        <v>80262.317574971661</v>
      </c>
      <c r="Y381" s="852">
        <f t="shared" si="265"/>
        <v>89740.2414516875</v>
      </c>
      <c r="Z381" s="852">
        <f t="shared" si="265"/>
        <v>99495.401570612084</v>
      </c>
      <c r="AA381" s="852">
        <f t="shared" si="265"/>
        <v>107576.29004344114</v>
      </c>
      <c r="AB381" s="971">
        <f t="shared" si="265"/>
        <v>109727.81584430997</v>
      </c>
    </row>
    <row r="382" spans="2:29" ht="13.5" outlineLevel="1">
      <c r="B382" s="964" t="str">
        <f>+B367</f>
        <v>Inventory</v>
      </c>
      <c r="C382" s="852">
        <f>C385*C381/365</f>
        <v>2764.4786312861115</v>
      </c>
      <c r="D382" s="852">
        <f t="shared" ref="D382:G382" si="266">D385*D381/365</f>
        <v>3013.8243138580424</v>
      </c>
      <c r="E382" s="852">
        <f t="shared" si="266"/>
        <v>3207.6340251048064</v>
      </c>
      <c r="F382" s="971">
        <f t="shared" si="266"/>
        <v>3408.9507754533288</v>
      </c>
      <c r="G382" s="852">
        <f t="shared" si="266"/>
        <v>3480.4223756847864</v>
      </c>
      <c r="H382" s="852">
        <f t="shared" ref="H382" si="267">H385*H381/365</f>
        <v>3622.2994822100932</v>
      </c>
      <c r="I382" s="852">
        <f t="shared" ref="I382" si="268">I385*I381/365</f>
        <v>3694.1500794412786</v>
      </c>
      <c r="J382" s="852">
        <f t="shared" ref="J382:K382" si="269">J385*J381/365</f>
        <v>3766.113718633841</v>
      </c>
      <c r="K382" s="852">
        <f t="shared" si="269"/>
        <v>3853.3574936561922</v>
      </c>
      <c r="L382" s="852">
        <f t="shared" ref="L382" si="270">L385*L381/365</f>
        <v>4065.0892093083967</v>
      </c>
      <c r="M382" s="852">
        <f t="shared" ref="M382" si="271">M385*M381/365</f>
        <v>4520.7630019161325</v>
      </c>
      <c r="N382" s="852">
        <f t="shared" ref="N382:O382" si="272">N385*N381/365</f>
        <v>4972.3257070985937</v>
      </c>
      <c r="O382" s="852">
        <f t="shared" si="272"/>
        <v>5508.2587591426827</v>
      </c>
      <c r="P382" s="852">
        <f t="shared" ref="P382" si="273">P385*P381/365</f>
        <v>6318.8859625105888</v>
      </c>
      <c r="Q382" s="852">
        <f t="shared" ref="Q382" si="274">Q385*Q381/365</f>
        <v>7195.9710291603315</v>
      </c>
      <c r="R382" s="852">
        <f t="shared" ref="R382:S382" si="275">R385*R381/365</f>
        <v>7751.8795175843361</v>
      </c>
      <c r="S382" s="852">
        <f t="shared" si="275"/>
        <v>7582.4121085851029</v>
      </c>
      <c r="T382" s="852">
        <f t="shared" ref="T382" si="276">T385*T381/365</f>
        <v>7376.1859411878522</v>
      </c>
      <c r="U382" s="852">
        <f t="shared" ref="U382" si="277">U385*U381/365</f>
        <v>7207.4251249321787</v>
      </c>
      <c r="V382" s="852">
        <f t="shared" ref="V382:W382" si="278">V385*V381/365</f>
        <v>7229.8328134655021</v>
      </c>
      <c r="W382" s="852">
        <f t="shared" si="278"/>
        <v>7262.3585971206767</v>
      </c>
      <c r="X382" s="852">
        <f t="shared" ref="X382" si="279">X385*X381/365</f>
        <v>7668.6637748885087</v>
      </c>
      <c r="Y382" s="852">
        <f t="shared" ref="Y382" si="280">Y385*Y381/365</f>
        <v>8545.1918711204507</v>
      </c>
      <c r="Z382" s="852">
        <f t="shared" ref="Z382:AA382" si="281">Z385*Z381/365</f>
        <v>9441.8949070749513</v>
      </c>
      <c r="AA382" s="852">
        <f t="shared" si="281"/>
        <v>10173.94144421477</v>
      </c>
      <c r="AB382" s="971">
        <f t="shared" ref="AB382" si="282">AB385*AB381/365</f>
        <v>10341.912016535667</v>
      </c>
    </row>
    <row r="383" spans="2:29" ht="13.5">
      <c r="B383" s="964" t="str">
        <f>+B368</f>
        <v>Accounts Receivable</v>
      </c>
      <c r="C383" s="1068">
        <f>C380*$E$376/365</f>
        <v>2343.7492678796684</v>
      </c>
      <c r="D383" s="852">
        <f>D380*$E$376/365</f>
        <v>2522.8585191230986</v>
      </c>
      <c r="E383" s="852">
        <f>E380*$E$376/365</f>
        <v>2651.5888369017894</v>
      </c>
      <c r="F383" s="971">
        <f>F380*$E$376/365</f>
        <v>2783.2751446330826</v>
      </c>
      <c r="G383" s="852">
        <f t="shared" ref="G383:AB383" si="283">G380*$E$377/365</f>
        <v>3024.5742474958734</v>
      </c>
      <c r="H383" s="852">
        <f t="shared" si="283"/>
        <v>3157.9825221469664</v>
      </c>
      <c r="I383" s="852">
        <f t="shared" si="283"/>
        <v>3231.0037098750454</v>
      </c>
      <c r="J383" s="852">
        <f t="shared" si="283"/>
        <v>3304.5963281484487</v>
      </c>
      <c r="K383" s="852">
        <f t="shared" si="283"/>
        <v>3392.1175583822978</v>
      </c>
      <c r="L383" s="852">
        <f t="shared" si="283"/>
        <v>3590.1521135459889</v>
      </c>
      <c r="M383" s="852">
        <f t="shared" si="283"/>
        <v>4005.6249745395021</v>
      </c>
      <c r="N383" s="852">
        <f t="shared" si="283"/>
        <v>4420.1654184225099</v>
      </c>
      <c r="O383" s="852">
        <f t="shared" si="283"/>
        <v>4912.6786362987323</v>
      </c>
      <c r="P383" s="852">
        <f t="shared" si="283"/>
        <v>5654.2407912824501</v>
      </c>
      <c r="Q383" s="852">
        <f t="shared" si="283"/>
        <v>6460.3741435217571</v>
      </c>
      <c r="R383" s="852">
        <f t="shared" si="283"/>
        <v>6982.5573981410298</v>
      </c>
      <c r="S383" s="852">
        <f t="shared" si="283"/>
        <v>6852.6556175962151</v>
      </c>
      <c r="T383" s="852">
        <f t="shared" si="283"/>
        <v>6688.5536792355351</v>
      </c>
      <c r="U383" s="852">
        <f t="shared" si="283"/>
        <v>6557.4379360529183</v>
      </c>
      <c r="V383" s="852">
        <f t="shared" si="283"/>
        <v>6599.9534860620133</v>
      </c>
      <c r="W383" s="852">
        <f t="shared" si="283"/>
        <v>6652.023819095104</v>
      </c>
      <c r="X383" s="852">
        <f t="shared" si="283"/>
        <v>7047.9730922876415</v>
      </c>
      <c r="Y383" s="852">
        <f t="shared" si="283"/>
        <v>7880.2460003238057</v>
      </c>
      <c r="Z383" s="852">
        <f t="shared" si="283"/>
        <v>8736.8635028637236</v>
      </c>
      <c r="AA383" s="852">
        <f t="shared" si="283"/>
        <v>9446.4603129119369</v>
      </c>
      <c r="AB383" s="971">
        <f t="shared" si="283"/>
        <v>9635.3895191701758</v>
      </c>
    </row>
    <row r="384" spans="2:29" ht="13.5" outlineLevel="1">
      <c r="B384" s="965" t="str">
        <f>+B369</f>
        <v>Accounts Payable</v>
      </c>
      <c r="C384" s="1069">
        <f>$F$376*C381/365</f>
        <v>1939.6082509788603</v>
      </c>
      <c r="D384" s="945">
        <f>$F$376*D381/365</f>
        <v>2087.8330574030933</v>
      </c>
      <c r="E384" s="945">
        <f>$F$376*E381/365</f>
        <v>2194.365948927179</v>
      </c>
      <c r="F384" s="945">
        <f>$F$376*F381/365</f>
        <v>2303.3451185495464</v>
      </c>
      <c r="G384" s="1069">
        <f t="shared" ref="G384:AB384" si="284">$F$377*G381/365</f>
        <v>2359.1679130467815</v>
      </c>
      <c r="H384" s="945">
        <f t="shared" si="284"/>
        <v>2463.226367274634</v>
      </c>
      <c r="I384" s="945">
        <f t="shared" si="284"/>
        <v>2520.1828937025357</v>
      </c>
      <c r="J384" s="945">
        <f t="shared" si="284"/>
        <v>2577.5851359557896</v>
      </c>
      <c r="K384" s="945">
        <f t="shared" si="284"/>
        <v>2645.8516955381924</v>
      </c>
      <c r="L384" s="945">
        <f t="shared" si="284"/>
        <v>2800.3186485658721</v>
      </c>
      <c r="M384" s="945">
        <f t="shared" si="284"/>
        <v>3124.3874801408115</v>
      </c>
      <c r="N384" s="945">
        <f t="shared" si="284"/>
        <v>3447.7290263695577</v>
      </c>
      <c r="O384" s="945">
        <f t="shared" si="284"/>
        <v>3831.8893363130114</v>
      </c>
      <c r="P384" s="945">
        <f t="shared" si="284"/>
        <v>4410.3078172003115</v>
      </c>
      <c r="Q384" s="945">
        <f t="shared" si="284"/>
        <v>5039.0918319469711</v>
      </c>
      <c r="R384" s="945">
        <f t="shared" si="284"/>
        <v>5446.3947705500032</v>
      </c>
      <c r="S384" s="945">
        <f t="shared" si="284"/>
        <v>5345.071381725048</v>
      </c>
      <c r="T384" s="945">
        <f t="shared" si="284"/>
        <v>5217.0718698037163</v>
      </c>
      <c r="U384" s="945">
        <f t="shared" si="284"/>
        <v>5114.8015901212766</v>
      </c>
      <c r="V384" s="945">
        <f t="shared" si="284"/>
        <v>5147.9637191283709</v>
      </c>
      <c r="W384" s="945">
        <f t="shared" si="284"/>
        <v>5188.5785788941812</v>
      </c>
      <c r="X384" s="945">
        <f t="shared" si="284"/>
        <v>5497.4190119843606</v>
      </c>
      <c r="Y384" s="945">
        <f t="shared" si="284"/>
        <v>6146.5918802525684</v>
      </c>
      <c r="Z384" s="945">
        <f t="shared" si="284"/>
        <v>6814.7535322337044</v>
      </c>
      <c r="AA384" s="945">
        <f t="shared" si="284"/>
        <v>7368.2390440713116</v>
      </c>
      <c r="AB384" s="1000">
        <f t="shared" si="284"/>
        <v>7515.6038249527373</v>
      </c>
    </row>
    <row r="385" spans="2:45" ht="13.5" outlineLevel="1">
      <c r="B385" s="988" t="str">
        <f>+B370</f>
        <v>DOH</v>
      </c>
      <c r="C385" s="1084">
        <f>C373+(($D$376-$C$373)/4)</f>
        <v>35.631919872105165</v>
      </c>
      <c r="D385" s="1084">
        <f>C385+($D$376-$C$373)/4</f>
        <v>36.087946581403443</v>
      </c>
      <c r="E385" s="1084">
        <f>D385+($D$376-$C$373)/4</f>
        <v>36.543973290701722</v>
      </c>
      <c r="F385" s="1085">
        <f>D376</f>
        <v>37</v>
      </c>
      <c r="G385" s="1084">
        <f t="shared" ref="G385:AA385" si="285">F385+($D$377-$F$385)/22</f>
        <v>36.881884884467006</v>
      </c>
      <c r="H385" s="1084">
        <f t="shared" si="285"/>
        <v>36.763769768934011</v>
      </c>
      <c r="I385" s="1084">
        <f t="shared" si="285"/>
        <v>36.645654653401017</v>
      </c>
      <c r="J385" s="1084">
        <f t="shared" si="285"/>
        <v>36.527539537868023</v>
      </c>
      <c r="K385" s="1084">
        <f t="shared" si="285"/>
        <v>36.409424422335029</v>
      </c>
      <c r="L385" s="1084">
        <f t="shared" si="285"/>
        <v>36.291309306802034</v>
      </c>
      <c r="M385" s="1084">
        <f t="shared" si="285"/>
        <v>36.17319419126904</v>
      </c>
      <c r="N385" s="1084">
        <f t="shared" si="285"/>
        <v>36.055079075736046</v>
      </c>
      <c r="O385" s="1084">
        <f t="shared" si="285"/>
        <v>35.936963960203052</v>
      </c>
      <c r="P385" s="1084">
        <f t="shared" si="285"/>
        <v>35.818848844670057</v>
      </c>
      <c r="Q385" s="1084">
        <f t="shared" si="285"/>
        <v>35.700733729137063</v>
      </c>
      <c r="R385" s="1084">
        <f t="shared" si="285"/>
        <v>35.582618613604069</v>
      </c>
      <c r="S385" s="1084">
        <f t="shared" si="285"/>
        <v>35.464503498071075</v>
      </c>
      <c r="T385" s="1084">
        <f t="shared" si="285"/>
        <v>35.34638838253808</v>
      </c>
      <c r="U385" s="1084">
        <f t="shared" si="285"/>
        <v>35.228273267005086</v>
      </c>
      <c r="V385" s="1084">
        <f t="shared" si="285"/>
        <v>35.110158151472092</v>
      </c>
      <c r="W385" s="1084">
        <f t="shared" si="285"/>
        <v>34.992043035939098</v>
      </c>
      <c r="X385" s="1084">
        <f t="shared" si="285"/>
        <v>34.873927920406103</v>
      </c>
      <c r="Y385" s="1084">
        <f t="shared" si="285"/>
        <v>34.755812804873109</v>
      </c>
      <c r="Z385" s="1084">
        <f t="shared" si="285"/>
        <v>34.637697689340115</v>
      </c>
      <c r="AA385" s="1084">
        <f t="shared" si="285"/>
        <v>34.519582573807121</v>
      </c>
      <c r="AB385" s="1085">
        <f>D377</f>
        <v>34.401467458274062</v>
      </c>
    </row>
    <row r="386" spans="2:45" ht="13.5" outlineLevel="1">
      <c r="B386" s="964" t="s">
        <v>1066</v>
      </c>
      <c r="C386" s="852">
        <f>C382+C383-C384</f>
        <v>3168.6196481869201</v>
      </c>
      <c r="D386" s="852">
        <f t="shared" ref="D386:AB386" si="286">D382+D383-D384</f>
        <v>3448.8497755780481</v>
      </c>
      <c r="E386" s="852">
        <f t="shared" si="286"/>
        <v>3664.8569130794172</v>
      </c>
      <c r="F386" s="971">
        <f t="shared" si="286"/>
        <v>3888.8808015368654</v>
      </c>
      <c r="G386" s="852">
        <f t="shared" si="286"/>
        <v>4145.8287101338774</v>
      </c>
      <c r="H386" s="852">
        <f t="shared" si="286"/>
        <v>4317.0556370824252</v>
      </c>
      <c r="I386" s="852">
        <f t="shared" si="286"/>
        <v>4404.9708956137883</v>
      </c>
      <c r="J386" s="852">
        <f t="shared" si="286"/>
        <v>4493.1249108265001</v>
      </c>
      <c r="K386" s="852">
        <f t="shared" si="286"/>
        <v>4599.6233565002967</v>
      </c>
      <c r="L386" s="852">
        <f t="shared" si="286"/>
        <v>4854.922674288513</v>
      </c>
      <c r="M386" s="852">
        <f t="shared" si="286"/>
        <v>5402.000496314824</v>
      </c>
      <c r="N386" s="852">
        <f t="shared" si="286"/>
        <v>5944.7620991515469</v>
      </c>
      <c r="O386" s="852">
        <f t="shared" si="286"/>
        <v>6589.0480591284031</v>
      </c>
      <c r="P386" s="852">
        <f t="shared" si="286"/>
        <v>7562.8189365927283</v>
      </c>
      <c r="Q386" s="852">
        <f t="shared" si="286"/>
        <v>8617.2533407351184</v>
      </c>
      <c r="R386" s="852">
        <f t="shared" si="286"/>
        <v>9288.0421451753627</v>
      </c>
      <c r="S386" s="852">
        <f t="shared" si="286"/>
        <v>9089.9963444562709</v>
      </c>
      <c r="T386" s="852">
        <f t="shared" si="286"/>
        <v>8847.667750619672</v>
      </c>
      <c r="U386" s="852">
        <f t="shared" si="286"/>
        <v>8650.0614708638204</v>
      </c>
      <c r="V386" s="852">
        <f t="shared" si="286"/>
        <v>8681.8225803991445</v>
      </c>
      <c r="W386" s="852">
        <f t="shared" si="286"/>
        <v>8725.8038373215986</v>
      </c>
      <c r="X386" s="852">
        <f t="shared" si="286"/>
        <v>9219.2178551917896</v>
      </c>
      <c r="Y386" s="852">
        <f t="shared" si="286"/>
        <v>10278.845991191689</v>
      </c>
      <c r="Z386" s="852">
        <f t="shared" si="286"/>
        <v>11364.004877704969</v>
      </c>
      <c r="AA386" s="852">
        <f t="shared" si="286"/>
        <v>12252.162713055395</v>
      </c>
      <c r="AB386" s="971">
        <f t="shared" si="286"/>
        <v>12461.697710753106</v>
      </c>
    </row>
    <row r="387" spans="2:45" ht="13.5" outlineLevel="1">
      <c r="B387" s="965" t="s">
        <v>1067</v>
      </c>
      <c r="C387" s="945">
        <f>C386-(C367+C368-C369)</f>
        <v>61.619648186920131</v>
      </c>
      <c r="D387" s="945">
        <f>D386-C386</f>
        <v>280.23012739112801</v>
      </c>
      <c r="E387" s="945">
        <f t="shared" ref="E387:AB387" si="287">E386-D386</f>
        <v>216.00713750136902</v>
      </c>
      <c r="F387" s="1000">
        <f t="shared" si="287"/>
        <v>224.02388845744827</v>
      </c>
      <c r="G387" s="945">
        <f t="shared" si="287"/>
        <v>256.94790859701197</v>
      </c>
      <c r="H387" s="945">
        <f t="shared" si="287"/>
        <v>171.22692694854777</v>
      </c>
      <c r="I387" s="945">
        <f t="shared" si="287"/>
        <v>87.915258531363179</v>
      </c>
      <c r="J387" s="945">
        <f t="shared" si="287"/>
        <v>88.154015212711784</v>
      </c>
      <c r="K387" s="945">
        <f t="shared" si="287"/>
        <v>106.4984456737966</v>
      </c>
      <c r="L387" s="945">
        <f t="shared" si="287"/>
        <v>255.29931778821629</v>
      </c>
      <c r="M387" s="945">
        <f t="shared" si="287"/>
        <v>547.07782202631097</v>
      </c>
      <c r="N387" s="945">
        <f t="shared" si="287"/>
        <v>542.76160283672289</v>
      </c>
      <c r="O387" s="945">
        <f t="shared" si="287"/>
        <v>644.28595997685625</v>
      </c>
      <c r="P387" s="945">
        <f t="shared" si="287"/>
        <v>973.77087746432517</v>
      </c>
      <c r="Q387" s="945">
        <f t="shared" si="287"/>
        <v>1054.4344041423901</v>
      </c>
      <c r="R387" s="945">
        <f t="shared" si="287"/>
        <v>670.78880444024435</v>
      </c>
      <c r="S387" s="945">
        <f t="shared" si="287"/>
        <v>-198.04580071909186</v>
      </c>
      <c r="T387" s="945">
        <f t="shared" si="287"/>
        <v>-242.32859383659888</v>
      </c>
      <c r="U387" s="945">
        <f t="shared" si="287"/>
        <v>-197.60627975585157</v>
      </c>
      <c r="V387" s="945">
        <f t="shared" si="287"/>
        <v>31.761109535324067</v>
      </c>
      <c r="W387" s="945">
        <f t="shared" si="287"/>
        <v>43.981256922454122</v>
      </c>
      <c r="X387" s="945">
        <f t="shared" si="287"/>
        <v>493.41401787019095</v>
      </c>
      <c r="Y387" s="945">
        <f t="shared" si="287"/>
        <v>1059.6281359998993</v>
      </c>
      <c r="Z387" s="945">
        <f t="shared" si="287"/>
        <v>1085.1588865132799</v>
      </c>
      <c r="AA387" s="945">
        <f t="shared" si="287"/>
        <v>888.15783535042647</v>
      </c>
      <c r="AB387" s="1000">
        <f t="shared" si="287"/>
        <v>209.53499769771042</v>
      </c>
    </row>
    <row r="388" spans="2:45" ht="13.5" outlineLevel="1">
      <c r="B388" s="792"/>
      <c r="C388" s="853"/>
    </row>
    <row r="389" spans="2:45" s="1065" customFormat="1" ht="13.5" outlineLevel="1">
      <c r="B389" s="1066" t="s">
        <v>1068</v>
      </c>
      <c r="C389" s="1063"/>
      <c r="D389" s="1064"/>
      <c r="E389" s="1064"/>
      <c r="F389" s="1064"/>
      <c r="G389" s="1064"/>
      <c r="H389" s="1064"/>
      <c r="I389" s="1064"/>
      <c r="J389" s="1064"/>
      <c r="K389" s="1064"/>
    </row>
    <row r="390" spans="2:45" ht="13.5" outlineLevel="1">
      <c r="B390" s="792"/>
      <c r="C390" s="853"/>
    </row>
    <row r="391" spans="2:45" outlineLevel="1">
      <c r="B391" s="1010"/>
      <c r="C391" s="986">
        <v>2023</v>
      </c>
      <c r="D391" s="986">
        <v>2022</v>
      </c>
      <c r="E391" s="986">
        <v>2021</v>
      </c>
      <c r="F391" s="986">
        <v>2020</v>
      </c>
      <c r="G391" s="986">
        <v>2019</v>
      </c>
      <c r="H391" s="986">
        <v>2018</v>
      </c>
      <c r="I391" s="986">
        <v>2017</v>
      </c>
      <c r="J391" s="986">
        <v>2016</v>
      </c>
      <c r="K391" s="986">
        <v>2015</v>
      </c>
      <c r="L391" s="986">
        <v>2014</v>
      </c>
      <c r="M391" s="986" t="s">
        <v>793</v>
      </c>
      <c r="N391" s="986" t="s">
        <v>794</v>
      </c>
      <c r="O391" s="986" t="s">
        <v>845</v>
      </c>
      <c r="P391" s="987" t="s">
        <v>1069</v>
      </c>
      <c r="Q391" s="857"/>
      <c r="R391" s="923"/>
      <c r="S391" s="923"/>
      <c r="T391" s="923"/>
      <c r="U391" s="923"/>
      <c r="V391" s="923"/>
      <c r="W391" s="923"/>
      <c r="X391" s="923"/>
      <c r="Y391" s="923"/>
      <c r="Z391" s="923"/>
      <c r="AA391" s="923"/>
      <c r="AB391" s="923"/>
      <c r="AC391" s="923"/>
      <c r="AD391" s="748"/>
      <c r="AE391" s="748"/>
      <c r="AF391" s="748"/>
      <c r="AG391" s="748"/>
      <c r="AH391" s="748"/>
      <c r="AI391" s="748"/>
      <c r="AJ391" s="748"/>
      <c r="AK391" s="748"/>
      <c r="AL391" s="748"/>
      <c r="AM391" s="748"/>
      <c r="AN391" s="748"/>
      <c r="AO391" s="748"/>
      <c r="AP391" s="748"/>
      <c r="AQ391" s="748"/>
      <c r="AR391" s="748"/>
      <c r="AS391" s="748"/>
    </row>
    <row r="392" spans="2:45" outlineLevel="1">
      <c r="B392" s="964" t="s">
        <v>1070</v>
      </c>
      <c r="C392" s="1070">
        <f>SUM(Inputs!B108:B112)</f>
        <v>8117</v>
      </c>
      <c r="D392" s="1071">
        <f>SUM(Inputs!C108:C112)</f>
        <v>7436</v>
      </c>
      <c r="E392" s="1071">
        <f>SUM(Inputs!D108:D112)</f>
        <v>7302</v>
      </c>
      <c r="F392" s="1071">
        <f>SUM(Inputs!E108:E112)</f>
        <v>7118.4</v>
      </c>
      <c r="G392" s="1071">
        <f>SUM(Inputs!F108:F112)</f>
        <v>6432.2</v>
      </c>
      <c r="H392" s="1071">
        <f>SUM(Inputs!G108:G112)</f>
        <v>5787.5</v>
      </c>
      <c r="I392" s="1071">
        <f>SUM(Inputs!H108:H112)</f>
        <v>5614.1</v>
      </c>
      <c r="J392" s="1071">
        <f>SUM(Inputs!I108:I112)</f>
        <v>4993.2</v>
      </c>
      <c r="K392" s="1071">
        <f>SUM(Inputs!J108:J112)</f>
        <v>4769.1000000000004</v>
      </c>
      <c r="L392" s="1072">
        <f>SUM(Inputs!K108:K112)</f>
        <v>4814.7</v>
      </c>
      <c r="M392" s="851">
        <f>+AVERAGE((C392:E392))</f>
        <v>7618.333333333333</v>
      </c>
      <c r="N392" s="851">
        <f>+AVERAGE(C392:G392)</f>
        <v>7281.12</v>
      </c>
      <c r="O392" s="851">
        <f>+AVERAGE(C392:L392)</f>
        <v>6238.4199999999992</v>
      </c>
      <c r="P392" s="982">
        <f>+AVERAGE(G392:L392,C392:D392)</f>
        <v>5995.4750000000004</v>
      </c>
      <c r="AD392" s="857"/>
      <c r="AE392" s="857"/>
      <c r="AF392" s="857"/>
      <c r="AG392" s="857"/>
      <c r="AH392" s="857"/>
      <c r="AI392" s="857"/>
      <c r="AJ392" s="857"/>
      <c r="AK392" s="857"/>
      <c r="AL392" s="857"/>
      <c r="AM392" s="857"/>
      <c r="AN392" s="857"/>
      <c r="AO392" s="857"/>
      <c r="AP392" s="857"/>
      <c r="AQ392" s="857"/>
      <c r="AR392" s="857"/>
    </row>
    <row r="393" spans="2:45" outlineLevel="1">
      <c r="B393" s="964" t="s">
        <v>849</v>
      </c>
      <c r="C393" s="1004">
        <f t="shared" ref="C393:K393" si="288">+C392/D392-1</f>
        <v>9.1581495427649262E-2</v>
      </c>
      <c r="D393" s="1004">
        <f t="shared" si="288"/>
        <v>1.8351136674883639E-2</v>
      </c>
      <c r="E393" s="1004">
        <f t="shared" si="288"/>
        <v>2.5792312879298729E-2</v>
      </c>
      <c r="F393" s="1004">
        <f t="shared" si="288"/>
        <v>0.10668200615652501</v>
      </c>
      <c r="G393" s="1004">
        <f t="shared" si="288"/>
        <v>0.11139524838012949</v>
      </c>
      <c r="H393" s="1004">
        <f t="shared" si="288"/>
        <v>3.0886517874636921E-2</v>
      </c>
      <c r="I393" s="1004">
        <f t="shared" si="288"/>
        <v>0.12434911479612287</v>
      </c>
      <c r="J393" s="1004">
        <f t="shared" si="288"/>
        <v>4.6989998112851428E-2</v>
      </c>
      <c r="K393" s="1015">
        <f t="shared" si="288"/>
        <v>-9.470995077574762E-3</v>
      </c>
      <c r="L393" s="1086"/>
      <c r="M393" s="1005">
        <f>+AVERAGE((C393:E393))</f>
        <v>4.5241648327277208E-2</v>
      </c>
      <c r="N393" s="1005">
        <f>+AVERAGE(C393:G393)</f>
        <v>7.0760439903697223E-2</v>
      </c>
      <c r="O393" s="1005">
        <f>+AVERAGE(C393:K393)</f>
        <v>6.0728537247169173E-2</v>
      </c>
      <c r="P393" s="1006">
        <f>+AVERAGE(F393:K393,C393:C393)</f>
        <v>7.1773340810048603E-2</v>
      </c>
      <c r="Q393" s="923"/>
      <c r="AD393" s="923"/>
      <c r="AE393" s="923"/>
      <c r="AF393" s="923"/>
      <c r="AG393" s="923"/>
      <c r="AH393" s="923"/>
      <c r="AI393" s="923"/>
      <c r="AJ393" s="923"/>
      <c r="AK393" s="923"/>
      <c r="AL393" s="923"/>
      <c r="AM393" s="923"/>
      <c r="AN393" s="923"/>
      <c r="AO393" s="923"/>
      <c r="AP393" s="923"/>
      <c r="AQ393" s="923"/>
      <c r="AR393" s="923"/>
      <c r="AS393" s="923"/>
    </row>
    <row r="394" spans="2:45" ht="13.5" outlineLevel="1">
      <c r="B394" s="965" t="s">
        <v>1071</v>
      </c>
      <c r="C394" s="1007">
        <f>+C392/Inputs!B6</f>
        <v>0.23107581062999971</v>
      </c>
      <c r="D394" s="1007">
        <f>+D392/Inputs!C6</f>
        <v>0.25801526717557249</v>
      </c>
      <c r="E394" s="1007">
        <f>+E392/Inputs!D6</f>
        <v>0.31043278632769322</v>
      </c>
      <c r="F394" s="1007">
        <f>+F392/Inputs!E6</f>
        <v>0.38007368252442736</v>
      </c>
      <c r="G394" s="1007">
        <f>+G392/Inputs!F6</f>
        <v>0.25125781250000001</v>
      </c>
      <c r="H394" s="1007">
        <f>+H392/Inputs!G6</f>
        <v>0.24631852230166837</v>
      </c>
      <c r="I394" s="1007">
        <f>+I392/Inputs!H6</f>
        <v>0.28855365953947371</v>
      </c>
      <c r="J394" s="1007">
        <f>+J392/Inputs!I6</f>
        <v>0.29314859390594727</v>
      </c>
      <c r="K394" s="1007">
        <f>+K392/Inputs!J6</f>
        <v>0.24949516086842796</v>
      </c>
      <c r="L394" s="1013">
        <f>+L392/Inputs!K6</f>
        <v>0.25344528083381584</v>
      </c>
      <c r="M394" s="1008">
        <f>+AVERAGE((C394:E394))</f>
        <v>0.26650795471108846</v>
      </c>
      <c r="N394" s="1008">
        <f>+AVERAGE(C394:G394)</f>
        <v>0.28617107183153856</v>
      </c>
      <c r="O394" s="1008">
        <f>+AVERAGE(C394:L394)</f>
        <v>0.27618165766070263</v>
      </c>
      <c r="P394" s="1009">
        <f>+AVERAGE(G394:L394,C394:D394)</f>
        <v>0.25891376346936318</v>
      </c>
    </row>
    <row r="395" spans="2:45" ht="13.5" outlineLevel="1">
      <c r="B395" s="792"/>
      <c r="C395" s="853"/>
    </row>
    <row r="396" spans="2:45" outlineLevel="1">
      <c r="B396" s="1001" t="s">
        <v>805</v>
      </c>
      <c r="C396" s="1002">
        <f>C379</f>
        <v>2024</v>
      </c>
      <c r="D396" s="1002">
        <f t="shared" ref="D396:AB396" si="289">D379</f>
        <v>2025</v>
      </c>
      <c r="E396" s="1002">
        <f t="shared" si="289"/>
        <v>2026</v>
      </c>
      <c r="F396" s="1002">
        <f t="shared" si="289"/>
        <v>2027</v>
      </c>
      <c r="G396" s="1002">
        <f t="shared" si="289"/>
        <v>2028</v>
      </c>
      <c r="H396" s="1002">
        <f t="shared" si="289"/>
        <v>2029</v>
      </c>
      <c r="I396" s="1002">
        <f t="shared" si="289"/>
        <v>2030</v>
      </c>
      <c r="J396" s="1002">
        <f t="shared" si="289"/>
        <v>2031</v>
      </c>
      <c r="K396" s="1002">
        <f t="shared" si="289"/>
        <v>2032</v>
      </c>
      <c r="L396" s="1002">
        <f t="shared" si="289"/>
        <v>2033</v>
      </c>
      <c r="M396" s="1002">
        <f t="shared" si="289"/>
        <v>2034</v>
      </c>
      <c r="N396" s="1002">
        <f t="shared" si="289"/>
        <v>2035</v>
      </c>
      <c r="O396" s="1002">
        <f t="shared" si="289"/>
        <v>2036</v>
      </c>
      <c r="P396" s="1002">
        <f t="shared" si="289"/>
        <v>2037</v>
      </c>
      <c r="Q396" s="1002">
        <f t="shared" si="289"/>
        <v>2038</v>
      </c>
      <c r="R396" s="1002">
        <f t="shared" si="289"/>
        <v>2039</v>
      </c>
      <c r="S396" s="1002">
        <f t="shared" si="289"/>
        <v>2040</v>
      </c>
      <c r="T396" s="1002">
        <f t="shared" si="289"/>
        <v>2041</v>
      </c>
      <c r="U396" s="1002">
        <f t="shared" si="289"/>
        <v>2042</v>
      </c>
      <c r="V396" s="1002">
        <f t="shared" si="289"/>
        <v>2043</v>
      </c>
      <c r="W396" s="1002">
        <f t="shared" si="289"/>
        <v>2044</v>
      </c>
      <c r="X396" s="1002">
        <f t="shared" si="289"/>
        <v>2045</v>
      </c>
      <c r="Y396" s="1002">
        <f t="shared" si="289"/>
        <v>2046</v>
      </c>
      <c r="Z396" s="1002">
        <f t="shared" si="289"/>
        <v>2047</v>
      </c>
      <c r="AA396" s="1002">
        <f t="shared" si="289"/>
        <v>2048</v>
      </c>
      <c r="AB396" s="1003">
        <f t="shared" si="289"/>
        <v>2049</v>
      </c>
    </row>
    <row r="397" spans="2:45" outlineLevel="1">
      <c r="B397" s="963" t="s">
        <v>1070</v>
      </c>
      <c r="C397" s="1071">
        <f t="shared" ref="C397:AB397" si="290">+C379*$C$404+$C$405</f>
        <v>8410.7600000000093</v>
      </c>
      <c r="D397" s="1071">
        <f t="shared" si="290"/>
        <v>8805.25</v>
      </c>
      <c r="E397" s="1071">
        <f t="shared" si="290"/>
        <v>9199.7399999999907</v>
      </c>
      <c r="F397" s="1071">
        <f t="shared" si="290"/>
        <v>9594.2299999999814</v>
      </c>
      <c r="G397" s="1071">
        <f t="shared" si="290"/>
        <v>9988.7199999999721</v>
      </c>
      <c r="H397" s="1071">
        <f t="shared" si="290"/>
        <v>10383.209999999963</v>
      </c>
      <c r="I397" s="1071">
        <f t="shared" si="290"/>
        <v>10777.70000000007</v>
      </c>
      <c r="J397" s="1071">
        <f t="shared" si="290"/>
        <v>11172.190000000061</v>
      </c>
      <c r="K397" s="1071">
        <f t="shared" si="290"/>
        <v>11566.680000000051</v>
      </c>
      <c r="L397" s="1071">
        <f t="shared" si="290"/>
        <v>11961.170000000042</v>
      </c>
      <c r="M397" s="1071">
        <f t="shared" si="290"/>
        <v>12355.660000000033</v>
      </c>
      <c r="N397" s="1071">
        <f t="shared" si="290"/>
        <v>12750.150000000023</v>
      </c>
      <c r="O397" s="1071">
        <f t="shared" si="290"/>
        <v>13144.640000000014</v>
      </c>
      <c r="P397" s="1071">
        <f t="shared" si="290"/>
        <v>13539.130000000005</v>
      </c>
      <c r="Q397" s="1071">
        <f t="shared" si="290"/>
        <v>13933.619999999995</v>
      </c>
      <c r="R397" s="1071">
        <f t="shared" si="290"/>
        <v>14328.109999999986</v>
      </c>
      <c r="S397" s="1071">
        <f t="shared" si="290"/>
        <v>14722.599999999977</v>
      </c>
      <c r="T397" s="1071">
        <f t="shared" si="290"/>
        <v>15117.089999999967</v>
      </c>
      <c r="U397" s="1071">
        <f t="shared" si="290"/>
        <v>15511.580000000075</v>
      </c>
      <c r="V397" s="1071">
        <f t="shared" si="290"/>
        <v>15906.070000000065</v>
      </c>
      <c r="W397" s="1071">
        <f t="shared" si="290"/>
        <v>16300.560000000056</v>
      </c>
      <c r="X397" s="1071">
        <f t="shared" si="290"/>
        <v>16695.050000000047</v>
      </c>
      <c r="Y397" s="1071">
        <f t="shared" si="290"/>
        <v>17089.540000000037</v>
      </c>
      <c r="Z397" s="1071">
        <f t="shared" si="290"/>
        <v>17484.030000000028</v>
      </c>
      <c r="AA397" s="1071">
        <f t="shared" si="290"/>
        <v>17878.520000000019</v>
      </c>
      <c r="AB397" s="1072">
        <f t="shared" si="290"/>
        <v>18273.010000000009</v>
      </c>
    </row>
    <row r="398" spans="2:45" ht="13.5" outlineLevel="1">
      <c r="B398" s="964" t="s">
        <v>1072</v>
      </c>
      <c r="C398" s="747" t="s">
        <v>285</v>
      </c>
      <c r="D398" s="1011">
        <f t="shared" ref="D398:N398" si="291">+D397/C397-1</f>
        <v>4.6903014709727797E-2</v>
      </c>
      <c r="E398" s="1011">
        <f t="shared" si="291"/>
        <v>4.4801680815421463E-2</v>
      </c>
      <c r="F398" s="1011">
        <f t="shared" si="291"/>
        <v>4.2880559667989537E-2</v>
      </c>
      <c r="G398" s="1011">
        <f t="shared" si="291"/>
        <v>4.1117421616950089E-2</v>
      </c>
      <c r="H398" s="1011">
        <f t="shared" si="291"/>
        <v>3.9493548722958627E-2</v>
      </c>
      <c r="I398" s="1011">
        <f t="shared" si="291"/>
        <v>3.7993067654425561E-2</v>
      </c>
      <c r="J398" s="1011">
        <f t="shared" si="291"/>
        <v>3.6602429089693356E-2</v>
      </c>
      <c r="K398" s="1011">
        <f t="shared" si="291"/>
        <v>3.5309997413218719E-2</v>
      </c>
      <c r="L398" s="1011">
        <f t="shared" si="291"/>
        <v>3.4105724373803881E-2</v>
      </c>
      <c r="M398" s="1011">
        <f t="shared" si="291"/>
        <v>3.2980887321222729E-2</v>
      </c>
      <c r="N398" s="1011">
        <f t="shared" si="291"/>
        <v>3.1927877588084241E-2</v>
      </c>
      <c r="O398" s="1011">
        <f t="shared" ref="O398" si="292">+O397/N397-1</f>
        <v>3.094002815653063E-2</v>
      </c>
      <c r="P398" s="1011">
        <f t="shared" ref="P398" si="293">+P397/O397-1</f>
        <v>3.0011472356792579E-2</v>
      </c>
      <c r="Q398" s="1011">
        <f t="shared" ref="Q398" si="294">+Q397/P397-1</f>
        <v>2.9137027268368865E-2</v>
      </c>
      <c r="R398" s="1011">
        <f>+R397/Q397-1</f>
        <v>2.8312096928148733E-2</v>
      </c>
      <c r="S398" s="1011">
        <f t="shared" ref="S398" si="295">+S397/R397-1</f>
        <v>2.7532591528121264E-2</v>
      </c>
      <c r="T398" s="1011">
        <f t="shared" ref="T398" si="296">+T397/S397-1</f>
        <v>2.6794859603602061E-2</v>
      </c>
      <c r="U398" s="1011">
        <f t="shared" ref="U398" si="297">+U397/T397-1</f>
        <v>2.609563083901123E-2</v>
      </c>
      <c r="V398" s="1011">
        <f t="shared" ref="V398" si="298">+V397/U397-1</f>
        <v>2.5431967600978655E-2</v>
      </c>
      <c r="W398" s="1011">
        <f t="shared" ref="W398" si="299">+W397/V397-1</f>
        <v>2.480122368378801E-2</v>
      </c>
      <c r="X398" s="1011">
        <f t="shared" ref="X398" si="300">+X397/W397-1</f>
        <v>2.4201009045087263E-2</v>
      </c>
      <c r="Y398" s="1011">
        <f t="shared" ref="Y398" si="301">+Y397/X397-1</f>
        <v>2.3629159541300515E-2</v>
      </c>
      <c r="Z398" s="1011">
        <f t="shared" ref="Z398" si="302">+Z397/Y397-1</f>
        <v>2.3083710854709283E-2</v>
      </c>
      <c r="AA398" s="1011">
        <f t="shared" ref="AA398" si="303">+AA397/Z397-1</f>
        <v>2.256287595022366E-2</v>
      </c>
      <c r="AB398" s="1012">
        <f t="shared" ref="AB398" si="304">+AB397/AA397-1</f>
        <v>2.2065025516653014E-2</v>
      </c>
    </row>
    <row r="399" spans="2:45" ht="13.5" outlineLevel="1">
      <c r="B399" s="965" t="s">
        <v>1071</v>
      </c>
      <c r="C399" s="1007">
        <f>+C397/DCF!G6</f>
        <v>0.23463643593679909</v>
      </c>
      <c r="D399" s="1007">
        <f>+D397/DCF!H6</f>
        <v>0.22820237337209798</v>
      </c>
      <c r="E399" s="1007">
        <f>+E397/DCF!I6</f>
        <v>0.22685101859528106</v>
      </c>
      <c r="F399" s="1007">
        <f>+F397/DCF!J6</f>
        <v>0.22538517492882837</v>
      </c>
      <c r="G399" s="1007">
        <f>+G397/DCF!K6</f>
        <v>0.22620006920842523</v>
      </c>
      <c r="H399" s="1007">
        <f>+H397/DCF!L6</f>
        <v>0.22520034931662244</v>
      </c>
      <c r="I399" s="1007">
        <f>+I397/DCF!M6</f>
        <v>0.22847347029680132</v>
      </c>
      <c r="J399" s="1007">
        <f>+J397/DCF!N6</f>
        <v>0.23156186631104739</v>
      </c>
      <c r="K399" s="1007">
        <f>+K397/DCF!O6</f>
        <v>0.23355274176942317</v>
      </c>
      <c r="L399" s="1007">
        <f>+L397/DCF!P6</f>
        <v>0.22819596308661827</v>
      </c>
      <c r="M399" s="1007">
        <f>+M397/DCF!Q6</f>
        <v>0.21127242005202285</v>
      </c>
      <c r="N399" s="1007">
        <f>+N397/DCF!R6</f>
        <v>0.19757132653129256</v>
      </c>
      <c r="O399" s="1007">
        <f>+O397/DCF!S6</f>
        <v>0.18326413650730647</v>
      </c>
      <c r="P399" s="1007">
        <f>+P397/DCF!T6</f>
        <v>0.16400746014612966</v>
      </c>
      <c r="Q399" s="1007">
        <f>+Q397/DCF!U6</f>
        <v>0.14772480866353108</v>
      </c>
      <c r="R399" s="1007">
        <f>+R397/DCF!V6</f>
        <v>0.14054698605435678</v>
      </c>
      <c r="S399" s="1007">
        <f>+S397/DCF!W6</f>
        <v>0.14715422991411001</v>
      </c>
      <c r="T399" s="1007">
        <f>+T397/DCF!X6</f>
        <v>0.15480433782001307</v>
      </c>
      <c r="U399" s="1007">
        <f>+U397/DCF!Y6</f>
        <v>0.16202013601380444</v>
      </c>
      <c r="V399" s="1007">
        <f>+V397/DCF!Z6</f>
        <v>0.16507038293767096</v>
      </c>
      <c r="W399" s="1007">
        <f>+W397/DCF!AA6</f>
        <v>0.16784015552136863</v>
      </c>
      <c r="X399" s="1007">
        <f>+X397/DCF!AB6</f>
        <v>0.16224474190938082</v>
      </c>
      <c r="Y399" s="1007">
        <f>+Y397/DCF!AC6</f>
        <v>0.14853805811494583</v>
      </c>
      <c r="Z399" s="1007">
        <f>+Z397/DCF!AD6</f>
        <v>0.13706707229400378</v>
      </c>
      <c r="AA399" s="1007">
        <f>+AA397/DCF!AE6</f>
        <v>0.12963121887145101</v>
      </c>
      <c r="AB399" s="1013">
        <f>+AB397/DCF!AF6</f>
        <v>0.12989366178784745</v>
      </c>
    </row>
    <row r="400" spans="2:45" ht="13.5" outlineLevel="1">
      <c r="B400" s="792"/>
      <c r="C400" s="853"/>
      <c r="F400" s="748" t="s">
        <v>1073</v>
      </c>
      <c r="AB400" s="443" t="s">
        <v>1074</v>
      </c>
    </row>
    <row r="401" spans="2:3" ht="13.5" outlineLevel="1">
      <c r="B401" s="792"/>
      <c r="C401" s="853"/>
    </row>
    <row r="402" spans="2:3" ht="13.5" outlineLevel="1">
      <c r="B402" s="792"/>
      <c r="C402" s="853"/>
    </row>
    <row r="403" spans="2:3" ht="13.5" outlineLevel="1">
      <c r="B403" s="792"/>
      <c r="C403" s="853"/>
    </row>
    <row r="404" spans="2:3" outlineLevel="1">
      <c r="B404" s="1056" t="s">
        <v>1075</v>
      </c>
      <c r="C404" s="1087">
        <v>394.49</v>
      </c>
    </row>
    <row r="405" spans="2:3" outlineLevel="1">
      <c r="B405" s="1057" t="s">
        <v>1076</v>
      </c>
      <c r="C405" s="1057">
        <v>-790037</v>
      </c>
    </row>
    <row r="406" spans="2:3" ht="13.5" outlineLevel="1">
      <c r="B406" s="792"/>
      <c r="C406" s="853"/>
    </row>
    <row r="407" spans="2:3" ht="13.5" outlineLevel="1">
      <c r="B407" s="792"/>
      <c r="C407" s="853"/>
    </row>
    <row r="408" spans="2:3" ht="13.5" outlineLevel="1">
      <c r="B408" s="792"/>
      <c r="C408" s="853"/>
    </row>
    <row r="409" spans="2:3" ht="13.5" outlineLevel="1">
      <c r="B409" s="792"/>
      <c r="C409" s="853"/>
    </row>
    <row r="410" spans="2:3" ht="13.5" outlineLevel="1">
      <c r="B410" s="792"/>
      <c r="C410" s="853"/>
    </row>
    <row r="411" spans="2:3" ht="13.5" outlineLevel="1">
      <c r="B411" s="792"/>
      <c r="C411" s="853"/>
    </row>
    <row r="412" spans="2:3" ht="13.5" outlineLevel="1">
      <c r="B412" s="792"/>
      <c r="C412" s="853"/>
    </row>
    <row r="413" spans="2:3" ht="13.5" outlineLevel="1">
      <c r="B413" s="792"/>
      <c r="C413" s="853"/>
    </row>
    <row r="414" spans="2:3" ht="13.5" outlineLevel="1">
      <c r="B414" s="792"/>
      <c r="C414" s="853"/>
    </row>
    <row r="415" spans="2:3" ht="13.5" outlineLevel="1">
      <c r="B415" s="792"/>
      <c r="C415" s="853"/>
    </row>
    <row r="416" spans="2:3" ht="13.5" outlineLevel="1">
      <c r="B416" s="792"/>
      <c r="C416" s="853"/>
    </row>
    <row r="417" spans="2:3" ht="13.5" outlineLevel="1">
      <c r="B417" s="792"/>
      <c r="C417" s="853"/>
    </row>
    <row r="418" spans="2:3" ht="13.5" outlineLevel="1">
      <c r="B418" s="792"/>
      <c r="C418" s="853"/>
    </row>
    <row r="419" spans="2:3" ht="13.5" outlineLevel="1">
      <c r="B419" s="792"/>
      <c r="C419" s="853"/>
    </row>
    <row r="420" spans="2:3" ht="13.5" outlineLevel="1">
      <c r="B420" s="792"/>
      <c r="C420" s="853"/>
    </row>
    <row r="421" spans="2:3" ht="13.5" outlineLevel="1">
      <c r="B421" s="792"/>
      <c r="C421" s="853"/>
    </row>
    <row r="422" spans="2:3" ht="13.5" outlineLevel="1">
      <c r="B422" s="792"/>
      <c r="C422" s="853"/>
    </row>
    <row r="423" spans="2:3" ht="13.5" outlineLevel="1">
      <c r="B423" s="792"/>
      <c r="C423" s="853"/>
    </row>
    <row r="424" spans="2:3" ht="13.5" outlineLevel="1">
      <c r="B424" s="792"/>
      <c r="C424" s="853"/>
    </row>
    <row r="425" spans="2:3" ht="13.5" outlineLevel="1">
      <c r="B425" s="792"/>
      <c r="C425" s="853"/>
    </row>
    <row r="426" spans="2:3" ht="13.5" outlineLevel="1">
      <c r="B426" s="792"/>
      <c r="C426" s="853"/>
    </row>
    <row r="427" spans="2:3" ht="13.5" outlineLevel="1">
      <c r="B427" s="792"/>
      <c r="C427" s="853"/>
    </row>
    <row r="428" spans="2:3" ht="13.5" outlineLevel="1">
      <c r="B428" s="792"/>
      <c r="C428" s="853"/>
    </row>
    <row r="429" spans="2:3" ht="13.5" outlineLevel="1">
      <c r="B429" s="792"/>
      <c r="C429" s="853"/>
    </row>
    <row r="430" spans="2:3" ht="13.5" outlineLevel="1">
      <c r="B430" s="792"/>
      <c r="C430" s="853"/>
    </row>
    <row r="431" spans="2:3" ht="13.5" outlineLevel="1">
      <c r="B431" s="792"/>
      <c r="C431" s="853"/>
    </row>
    <row r="432" spans="2:3" ht="13.5" outlineLevel="1">
      <c r="B432" s="792"/>
      <c r="C432" s="853"/>
    </row>
    <row r="433" spans="2:3" ht="13.5" outlineLevel="1">
      <c r="B433" s="792"/>
      <c r="C433" s="853"/>
    </row>
    <row r="434" spans="2:3" ht="13.5" outlineLevel="1">
      <c r="B434" s="792"/>
      <c r="C434" s="853"/>
    </row>
    <row r="435" spans="2:3" ht="13.5" outlineLevel="1">
      <c r="B435" s="792"/>
      <c r="C435" s="853"/>
    </row>
    <row r="436" spans="2:3" ht="13.5" outlineLevel="1">
      <c r="B436" s="792"/>
      <c r="C436" s="853"/>
    </row>
    <row r="437" spans="2:3" ht="13.5" outlineLevel="1">
      <c r="B437" s="792"/>
      <c r="C437" s="853"/>
    </row>
    <row r="438" spans="2:3" ht="13.5" outlineLevel="1">
      <c r="B438" s="792"/>
      <c r="C438" s="853"/>
    </row>
    <row r="439" spans="2:3" ht="13.5" outlineLevel="1">
      <c r="B439" s="792"/>
      <c r="C439" s="853"/>
    </row>
    <row r="440" spans="2:3" ht="13.5" outlineLevel="1">
      <c r="B440" s="792"/>
      <c r="C440" s="853"/>
    </row>
    <row r="441" spans="2:3" ht="13.5" outlineLevel="1">
      <c r="B441" s="792"/>
      <c r="C441" s="853"/>
    </row>
    <row r="442" spans="2:3" ht="13.5" outlineLevel="1">
      <c r="B442" s="792"/>
      <c r="C442" s="853"/>
    </row>
    <row r="443" spans="2:3" ht="13.5" outlineLevel="1">
      <c r="B443" s="792"/>
      <c r="C443" s="853"/>
    </row>
    <row r="444" spans="2:3" ht="13.5" outlineLevel="1">
      <c r="B444" s="792"/>
      <c r="C444" s="853"/>
    </row>
    <row r="445" spans="2:3" ht="13.5" outlineLevel="1">
      <c r="B445" s="792"/>
      <c r="C445" s="853"/>
    </row>
    <row r="446" spans="2:3" ht="13.5" outlineLevel="1">
      <c r="B446" s="792"/>
      <c r="C446" s="853"/>
    </row>
    <row r="447" spans="2:3" ht="13.5" outlineLevel="1">
      <c r="B447" s="792"/>
      <c r="C447" s="853"/>
    </row>
    <row r="448" spans="2:3" ht="13.5" outlineLevel="1">
      <c r="B448" s="792"/>
      <c r="C448" s="853"/>
    </row>
    <row r="449" spans="2:3" ht="13.5" outlineLevel="1">
      <c r="B449" s="792"/>
      <c r="C449" s="853"/>
    </row>
    <row r="450" spans="2:3" ht="13.5" outlineLevel="1">
      <c r="B450" s="792"/>
      <c r="C450" s="853"/>
    </row>
    <row r="451" spans="2:3" ht="13.5" outlineLevel="1">
      <c r="B451" s="792"/>
      <c r="C451" s="853"/>
    </row>
    <row r="452" spans="2:3" ht="13.5" outlineLevel="1">
      <c r="B452" s="792"/>
      <c r="C452" s="853"/>
    </row>
    <row r="453" spans="2:3" ht="13.5" outlineLevel="1">
      <c r="B453" s="792"/>
      <c r="C453" s="853"/>
    </row>
    <row r="454" spans="2:3" ht="13.5" outlineLevel="1">
      <c r="B454" s="792"/>
      <c r="C454" s="853"/>
    </row>
    <row r="455" spans="2:3" ht="13.5" outlineLevel="1">
      <c r="B455" s="792"/>
      <c r="C455" s="853"/>
    </row>
    <row r="456" spans="2:3" ht="13.5" outlineLevel="1">
      <c r="B456" s="792"/>
      <c r="C456" s="853"/>
    </row>
    <row r="457" spans="2:3" ht="13.5" outlineLevel="1">
      <c r="B457" s="792"/>
      <c r="C457" s="853"/>
    </row>
    <row r="458" spans="2:3" ht="13.5" outlineLevel="1">
      <c r="B458" s="792"/>
      <c r="C458" s="853"/>
    </row>
    <row r="459" spans="2:3" ht="13.5" outlineLevel="1">
      <c r="B459" s="792"/>
      <c r="C459" s="853"/>
    </row>
    <row r="460" spans="2:3" ht="13.5" outlineLevel="1">
      <c r="B460" s="792"/>
      <c r="C460" s="853"/>
    </row>
    <row r="461" spans="2:3" ht="13.5" outlineLevel="1">
      <c r="B461" s="792"/>
      <c r="C461" s="853"/>
    </row>
    <row r="462" spans="2:3" ht="13.5" outlineLevel="1">
      <c r="B462" s="792"/>
      <c r="C462" s="853"/>
    </row>
    <row r="463" spans="2:3" ht="13.5" outlineLevel="1">
      <c r="B463" s="792"/>
      <c r="C463" s="853"/>
    </row>
    <row r="464" spans="2:3" ht="13.5" outlineLevel="1">
      <c r="B464" s="792"/>
      <c r="C464" s="853"/>
    </row>
    <row r="465" spans="2:3" ht="13.5" outlineLevel="1">
      <c r="B465" s="792"/>
      <c r="C465" s="853"/>
    </row>
    <row r="466" spans="2:3" ht="13.5" outlineLevel="1">
      <c r="B466" s="792"/>
      <c r="C466" s="853"/>
    </row>
    <row r="467" spans="2:3" ht="13.5" outlineLevel="1">
      <c r="B467" s="792"/>
      <c r="C467" s="853"/>
    </row>
    <row r="468" spans="2:3" ht="13.5" outlineLevel="1">
      <c r="B468" s="792"/>
      <c r="C468" s="853"/>
    </row>
    <row r="469" spans="2:3" ht="13.5" outlineLevel="1">
      <c r="B469" s="792"/>
      <c r="C469" s="853"/>
    </row>
    <row r="470" spans="2:3" ht="13.5" outlineLevel="1">
      <c r="B470" s="792"/>
      <c r="C470" s="853"/>
    </row>
    <row r="471" spans="2:3" ht="13.5" outlineLevel="1">
      <c r="B471" s="792"/>
      <c r="C471" s="853"/>
    </row>
    <row r="472" spans="2:3" ht="13.5" outlineLevel="1">
      <c r="B472" s="792"/>
      <c r="C472" s="853"/>
    </row>
    <row r="473" spans="2:3" ht="13.5" outlineLevel="1">
      <c r="B473" s="792"/>
      <c r="C473" s="853"/>
    </row>
    <row r="474" spans="2:3" ht="13.5" outlineLevel="1">
      <c r="B474" s="792"/>
      <c r="C474" s="853"/>
    </row>
    <row r="475" spans="2:3" ht="13.5" outlineLevel="1">
      <c r="B475" s="792"/>
      <c r="C475" s="853"/>
    </row>
    <row r="476" spans="2:3" ht="13.5" outlineLevel="1">
      <c r="B476" s="792"/>
      <c r="C476" s="853"/>
    </row>
    <row r="477" spans="2:3" ht="13.5" outlineLevel="1">
      <c r="B477" s="792"/>
      <c r="C477" s="853"/>
    </row>
    <row r="478" spans="2:3" ht="13.5" outlineLevel="1">
      <c r="B478" s="792"/>
      <c r="C478" s="853"/>
    </row>
    <row r="479" spans="2:3" ht="13.5" outlineLevel="1">
      <c r="B479" s="792"/>
      <c r="C479" s="853"/>
    </row>
    <row r="480" spans="2:3" ht="13.5" outlineLevel="1">
      <c r="B480" s="792"/>
      <c r="C480" s="853"/>
    </row>
    <row r="481" spans="2:3" ht="13.5" outlineLevel="1">
      <c r="B481" s="792"/>
      <c r="C481" s="853"/>
    </row>
    <row r="482" spans="2:3" ht="13.5" outlineLevel="1">
      <c r="B482" s="792"/>
      <c r="C482" s="853"/>
    </row>
    <row r="483" spans="2:3" ht="13.5" outlineLevel="1">
      <c r="B483" s="792"/>
      <c r="C483" s="853"/>
    </row>
    <row r="484" spans="2:3" ht="13.5" outlineLevel="1">
      <c r="B484" s="792"/>
      <c r="C484" s="853"/>
    </row>
    <row r="485" spans="2:3" ht="13.5" outlineLevel="1">
      <c r="B485" s="792"/>
      <c r="C485" s="853"/>
    </row>
    <row r="486" spans="2:3" ht="13.5" outlineLevel="1">
      <c r="B486" s="792"/>
      <c r="C486" s="853"/>
    </row>
    <row r="487" spans="2:3" ht="13.5" outlineLevel="1">
      <c r="B487" s="792"/>
      <c r="C487" s="853"/>
    </row>
    <row r="488" spans="2:3" ht="13.5" outlineLevel="1">
      <c r="B488" s="792"/>
      <c r="C488" s="853"/>
    </row>
    <row r="489" spans="2:3" ht="13.5" outlineLevel="1">
      <c r="B489" s="792"/>
      <c r="C489" s="853"/>
    </row>
    <row r="490" spans="2:3" ht="13.5" outlineLevel="1">
      <c r="B490" s="792"/>
      <c r="C490" s="853"/>
    </row>
    <row r="491" spans="2:3" ht="13.5" outlineLevel="1">
      <c r="B491" s="792"/>
      <c r="C491" s="853"/>
    </row>
    <row r="492" spans="2:3" ht="13.5" outlineLevel="1">
      <c r="B492" s="792"/>
      <c r="C492" s="853"/>
    </row>
    <row r="493" spans="2:3" ht="13.5" outlineLevel="1">
      <c r="B493" s="792"/>
      <c r="C493" s="853"/>
    </row>
    <row r="494" spans="2:3" ht="13.5" outlineLevel="1">
      <c r="B494" s="792"/>
      <c r="C494" s="853"/>
    </row>
    <row r="495" spans="2:3" ht="13.5" outlineLevel="1">
      <c r="B495" s="792"/>
      <c r="C495" s="853"/>
    </row>
    <row r="496" spans="2:3" ht="13.5" outlineLevel="1">
      <c r="B496" s="792"/>
      <c r="C496" s="853"/>
    </row>
    <row r="497" spans="2:3" ht="13.5" outlineLevel="1">
      <c r="B497" s="792"/>
      <c r="C497" s="853"/>
    </row>
    <row r="498" spans="2:3" ht="13.5" outlineLevel="1">
      <c r="B498" s="792"/>
      <c r="C498" s="853"/>
    </row>
    <row r="499" spans="2:3" ht="13.5" outlineLevel="1">
      <c r="B499" s="792"/>
      <c r="C499" s="853"/>
    </row>
    <row r="500" spans="2:3" ht="13.5" outlineLevel="1">
      <c r="B500" s="792"/>
      <c r="C500" s="853"/>
    </row>
    <row r="501" spans="2:3" ht="13.5" outlineLevel="1">
      <c r="B501" s="792"/>
      <c r="C501" s="853"/>
    </row>
    <row r="502" spans="2:3" ht="13.5" outlineLevel="1">
      <c r="B502" s="792"/>
      <c r="C502" s="853"/>
    </row>
    <row r="503" spans="2:3" ht="13.5" outlineLevel="1">
      <c r="B503" s="792"/>
      <c r="C503" s="853"/>
    </row>
    <row r="504" spans="2:3" ht="13.5" outlineLevel="1">
      <c r="B504" s="792"/>
      <c r="C504" s="853"/>
    </row>
    <row r="505" spans="2:3" ht="13.5" outlineLevel="1">
      <c r="B505" s="792"/>
      <c r="C505" s="853"/>
    </row>
    <row r="506" spans="2:3" ht="13.5" outlineLevel="1">
      <c r="B506" s="792"/>
      <c r="C506" s="853"/>
    </row>
    <row r="507" spans="2:3" ht="13.5" outlineLevel="1">
      <c r="B507" s="792"/>
      <c r="C507" s="853"/>
    </row>
    <row r="508" spans="2:3" ht="13.5" outlineLevel="1">
      <c r="B508" s="792"/>
      <c r="C508" s="853"/>
    </row>
    <row r="509" spans="2:3" ht="13.5" outlineLevel="1">
      <c r="B509" s="792"/>
      <c r="C509" s="853"/>
    </row>
    <row r="510" spans="2:3" ht="13.5" outlineLevel="1">
      <c r="B510" s="792"/>
      <c r="C510" s="853"/>
    </row>
    <row r="511" spans="2:3" ht="13.5" outlineLevel="1">
      <c r="B511" s="792"/>
      <c r="C511" s="853"/>
    </row>
    <row r="512" spans="2:3" ht="13.5" outlineLevel="1">
      <c r="B512" s="792"/>
      <c r="C512" s="853"/>
    </row>
    <row r="513" spans="2:3" ht="13.5" outlineLevel="1">
      <c r="B513" s="792"/>
      <c r="C513" s="853"/>
    </row>
    <row r="514" spans="2:3" ht="13.5" outlineLevel="1">
      <c r="B514" s="792"/>
      <c r="C514" s="853"/>
    </row>
    <row r="515" spans="2:3" ht="13.5" outlineLevel="1">
      <c r="B515" s="792"/>
      <c r="C515" s="853"/>
    </row>
    <row r="516" spans="2:3" ht="13.5" outlineLevel="1">
      <c r="B516" s="792"/>
      <c r="C516" s="853"/>
    </row>
    <row r="517" spans="2:3" ht="13.5" outlineLevel="1">
      <c r="B517" s="792"/>
      <c r="C517" s="853"/>
    </row>
    <row r="518" spans="2:3" ht="13.5" outlineLevel="1">
      <c r="B518" s="792"/>
      <c r="C518" s="853"/>
    </row>
    <row r="519" spans="2:3" ht="13.5" outlineLevel="1">
      <c r="B519" s="792"/>
      <c r="C519" s="853"/>
    </row>
    <row r="520" spans="2:3" ht="13.5" outlineLevel="1">
      <c r="B520" s="792"/>
      <c r="C520" s="853"/>
    </row>
    <row r="521" spans="2:3" ht="13.5" outlineLevel="1">
      <c r="B521" s="792"/>
      <c r="C521" s="853"/>
    </row>
    <row r="522" spans="2:3" ht="13.5" outlineLevel="1">
      <c r="B522" s="792"/>
      <c r="C522" s="853"/>
    </row>
    <row r="523" spans="2:3" ht="13.5" outlineLevel="1">
      <c r="B523" s="792"/>
      <c r="C523" s="853"/>
    </row>
    <row r="524" spans="2:3" ht="13.5" outlineLevel="1">
      <c r="B524" s="792"/>
      <c r="C524" s="853"/>
    </row>
    <row r="525" spans="2:3" ht="13.5" outlineLevel="1">
      <c r="B525" s="792"/>
      <c r="C525" s="853"/>
    </row>
    <row r="526" spans="2:3" ht="13.5" outlineLevel="1">
      <c r="B526" s="792"/>
      <c r="C526" s="853"/>
    </row>
    <row r="527" spans="2:3" ht="13.5" outlineLevel="1">
      <c r="B527" s="792"/>
      <c r="C527" s="853"/>
    </row>
    <row r="528" spans="2:3" ht="13.5" outlineLevel="1">
      <c r="B528" s="792"/>
      <c r="C528" s="853"/>
    </row>
    <row r="529" spans="2:3" ht="13.5" outlineLevel="1">
      <c r="B529" s="792"/>
      <c r="C529" s="853"/>
    </row>
    <row r="530" spans="2:3" ht="13.5" outlineLevel="1">
      <c r="B530" s="792"/>
      <c r="C530" s="853"/>
    </row>
    <row r="531" spans="2:3" ht="13.5" outlineLevel="1">
      <c r="B531" s="792"/>
      <c r="C531" s="853"/>
    </row>
    <row r="532" spans="2:3" ht="13.5" outlineLevel="1">
      <c r="B532" s="792"/>
      <c r="C532" s="853"/>
    </row>
    <row r="533" spans="2:3" ht="13.5" outlineLevel="1">
      <c r="B533" s="792"/>
      <c r="C533" s="853"/>
    </row>
    <row r="534" spans="2:3" ht="13.5" outlineLevel="1">
      <c r="B534" s="792"/>
      <c r="C534" s="853"/>
    </row>
    <row r="535" spans="2:3" ht="13.5" outlineLevel="1">
      <c r="B535" s="792"/>
      <c r="C535" s="853"/>
    </row>
    <row r="536" spans="2:3" ht="13.5" outlineLevel="1">
      <c r="B536" s="792"/>
      <c r="C536" s="853"/>
    </row>
    <row r="537" spans="2:3" ht="13.5" outlineLevel="1">
      <c r="B537" s="792"/>
      <c r="C537" s="853"/>
    </row>
    <row r="538" spans="2:3" ht="13.5" outlineLevel="1">
      <c r="B538" s="792"/>
      <c r="C538" s="853"/>
    </row>
    <row r="539" spans="2:3" ht="13.5" outlineLevel="1">
      <c r="B539" s="792"/>
      <c r="C539" s="853"/>
    </row>
    <row r="540" spans="2:3" ht="13.5" outlineLevel="1">
      <c r="B540" s="792"/>
      <c r="C540" s="853"/>
    </row>
    <row r="541" spans="2:3" ht="13.5" outlineLevel="1">
      <c r="B541" s="792"/>
      <c r="C541" s="853"/>
    </row>
    <row r="542" spans="2:3" ht="13.5" outlineLevel="1">
      <c r="B542" s="792"/>
      <c r="C542" s="853"/>
    </row>
    <row r="543" spans="2:3" ht="13.5" outlineLevel="1">
      <c r="B543" s="792"/>
      <c r="C543" s="853"/>
    </row>
    <row r="544" spans="2:3" ht="13.5" outlineLevel="1">
      <c r="B544" s="792"/>
      <c r="C544" s="853"/>
    </row>
    <row r="545" spans="2:3" ht="13.5" outlineLevel="1">
      <c r="B545" s="792"/>
      <c r="C545" s="853"/>
    </row>
    <row r="546" spans="2:3" ht="13.5" outlineLevel="1">
      <c r="B546" s="792"/>
      <c r="C546" s="853"/>
    </row>
    <row r="547" spans="2:3" ht="13.5" outlineLevel="1">
      <c r="B547" s="792"/>
      <c r="C547" s="853"/>
    </row>
    <row r="548" spans="2:3" ht="13.5" outlineLevel="1">
      <c r="B548" s="792"/>
      <c r="C548" s="853"/>
    </row>
    <row r="549" spans="2:3" ht="13.5" outlineLevel="1">
      <c r="B549" s="792"/>
      <c r="C549" s="853"/>
    </row>
    <row r="550" spans="2:3" ht="13.5" outlineLevel="1">
      <c r="B550" s="792"/>
      <c r="C550" s="853"/>
    </row>
    <row r="551" spans="2:3" ht="13.5" outlineLevel="1">
      <c r="B551" s="792"/>
      <c r="C551" s="853"/>
    </row>
    <row r="552" spans="2:3" ht="13.5" outlineLevel="1">
      <c r="B552" s="792"/>
      <c r="C552" s="853"/>
    </row>
    <row r="553" spans="2:3" ht="13.5" outlineLevel="1">
      <c r="B553" s="792"/>
      <c r="C553" s="853"/>
    </row>
    <row r="554" spans="2:3" ht="13.5" outlineLevel="1">
      <c r="B554" s="792"/>
      <c r="C554" s="853"/>
    </row>
    <row r="555" spans="2:3" ht="13.5" outlineLevel="1">
      <c r="B555" s="792"/>
      <c r="C555" s="853"/>
    </row>
    <row r="556" spans="2:3" ht="13.5" outlineLevel="1">
      <c r="B556" s="792"/>
      <c r="C556" s="853"/>
    </row>
    <row r="557" spans="2:3" ht="13.5" outlineLevel="1">
      <c r="B557" s="792"/>
      <c r="C557" s="853"/>
    </row>
    <row r="558" spans="2:3" ht="13.5" outlineLevel="1">
      <c r="B558" s="792"/>
      <c r="C558" s="853"/>
    </row>
    <row r="559" spans="2:3" ht="13.5" outlineLevel="1">
      <c r="B559" s="792"/>
      <c r="C559" s="853"/>
    </row>
    <row r="560" spans="2:3" ht="13.5" outlineLevel="1">
      <c r="B560" s="792"/>
      <c r="C560" s="853"/>
    </row>
    <row r="561" spans="2:3" ht="13.5" outlineLevel="1">
      <c r="B561" s="792"/>
      <c r="C561" s="853"/>
    </row>
    <row r="562" spans="2:3" ht="13.5" outlineLevel="1">
      <c r="B562" s="792"/>
      <c r="C562" s="853"/>
    </row>
    <row r="563" spans="2:3" ht="13.5" outlineLevel="1">
      <c r="B563" s="792"/>
      <c r="C563" s="853"/>
    </row>
    <row r="564" spans="2:3" ht="13.5" outlineLevel="1">
      <c r="B564" s="792"/>
      <c r="C564" s="853"/>
    </row>
    <row r="565" spans="2:3" ht="13.5" outlineLevel="1">
      <c r="B565" s="792"/>
      <c r="C565" s="853"/>
    </row>
    <row r="566" spans="2:3" ht="13.5" outlineLevel="1">
      <c r="B566" s="792"/>
      <c r="C566" s="853"/>
    </row>
    <row r="567" spans="2:3" ht="13.5" outlineLevel="1">
      <c r="B567" s="792"/>
      <c r="C567" s="853"/>
    </row>
    <row r="568" spans="2:3" ht="13.5" outlineLevel="1">
      <c r="B568" s="792"/>
      <c r="C568" s="853"/>
    </row>
    <row r="569" spans="2:3" ht="13.5" outlineLevel="1">
      <c r="B569" s="792"/>
      <c r="C569" s="853"/>
    </row>
    <row r="570" spans="2:3" ht="13.5" outlineLevel="1">
      <c r="B570" s="792"/>
      <c r="C570" s="853"/>
    </row>
    <row r="571" spans="2:3" ht="13.5" outlineLevel="1">
      <c r="B571" s="792"/>
      <c r="C571" s="853"/>
    </row>
    <row r="572" spans="2:3" ht="13.5" outlineLevel="1">
      <c r="B572" s="792"/>
      <c r="C572" s="853"/>
    </row>
    <row r="573" spans="2:3" ht="13.5" outlineLevel="1">
      <c r="B573" s="792"/>
      <c r="C573" s="853"/>
    </row>
    <row r="574" spans="2:3" ht="13.5" outlineLevel="1">
      <c r="B574" s="792"/>
      <c r="C574" s="853"/>
    </row>
    <row r="575" spans="2:3" ht="13.5" outlineLevel="1">
      <c r="B575" s="792"/>
      <c r="C575" s="853"/>
    </row>
    <row r="576" spans="2:3" ht="13.5" outlineLevel="1">
      <c r="B576" s="792"/>
      <c r="C576" s="853"/>
    </row>
    <row r="577" spans="2:3" ht="13.5" outlineLevel="1">
      <c r="B577" s="792"/>
      <c r="C577" s="853"/>
    </row>
    <row r="578" spans="2:3" ht="13.5" outlineLevel="1">
      <c r="B578" s="792"/>
      <c r="C578" s="853"/>
    </row>
    <row r="579" spans="2:3" ht="13.5" outlineLevel="1">
      <c r="B579" s="792"/>
      <c r="C579" s="853"/>
    </row>
    <row r="580" spans="2:3" ht="13.5" outlineLevel="1">
      <c r="B580" s="792"/>
      <c r="C580" s="853"/>
    </row>
    <row r="581" spans="2:3" ht="13.5" outlineLevel="1">
      <c r="B581" s="792"/>
      <c r="C581" s="853"/>
    </row>
    <row r="582" spans="2:3" ht="13.5" outlineLevel="1">
      <c r="B582" s="792"/>
      <c r="C582" s="853"/>
    </row>
    <row r="583" spans="2:3" ht="13.5" outlineLevel="1">
      <c r="B583" s="792"/>
      <c r="C583" s="853"/>
    </row>
    <row r="584" spans="2:3" ht="13.5" outlineLevel="1">
      <c r="B584" s="792"/>
      <c r="C584" s="853"/>
    </row>
    <row r="585" spans="2:3" ht="13.5" outlineLevel="1">
      <c r="B585" s="792"/>
      <c r="C585" s="853"/>
    </row>
    <row r="586" spans="2:3" ht="13.5" outlineLevel="1">
      <c r="B586" s="792"/>
      <c r="C586" s="853"/>
    </row>
    <row r="587" spans="2:3" ht="13.5" outlineLevel="1">
      <c r="B587" s="792"/>
      <c r="C587" s="853"/>
    </row>
    <row r="588" spans="2:3" ht="13.5" outlineLevel="1">
      <c r="B588" s="792"/>
      <c r="C588" s="853"/>
    </row>
    <row r="589" spans="2:3" ht="13.5" outlineLevel="1">
      <c r="B589" s="792"/>
      <c r="C589" s="853"/>
    </row>
    <row r="590" spans="2:3" ht="13.5" outlineLevel="1">
      <c r="B590" s="792"/>
      <c r="C590" s="853"/>
    </row>
    <row r="591" spans="2:3" ht="13.5" outlineLevel="1">
      <c r="B591" s="792"/>
      <c r="C591" s="853"/>
    </row>
    <row r="592" spans="2:3" ht="13.5" outlineLevel="1">
      <c r="B592" s="792"/>
      <c r="C592" s="853"/>
    </row>
    <row r="593" spans="2:3" ht="13.5" outlineLevel="1">
      <c r="B593" s="792"/>
      <c r="C593" s="853"/>
    </row>
    <row r="594" spans="2:3" ht="13.5" outlineLevel="1">
      <c r="B594" s="792"/>
      <c r="C594" s="853"/>
    </row>
    <row r="595" spans="2:3" ht="13.5" outlineLevel="1">
      <c r="B595" s="792"/>
      <c r="C595" s="853"/>
    </row>
    <row r="596" spans="2:3" ht="13.5" outlineLevel="1">
      <c r="B596" s="792"/>
      <c r="C596" s="853"/>
    </row>
    <row r="597" spans="2:3" ht="13.5" outlineLevel="1">
      <c r="B597" s="792"/>
      <c r="C597" s="853"/>
    </row>
    <row r="598" spans="2:3" ht="13.5" outlineLevel="1">
      <c r="B598" s="792"/>
      <c r="C598" s="853"/>
    </row>
    <row r="599" spans="2:3" ht="13.5" outlineLevel="1">
      <c r="B599" s="792"/>
      <c r="C599" s="853"/>
    </row>
    <row r="600" spans="2:3" ht="13.5" outlineLevel="1">
      <c r="B600" s="792"/>
      <c r="C600" s="853"/>
    </row>
    <row r="601" spans="2:3" ht="13.5" outlineLevel="1">
      <c r="B601" s="792"/>
      <c r="C601" s="853"/>
    </row>
    <row r="602" spans="2:3" ht="13.5" outlineLevel="1">
      <c r="B602" s="792"/>
      <c r="C602" s="853"/>
    </row>
    <row r="603" spans="2:3" ht="13.5" outlineLevel="1">
      <c r="B603" s="792"/>
      <c r="C603" s="853"/>
    </row>
    <row r="604" spans="2:3" ht="13.5" outlineLevel="1">
      <c r="B604" s="792"/>
      <c r="C604" s="853"/>
    </row>
    <row r="605" spans="2:3" ht="13.5" outlineLevel="1">
      <c r="B605" s="792"/>
      <c r="C605" s="853"/>
    </row>
    <row r="606" spans="2:3" ht="13.5" outlineLevel="1">
      <c r="B606" s="792"/>
      <c r="C606" s="853"/>
    </row>
    <row r="607" spans="2:3" ht="13.5" outlineLevel="1">
      <c r="B607" s="792"/>
      <c r="C607" s="853"/>
    </row>
    <row r="608" spans="2:3" ht="13.5" outlineLevel="1">
      <c r="B608" s="792"/>
      <c r="C608" s="853"/>
    </row>
    <row r="609" spans="2:3" ht="13.5" outlineLevel="1">
      <c r="B609" s="792"/>
      <c r="C609" s="853"/>
    </row>
    <row r="610" spans="2:3" ht="13.5" outlineLevel="1">
      <c r="B610" s="792"/>
      <c r="C610" s="853"/>
    </row>
    <row r="611" spans="2:3" ht="13.5" outlineLevel="1">
      <c r="B611" s="792"/>
      <c r="C611" s="853"/>
    </row>
    <row r="612" spans="2:3" ht="13.5" outlineLevel="1">
      <c r="B612" s="792"/>
      <c r="C612" s="853"/>
    </row>
    <row r="613" spans="2:3" ht="13.5" outlineLevel="1">
      <c r="B613" s="792"/>
      <c r="C613" s="853"/>
    </row>
    <row r="614" spans="2:3" ht="13.5" outlineLevel="1">
      <c r="B614" s="792"/>
      <c r="C614" s="853"/>
    </row>
    <row r="615" spans="2:3" ht="13.5" outlineLevel="1">
      <c r="B615" s="792"/>
      <c r="C615" s="853"/>
    </row>
    <row r="616" spans="2:3" ht="13.5" outlineLevel="1">
      <c r="B616" s="792"/>
      <c r="C616" s="853"/>
    </row>
    <row r="617" spans="2:3" ht="13.5" outlineLevel="1">
      <c r="B617" s="792"/>
      <c r="C617" s="853"/>
    </row>
    <row r="618" spans="2:3" ht="13.5" outlineLevel="1">
      <c r="B618" s="792"/>
      <c r="C618" s="853"/>
    </row>
    <row r="619" spans="2:3" ht="13.5" outlineLevel="1">
      <c r="B619" s="792"/>
      <c r="C619" s="853"/>
    </row>
    <row r="620" spans="2:3" ht="13.5" outlineLevel="1">
      <c r="B620" s="792"/>
      <c r="C620" s="853"/>
    </row>
    <row r="621" spans="2:3" ht="13.5" outlineLevel="1">
      <c r="B621" s="792"/>
      <c r="C621" s="853"/>
    </row>
    <row r="622" spans="2:3" ht="13.5" outlineLevel="1">
      <c r="B622" s="792"/>
      <c r="C622" s="853"/>
    </row>
    <row r="623" spans="2:3" ht="13.5" outlineLevel="1">
      <c r="B623" s="792"/>
      <c r="C623" s="853"/>
    </row>
    <row r="624" spans="2:3" ht="13.5" outlineLevel="1">
      <c r="B624" s="792"/>
      <c r="C624" s="853"/>
    </row>
    <row r="625" spans="2:3" ht="13.5" outlineLevel="1">
      <c r="B625" s="792"/>
      <c r="C625" s="853"/>
    </row>
    <row r="626" spans="2:3" ht="13.5" outlineLevel="1">
      <c r="B626" s="792"/>
      <c r="C626" s="853"/>
    </row>
    <row r="627" spans="2:3" ht="13.5" outlineLevel="1">
      <c r="B627" s="792"/>
      <c r="C627" s="853"/>
    </row>
    <row r="628" spans="2:3" ht="13.5" outlineLevel="1">
      <c r="B628" s="792"/>
      <c r="C628" s="853"/>
    </row>
    <row r="629" spans="2:3" ht="13.5" outlineLevel="1">
      <c r="B629" s="792"/>
      <c r="C629" s="853"/>
    </row>
    <row r="630" spans="2:3" ht="13.5" outlineLevel="1">
      <c r="B630" s="792"/>
      <c r="C630" s="853"/>
    </row>
    <row r="631" spans="2:3" ht="13.5" outlineLevel="1">
      <c r="B631" s="792"/>
      <c r="C631" s="853"/>
    </row>
    <row r="632" spans="2:3" ht="13.5" outlineLevel="1">
      <c r="B632" s="792"/>
      <c r="C632" s="853"/>
    </row>
    <row r="633" spans="2:3" ht="13.5" outlineLevel="1">
      <c r="B633" s="792"/>
      <c r="C633" s="853"/>
    </row>
    <row r="634" spans="2:3" ht="13.5" outlineLevel="1">
      <c r="B634" s="792"/>
      <c r="C634" s="853"/>
    </row>
    <row r="635" spans="2:3" ht="13.5" outlineLevel="1">
      <c r="B635" s="792"/>
      <c r="C635" s="853"/>
    </row>
    <row r="636" spans="2:3" ht="13.5" outlineLevel="1">
      <c r="B636" s="792"/>
      <c r="C636" s="853"/>
    </row>
    <row r="637" spans="2:3" ht="13.5" outlineLevel="1">
      <c r="B637" s="792"/>
      <c r="C637" s="853"/>
    </row>
    <row r="638" spans="2:3" ht="13.5" outlineLevel="1">
      <c r="B638" s="792"/>
      <c r="C638" s="853"/>
    </row>
    <row r="639" spans="2:3" ht="13.5" outlineLevel="1">
      <c r="B639" s="792"/>
      <c r="C639" s="853"/>
    </row>
    <row r="640" spans="2:3" ht="13.5" outlineLevel="1">
      <c r="B640" s="792"/>
      <c r="C640" s="853"/>
    </row>
    <row r="641" spans="2:3" ht="13.5" outlineLevel="1">
      <c r="B641" s="792"/>
      <c r="C641" s="853"/>
    </row>
    <row r="642" spans="2:3" ht="13.5" outlineLevel="1">
      <c r="B642" s="792"/>
      <c r="C642" s="853"/>
    </row>
    <row r="643" spans="2:3" ht="13.5" outlineLevel="1">
      <c r="B643" s="792"/>
      <c r="C643" s="853"/>
    </row>
    <row r="644" spans="2:3" ht="13.5" outlineLevel="1">
      <c r="B644" s="792"/>
      <c r="C644" s="853"/>
    </row>
    <row r="645" spans="2:3" ht="13.5" outlineLevel="1">
      <c r="B645" s="792"/>
      <c r="C645" s="853"/>
    </row>
    <row r="646" spans="2:3" ht="13.5" outlineLevel="1">
      <c r="B646" s="792"/>
      <c r="C646" s="853"/>
    </row>
    <row r="647" spans="2:3" ht="13.5" outlineLevel="1">
      <c r="B647" s="792"/>
      <c r="C647" s="853"/>
    </row>
    <row r="648" spans="2:3" ht="13.5" outlineLevel="1">
      <c r="B648" s="792"/>
      <c r="C648" s="853"/>
    </row>
    <row r="649" spans="2:3" ht="13.5" outlineLevel="1">
      <c r="B649" s="792"/>
      <c r="C649" s="853"/>
    </row>
    <row r="650" spans="2:3" ht="13.5" outlineLevel="1">
      <c r="B650" s="792"/>
      <c r="C650" s="853"/>
    </row>
    <row r="651" spans="2:3" ht="13.5" outlineLevel="1">
      <c r="B651" s="792"/>
      <c r="C651" s="853"/>
    </row>
    <row r="652" spans="2:3" ht="13.5" outlineLevel="1">
      <c r="B652" s="792"/>
      <c r="C652" s="853"/>
    </row>
    <row r="653" spans="2:3" ht="13.5" outlineLevel="1">
      <c r="B653" s="792"/>
      <c r="C653" s="853"/>
    </row>
    <row r="654" spans="2:3" ht="13.5" outlineLevel="1">
      <c r="B654" s="792"/>
      <c r="C654" s="853"/>
    </row>
    <row r="655" spans="2:3" ht="13.5" outlineLevel="1">
      <c r="B655" s="792"/>
      <c r="C655" s="853"/>
    </row>
    <row r="656" spans="2:3" ht="13.5" outlineLevel="1">
      <c r="B656" s="792"/>
      <c r="C656" s="853"/>
    </row>
    <row r="657" spans="2:3" ht="13.5" outlineLevel="1">
      <c r="B657" s="792"/>
      <c r="C657" s="853"/>
    </row>
    <row r="658" spans="2:3" ht="13.5" outlineLevel="1">
      <c r="B658" s="792"/>
      <c r="C658" s="853"/>
    </row>
    <row r="659" spans="2:3" ht="13.5" outlineLevel="1">
      <c r="B659" s="792"/>
      <c r="C659" s="853"/>
    </row>
    <row r="660" spans="2:3" ht="13.5" outlineLevel="1">
      <c r="B660" s="792"/>
      <c r="C660" s="853"/>
    </row>
    <row r="661" spans="2:3" ht="13.5" outlineLevel="1">
      <c r="B661" s="792"/>
      <c r="C661" s="853"/>
    </row>
    <row r="662" spans="2:3" ht="13.5" outlineLevel="1">
      <c r="B662" s="792"/>
      <c r="C662" s="853"/>
    </row>
    <row r="663" spans="2:3" ht="13.5" outlineLevel="1">
      <c r="B663" s="792"/>
      <c r="C663" s="853"/>
    </row>
    <row r="664" spans="2:3" ht="13.5" outlineLevel="1">
      <c r="B664" s="792"/>
      <c r="C664" s="853"/>
    </row>
    <row r="665" spans="2:3" ht="13.5" outlineLevel="1">
      <c r="B665" s="792"/>
      <c r="C665" s="853"/>
    </row>
    <row r="666" spans="2:3" ht="13.5" outlineLevel="1">
      <c r="B666" s="792"/>
      <c r="C666" s="853"/>
    </row>
    <row r="667" spans="2:3" ht="13.5" outlineLevel="1">
      <c r="B667" s="792"/>
      <c r="C667" s="853"/>
    </row>
    <row r="668" spans="2:3" ht="13.5" outlineLevel="1">
      <c r="B668" s="792"/>
      <c r="C668" s="853"/>
    </row>
    <row r="669" spans="2:3" ht="13.5" outlineLevel="1">
      <c r="B669" s="792"/>
      <c r="C669" s="853"/>
    </row>
    <row r="670" spans="2:3" ht="13.5" outlineLevel="1">
      <c r="B670" s="792"/>
      <c r="C670" s="853"/>
    </row>
    <row r="671" spans="2:3" ht="13.5" outlineLevel="1">
      <c r="B671" s="792"/>
      <c r="C671" s="853"/>
    </row>
    <row r="672" spans="2:3" ht="13.5" outlineLevel="1">
      <c r="B672" s="792"/>
      <c r="C672" s="853"/>
    </row>
    <row r="673" spans="2:3" ht="13.5" outlineLevel="1">
      <c r="B673" s="792"/>
      <c r="C673" s="853"/>
    </row>
    <row r="674" spans="2:3" ht="13.5" outlineLevel="1">
      <c r="B674" s="792"/>
      <c r="C674" s="853"/>
    </row>
    <row r="675" spans="2:3" ht="13.5" outlineLevel="1">
      <c r="B675" s="792"/>
      <c r="C675" s="853"/>
    </row>
    <row r="676" spans="2:3" ht="13.5" outlineLevel="1">
      <c r="B676" s="792"/>
      <c r="C676" s="853"/>
    </row>
    <row r="677" spans="2:3" ht="13.5" outlineLevel="1">
      <c r="B677" s="792"/>
      <c r="C677" s="853"/>
    </row>
    <row r="678" spans="2:3" ht="13.5" outlineLevel="1">
      <c r="B678" s="792"/>
      <c r="C678" s="853"/>
    </row>
    <row r="679" spans="2:3" ht="13.5" outlineLevel="1">
      <c r="B679" s="792"/>
      <c r="C679" s="853"/>
    </row>
    <row r="680" spans="2:3" ht="13.5" outlineLevel="1">
      <c r="B680" s="792"/>
      <c r="C680" s="853"/>
    </row>
    <row r="681" spans="2:3" ht="13.5" outlineLevel="1">
      <c r="B681" s="792"/>
      <c r="C681" s="853"/>
    </row>
    <row r="682" spans="2:3" ht="13.5" outlineLevel="1">
      <c r="B682" s="792"/>
      <c r="C682" s="853"/>
    </row>
    <row r="683" spans="2:3" ht="13.5" outlineLevel="1">
      <c r="B683" s="792"/>
      <c r="C683" s="853"/>
    </row>
    <row r="684" spans="2:3" ht="13.5" outlineLevel="1">
      <c r="B684" s="792"/>
      <c r="C684" s="853"/>
    </row>
    <row r="685" spans="2:3" ht="13.5" outlineLevel="1">
      <c r="B685" s="792"/>
      <c r="C685" s="853"/>
    </row>
    <row r="686" spans="2:3" ht="13.5" outlineLevel="1">
      <c r="B686" s="792"/>
      <c r="C686" s="853"/>
    </row>
    <row r="687" spans="2:3" ht="13.5" outlineLevel="1">
      <c r="B687" s="792"/>
      <c r="C687" s="853"/>
    </row>
    <row r="688" spans="2:3" ht="13.5" outlineLevel="1">
      <c r="B688" s="792"/>
      <c r="C688" s="853"/>
    </row>
    <row r="689" spans="2:3" ht="13.5" outlineLevel="1">
      <c r="B689" s="792"/>
      <c r="C689" s="853"/>
    </row>
    <row r="690" spans="2:3" ht="13.5" outlineLevel="1">
      <c r="B690" s="792"/>
      <c r="C690" s="853"/>
    </row>
    <row r="691" spans="2:3" ht="13.5" outlineLevel="1">
      <c r="B691" s="792"/>
      <c r="C691" s="853"/>
    </row>
    <row r="692" spans="2:3" ht="13.5" outlineLevel="1">
      <c r="B692" s="792"/>
      <c r="C692" s="853"/>
    </row>
    <row r="693" spans="2:3" ht="13.5" outlineLevel="1">
      <c r="B693" s="792"/>
      <c r="C693" s="853"/>
    </row>
    <row r="694" spans="2:3" ht="13.5" outlineLevel="1">
      <c r="B694" s="792"/>
      <c r="C694" s="853"/>
    </row>
    <row r="695" spans="2:3" ht="13.5" outlineLevel="1">
      <c r="B695" s="792"/>
      <c r="C695" s="853"/>
    </row>
    <row r="696" spans="2:3" ht="13.5" outlineLevel="1">
      <c r="B696" s="792"/>
      <c r="C696" s="853"/>
    </row>
    <row r="697" spans="2:3" ht="13.5" outlineLevel="1">
      <c r="B697" s="792"/>
      <c r="C697" s="853"/>
    </row>
    <row r="698" spans="2:3" ht="13.5" outlineLevel="1">
      <c r="B698" s="792"/>
      <c r="C698" s="853"/>
    </row>
    <row r="699" spans="2:3" ht="13.5" outlineLevel="1">
      <c r="B699" s="792"/>
      <c r="C699" s="853"/>
    </row>
    <row r="700" spans="2:3" ht="13.5" outlineLevel="1">
      <c r="B700" s="793"/>
      <c r="C700" s="853"/>
    </row>
    <row r="701" spans="2:3" ht="13.5" outlineLevel="1">
      <c r="B701" s="793"/>
      <c r="C701" s="853"/>
    </row>
    <row r="702" spans="2:3" ht="13.5" outlineLevel="1">
      <c r="B702" s="793"/>
      <c r="C702" s="853"/>
    </row>
    <row r="703" spans="2:3" ht="13.5" outlineLevel="1">
      <c r="B703" s="793"/>
      <c r="C703" s="853"/>
    </row>
    <row r="704" spans="2:3" ht="13.5" outlineLevel="1">
      <c r="B704" s="793"/>
      <c r="C704" s="853"/>
    </row>
    <row r="705" spans="2:3" ht="13.5" outlineLevel="1">
      <c r="B705" s="793"/>
      <c r="C705" s="853"/>
    </row>
    <row r="706" spans="2:3" ht="13.5" outlineLevel="1">
      <c r="B706" s="793"/>
      <c r="C706" s="853"/>
    </row>
    <row r="707" spans="2:3" ht="13.5" outlineLevel="1">
      <c r="B707" s="793"/>
      <c r="C707" s="853"/>
    </row>
    <row r="708" spans="2:3" ht="13.5" outlineLevel="1">
      <c r="B708" s="793"/>
      <c r="C708" s="853"/>
    </row>
    <row r="709" spans="2:3" ht="13.5" outlineLevel="1">
      <c r="B709" s="793"/>
      <c r="C709" s="853"/>
    </row>
    <row r="710" spans="2:3" ht="13.5" outlineLevel="1">
      <c r="B710" s="793"/>
      <c r="C710" s="853"/>
    </row>
    <row r="711" spans="2:3" ht="13.5" outlineLevel="1">
      <c r="B711" s="793"/>
      <c r="C711" s="853"/>
    </row>
    <row r="712" spans="2:3" ht="13.5" outlineLevel="1">
      <c r="B712" s="793"/>
      <c r="C712" s="853"/>
    </row>
    <row r="713" spans="2:3" ht="13.5" outlineLevel="1">
      <c r="B713" s="793"/>
      <c r="C713" s="853"/>
    </row>
    <row r="714" spans="2:3" ht="13.5" outlineLevel="1">
      <c r="B714" s="793"/>
      <c r="C714" s="853"/>
    </row>
    <row r="715" spans="2:3" ht="13.5" outlineLevel="1">
      <c r="B715" s="793"/>
      <c r="C715" s="853"/>
    </row>
    <row r="716" spans="2:3" ht="13.5" outlineLevel="1">
      <c r="B716" s="793"/>
      <c r="C716" s="853"/>
    </row>
    <row r="717" spans="2:3" ht="13.5" outlineLevel="1">
      <c r="B717" s="793"/>
      <c r="C717" s="853"/>
    </row>
    <row r="718" spans="2:3" ht="13.5" outlineLevel="1">
      <c r="B718" s="793"/>
      <c r="C718" s="853"/>
    </row>
    <row r="719" spans="2:3" ht="13.5" outlineLevel="1">
      <c r="B719" s="793"/>
      <c r="C719" s="853"/>
    </row>
    <row r="720" spans="2:3" ht="13.5" outlineLevel="1">
      <c r="B720" s="793"/>
      <c r="C720" s="853"/>
    </row>
    <row r="721" spans="2:3" ht="13.5" outlineLevel="1">
      <c r="B721" s="793"/>
      <c r="C721" s="853"/>
    </row>
    <row r="722" spans="2:3" ht="13.5" outlineLevel="1">
      <c r="B722" s="793"/>
      <c r="C722" s="853"/>
    </row>
    <row r="723" spans="2:3" ht="13.5" outlineLevel="1">
      <c r="B723" s="793"/>
      <c r="C723" s="853"/>
    </row>
    <row r="724" spans="2:3" ht="13.5" outlineLevel="1">
      <c r="B724" s="793"/>
      <c r="C724" s="853"/>
    </row>
    <row r="725" spans="2:3" ht="13.5" outlineLevel="1">
      <c r="B725" s="793"/>
      <c r="C725" s="853"/>
    </row>
    <row r="726" spans="2:3" ht="13.5" outlineLevel="1">
      <c r="B726" s="793"/>
      <c r="C726" s="853"/>
    </row>
    <row r="727" spans="2:3" ht="13.5" outlineLevel="1">
      <c r="B727" s="793"/>
      <c r="C727" s="853"/>
    </row>
    <row r="728" spans="2:3" ht="13.5" outlineLevel="1">
      <c r="B728" s="793"/>
      <c r="C728" s="853"/>
    </row>
    <row r="729" spans="2:3" ht="13.5" outlineLevel="1">
      <c r="B729" s="793"/>
      <c r="C729" s="853"/>
    </row>
    <row r="730" spans="2:3" ht="13.5" outlineLevel="1">
      <c r="B730" s="793"/>
      <c r="C730" s="853"/>
    </row>
    <row r="731" spans="2:3" ht="13.5" outlineLevel="1">
      <c r="B731" s="793"/>
      <c r="C731" s="853"/>
    </row>
    <row r="732" spans="2:3" ht="13.5" outlineLevel="1">
      <c r="B732" s="793"/>
      <c r="C732" s="853"/>
    </row>
    <row r="733" spans="2:3" ht="13.5" outlineLevel="1">
      <c r="B733" s="793"/>
      <c r="C733" s="853"/>
    </row>
    <row r="734" spans="2:3" ht="13.5" outlineLevel="1">
      <c r="B734" s="793"/>
      <c r="C734" s="853"/>
    </row>
    <row r="735" spans="2:3" ht="13.5" outlineLevel="1">
      <c r="B735" s="793"/>
      <c r="C735" s="853"/>
    </row>
    <row r="736" spans="2:3" ht="13.5" outlineLevel="1">
      <c r="B736" s="793"/>
      <c r="C736" s="853"/>
    </row>
    <row r="737" spans="2:3" ht="13.5" outlineLevel="1">
      <c r="B737" s="793"/>
      <c r="C737" s="853"/>
    </row>
    <row r="738" spans="2:3" ht="13.5" outlineLevel="1">
      <c r="B738" s="793"/>
      <c r="C738" s="853"/>
    </row>
    <row r="739" spans="2:3" ht="13.5" outlineLevel="1">
      <c r="B739" s="793"/>
      <c r="C739" s="853"/>
    </row>
    <row r="740" spans="2:3" ht="13.5" outlineLevel="1">
      <c r="B740" s="793"/>
      <c r="C740" s="853"/>
    </row>
    <row r="741" spans="2:3" ht="13.5" outlineLevel="1">
      <c r="B741" s="793"/>
      <c r="C741" s="853"/>
    </row>
    <row r="742" spans="2:3" ht="13.5" outlineLevel="1">
      <c r="B742" s="793"/>
      <c r="C742" s="853"/>
    </row>
    <row r="743" spans="2:3" ht="13.5" outlineLevel="1">
      <c r="B743" s="793"/>
      <c r="C743" s="853"/>
    </row>
    <row r="744" spans="2:3" ht="13.5" outlineLevel="1">
      <c r="B744" s="793"/>
      <c r="C744" s="853"/>
    </row>
    <row r="745" spans="2:3" ht="13.5" outlineLevel="1">
      <c r="B745" s="793"/>
      <c r="C745" s="853"/>
    </row>
    <row r="746" spans="2:3" ht="13.5" outlineLevel="1">
      <c r="B746" s="793"/>
      <c r="C746" s="853"/>
    </row>
    <row r="747" spans="2:3" ht="13.5" outlineLevel="1">
      <c r="B747" s="793"/>
      <c r="C747" s="853"/>
    </row>
    <row r="748" spans="2:3" ht="13.5" outlineLevel="1">
      <c r="B748" s="793"/>
      <c r="C748" s="853"/>
    </row>
    <row r="749" spans="2:3" ht="13.5" outlineLevel="1">
      <c r="B749" s="793"/>
      <c r="C749" s="853"/>
    </row>
    <row r="750" spans="2:3" ht="13.5" outlineLevel="1">
      <c r="B750" s="793"/>
      <c r="C750" s="853"/>
    </row>
    <row r="751" spans="2:3" ht="13.5" outlineLevel="1">
      <c r="B751" s="793"/>
      <c r="C751" s="853"/>
    </row>
    <row r="752" spans="2:3" ht="13.5" outlineLevel="1">
      <c r="B752" s="793"/>
      <c r="C752" s="853"/>
    </row>
    <row r="753" spans="2:3" ht="13.5" outlineLevel="1">
      <c r="B753" s="793"/>
      <c r="C753" s="853"/>
    </row>
    <row r="754" spans="2:3" ht="13.5" outlineLevel="1">
      <c r="B754" s="793"/>
      <c r="C754" s="853"/>
    </row>
    <row r="755" spans="2:3" ht="13.5" outlineLevel="1">
      <c r="B755" s="793"/>
      <c r="C755" s="853"/>
    </row>
    <row r="756" spans="2:3" ht="13.5" outlineLevel="1">
      <c r="B756" s="793"/>
      <c r="C756" s="853"/>
    </row>
    <row r="757" spans="2:3" ht="13.5" outlineLevel="1">
      <c r="B757" s="793"/>
      <c r="C757" s="853"/>
    </row>
    <row r="758" spans="2:3" ht="13.5" outlineLevel="1">
      <c r="B758" s="793"/>
      <c r="C758" s="853"/>
    </row>
    <row r="759" spans="2:3" ht="13.5" outlineLevel="1">
      <c r="B759" s="793"/>
      <c r="C759" s="853"/>
    </row>
    <row r="760" spans="2:3" ht="13.5" outlineLevel="1">
      <c r="B760" s="793"/>
      <c r="C760" s="853"/>
    </row>
    <row r="761" spans="2:3" ht="13.5" outlineLevel="1">
      <c r="B761" s="793"/>
      <c r="C761" s="853"/>
    </row>
    <row r="762" spans="2:3" ht="13.5" outlineLevel="1">
      <c r="B762" s="793"/>
      <c r="C762" s="853"/>
    </row>
    <row r="763" spans="2:3" ht="13.5" outlineLevel="1">
      <c r="B763" s="793"/>
      <c r="C763" s="853"/>
    </row>
    <row r="764" spans="2:3" ht="13.5" outlineLevel="1">
      <c r="B764" s="793"/>
      <c r="C764" s="853"/>
    </row>
    <row r="765" spans="2:3" ht="13.5" outlineLevel="1">
      <c r="B765" s="793"/>
      <c r="C765" s="853"/>
    </row>
    <row r="766" spans="2:3" ht="13.5" outlineLevel="1">
      <c r="B766" s="793"/>
      <c r="C766" s="853"/>
    </row>
    <row r="767" spans="2:3" ht="13.5" outlineLevel="1">
      <c r="B767" s="793"/>
      <c r="C767" s="853"/>
    </row>
    <row r="768" spans="2:3" ht="13.5" outlineLevel="1">
      <c r="B768" s="793"/>
      <c r="C768" s="853"/>
    </row>
    <row r="769" spans="2:3" ht="13.5" outlineLevel="1">
      <c r="B769" s="793"/>
      <c r="C769" s="853"/>
    </row>
    <row r="770" spans="2:3" ht="13.5" outlineLevel="1">
      <c r="B770" s="793"/>
      <c r="C770" s="853"/>
    </row>
    <row r="771" spans="2:3" ht="13.5" outlineLevel="1">
      <c r="B771" s="793"/>
      <c r="C771" s="853"/>
    </row>
    <row r="772" spans="2:3" ht="13.5" outlineLevel="1">
      <c r="B772" s="793"/>
      <c r="C772" s="853"/>
    </row>
    <row r="773" spans="2:3" ht="13.5" outlineLevel="1">
      <c r="B773" s="793"/>
      <c r="C773" s="853"/>
    </row>
    <row r="774" spans="2:3" ht="13.5" outlineLevel="1">
      <c r="B774" s="793"/>
      <c r="C774" s="853"/>
    </row>
    <row r="775" spans="2:3" ht="13.5" outlineLevel="1">
      <c r="B775" s="793"/>
      <c r="C775" s="853"/>
    </row>
    <row r="776" spans="2:3" ht="13.5" outlineLevel="1">
      <c r="B776" s="793"/>
      <c r="C776" s="853"/>
    </row>
    <row r="777" spans="2:3" ht="13.5" outlineLevel="1">
      <c r="B777" s="793"/>
      <c r="C777" s="853"/>
    </row>
    <row r="778" spans="2:3" ht="13.5" outlineLevel="1">
      <c r="B778" s="793"/>
      <c r="C778" s="853"/>
    </row>
    <row r="779" spans="2:3" ht="13.5" outlineLevel="1">
      <c r="B779" s="793"/>
      <c r="C779" s="853"/>
    </row>
    <row r="780" spans="2:3" ht="13.5" outlineLevel="1">
      <c r="B780" s="793"/>
      <c r="C780" s="853"/>
    </row>
    <row r="781" spans="2:3" ht="13.5" outlineLevel="1">
      <c r="B781" s="793"/>
      <c r="C781" s="853"/>
    </row>
    <row r="782" spans="2:3" ht="13.5" outlineLevel="1">
      <c r="B782" s="793"/>
      <c r="C782" s="853"/>
    </row>
    <row r="783" spans="2:3" ht="13.5" outlineLevel="1">
      <c r="B783" s="793"/>
      <c r="C783" s="853"/>
    </row>
    <row r="784" spans="2:3" ht="13.5" outlineLevel="1">
      <c r="B784" s="793"/>
      <c r="C784" s="853"/>
    </row>
    <row r="785" spans="2:3" ht="13.5" outlineLevel="1">
      <c r="B785" s="793"/>
      <c r="C785" s="853"/>
    </row>
    <row r="786" spans="2:3" ht="13.5" outlineLevel="1">
      <c r="B786" s="793"/>
      <c r="C786" s="853"/>
    </row>
    <row r="787" spans="2:3" ht="13.5" outlineLevel="1">
      <c r="B787" s="793"/>
      <c r="C787" s="853"/>
    </row>
    <row r="788" spans="2:3" ht="13.5" outlineLevel="1">
      <c r="B788" s="793"/>
      <c r="C788" s="853"/>
    </row>
    <row r="789" spans="2:3" ht="13.5" outlineLevel="1">
      <c r="B789" s="793"/>
      <c r="C789" s="853"/>
    </row>
    <row r="790" spans="2:3" ht="13.5" outlineLevel="1">
      <c r="B790" s="793"/>
      <c r="C790" s="853"/>
    </row>
    <row r="791" spans="2:3" ht="13.5" outlineLevel="1">
      <c r="B791" s="793"/>
      <c r="C791" s="853"/>
    </row>
    <row r="792" spans="2:3" ht="13.5" outlineLevel="1">
      <c r="B792" s="793"/>
      <c r="C792" s="853"/>
    </row>
    <row r="793" spans="2:3" ht="13.5" outlineLevel="1">
      <c r="B793" s="793"/>
      <c r="C793" s="853"/>
    </row>
    <row r="794" spans="2:3" ht="13.5" outlineLevel="1">
      <c r="B794" s="793"/>
      <c r="C794" s="853"/>
    </row>
    <row r="795" spans="2:3" ht="13.5" outlineLevel="1">
      <c r="B795" s="793"/>
      <c r="C795" s="853"/>
    </row>
    <row r="796" spans="2:3" ht="13.5" outlineLevel="1">
      <c r="B796" s="793"/>
      <c r="C796" s="853"/>
    </row>
    <row r="797" spans="2:3" ht="13.5" outlineLevel="1">
      <c r="B797" s="793"/>
      <c r="C797" s="853"/>
    </row>
    <row r="798" spans="2:3" ht="13.5" outlineLevel="1">
      <c r="B798" s="793"/>
      <c r="C798" s="853"/>
    </row>
    <row r="799" spans="2:3" ht="13.5" outlineLevel="1">
      <c r="B799" s="793"/>
      <c r="C799" s="853"/>
    </row>
    <row r="800" spans="2:3" ht="13.5" outlineLevel="1">
      <c r="B800" s="793"/>
      <c r="C800" s="853"/>
    </row>
    <row r="801" spans="2:3" ht="13.5" outlineLevel="1">
      <c r="B801" s="793"/>
      <c r="C801" s="853"/>
    </row>
    <row r="802" spans="2:3" ht="13.5" outlineLevel="1">
      <c r="B802" s="793"/>
      <c r="C802" s="853"/>
    </row>
    <row r="803" spans="2:3" ht="13.5" outlineLevel="1">
      <c r="B803" s="793"/>
      <c r="C803" s="853"/>
    </row>
    <row r="804" spans="2:3" ht="13.5" outlineLevel="1">
      <c r="B804" s="793"/>
      <c r="C804" s="853"/>
    </row>
    <row r="805" spans="2:3" ht="13.5" outlineLevel="1">
      <c r="B805" s="793"/>
      <c r="C805" s="853"/>
    </row>
    <row r="806" spans="2:3" ht="13.5" outlineLevel="1">
      <c r="B806" s="793"/>
      <c r="C806" s="853"/>
    </row>
    <row r="807" spans="2:3" ht="13.5" outlineLevel="1">
      <c r="B807" s="793"/>
      <c r="C807" s="853"/>
    </row>
    <row r="808" spans="2:3" ht="13.5" outlineLevel="1">
      <c r="B808" s="793"/>
      <c r="C808" s="853"/>
    </row>
    <row r="809" spans="2:3" ht="13.5" outlineLevel="1">
      <c r="B809" s="793"/>
      <c r="C809" s="853"/>
    </row>
    <row r="810" spans="2:3" ht="13.5" outlineLevel="1">
      <c r="B810" s="793"/>
      <c r="C810" s="853"/>
    </row>
    <row r="811" spans="2:3" ht="13.5" outlineLevel="1">
      <c r="B811" s="793"/>
      <c r="C811" s="853"/>
    </row>
    <row r="812" spans="2:3" ht="13.5" outlineLevel="1">
      <c r="B812" s="793"/>
      <c r="C812" s="853"/>
    </row>
    <row r="813" spans="2:3" ht="13.5" outlineLevel="1">
      <c r="B813" s="793"/>
      <c r="C813" s="853"/>
    </row>
    <row r="814" spans="2:3" ht="13.5" outlineLevel="1">
      <c r="B814" s="793"/>
      <c r="C814" s="853"/>
    </row>
    <row r="815" spans="2:3" ht="13.5" outlineLevel="1">
      <c r="B815" s="793"/>
      <c r="C815" s="853"/>
    </row>
    <row r="816" spans="2:3" ht="13.5" outlineLevel="1">
      <c r="B816" s="792"/>
      <c r="C816" s="853"/>
    </row>
    <row r="817" spans="2:3" ht="13.5" outlineLevel="1">
      <c r="B817" s="793"/>
      <c r="C817" s="853"/>
    </row>
    <row r="818" spans="2:3" ht="13.5" outlineLevel="1">
      <c r="B818" s="793"/>
      <c r="C818" s="853"/>
    </row>
    <row r="819" spans="2:3" ht="13.5" outlineLevel="1">
      <c r="B819" s="793"/>
      <c r="C819" s="853"/>
    </row>
    <row r="820" spans="2:3" ht="13.5" outlineLevel="1">
      <c r="B820" s="793"/>
      <c r="C820" s="853"/>
    </row>
    <row r="821" spans="2:3" ht="13.5" outlineLevel="1">
      <c r="B821" s="793"/>
      <c r="C821" s="853"/>
    </row>
    <row r="822" spans="2:3" ht="13.5" outlineLevel="1">
      <c r="B822" s="793"/>
      <c r="C822" s="853"/>
    </row>
    <row r="823" spans="2:3" ht="13.5" outlineLevel="1">
      <c r="B823" s="792"/>
      <c r="C823" s="853"/>
    </row>
    <row r="824" spans="2:3" ht="13.5" outlineLevel="1">
      <c r="B824" s="793"/>
      <c r="C824" s="853"/>
    </row>
    <row r="825" spans="2:3" ht="13.5" outlineLevel="1">
      <c r="B825" s="793"/>
      <c r="C825" s="853"/>
    </row>
    <row r="826" spans="2:3" ht="13.5" outlineLevel="1">
      <c r="B826" s="793"/>
      <c r="C826" s="853"/>
    </row>
    <row r="827" spans="2:3" ht="13.5" outlineLevel="1">
      <c r="B827" s="793"/>
      <c r="C827" s="853"/>
    </row>
    <row r="828" spans="2:3" ht="13.5" outlineLevel="1">
      <c r="B828" s="793"/>
      <c r="C828" s="853"/>
    </row>
    <row r="829" spans="2:3" ht="13.5" outlineLevel="1">
      <c r="B829" s="792"/>
      <c r="C829" s="853"/>
    </row>
    <row r="830" spans="2:3" ht="13.5" outlineLevel="1">
      <c r="B830" s="793"/>
      <c r="C830" s="853"/>
    </row>
    <row r="831" spans="2:3" ht="13.5" outlineLevel="1">
      <c r="B831" s="793"/>
      <c r="C831" s="853"/>
    </row>
    <row r="832" spans="2:3" ht="13.5" outlineLevel="1">
      <c r="B832" s="793"/>
      <c r="C832" s="853"/>
    </row>
    <row r="833" spans="2:3" ht="13.5" outlineLevel="1">
      <c r="B833" s="793"/>
      <c r="C833" s="853"/>
    </row>
    <row r="834" spans="2:3" ht="13.5" outlineLevel="1">
      <c r="B834" s="793"/>
      <c r="C834" s="853"/>
    </row>
    <row r="835" spans="2:3" ht="13.5" outlineLevel="1">
      <c r="B835" s="793"/>
      <c r="C835" s="853"/>
    </row>
    <row r="836" spans="2:3" ht="13.5" outlineLevel="1">
      <c r="B836" s="792"/>
      <c r="C836" s="853"/>
    </row>
    <row r="837" spans="2:3" ht="13.5" outlineLevel="1">
      <c r="B837" s="793"/>
      <c r="C837" s="853"/>
    </row>
    <row r="838" spans="2:3" ht="13.5" outlineLevel="1">
      <c r="B838" s="793"/>
      <c r="C838" s="853"/>
    </row>
    <row r="839" spans="2:3" ht="13.5" outlineLevel="1">
      <c r="B839" s="793"/>
      <c r="C839" s="853"/>
    </row>
    <row r="840" spans="2:3" ht="13.5" outlineLevel="1">
      <c r="B840" s="793"/>
      <c r="C840" s="853"/>
    </row>
    <row r="841" spans="2:3" ht="13.5" outlineLevel="1">
      <c r="B841" s="793"/>
      <c r="C841" s="853"/>
    </row>
    <row r="842" spans="2:3" ht="13.5" outlineLevel="1">
      <c r="B842" s="793"/>
      <c r="C842" s="853"/>
    </row>
    <row r="843" spans="2:3" ht="13.5" outlineLevel="1">
      <c r="B843" s="793"/>
      <c r="C843" s="853"/>
    </row>
    <row r="844" spans="2:3" ht="13.5" outlineLevel="1">
      <c r="B844" s="793"/>
      <c r="C844" s="853"/>
    </row>
    <row r="845" spans="2:3" ht="13.5" outlineLevel="1">
      <c r="B845" s="793"/>
      <c r="C845" s="853"/>
    </row>
    <row r="846" spans="2:3" ht="13.5" outlineLevel="1">
      <c r="B846" s="793"/>
      <c r="C846" s="853"/>
    </row>
    <row r="847" spans="2:3" ht="13.5" outlineLevel="1">
      <c r="B847" s="793"/>
      <c r="C847" s="853"/>
    </row>
    <row r="848" spans="2:3" ht="13.5" outlineLevel="1">
      <c r="B848" s="793"/>
      <c r="C848" s="853"/>
    </row>
    <row r="849" spans="2:3" ht="13.5" outlineLevel="1">
      <c r="B849" s="793"/>
      <c r="C849" s="853"/>
    </row>
    <row r="850" spans="2:3" ht="13.5" outlineLevel="1">
      <c r="B850" s="793"/>
      <c r="C850" s="853"/>
    </row>
    <row r="851" spans="2:3" ht="13.5" outlineLevel="1">
      <c r="B851" s="793"/>
      <c r="C851" s="853"/>
    </row>
    <row r="852" spans="2:3" ht="13.5" outlineLevel="1">
      <c r="B852" s="793"/>
      <c r="C852" s="853"/>
    </row>
    <row r="853" spans="2:3" ht="13.5" outlineLevel="1">
      <c r="B853" s="792"/>
      <c r="C853" s="853"/>
    </row>
    <row r="854" spans="2:3" ht="13.5" outlineLevel="1">
      <c r="B854" s="793"/>
      <c r="C854" s="853"/>
    </row>
    <row r="855" spans="2:3" ht="13.5" outlineLevel="1">
      <c r="B855" s="793"/>
      <c r="C855" s="853"/>
    </row>
    <row r="856" spans="2:3" ht="13.5" outlineLevel="1">
      <c r="B856" s="793"/>
      <c r="C856" s="853"/>
    </row>
    <row r="857" spans="2:3" ht="13.5" outlineLevel="1">
      <c r="B857" s="793"/>
      <c r="C857" s="853"/>
    </row>
    <row r="858" spans="2:3" ht="13.5" outlineLevel="1">
      <c r="B858" s="793"/>
      <c r="C858" s="853"/>
    </row>
    <row r="859" spans="2:3" ht="13.5" outlineLevel="1">
      <c r="B859" s="792"/>
      <c r="C859" s="853"/>
    </row>
    <row r="860" spans="2:3" ht="13.5" outlineLevel="1">
      <c r="B860" s="793"/>
      <c r="C860" s="853"/>
    </row>
    <row r="861" spans="2:3" ht="13.5" outlineLevel="1">
      <c r="B861" s="793"/>
      <c r="C861" s="853"/>
    </row>
    <row r="862" spans="2:3" ht="13.5" outlineLevel="1">
      <c r="B862" s="793"/>
      <c r="C862" s="853"/>
    </row>
    <row r="863" spans="2:3" ht="13.5" outlineLevel="1">
      <c r="B863" s="793"/>
      <c r="C863" s="853"/>
    </row>
    <row r="864" spans="2:3" ht="13.5" outlineLevel="1">
      <c r="B864" s="793"/>
      <c r="C864" s="853"/>
    </row>
    <row r="865" spans="2:3" ht="13.5" outlineLevel="1">
      <c r="B865" s="793"/>
      <c r="C865" s="853"/>
    </row>
    <row r="866" spans="2:3" ht="13.5" outlineLevel="1">
      <c r="B866" s="793"/>
      <c r="C866" s="853"/>
    </row>
    <row r="867" spans="2:3" ht="13.5" outlineLevel="1">
      <c r="B867" s="792"/>
      <c r="C867" s="853"/>
    </row>
    <row r="868" spans="2:3" ht="13.5" outlineLevel="1">
      <c r="B868" s="793"/>
      <c r="C868" s="853"/>
    </row>
    <row r="869" spans="2:3" ht="13.5" outlineLevel="1">
      <c r="B869" s="793"/>
      <c r="C869" s="853"/>
    </row>
    <row r="870" spans="2:3" ht="13.5" outlineLevel="1">
      <c r="B870" s="793"/>
      <c r="C870" s="853"/>
    </row>
    <row r="871" spans="2:3" ht="13.5" outlineLevel="1">
      <c r="B871" s="793"/>
      <c r="C871" s="853"/>
    </row>
    <row r="872" spans="2:3" ht="13.5" outlineLevel="1">
      <c r="B872" s="793"/>
      <c r="C872" s="853"/>
    </row>
    <row r="873" spans="2:3" ht="13.5" outlineLevel="1">
      <c r="B873" s="793"/>
      <c r="C873" s="853"/>
    </row>
    <row r="874" spans="2:3" ht="13.5" outlineLevel="1">
      <c r="B874" s="792"/>
      <c r="C874" s="853"/>
    </row>
    <row r="875" spans="2:3" ht="13.5" outlineLevel="1">
      <c r="B875" s="793"/>
      <c r="C875" s="853"/>
    </row>
    <row r="876" spans="2:3" ht="13.5" outlineLevel="1">
      <c r="B876" s="793"/>
      <c r="C876" s="853"/>
    </row>
    <row r="877" spans="2:3" ht="13.5" outlineLevel="1">
      <c r="B877" s="793"/>
      <c r="C877" s="853"/>
    </row>
    <row r="878" spans="2:3" ht="13.5" outlineLevel="1">
      <c r="B878" s="793"/>
      <c r="C878" s="853"/>
    </row>
    <row r="879" spans="2:3" ht="13.5" outlineLevel="1">
      <c r="B879" s="793"/>
      <c r="C879" s="853"/>
    </row>
    <row r="880" spans="2:3" ht="13.5" outlineLevel="1">
      <c r="B880" s="793"/>
      <c r="C880" s="853"/>
    </row>
    <row r="881" spans="2:3" ht="13.5" outlineLevel="1">
      <c r="B881" s="793"/>
      <c r="C881" s="853"/>
    </row>
    <row r="882" spans="2:3" ht="13.5" outlineLevel="1">
      <c r="B882" s="793"/>
      <c r="C882" s="853"/>
    </row>
    <row r="883" spans="2:3" ht="13.5" outlineLevel="1">
      <c r="B883" s="793"/>
      <c r="C883" s="853"/>
    </row>
    <row r="884" spans="2:3" ht="13.5" outlineLevel="1">
      <c r="B884" s="793"/>
      <c r="C884" s="853"/>
    </row>
    <row r="885" spans="2:3" ht="13.5" outlineLevel="1">
      <c r="B885" s="793"/>
      <c r="C885" s="853"/>
    </row>
    <row r="886" spans="2:3" ht="13.5" outlineLevel="1">
      <c r="B886" s="793"/>
      <c r="C886" s="853"/>
    </row>
    <row r="887" spans="2:3" ht="13.5" outlineLevel="1">
      <c r="B887" s="793"/>
      <c r="C887" s="853"/>
    </row>
    <row r="888" spans="2:3" ht="13.5" outlineLevel="1">
      <c r="B888" s="793"/>
      <c r="C888" s="853"/>
    </row>
    <row r="889" spans="2:3" ht="13.5" outlineLevel="1">
      <c r="B889" s="793"/>
      <c r="C889" s="853"/>
    </row>
    <row r="890" spans="2:3" ht="13.5" outlineLevel="1">
      <c r="B890" s="793"/>
      <c r="C890" s="853"/>
    </row>
    <row r="891" spans="2:3" ht="13.5" outlineLevel="1">
      <c r="B891" s="792"/>
      <c r="C891" s="853"/>
    </row>
    <row r="892" spans="2:3" ht="13.5" outlineLevel="1">
      <c r="B892" s="793"/>
      <c r="C892" s="853"/>
    </row>
    <row r="893" spans="2:3" ht="13.5" outlineLevel="1">
      <c r="B893" s="793"/>
      <c r="C893" s="853"/>
    </row>
    <row r="894" spans="2:3" ht="13.5" outlineLevel="1">
      <c r="B894" s="793"/>
      <c r="C894" s="853"/>
    </row>
    <row r="895" spans="2:3" ht="13.5" outlineLevel="1">
      <c r="B895" s="793"/>
      <c r="C895" s="853"/>
    </row>
    <row r="896" spans="2:3" ht="13.5" outlineLevel="1">
      <c r="B896" s="793"/>
      <c r="C896" s="853"/>
    </row>
    <row r="897" spans="2:3" ht="13.5" outlineLevel="1">
      <c r="B897" s="792"/>
      <c r="C897" s="853"/>
    </row>
    <row r="898" spans="2:3" ht="13.5" outlineLevel="1">
      <c r="B898" s="793"/>
      <c r="C898" s="853"/>
    </row>
    <row r="899" spans="2:3" ht="13.5" outlineLevel="1">
      <c r="B899" s="793"/>
      <c r="C899" s="853"/>
    </row>
    <row r="900" spans="2:3" ht="13.5" outlineLevel="1">
      <c r="B900" s="793"/>
      <c r="C900" s="853"/>
    </row>
    <row r="901" spans="2:3" ht="13.5" outlineLevel="1">
      <c r="B901" s="793"/>
      <c r="C901" s="853"/>
    </row>
    <row r="902" spans="2:3" ht="13.5" outlineLevel="1">
      <c r="B902" s="793"/>
      <c r="C902" s="853"/>
    </row>
    <row r="903" spans="2:3" ht="13.5" outlineLevel="1">
      <c r="B903" s="793"/>
      <c r="C903" s="853"/>
    </row>
    <row r="904" spans="2:3" ht="13.5" outlineLevel="1">
      <c r="B904" s="792"/>
      <c r="C904" s="853"/>
    </row>
    <row r="905" spans="2:3" ht="13.5" outlineLevel="1">
      <c r="B905" s="793"/>
      <c r="C905" s="853"/>
    </row>
    <row r="906" spans="2:3" ht="13.5" outlineLevel="1">
      <c r="B906" s="793"/>
      <c r="C906" s="853"/>
    </row>
    <row r="907" spans="2:3" ht="13.5" outlineLevel="1">
      <c r="B907" s="793"/>
      <c r="C907" s="853"/>
    </row>
    <row r="908" spans="2:3" ht="13.5" outlineLevel="1">
      <c r="B908" s="793"/>
      <c r="C908" s="853"/>
    </row>
    <row r="909" spans="2:3" ht="13.5" outlineLevel="1">
      <c r="B909" s="793"/>
      <c r="C909" s="853"/>
    </row>
    <row r="910" spans="2:3" ht="13.5" outlineLevel="1">
      <c r="B910" s="793"/>
      <c r="C910" s="853"/>
    </row>
    <row r="911" spans="2:3" ht="13.5" outlineLevel="1">
      <c r="B911" s="793"/>
      <c r="C911" s="853"/>
    </row>
    <row r="912" spans="2:3" ht="13.5" outlineLevel="1">
      <c r="B912" s="793"/>
      <c r="C912" s="853"/>
    </row>
    <row r="913" spans="2:3" ht="13.5" outlineLevel="1">
      <c r="B913" s="793"/>
      <c r="C913" s="853"/>
    </row>
    <row r="914" spans="2:3" ht="13.5" outlineLevel="1">
      <c r="B914" s="793"/>
      <c r="C914" s="853"/>
    </row>
    <row r="915" spans="2:3" ht="13.5" outlineLevel="1">
      <c r="B915" s="793"/>
      <c r="C915" s="853"/>
    </row>
    <row r="916" spans="2:3" ht="13.5" outlineLevel="1">
      <c r="B916" s="793"/>
      <c r="C916" s="853"/>
    </row>
    <row r="917" spans="2:3" ht="13.5" outlineLevel="1">
      <c r="B917" s="793"/>
      <c r="C917" s="853"/>
    </row>
    <row r="918" spans="2:3" ht="13.5" outlineLevel="1">
      <c r="B918" s="793"/>
      <c r="C918" s="853"/>
    </row>
    <row r="919" spans="2:3" ht="13.5" outlineLevel="1">
      <c r="B919" s="793"/>
      <c r="C919" s="853"/>
    </row>
    <row r="920" spans="2:3" ht="13.5" outlineLevel="1">
      <c r="B920" s="793"/>
      <c r="C920" s="853"/>
    </row>
    <row r="921" spans="2:3" ht="13.5" outlineLevel="1">
      <c r="B921" s="793"/>
      <c r="C921" s="853"/>
    </row>
    <row r="922" spans="2:3" ht="13.5" outlineLevel="1">
      <c r="B922" s="793"/>
      <c r="C922" s="853"/>
    </row>
    <row r="923" spans="2:3" ht="13.5" outlineLevel="1">
      <c r="B923" s="793"/>
      <c r="C923" s="853"/>
    </row>
    <row r="924" spans="2:3" ht="13.5" outlineLevel="1">
      <c r="B924" s="793"/>
      <c r="C924" s="853"/>
    </row>
    <row r="925" spans="2:3" ht="13.5" outlineLevel="1">
      <c r="B925" s="793"/>
      <c r="C925" s="853"/>
    </row>
    <row r="926" spans="2:3" ht="13.5" outlineLevel="1">
      <c r="B926" s="793"/>
      <c r="C926" s="853"/>
    </row>
    <row r="927" spans="2:3" ht="13.5" outlineLevel="1">
      <c r="B927" s="793"/>
      <c r="C927" s="853"/>
    </row>
    <row r="928" spans="2:3" ht="13.5" outlineLevel="1">
      <c r="B928" s="793"/>
      <c r="C928" s="853"/>
    </row>
    <row r="929" spans="2:3" ht="13.5" outlineLevel="1">
      <c r="B929" s="793"/>
      <c r="C929" s="853"/>
    </row>
    <row r="930" spans="2:3" ht="13.5" outlineLevel="1">
      <c r="B930" s="793"/>
      <c r="C930" s="853"/>
    </row>
    <row r="931" spans="2:3" ht="13.5" outlineLevel="1">
      <c r="B931" s="793"/>
      <c r="C931" s="853"/>
    </row>
    <row r="932" spans="2:3" ht="13.5" outlineLevel="1">
      <c r="B932" s="793"/>
      <c r="C932" s="853"/>
    </row>
    <row r="933" spans="2:3" ht="13.5" outlineLevel="1">
      <c r="B933" s="793"/>
      <c r="C933" s="853"/>
    </row>
    <row r="934" spans="2:3" ht="13.5" outlineLevel="1">
      <c r="B934" s="793"/>
      <c r="C934" s="853"/>
    </row>
    <row r="935" spans="2:3" ht="13.5" outlineLevel="1">
      <c r="B935" s="793"/>
      <c r="C935" s="853"/>
    </row>
    <row r="936" spans="2:3" ht="13.5" outlineLevel="1">
      <c r="B936" s="793"/>
      <c r="C936" s="853"/>
    </row>
    <row r="937" spans="2:3" ht="13.5" outlineLevel="1">
      <c r="B937" s="793"/>
      <c r="C937" s="853"/>
    </row>
    <row r="938" spans="2:3" ht="13.5" outlineLevel="1">
      <c r="B938" s="793"/>
      <c r="C938" s="853"/>
    </row>
    <row r="939" spans="2:3" ht="13.5" outlineLevel="1">
      <c r="B939" s="793"/>
      <c r="C939" s="853"/>
    </row>
    <row r="940" spans="2:3" ht="13.5" outlineLevel="1">
      <c r="B940" s="793"/>
      <c r="C940" s="853"/>
    </row>
    <row r="941" spans="2:3" ht="13.5" outlineLevel="1">
      <c r="B941" s="793"/>
      <c r="C941" s="853"/>
    </row>
    <row r="942" spans="2:3" ht="13.5" outlineLevel="1">
      <c r="B942" s="793"/>
      <c r="C942" s="853"/>
    </row>
    <row r="943" spans="2:3" ht="13.5" outlineLevel="1">
      <c r="B943" s="793"/>
      <c r="C943" s="853"/>
    </row>
    <row r="944" spans="2:3" ht="13.5" outlineLevel="1">
      <c r="B944" s="793"/>
      <c r="C944" s="853"/>
    </row>
    <row r="945" spans="2:3" ht="13.5" outlineLevel="1">
      <c r="B945" s="793"/>
      <c r="C945" s="853"/>
    </row>
    <row r="946" spans="2:3" ht="13.5" outlineLevel="1">
      <c r="B946" s="793"/>
      <c r="C946" s="853"/>
    </row>
    <row r="947" spans="2:3" ht="13.5" outlineLevel="1">
      <c r="B947" s="793"/>
      <c r="C947" s="853"/>
    </row>
    <row r="948" spans="2:3" ht="13.5" outlineLevel="1">
      <c r="B948" s="793"/>
      <c r="C948" s="853"/>
    </row>
    <row r="949" spans="2:3" ht="13.5" outlineLevel="1">
      <c r="B949" s="793"/>
      <c r="C949" s="853"/>
    </row>
    <row r="950" spans="2:3" ht="13.5" outlineLevel="1">
      <c r="B950" s="793"/>
      <c r="C950" s="853"/>
    </row>
    <row r="951" spans="2:3" ht="13.5" outlineLevel="1">
      <c r="B951" s="793"/>
      <c r="C951" s="853"/>
    </row>
    <row r="952" spans="2:3" ht="13.5" outlineLevel="1">
      <c r="B952" s="793"/>
      <c r="C952" s="853"/>
    </row>
    <row r="953" spans="2:3" ht="13.5" outlineLevel="1">
      <c r="B953" s="793"/>
      <c r="C953" s="853"/>
    </row>
    <row r="954" spans="2:3" ht="13.5" outlineLevel="1">
      <c r="B954" s="793"/>
      <c r="C954" s="853"/>
    </row>
    <row r="955" spans="2:3" ht="13.5" outlineLevel="1">
      <c r="B955" s="793"/>
      <c r="C955" s="853"/>
    </row>
    <row r="956" spans="2:3" ht="13.5" outlineLevel="1">
      <c r="B956" s="793"/>
      <c r="C956" s="853"/>
    </row>
    <row r="957" spans="2:3" ht="13.5" outlineLevel="1">
      <c r="B957" s="793"/>
      <c r="C957" s="853"/>
    </row>
    <row r="958" spans="2:3" ht="13.5" outlineLevel="1">
      <c r="B958" s="793"/>
      <c r="C958" s="853"/>
    </row>
    <row r="959" spans="2:3" ht="13.5" outlineLevel="1">
      <c r="B959" s="793"/>
      <c r="C959" s="853"/>
    </row>
    <row r="960" spans="2:3" ht="13.5" outlineLevel="1">
      <c r="B960" s="793"/>
      <c r="C960" s="853"/>
    </row>
    <row r="961" spans="2:3" ht="13.5" outlineLevel="1">
      <c r="B961" s="793"/>
      <c r="C961" s="853"/>
    </row>
    <row r="962" spans="2:3" ht="13.5" outlineLevel="1">
      <c r="B962" s="793"/>
      <c r="C962" s="853"/>
    </row>
    <row r="963" spans="2:3" ht="13.5" outlineLevel="1">
      <c r="B963" s="793"/>
      <c r="C963" s="853"/>
    </row>
    <row r="964" spans="2:3" ht="13.5" outlineLevel="1">
      <c r="B964" s="793"/>
      <c r="C964" s="853"/>
    </row>
    <row r="965" spans="2:3" ht="13.5" outlineLevel="1">
      <c r="B965" s="793"/>
      <c r="C965" s="853"/>
    </row>
    <row r="966" spans="2:3" ht="13.5" outlineLevel="1">
      <c r="B966" s="793"/>
      <c r="C966" s="853"/>
    </row>
    <row r="967" spans="2:3" ht="13.5" outlineLevel="1">
      <c r="B967" s="793"/>
      <c r="C967" s="853"/>
    </row>
    <row r="968" spans="2:3" ht="13.5" outlineLevel="1">
      <c r="B968" s="793"/>
      <c r="C968" s="853"/>
    </row>
    <row r="969" spans="2:3" ht="13.5" outlineLevel="1">
      <c r="B969" s="793"/>
      <c r="C969" s="853"/>
    </row>
    <row r="970" spans="2:3" ht="13.5" outlineLevel="1">
      <c r="B970" s="793"/>
      <c r="C970" s="853"/>
    </row>
    <row r="971" spans="2:3" ht="13.5" outlineLevel="1">
      <c r="B971" s="793"/>
      <c r="C971" s="853"/>
    </row>
    <row r="972" spans="2:3" ht="13.5" outlineLevel="1">
      <c r="B972" s="793"/>
      <c r="C972" s="853"/>
    </row>
    <row r="973" spans="2:3" ht="13.5" outlineLevel="1">
      <c r="B973" s="793"/>
      <c r="C973" s="853"/>
    </row>
    <row r="974" spans="2:3" ht="13.5" outlineLevel="1">
      <c r="B974" s="793"/>
      <c r="C974" s="853"/>
    </row>
    <row r="975" spans="2:3" ht="13.5" outlineLevel="1">
      <c r="B975" s="793"/>
      <c r="C975" s="853"/>
    </row>
    <row r="976" spans="2:3" ht="13.5" outlineLevel="1">
      <c r="B976" s="793"/>
      <c r="C976" s="853"/>
    </row>
    <row r="977" spans="2:3" ht="13.5" outlineLevel="1">
      <c r="B977" s="793"/>
      <c r="C977" s="853"/>
    </row>
    <row r="978" spans="2:3" ht="13.5" outlineLevel="1">
      <c r="B978" s="793"/>
      <c r="C978" s="853"/>
    </row>
    <row r="979" spans="2:3" ht="13.5" outlineLevel="1">
      <c r="B979" s="793"/>
      <c r="C979" s="853"/>
    </row>
    <row r="980" spans="2:3" ht="13.5" outlineLevel="1">
      <c r="B980" s="793"/>
      <c r="C980" s="853"/>
    </row>
    <row r="981" spans="2:3" ht="13.5" outlineLevel="1">
      <c r="B981" s="793"/>
      <c r="C981" s="853"/>
    </row>
    <row r="982" spans="2:3" ht="13.5" outlineLevel="1">
      <c r="B982" s="793"/>
      <c r="C982" s="853"/>
    </row>
    <row r="983" spans="2:3" ht="13.5" outlineLevel="1">
      <c r="B983" s="793"/>
      <c r="C983" s="853"/>
    </row>
    <row r="984" spans="2:3" ht="13.5" outlineLevel="1">
      <c r="B984" s="793"/>
      <c r="C984" s="853"/>
    </row>
    <row r="985" spans="2:3" ht="13.5" outlineLevel="1">
      <c r="B985" s="793"/>
      <c r="C985" s="853"/>
    </row>
    <row r="986" spans="2:3" ht="13.5" outlineLevel="1">
      <c r="B986" s="793"/>
      <c r="C986" s="853"/>
    </row>
    <row r="987" spans="2:3" ht="13.5" outlineLevel="1">
      <c r="B987" s="793"/>
      <c r="C987" s="853"/>
    </row>
    <row r="988" spans="2:3" ht="13.5" outlineLevel="1">
      <c r="B988" s="793"/>
      <c r="C988" s="853"/>
    </row>
    <row r="989" spans="2:3" ht="13.5" outlineLevel="1">
      <c r="B989" s="793"/>
      <c r="C989" s="853"/>
    </row>
    <row r="990" spans="2:3" ht="13.5" outlineLevel="1">
      <c r="B990" s="793"/>
      <c r="C990" s="853"/>
    </row>
    <row r="991" spans="2:3" ht="13.5" outlineLevel="1">
      <c r="B991" s="793"/>
      <c r="C991" s="853"/>
    </row>
    <row r="992" spans="2:3" ht="13.5" outlineLevel="1">
      <c r="B992" s="793"/>
      <c r="C992" s="853"/>
    </row>
    <row r="993" spans="2:3" ht="13.5" outlineLevel="1">
      <c r="B993" s="793"/>
      <c r="C993" s="853"/>
    </row>
    <row r="994" spans="2:3" ht="13.5" outlineLevel="1">
      <c r="B994" s="793"/>
      <c r="C994" s="853"/>
    </row>
    <row r="995" spans="2:3" ht="13.5" outlineLevel="1">
      <c r="B995" s="793"/>
      <c r="C995" s="853"/>
    </row>
    <row r="996" spans="2:3" ht="13.5" outlineLevel="1">
      <c r="B996" s="793"/>
      <c r="C996" s="853"/>
    </row>
    <row r="997" spans="2:3" ht="13.5" outlineLevel="1">
      <c r="B997" s="793"/>
      <c r="C997" s="853"/>
    </row>
    <row r="998" spans="2:3" ht="13.5" outlineLevel="1">
      <c r="B998" s="793"/>
      <c r="C998" s="853"/>
    </row>
    <row r="999" spans="2:3" ht="13.5" outlineLevel="1">
      <c r="B999" s="793"/>
      <c r="C999" s="853"/>
    </row>
    <row r="1000" spans="2:3" ht="13.5" outlineLevel="1">
      <c r="B1000" s="793"/>
      <c r="C1000" s="853"/>
    </row>
    <row r="1001" spans="2:3" ht="13.5" outlineLevel="1">
      <c r="B1001" s="793"/>
      <c r="C1001" s="853"/>
    </row>
    <row r="1002" spans="2:3" ht="13.5" outlineLevel="1">
      <c r="B1002" s="793"/>
      <c r="C1002" s="853"/>
    </row>
    <row r="1003" spans="2:3" ht="13.5" outlineLevel="1">
      <c r="B1003" s="793"/>
      <c r="C1003" s="853"/>
    </row>
    <row r="1004" spans="2:3" ht="13.5" outlineLevel="1">
      <c r="B1004" s="793"/>
      <c r="C1004" s="853"/>
    </row>
    <row r="1005" spans="2:3" ht="13.5" outlineLevel="1">
      <c r="B1005" s="793"/>
      <c r="C1005" s="853"/>
    </row>
    <row r="1006" spans="2:3" ht="13.5" outlineLevel="1">
      <c r="B1006" s="793"/>
      <c r="C1006" s="853"/>
    </row>
    <row r="1007" spans="2:3" ht="13.5" outlineLevel="1">
      <c r="B1007" s="793"/>
      <c r="C1007" s="853"/>
    </row>
    <row r="1008" spans="2:3" ht="13.5" outlineLevel="1">
      <c r="B1008" s="793"/>
      <c r="C1008" s="853"/>
    </row>
    <row r="1009" spans="2:3" ht="13.5" outlineLevel="1">
      <c r="B1009" s="793"/>
      <c r="C1009" s="853"/>
    </row>
    <row r="1010" spans="2:3" ht="13.5" outlineLevel="1">
      <c r="B1010" s="793"/>
      <c r="C1010" s="853"/>
    </row>
    <row r="1011" spans="2:3" ht="13.5" outlineLevel="1">
      <c r="B1011" s="793"/>
      <c r="C1011" s="853"/>
    </row>
    <row r="1012" spans="2:3" ht="13.5" outlineLevel="1">
      <c r="B1012" s="793"/>
      <c r="C1012" s="853"/>
    </row>
    <row r="1013" spans="2:3" ht="13.5" outlineLevel="1">
      <c r="B1013" s="793"/>
      <c r="C1013" s="853"/>
    </row>
    <row r="1014" spans="2:3" ht="13.5" outlineLevel="1">
      <c r="B1014" s="793"/>
      <c r="C1014" s="853"/>
    </row>
    <row r="1015" spans="2:3" ht="13.5" outlineLevel="1">
      <c r="B1015" s="793"/>
      <c r="C1015" s="853"/>
    </row>
    <row r="1016" spans="2:3" ht="13.5" outlineLevel="1">
      <c r="B1016" s="793"/>
      <c r="C1016" s="853"/>
    </row>
    <row r="1017" spans="2:3" ht="13.5" outlineLevel="1">
      <c r="B1017" s="793"/>
      <c r="C1017" s="853"/>
    </row>
    <row r="1018" spans="2:3" ht="13.5" outlineLevel="1">
      <c r="B1018" s="793"/>
      <c r="C1018" s="853"/>
    </row>
    <row r="1019" spans="2:3" ht="13.5" outlineLevel="1">
      <c r="B1019" s="793"/>
      <c r="C1019" s="853"/>
    </row>
    <row r="1020" spans="2:3" ht="13.5" outlineLevel="1">
      <c r="B1020" s="793"/>
      <c r="C1020" s="853"/>
    </row>
    <row r="1021" spans="2:3" ht="13.5" outlineLevel="1">
      <c r="B1021" s="793"/>
      <c r="C1021" s="853"/>
    </row>
    <row r="1022" spans="2:3" ht="13.5" outlineLevel="1">
      <c r="B1022" s="793"/>
      <c r="C1022" s="853"/>
    </row>
    <row r="1023" spans="2:3" ht="13.5" outlineLevel="1">
      <c r="B1023" s="793"/>
      <c r="C1023" s="853"/>
    </row>
    <row r="1024" spans="2:3" ht="13.5" outlineLevel="1">
      <c r="B1024" s="793"/>
      <c r="C1024" s="853"/>
    </row>
    <row r="1025" spans="2:3" ht="13.5" outlineLevel="1">
      <c r="B1025" s="793"/>
      <c r="C1025" s="853"/>
    </row>
    <row r="1026" spans="2:3" ht="13.5" outlineLevel="1">
      <c r="B1026" s="793"/>
      <c r="C1026" s="853"/>
    </row>
    <row r="1027" spans="2:3" ht="13.5" outlineLevel="1">
      <c r="B1027" s="793"/>
      <c r="C1027" s="853"/>
    </row>
    <row r="1028" spans="2:3" ht="13.5" outlineLevel="1">
      <c r="B1028" s="793"/>
      <c r="C1028" s="853"/>
    </row>
    <row r="1029" spans="2:3" ht="13.5" outlineLevel="1">
      <c r="B1029" s="793"/>
      <c r="C1029" s="853"/>
    </row>
    <row r="1030" spans="2:3" ht="13.5" outlineLevel="1">
      <c r="B1030" s="793"/>
      <c r="C1030" s="853"/>
    </row>
    <row r="1031" spans="2:3" ht="13.5" outlineLevel="1">
      <c r="B1031" s="793"/>
      <c r="C1031" s="853"/>
    </row>
    <row r="1032" spans="2:3" ht="13.5" outlineLevel="1">
      <c r="B1032" s="793"/>
      <c r="C1032" s="853"/>
    </row>
    <row r="1033" spans="2:3" ht="13.5" outlineLevel="1">
      <c r="B1033" s="793"/>
      <c r="C1033" s="853"/>
    </row>
    <row r="1034" spans="2:3" ht="13.5" outlineLevel="1">
      <c r="B1034" s="793"/>
      <c r="C1034" s="853"/>
    </row>
    <row r="1035" spans="2:3" ht="13.5" outlineLevel="1">
      <c r="B1035" s="793"/>
      <c r="C1035" s="853"/>
    </row>
    <row r="1036" spans="2:3" ht="13.5" outlineLevel="1">
      <c r="B1036" s="793"/>
      <c r="C1036" s="853"/>
    </row>
    <row r="1037" spans="2:3" ht="13.5" outlineLevel="1">
      <c r="B1037" s="793"/>
      <c r="C1037" s="853"/>
    </row>
    <row r="1038" spans="2:3" ht="13.5" outlineLevel="1">
      <c r="B1038" s="793"/>
      <c r="C1038" s="853"/>
    </row>
    <row r="1039" spans="2:3" ht="13.5" outlineLevel="1">
      <c r="B1039" s="793"/>
      <c r="C1039" s="853"/>
    </row>
    <row r="1040" spans="2:3" ht="13.5" outlineLevel="1">
      <c r="B1040" s="793"/>
      <c r="C1040" s="853"/>
    </row>
    <row r="1041" spans="2:3" ht="13.5" outlineLevel="1">
      <c r="B1041" s="793"/>
      <c r="C1041" s="853"/>
    </row>
    <row r="1042" spans="2:3" ht="13.5" outlineLevel="1">
      <c r="B1042" s="793"/>
      <c r="C1042" s="853"/>
    </row>
    <row r="1043" spans="2:3" ht="13.5" outlineLevel="1">
      <c r="B1043" s="793"/>
      <c r="C1043" s="853"/>
    </row>
    <row r="1044" spans="2:3" ht="13.5" outlineLevel="1">
      <c r="B1044" s="793"/>
      <c r="C1044" s="853"/>
    </row>
    <row r="1045" spans="2:3" ht="13.5" outlineLevel="1">
      <c r="B1045" s="793"/>
      <c r="C1045" s="853"/>
    </row>
    <row r="1046" spans="2:3" ht="13.5" outlineLevel="1">
      <c r="B1046" s="793"/>
      <c r="C1046" s="853"/>
    </row>
    <row r="1047" spans="2:3" ht="13.5" outlineLevel="1">
      <c r="B1047" s="793"/>
      <c r="C1047" s="853"/>
    </row>
    <row r="1048" spans="2:3" ht="13.5" outlineLevel="1">
      <c r="B1048" s="793"/>
      <c r="C1048" s="853"/>
    </row>
    <row r="1049" spans="2:3" ht="13.5" outlineLevel="1">
      <c r="B1049" s="793"/>
      <c r="C1049" s="853"/>
    </row>
    <row r="1050" spans="2:3" ht="13.5" outlineLevel="1">
      <c r="B1050" s="793"/>
      <c r="C1050" s="853"/>
    </row>
    <row r="1051" spans="2:3" ht="13.5" outlineLevel="1">
      <c r="B1051" s="793"/>
      <c r="C1051" s="853"/>
    </row>
    <row r="1052" spans="2:3" ht="13.5" outlineLevel="1">
      <c r="B1052" s="793"/>
      <c r="C1052" s="853"/>
    </row>
    <row r="1053" spans="2:3" ht="13.5" outlineLevel="1">
      <c r="B1053" s="793"/>
      <c r="C1053" s="853"/>
    </row>
    <row r="1054" spans="2:3" ht="13.5" outlineLevel="1">
      <c r="B1054" s="793"/>
      <c r="C1054" s="853"/>
    </row>
    <row r="1055" spans="2:3" ht="13.5" outlineLevel="1">
      <c r="B1055" s="793"/>
      <c r="C1055" s="853"/>
    </row>
    <row r="1056" spans="2:3" ht="13.5" outlineLevel="1">
      <c r="B1056" s="793"/>
      <c r="C1056" s="853"/>
    </row>
    <row r="1057" spans="2:3" ht="13.5" outlineLevel="1">
      <c r="B1057" s="793"/>
      <c r="C1057" s="853"/>
    </row>
    <row r="1058" spans="2:3" ht="13.5" outlineLevel="1">
      <c r="B1058" s="793"/>
      <c r="C1058" s="853"/>
    </row>
    <row r="1059" spans="2:3" ht="13.5" outlineLevel="1">
      <c r="B1059" s="793"/>
      <c r="C1059" s="853"/>
    </row>
    <row r="1060" spans="2:3" ht="13.5" outlineLevel="1">
      <c r="B1060" s="793"/>
      <c r="C1060" s="853"/>
    </row>
    <row r="1061" spans="2:3" ht="13.5" outlineLevel="1">
      <c r="B1061" s="793"/>
      <c r="C1061" s="853"/>
    </row>
    <row r="1062" spans="2:3" ht="13.5" outlineLevel="1">
      <c r="B1062" s="793"/>
      <c r="C1062" s="853"/>
    </row>
    <row r="1063" spans="2:3" ht="13.5" outlineLevel="1">
      <c r="B1063" s="793"/>
      <c r="C1063" s="853"/>
    </row>
    <row r="1064" spans="2:3" ht="13.5" outlineLevel="1">
      <c r="B1064" s="793"/>
      <c r="C1064" s="853"/>
    </row>
    <row r="1065" spans="2:3" ht="13.5" outlineLevel="1">
      <c r="B1065" s="793"/>
      <c r="C1065" s="853"/>
    </row>
    <row r="1066" spans="2:3" ht="13.5" outlineLevel="1">
      <c r="B1066" s="793"/>
      <c r="C1066" s="853"/>
    </row>
    <row r="1067" spans="2:3" ht="13.5" outlineLevel="1">
      <c r="B1067" s="793"/>
      <c r="C1067" s="853"/>
    </row>
    <row r="1068" spans="2:3" ht="13.5" outlineLevel="1">
      <c r="B1068" s="793"/>
      <c r="C1068" s="853"/>
    </row>
    <row r="1069" spans="2:3" ht="13.5" outlineLevel="1">
      <c r="B1069" s="793"/>
      <c r="C1069" s="853"/>
    </row>
    <row r="1070" spans="2:3" ht="13.5" outlineLevel="1">
      <c r="B1070" s="793"/>
      <c r="C1070" s="853"/>
    </row>
    <row r="1071" spans="2:3" ht="13.5" outlineLevel="1">
      <c r="B1071" s="793"/>
      <c r="C1071" s="853"/>
    </row>
    <row r="1072" spans="2:3" ht="13.5" outlineLevel="1">
      <c r="B1072" s="793"/>
      <c r="C1072" s="853"/>
    </row>
    <row r="1073" spans="2:3" ht="13.5" outlineLevel="1">
      <c r="B1073" s="793"/>
      <c r="C1073" s="853"/>
    </row>
    <row r="1074" spans="2:3" ht="13.5" outlineLevel="1">
      <c r="B1074" s="793"/>
      <c r="C1074" s="853"/>
    </row>
    <row r="1075" spans="2:3" ht="13.5" outlineLevel="1">
      <c r="B1075" s="793"/>
      <c r="C1075" s="853"/>
    </row>
    <row r="1076" spans="2:3" ht="13.5" outlineLevel="1">
      <c r="B1076" s="793"/>
      <c r="C1076" s="853"/>
    </row>
    <row r="1077" spans="2:3" ht="13.5" outlineLevel="1">
      <c r="B1077" s="793"/>
      <c r="C1077" s="853"/>
    </row>
    <row r="1078" spans="2:3" ht="13.5" outlineLevel="1">
      <c r="B1078" s="793"/>
      <c r="C1078" s="853"/>
    </row>
    <row r="1079" spans="2:3" ht="13.5" outlineLevel="1">
      <c r="B1079" s="793"/>
      <c r="C1079" s="853"/>
    </row>
    <row r="1080" spans="2:3" ht="13.5" outlineLevel="1">
      <c r="B1080" s="793"/>
      <c r="C1080" s="853"/>
    </row>
    <row r="1081" spans="2:3" ht="13.5" outlineLevel="1">
      <c r="B1081" s="793"/>
      <c r="C1081" s="853"/>
    </row>
    <row r="1082" spans="2:3" ht="13.5" outlineLevel="1">
      <c r="B1082" s="793"/>
      <c r="C1082" s="853"/>
    </row>
    <row r="1083" spans="2:3" ht="13.5" outlineLevel="1">
      <c r="B1083" s="793"/>
      <c r="C1083" s="853"/>
    </row>
    <row r="1084" spans="2:3" ht="13.5" outlineLevel="1">
      <c r="B1084" s="793"/>
      <c r="C1084" s="853"/>
    </row>
    <row r="1085" spans="2:3" ht="13.5" outlineLevel="1">
      <c r="B1085" s="793"/>
      <c r="C1085" s="853"/>
    </row>
    <row r="1086" spans="2:3" ht="13.5" outlineLevel="1">
      <c r="B1086" s="793"/>
      <c r="C1086" s="853"/>
    </row>
    <row r="1087" spans="2:3" ht="13.5" outlineLevel="1">
      <c r="B1087" s="793"/>
      <c r="C1087" s="853"/>
    </row>
    <row r="1088" spans="2:3" ht="13.5" outlineLevel="1">
      <c r="B1088" s="793"/>
      <c r="C1088" s="853"/>
    </row>
    <row r="1089" spans="2:3" ht="13.5" outlineLevel="1">
      <c r="B1089" s="793"/>
      <c r="C1089" s="853"/>
    </row>
    <row r="1090" spans="2:3" ht="13.5" outlineLevel="1">
      <c r="B1090" s="793"/>
      <c r="C1090" s="853"/>
    </row>
    <row r="1091" spans="2:3" ht="13.5" outlineLevel="1">
      <c r="B1091" s="793"/>
      <c r="C1091" s="853"/>
    </row>
    <row r="1092" spans="2:3" ht="13.5" outlineLevel="1">
      <c r="B1092" s="793"/>
      <c r="C1092" s="853"/>
    </row>
    <row r="1093" spans="2:3" ht="13.5" outlineLevel="1">
      <c r="B1093" s="793"/>
      <c r="C1093" s="853"/>
    </row>
    <row r="1094" spans="2:3" ht="13.5" outlineLevel="1">
      <c r="B1094" s="793"/>
      <c r="C1094" s="853"/>
    </row>
    <row r="1095" spans="2:3" ht="13.5" outlineLevel="1">
      <c r="B1095" s="793"/>
      <c r="C1095" s="853"/>
    </row>
    <row r="1096" spans="2:3" ht="13.5" outlineLevel="1">
      <c r="B1096" s="793"/>
      <c r="C1096" s="853"/>
    </row>
    <row r="1097" spans="2:3" ht="13.5" outlineLevel="1">
      <c r="B1097" s="793"/>
      <c r="C1097" s="853"/>
    </row>
    <row r="1098" spans="2:3" ht="13.5" outlineLevel="1">
      <c r="B1098" s="793"/>
      <c r="C1098" s="853"/>
    </row>
    <row r="1099" spans="2:3" ht="13.5" outlineLevel="1">
      <c r="B1099" s="793"/>
      <c r="C1099" s="853"/>
    </row>
    <row r="1100" spans="2:3" ht="13.5" outlineLevel="1">
      <c r="B1100" s="793"/>
      <c r="C1100" s="853"/>
    </row>
    <row r="1101" spans="2:3" ht="13.5" outlineLevel="1">
      <c r="B1101" s="793"/>
      <c r="C1101" s="853"/>
    </row>
    <row r="1102" spans="2:3" ht="13.5" outlineLevel="1">
      <c r="B1102" s="793"/>
      <c r="C1102" s="853"/>
    </row>
    <row r="1103" spans="2:3" ht="13.5" outlineLevel="1">
      <c r="B1103" s="793"/>
      <c r="C1103" s="853"/>
    </row>
    <row r="1104" spans="2:3" ht="13.5" outlineLevel="1">
      <c r="B1104" s="793"/>
      <c r="C1104" s="853"/>
    </row>
    <row r="1105" spans="2:3" ht="13.5" outlineLevel="1">
      <c r="B1105" s="793"/>
      <c r="C1105" s="853"/>
    </row>
    <row r="1106" spans="2:3" ht="13.5" outlineLevel="1">
      <c r="B1106" s="793"/>
      <c r="C1106" s="853"/>
    </row>
    <row r="1107" spans="2:3" ht="13.5" outlineLevel="1">
      <c r="B1107" s="793"/>
      <c r="C1107" s="853"/>
    </row>
    <row r="1108" spans="2:3" ht="13.5" outlineLevel="1">
      <c r="B1108" s="793"/>
      <c r="C1108" s="853"/>
    </row>
    <row r="1109" spans="2:3" ht="13.5" outlineLevel="1">
      <c r="B1109" s="793"/>
      <c r="C1109" s="853"/>
    </row>
    <row r="1110" spans="2:3" ht="13.5" outlineLevel="1">
      <c r="B1110" s="793"/>
      <c r="C1110" s="853"/>
    </row>
    <row r="1111" spans="2:3" ht="13.5" outlineLevel="1">
      <c r="B1111" s="793"/>
      <c r="C1111" s="853"/>
    </row>
    <row r="1112" spans="2:3" ht="13.5" outlineLevel="1">
      <c r="B1112" s="793"/>
      <c r="C1112" s="853"/>
    </row>
    <row r="1113" spans="2:3" ht="13.5" outlineLevel="1">
      <c r="B1113" s="793"/>
      <c r="C1113" s="853"/>
    </row>
    <row r="1114" spans="2:3" ht="13.5" outlineLevel="1">
      <c r="B1114" s="793"/>
      <c r="C1114" s="853"/>
    </row>
    <row r="1115" spans="2:3" ht="13.5" outlineLevel="1">
      <c r="B1115" s="793"/>
      <c r="C1115" s="853"/>
    </row>
    <row r="1116" spans="2:3" ht="13.5" outlineLevel="1">
      <c r="B1116" s="793"/>
      <c r="C1116" s="853"/>
    </row>
    <row r="1117" spans="2:3" ht="13.5" outlineLevel="1">
      <c r="B1117" s="793"/>
      <c r="C1117" s="853"/>
    </row>
    <row r="1118" spans="2:3" ht="13.5" outlineLevel="1">
      <c r="B1118" s="793"/>
      <c r="C1118" s="853"/>
    </row>
    <row r="1119" spans="2:3" ht="13.5" outlineLevel="1">
      <c r="B1119" s="793"/>
      <c r="C1119" s="853"/>
    </row>
    <row r="1120" spans="2:3" ht="13.5" outlineLevel="1">
      <c r="B1120" s="793"/>
      <c r="C1120" s="853"/>
    </row>
    <row r="1121" spans="2:3" ht="13.5" outlineLevel="1">
      <c r="B1121" s="793"/>
      <c r="C1121" s="853"/>
    </row>
    <row r="1122" spans="2:3" ht="13.5" outlineLevel="1">
      <c r="B1122" s="793"/>
      <c r="C1122" s="853"/>
    </row>
    <row r="1123" spans="2:3" ht="13.5" outlineLevel="1">
      <c r="B1123" s="793"/>
      <c r="C1123" s="853"/>
    </row>
    <row r="1124" spans="2:3" ht="13.5" outlineLevel="1">
      <c r="B1124" s="793"/>
      <c r="C1124" s="853"/>
    </row>
    <row r="1125" spans="2:3" ht="13.5" outlineLevel="1">
      <c r="B1125" s="793"/>
      <c r="C1125" s="853"/>
    </row>
    <row r="1126" spans="2:3" ht="13.5" outlineLevel="1">
      <c r="B1126" s="793"/>
      <c r="C1126" s="853"/>
    </row>
    <row r="1127" spans="2:3" ht="13.5" outlineLevel="1">
      <c r="B1127" s="793"/>
      <c r="C1127" s="853"/>
    </row>
    <row r="1128" spans="2:3" ht="13.5" outlineLevel="1">
      <c r="B1128" s="793"/>
      <c r="C1128" s="853"/>
    </row>
    <row r="1129" spans="2:3" ht="13.5" outlineLevel="1">
      <c r="B1129" s="793"/>
      <c r="C1129" s="853"/>
    </row>
    <row r="1130" spans="2:3" ht="13.5" outlineLevel="1">
      <c r="B1130" s="793"/>
      <c r="C1130" s="853"/>
    </row>
    <row r="1131" spans="2:3" ht="13.5" outlineLevel="1">
      <c r="B1131" s="793"/>
      <c r="C1131" s="853"/>
    </row>
    <row r="1132" spans="2:3" ht="13.5" outlineLevel="1">
      <c r="B1132" s="793"/>
      <c r="C1132" s="853"/>
    </row>
    <row r="1133" spans="2:3" ht="13.5" outlineLevel="1">
      <c r="B1133" s="793"/>
      <c r="C1133" s="853"/>
    </row>
    <row r="1134" spans="2:3" ht="13.5" outlineLevel="1">
      <c r="B1134" s="793"/>
      <c r="C1134" s="853"/>
    </row>
    <row r="1135" spans="2:3" ht="13.5" outlineLevel="1">
      <c r="B1135" s="793"/>
      <c r="C1135" s="853"/>
    </row>
    <row r="1136" spans="2:3" ht="13.5" outlineLevel="1">
      <c r="B1136" s="793"/>
      <c r="C1136" s="853"/>
    </row>
    <row r="1137" spans="2:3" ht="13.5" outlineLevel="1">
      <c r="B1137" s="793"/>
      <c r="C1137" s="853"/>
    </row>
    <row r="1138" spans="2:3" ht="13.5" outlineLevel="1">
      <c r="B1138" s="793"/>
      <c r="C1138" s="853"/>
    </row>
    <row r="1139" spans="2:3" ht="13.5" outlineLevel="1">
      <c r="B1139" s="793"/>
      <c r="C1139" s="853"/>
    </row>
    <row r="1140" spans="2:3" ht="13.5" outlineLevel="1">
      <c r="B1140" s="793"/>
      <c r="C1140" s="853"/>
    </row>
    <row r="1141" spans="2:3" ht="13.5" outlineLevel="1">
      <c r="B1141" s="793"/>
      <c r="C1141" s="853"/>
    </row>
    <row r="1142" spans="2:3" ht="13.5" outlineLevel="1">
      <c r="B1142" s="793"/>
      <c r="C1142" s="853"/>
    </row>
    <row r="1143" spans="2:3" ht="13.5" outlineLevel="1">
      <c r="B1143" s="793"/>
      <c r="C1143" s="853"/>
    </row>
    <row r="1144" spans="2:3" ht="13.5" outlineLevel="1">
      <c r="B1144" s="793"/>
      <c r="C1144" s="853"/>
    </row>
    <row r="1145" spans="2:3" ht="13.5" outlineLevel="1">
      <c r="B1145" s="793"/>
      <c r="C1145" s="853"/>
    </row>
    <row r="1146" spans="2:3" ht="13.5" outlineLevel="1">
      <c r="B1146" s="793"/>
      <c r="C1146" s="853"/>
    </row>
    <row r="1147" spans="2:3" ht="13.5" outlineLevel="1">
      <c r="B1147" s="793"/>
      <c r="C1147" s="853"/>
    </row>
    <row r="1148" spans="2:3" ht="13.5" outlineLevel="1">
      <c r="B1148" s="793"/>
      <c r="C1148" s="853"/>
    </row>
    <row r="1149" spans="2:3" ht="13.5" outlineLevel="1">
      <c r="B1149" s="793"/>
      <c r="C1149" s="853"/>
    </row>
    <row r="1150" spans="2:3" ht="13.5" outlineLevel="1">
      <c r="B1150" s="793"/>
      <c r="C1150" s="853"/>
    </row>
    <row r="1151" spans="2:3" ht="13.5" outlineLevel="1">
      <c r="B1151" s="793"/>
      <c r="C1151" s="853"/>
    </row>
    <row r="1152" spans="2:3" ht="13.5" outlineLevel="1">
      <c r="B1152" s="793"/>
      <c r="C1152" s="853"/>
    </row>
    <row r="1153" spans="2:3" ht="13.5" outlineLevel="1">
      <c r="B1153" s="793"/>
      <c r="C1153" s="853"/>
    </row>
    <row r="1154" spans="2:3" ht="13.5" outlineLevel="1">
      <c r="B1154" s="793"/>
      <c r="C1154" s="853"/>
    </row>
    <row r="1155" spans="2:3" ht="13.5" outlineLevel="1">
      <c r="B1155" s="793"/>
      <c r="C1155" s="853"/>
    </row>
    <row r="1156" spans="2:3" ht="13.5" outlineLevel="1">
      <c r="B1156" s="793"/>
      <c r="C1156" s="853"/>
    </row>
    <row r="1157" spans="2:3" ht="13.5" outlineLevel="1">
      <c r="B1157" s="793"/>
      <c r="C1157" s="853"/>
    </row>
    <row r="1158" spans="2:3" ht="13.5" outlineLevel="1">
      <c r="B1158" s="793"/>
      <c r="C1158" s="853"/>
    </row>
    <row r="1159" spans="2:3" ht="13.5" outlineLevel="1">
      <c r="B1159" s="793"/>
      <c r="C1159" s="853"/>
    </row>
    <row r="1160" spans="2:3" ht="13.5" outlineLevel="1">
      <c r="B1160" s="793"/>
      <c r="C1160" s="853"/>
    </row>
    <row r="1161" spans="2:3" ht="13.5" outlineLevel="1">
      <c r="B1161" s="793"/>
      <c r="C1161" s="853"/>
    </row>
    <row r="1162" spans="2:3" ht="13.5" outlineLevel="1">
      <c r="B1162" s="793"/>
      <c r="C1162" s="853"/>
    </row>
    <row r="1163" spans="2:3" ht="13.5" outlineLevel="1">
      <c r="B1163" s="793"/>
      <c r="C1163" s="853"/>
    </row>
    <row r="1164" spans="2:3" ht="13.5" outlineLevel="1">
      <c r="B1164" s="793"/>
      <c r="C1164" s="853"/>
    </row>
    <row r="1165" spans="2:3" ht="13.5" outlineLevel="1">
      <c r="B1165" s="793"/>
      <c r="C1165" s="853"/>
    </row>
    <row r="1166" spans="2:3" ht="13.5" outlineLevel="1">
      <c r="B1166" s="793"/>
      <c r="C1166" s="853"/>
    </row>
    <row r="1167" spans="2:3" ht="13.5" outlineLevel="1">
      <c r="B1167" s="793"/>
      <c r="C1167" s="853"/>
    </row>
    <row r="1168" spans="2:3" ht="13.5" outlineLevel="1">
      <c r="B1168" s="793"/>
      <c r="C1168" s="853"/>
    </row>
    <row r="1169" spans="2:3" ht="13.5" outlineLevel="1">
      <c r="B1169" s="793"/>
      <c r="C1169" s="853"/>
    </row>
    <row r="1170" spans="2:3" ht="13.5" outlineLevel="1">
      <c r="B1170" s="793"/>
      <c r="C1170" s="853"/>
    </row>
    <row r="1171" spans="2:3" ht="13.5" outlineLevel="1">
      <c r="B1171" s="793"/>
      <c r="C1171" s="853"/>
    </row>
    <row r="1172" spans="2:3" ht="13.5" outlineLevel="1">
      <c r="B1172" s="793"/>
      <c r="C1172" s="853"/>
    </row>
    <row r="1173" spans="2:3" ht="13.5" outlineLevel="1">
      <c r="B1173" s="793"/>
      <c r="C1173" s="853"/>
    </row>
    <row r="1174" spans="2:3" ht="13.5" outlineLevel="1">
      <c r="B1174" s="793"/>
      <c r="C1174" s="853"/>
    </row>
    <row r="1175" spans="2:3" ht="13.5" outlineLevel="1">
      <c r="B1175" s="793"/>
      <c r="C1175" s="853"/>
    </row>
    <row r="1176" spans="2:3" ht="13.5" outlineLevel="1">
      <c r="B1176" s="793"/>
      <c r="C1176" s="853"/>
    </row>
    <row r="1177" spans="2:3" ht="13.5" outlineLevel="1">
      <c r="B1177" s="793"/>
      <c r="C1177" s="853"/>
    </row>
    <row r="1178" spans="2:3" ht="13.5" outlineLevel="1">
      <c r="B1178" s="793"/>
      <c r="C1178" s="853"/>
    </row>
    <row r="1179" spans="2:3" ht="13.5" outlineLevel="1">
      <c r="B1179" s="793"/>
      <c r="C1179" s="853"/>
    </row>
    <row r="1180" spans="2:3" ht="13.5" outlineLevel="1">
      <c r="B1180" s="793"/>
      <c r="C1180" s="853"/>
    </row>
    <row r="1181" spans="2:3" ht="13.5" outlineLevel="1">
      <c r="B1181" s="793"/>
      <c r="C1181" s="853"/>
    </row>
    <row r="1182" spans="2:3" ht="13.5" outlineLevel="1">
      <c r="B1182" s="793"/>
      <c r="C1182" s="853"/>
    </row>
    <row r="1183" spans="2:3" ht="13.5" outlineLevel="1">
      <c r="B1183" s="793"/>
      <c r="C1183" s="853"/>
    </row>
    <row r="1184" spans="2:3" ht="13.5" outlineLevel="1">
      <c r="B1184" s="793"/>
      <c r="C1184" s="853"/>
    </row>
    <row r="1185" spans="2:3" ht="13.5" outlineLevel="1">
      <c r="B1185" s="793"/>
      <c r="C1185" s="853"/>
    </row>
    <row r="1186" spans="2:3" ht="13.5" outlineLevel="1">
      <c r="B1186" s="793"/>
      <c r="C1186" s="853"/>
    </row>
    <row r="1187" spans="2:3" ht="13.5" outlineLevel="1">
      <c r="B1187" s="793"/>
      <c r="C1187" s="853"/>
    </row>
    <row r="1188" spans="2:3" ht="13.5" outlineLevel="1">
      <c r="B1188" s="793"/>
      <c r="C1188" s="853"/>
    </row>
    <row r="1189" spans="2:3" ht="13.5" outlineLevel="1">
      <c r="B1189" s="793"/>
      <c r="C1189" s="853"/>
    </row>
    <row r="1190" spans="2:3" ht="13.5" outlineLevel="1">
      <c r="B1190" s="793"/>
      <c r="C1190" s="853"/>
    </row>
    <row r="1191" spans="2:3" ht="13.5" outlineLevel="1">
      <c r="B1191" s="793"/>
      <c r="C1191" s="853"/>
    </row>
    <row r="1192" spans="2:3" ht="13.5" outlineLevel="1">
      <c r="B1192" s="793"/>
      <c r="C1192" s="853"/>
    </row>
    <row r="1193" spans="2:3" ht="13.5" outlineLevel="1">
      <c r="B1193" s="793"/>
      <c r="C1193" s="853"/>
    </row>
    <row r="1194" spans="2:3" ht="13.5" outlineLevel="1">
      <c r="B1194" s="793"/>
      <c r="C1194" s="853"/>
    </row>
    <row r="1195" spans="2:3" ht="13.5" outlineLevel="1">
      <c r="B1195" s="793"/>
      <c r="C1195" s="853"/>
    </row>
    <row r="1196" spans="2:3" ht="13.5" outlineLevel="1">
      <c r="B1196" s="793"/>
      <c r="C1196" s="853"/>
    </row>
    <row r="1197" spans="2:3" ht="13.5" outlineLevel="1">
      <c r="B1197" s="793"/>
      <c r="C1197" s="853"/>
    </row>
    <row r="1198" spans="2:3" ht="13.5" outlineLevel="1">
      <c r="B1198" s="793"/>
      <c r="C1198" s="853"/>
    </row>
    <row r="1199" spans="2:3" ht="13.5" outlineLevel="1">
      <c r="B1199" s="793"/>
      <c r="C1199" s="853"/>
    </row>
    <row r="1200" spans="2:3" ht="13.5" outlineLevel="1">
      <c r="B1200" s="793"/>
      <c r="C1200" s="853"/>
    </row>
    <row r="1201" spans="2:3" ht="13.5" outlineLevel="1">
      <c r="B1201" s="793"/>
      <c r="C1201" s="853"/>
    </row>
    <row r="1202" spans="2:3" ht="13.5" outlineLevel="1">
      <c r="B1202" s="793"/>
      <c r="C1202" s="853"/>
    </row>
    <row r="1203" spans="2:3" ht="13.5" outlineLevel="1">
      <c r="B1203" s="793"/>
      <c r="C1203" s="853"/>
    </row>
    <row r="1204" spans="2:3" ht="13.5" outlineLevel="1">
      <c r="B1204" s="793"/>
      <c r="C1204" s="853"/>
    </row>
    <row r="1205" spans="2:3" ht="13.5" outlineLevel="1">
      <c r="B1205" s="793"/>
      <c r="C1205" s="853"/>
    </row>
    <row r="1206" spans="2:3" ht="13.5" outlineLevel="1">
      <c r="B1206" s="793"/>
      <c r="C1206" s="853"/>
    </row>
    <row r="1207" spans="2:3" ht="13.5" outlineLevel="1">
      <c r="B1207" s="793"/>
      <c r="C1207" s="853"/>
    </row>
    <row r="1208" spans="2:3" ht="13.5" outlineLevel="1">
      <c r="B1208" s="793"/>
      <c r="C1208" s="853"/>
    </row>
    <row r="1209" spans="2:3" ht="13.5" outlineLevel="1">
      <c r="B1209" s="793"/>
      <c r="C1209" s="853"/>
    </row>
    <row r="1210" spans="2:3" ht="13.5" outlineLevel="1">
      <c r="B1210" s="793"/>
      <c r="C1210" s="853"/>
    </row>
    <row r="1211" spans="2:3" ht="13.5" outlineLevel="1">
      <c r="B1211" s="793"/>
      <c r="C1211" s="853"/>
    </row>
    <row r="1212" spans="2:3" ht="13.5" outlineLevel="1">
      <c r="B1212" s="793"/>
      <c r="C1212" s="853"/>
    </row>
    <row r="1213" spans="2:3" ht="13.5" outlineLevel="1">
      <c r="B1213" s="793"/>
      <c r="C1213" s="853"/>
    </row>
    <row r="1214" spans="2:3" ht="13.5" outlineLevel="1">
      <c r="B1214" s="793"/>
      <c r="C1214" s="853"/>
    </row>
    <row r="1215" spans="2:3" ht="13.5" outlineLevel="1">
      <c r="B1215" s="793"/>
      <c r="C1215" s="853"/>
    </row>
    <row r="1216" spans="2:3" ht="13.5" outlineLevel="1">
      <c r="B1216" s="793"/>
      <c r="C1216" s="853"/>
    </row>
    <row r="1217" spans="2:3" ht="13.5" outlineLevel="1">
      <c r="B1217" s="793"/>
      <c r="C1217" s="853"/>
    </row>
    <row r="1218" spans="2:3" ht="13.5" outlineLevel="1">
      <c r="B1218" s="793"/>
      <c r="C1218" s="853"/>
    </row>
    <row r="1219" spans="2:3" ht="13.5" outlineLevel="1">
      <c r="B1219" s="793"/>
      <c r="C1219" s="853"/>
    </row>
    <row r="1220" spans="2:3" ht="13.5" outlineLevel="1">
      <c r="B1220" s="793"/>
      <c r="C1220" s="853"/>
    </row>
    <row r="1221" spans="2:3" ht="13.5" outlineLevel="1">
      <c r="B1221" s="793"/>
      <c r="C1221" s="853"/>
    </row>
    <row r="1222" spans="2:3" ht="13.5" outlineLevel="1">
      <c r="B1222" s="793"/>
      <c r="C1222" s="853"/>
    </row>
    <row r="1223" spans="2:3" ht="13.5" outlineLevel="1">
      <c r="B1223" s="793"/>
      <c r="C1223" s="853"/>
    </row>
    <row r="1224" spans="2:3" ht="13.5" outlineLevel="1">
      <c r="B1224" s="793"/>
      <c r="C1224" s="853"/>
    </row>
    <row r="1225" spans="2:3" ht="13.5" outlineLevel="1">
      <c r="B1225" s="793"/>
      <c r="C1225" s="853"/>
    </row>
    <row r="1226" spans="2:3" ht="13.5" outlineLevel="1">
      <c r="B1226" s="793"/>
      <c r="C1226" s="853"/>
    </row>
    <row r="1227" spans="2:3" ht="13.5" outlineLevel="1">
      <c r="B1227" s="793"/>
      <c r="C1227" s="853"/>
    </row>
    <row r="1228" spans="2:3" ht="13.5" outlineLevel="1">
      <c r="B1228" s="793"/>
      <c r="C1228" s="853"/>
    </row>
    <row r="1229" spans="2:3" ht="13.5" outlineLevel="1">
      <c r="B1229" s="793"/>
      <c r="C1229" s="853"/>
    </row>
    <row r="1230" spans="2:3" ht="13.5" outlineLevel="1">
      <c r="B1230" s="793"/>
      <c r="C1230" s="853"/>
    </row>
    <row r="1231" spans="2:3" ht="13.5" outlineLevel="1">
      <c r="B1231" s="793"/>
      <c r="C1231" s="853"/>
    </row>
    <row r="1232" spans="2:3" ht="13.5" outlineLevel="1">
      <c r="B1232" s="793"/>
      <c r="C1232" s="853"/>
    </row>
    <row r="1233" spans="2:3" ht="13.5" outlineLevel="1">
      <c r="B1233" s="793"/>
      <c r="C1233" s="853"/>
    </row>
    <row r="1234" spans="2:3" ht="13.5" outlineLevel="1">
      <c r="B1234" s="793"/>
      <c r="C1234" s="853"/>
    </row>
    <row r="1235" spans="2:3" ht="13.5" outlineLevel="1">
      <c r="B1235" s="793"/>
      <c r="C1235" s="853"/>
    </row>
    <row r="1236" spans="2:3" ht="13.5" outlineLevel="1">
      <c r="B1236" s="793"/>
      <c r="C1236" s="853"/>
    </row>
    <row r="1237" spans="2:3" ht="13.5" outlineLevel="1">
      <c r="B1237" s="793"/>
      <c r="C1237" s="853"/>
    </row>
    <row r="1238" spans="2:3" ht="13.5" outlineLevel="1">
      <c r="B1238" s="793"/>
      <c r="C1238" s="853"/>
    </row>
    <row r="1239" spans="2:3" ht="13.5" outlineLevel="1">
      <c r="B1239" s="793"/>
      <c r="C1239" s="853"/>
    </row>
    <row r="1240" spans="2:3" ht="13.5" outlineLevel="1">
      <c r="B1240" s="793"/>
      <c r="C1240" s="853"/>
    </row>
    <row r="1241" spans="2:3" ht="13.5" outlineLevel="1">
      <c r="B1241" s="793"/>
      <c r="C1241" s="853"/>
    </row>
    <row r="1242" spans="2:3" ht="13.5" outlineLevel="1">
      <c r="B1242" s="793"/>
      <c r="C1242" s="853"/>
    </row>
    <row r="1243" spans="2:3" ht="13.5" outlineLevel="1">
      <c r="B1243" s="793"/>
      <c r="C1243" s="853"/>
    </row>
    <row r="1244" spans="2:3" ht="13.5" outlineLevel="1">
      <c r="B1244" s="793"/>
      <c r="C1244" s="853"/>
    </row>
    <row r="1245" spans="2:3" ht="13.5" outlineLevel="1">
      <c r="B1245" s="793"/>
      <c r="C1245" s="853"/>
    </row>
    <row r="1246" spans="2:3" ht="13.5" outlineLevel="1">
      <c r="B1246" s="793"/>
      <c r="C1246" s="853"/>
    </row>
    <row r="1247" spans="2:3" ht="13.5" outlineLevel="1">
      <c r="B1247" s="793"/>
      <c r="C1247" s="853"/>
    </row>
    <row r="1248" spans="2:3" ht="13.5" outlineLevel="1">
      <c r="B1248" s="793"/>
      <c r="C1248" s="853"/>
    </row>
    <row r="1249" spans="2:3" ht="13.5" outlineLevel="1">
      <c r="B1249" s="793"/>
      <c r="C1249" s="853"/>
    </row>
    <row r="1250" spans="2:3" ht="13.5" outlineLevel="1">
      <c r="B1250" s="793"/>
      <c r="C1250" s="853"/>
    </row>
    <row r="1251" spans="2:3" ht="13.5" outlineLevel="1">
      <c r="B1251" s="793"/>
      <c r="C1251" s="853"/>
    </row>
    <row r="1252" spans="2:3" ht="13.5" outlineLevel="1">
      <c r="B1252" s="793"/>
      <c r="C1252" s="853"/>
    </row>
    <row r="1253" spans="2:3" ht="13.5" outlineLevel="1">
      <c r="B1253" s="793"/>
      <c r="C1253" s="853"/>
    </row>
    <row r="1254" spans="2:3" ht="13.5" outlineLevel="1">
      <c r="B1254" s="793"/>
      <c r="C1254" s="853"/>
    </row>
    <row r="1255" spans="2:3" ht="13.5" outlineLevel="1">
      <c r="B1255" s="793"/>
      <c r="C1255" s="853"/>
    </row>
    <row r="1256" spans="2:3" ht="13.5" outlineLevel="1">
      <c r="B1256" s="793"/>
      <c r="C1256" s="853"/>
    </row>
    <row r="1257" spans="2:3" ht="13.5" outlineLevel="1">
      <c r="B1257" s="793"/>
      <c r="C1257" s="853"/>
    </row>
    <row r="1258" spans="2:3" ht="13.5" outlineLevel="1">
      <c r="B1258" s="793"/>
      <c r="C1258" s="853"/>
    </row>
    <row r="1259" spans="2:3" ht="13.5" outlineLevel="1">
      <c r="B1259" s="793"/>
      <c r="C1259" s="853"/>
    </row>
    <row r="1260" spans="2:3" ht="13.5" outlineLevel="1">
      <c r="B1260" s="793"/>
      <c r="C1260" s="853"/>
    </row>
    <row r="1261" spans="2:3" ht="13.5" outlineLevel="1">
      <c r="B1261" s="793"/>
      <c r="C1261" s="853"/>
    </row>
    <row r="1262" spans="2:3" ht="13.5" outlineLevel="1">
      <c r="B1262" s="793"/>
      <c r="C1262" s="853"/>
    </row>
    <row r="1263" spans="2:3" ht="13.5" outlineLevel="1">
      <c r="B1263" s="793"/>
      <c r="C1263" s="853"/>
    </row>
    <row r="1264" spans="2:3" ht="13.5" outlineLevel="1">
      <c r="B1264" s="793"/>
      <c r="C1264" s="853"/>
    </row>
    <row r="1265" spans="2:3" ht="13.5" outlineLevel="1">
      <c r="B1265" s="793"/>
      <c r="C1265" s="853"/>
    </row>
    <row r="1266" spans="2:3" ht="13.5" outlineLevel="1">
      <c r="B1266" s="793"/>
      <c r="C1266" s="853"/>
    </row>
    <row r="1267" spans="2:3" ht="13.5" outlineLevel="1">
      <c r="B1267" s="793"/>
      <c r="C1267" s="853"/>
    </row>
    <row r="1268" spans="2:3" ht="13.5" outlineLevel="1">
      <c r="B1268" s="793"/>
      <c r="C1268" s="853"/>
    </row>
    <row r="1269" spans="2:3" ht="13.5" outlineLevel="1">
      <c r="B1269" s="793"/>
      <c r="C1269" s="853"/>
    </row>
    <row r="1270" spans="2:3" ht="13.5" outlineLevel="1">
      <c r="B1270" s="793"/>
      <c r="C1270" s="853"/>
    </row>
    <row r="1271" spans="2:3" ht="13.5" outlineLevel="1">
      <c r="B1271" s="793"/>
      <c r="C1271" s="853"/>
    </row>
    <row r="1272" spans="2:3" ht="13.5" outlineLevel="1">
      <c r="B1272" s="793"/>
      <c r="C1272" s="853"/>
    </row>
    <row r="1273" spans="2:3" ht="13.5" outlineLevel="1">
      <c r="B1273" s="793"/>
      <c r="C1273" s="853"/>
    </row>
    <row r="1274" spans="2:3" ht="13.5" outlineLevel="1">
      <c r="B1274" s="793"/>
      <c r="C1274" s="853"/>
    </row>
    <row r="1275" spans="2:3" ht="13.5" outlineLevel="1">
      <c r="B1275" s="793"/>
      <c r="C1275" s="853"/>
    </row>
    <row r="1276" spans="2:3" ht="13.5" outlineLevel="1">
      <c r="B1276" s="793"/>
      <c r="C1276" s="853"/>
    </row>
    <row r="1277" spans="2:3" ht="13.5" outlineLevel="1">
      <c r="B1277" s="793"/>
      <c r="C1277" s="853"/>
    </row>
    <row r="1278" spans="2:3" ht="13.5" outlineLevel="1">
      <c r="B1278" s="793"/>
      <c r="C1278" s="853"/>
    </row>
    <row r="1279" spans="2:3" ht="13.5" outlineLevel="1">
      <c r="B1279" s="793"/>
      <c r="C1279" s="853"/>
    </row>
    <row r="1280" spans="2:3" ht="13.5" outlineLevel="1">
      <c r="B1280" s="793"/>
      <c r="C1280" s="853"/>
    </row>
    <row r="1281" spans="2:3" ht="13.5" outlineLevel="1">
      <c r="B1281" s="793"/>
      <c r="C1281" s="853"/>
    </row>
    <row r="1282" spans="2:3" ht="13.5" outlineLevel="1">
      <c r="B1282" s="793"/>
      <c r="C1282" s="853"/>
    </row>
    <row r="1283" spans="2:3" ht="13.5" outlineLevel="1">
      <c r="B1283" s="793"/>
      <c r="C1283" s="853"/>
    </row>
    <row r="1284" spans="2:3" ht="13.5" outlineLevel="1">
      <c r="B1284" s="793"/>
      <c r="C1284" s="853"/>
    </row>
    <row r="1285" spans="2:3" ht="13.5" outlineLevel="1">
      <c r="B1285" s="793"/>
      <c r="C1285" s="853"/>
    </row>
    <row r="1286" spans="2:3" ht="13.5" outlineLevel="1">
      <c r="B1286" s="793"/>
      <c r="C1286" s="853"/>
    </row>
    <row r="1287" spans="2:3" ht="13.5" outlineLevel="1">
      <c r="B1287" s="793"/>
      <c r="C1287" s="853"/>
    </row>
    <row r="1288" spans="2:3" ht="13.5" outlineLevel="1">
      <c r="B1288" s="793"/>
      <c r="C1288" s="853"/>
    </row>
    <row r="1289" spans="2:3" ht="13.5" outlineLevel="1">
      <c r="B1289" s="793"/>
      <c r="C1289" s="853"/>
    </row>
    <row r="1290" spans="2:3" ht="13.5" outlineLevel="1">
      <c r="B1290" s="793"/>
      <c r="C1290" s="853"/>
    </row>
    <row r="1291" spans="2:3" ht="13.5" outlineLevel="1">
      <c r="B1291" s="793"/>
      <c r="C1291" s="853"/>
    </row>
    <row r="1292" spans="2:3" ht="13.5" outlineLevel="1">
      <c r="B1292" s="793"/>
      <c r="C1292" s="853"/>
    </row>
    <row r="1293" spans="2:3" ht="13.5" outlineLevel="1">
      <c r="B1293" s="793"/>
      <c r="C1293" s="853"/>
    </row>
    <row r="1294" spans="2:3" ht="13.5" outlineLevel="1">
      <c r="B1294" s="793"/>
      <c r="C1294" s="853"/>
    </row>
    <row r="1295" spans="2:3" ht="13.5" outlineLevel="1">
      <c r="B1295" s="793"/>
      <c r="C1295" s="853"/>
    </row>
    <row r="1296" spans="2:3" ht="13.5" outlineLevel="1">
      <c r="B1296" s="793"/>
      <c r="C1296" s="853"/>
    </row>
    <row r="1297" spans="2:3" ht="13.5" outlineLevel="1">
      <c r="B1297" s="793"/>
      <c r="C1297" s="853"/>
    </row>
    <row r="1298" spans="2:3" ht="13.5" outlineLevel="1">
      <c r="B1298" s="793"/>
      <c r="C1298" s="853"/>
    </row>
    <row r="1299" spans="2:3" ht="13.5" outlineLevel="1">
      <c r="B1299" s="793"/>
      <c r="C1299" s="853"/>
    </row>
    <row r="1300" spans="2:3" ht="13.5" outlineLevel="1">
      <c r="B1300" s="793"/>
      <c r="C1300" s="853"/>
    </row>
    <row r="1301" spans="2:3" ht="13.5" outlineLevel="1">
      <c r="B1301" s="793"/>
      <c r="C1301" s="853"/>
    </row>
    <row r="1302" spans="2:3" ht="13.5" outlineLevel="1">
      <c r="B1302" s="793"/>
      <c r="C1302" s="853"/>
    </row>
    <row r="1303" spans="2:3" ht="13.5" outlineLevel="1">
      <c r="B1303" s="793"/>
      <c r="C1303" s="853"/>
    </row>
    <row r="1304" spans="2:3" ht="13.5" outlineLevel="1">
      <c r="B1304" s="793"/>
      <c r="C1304" s="853"/>
    </row>
    <row r="1305" spans="2:3" ht="13.5" outlineLevel="1">
      <c r="B1305" s="793"/>
      <c r="C1305" s="853"/>
    </row>
    <row r="1306" spans="2:3" ht="13.5" outlineLevel="1">
      <c r="B1306" s="793"/>
      <c r="C1306" s="853"/>
    </row>
    <row r="1307" spans="2:3" ht="13.5" outlineLevel="1">
      <c r="B1307" s="793"/>
      <c r="C1307" s="853"/>
    </row>
    <row r="1308" spans="2:3" ht="13.5" outlineLevel="1">
      <c r="B1308" s="793"/>
      <c r="C1308" s="853"/>
    </row>
    <row r="1309" spans="2:3" ht="13.5" outlineLevel="1">
      <c r="B1309" s="793"/>
      <c r="C1309" s="853"/>
    </row>
    <row r="1310" spans="2:3" ht="13.5" outlineLevel="1">
      <c r="B1310" s="793"/>
      <c r="C1310" s="853"/>
    </row>
    <row r="1311" spans="2:3" ht="13.5" outlineLevel="1">
      <c r="B1311" s="793"/>
      <c r="C1311" s="853"/>
    </row>
    <row r="1312" spans="2:3" ht="13.5" outlineLevel="1">
      <c r="B1312" s="793"/>
      <c r="C1312" s="853"/>
    </row>
    <row r="1313" spans="2:3" ht="13.5" outlineLevel="1">
      <c r="B1313" s="793"/>
      <c r="C1313" s="853"/>
    </row>
    <row r="1314" spans="2:3" ht="13.5" outlineLevel="1">
      <c r="B1314" s="793"/>
      <c r="C1314" s="853"/>
    </row>
    <row r="1315" spans="2:3" ht="13.5" outlineLevel="1">
      <c r="B1315" s="793"/>
      <c r="C1315" s="853"/>
    </row>
    <row r="1316" spans="2:3" ht="13.5" outlineLevel="1">
      <c r="B1316" s="793"/>
      <c r="C1316" s="853"/>
    </row>
    <row r="1317" spans="2:3" ht="13.5" outlineLevel="1">
      <c r="B1317" s="793"/>
      <c r="C1317" s="853"/>
    </row>
    <row r="1318" spans="2:3" ht="13.5" outlineLevel="1">
      <c r="B1318" s="793"/>
      <c r="C1318" s="853"/>
    </row>
    <row r="1319" spans="2:3" ht="13.5" outlineLevel="1">
      <c r="B1319" s="793"/>
      <c r="C1319" s="853"/>
    </row>
    <row r="1320" spans="2:3" ht="13.5" outlineLevel="1">
      <c r="B1320" s="793"/>
      <c r="C1320" s="853"/>
    </row>
    <row r="1321" spans="2:3" ht="13.5" outlineLevel="1">
      <c r="B1321" s="793"/>
      <c r="C1321" s="853"/>
    </row>
    <row r="1322" spans="2:3" ht="13.5" outlineLevel="1">
      <c r="B1322" s="793"/>
      <c r="C1322" s="853"/>
    </row>
    <row r="1323" spans="2:3" ht="13.5" outlineLevel="1">
      <c r="B1323" s="793"/>
      <c r="C1323" s="853"/>
    </row>
    <row r="1324" spans="2:3" ht="13.5" outlineLevel="1">
      <c r="B1324" s="793"/>
      <c r="C1324" s="853"/>
    </row>
    <row r="1325" spans="2:3" ht="13.5" outlineLevel="1">
      <c r="B1325" s="793"/>
      <c r="C1325" s="853"/>
    </row>
    <row r="1326" spans="2:3" ht="13.5" outlineLevel="1">
      <c r="B1326" s="793"/>
      <c r="C1326" s="853"/>
    </row>
    <row r="1327" spans="2:3" ht="13.5" outlineLevel="1">
      <c r="B1327" s="793"/>
      <c r="C1327" s="853"/>
    </row>
    <row r="1328" spans="2:3" ht="13.5" outlineLevel="1">
      <c r="B1328" s="793"/>
      <c r="C1328" s="853"/>
    </row>
    <row r="1329" spans="2:3" ht="13.5" outlineLevel="1">
      <c r="B1329" s="793"/>
      <c r="C1329" s="853"/>
    </row>
    <row r="1330" spans="2:3" ht="13.5" outlineLevel="1">
      <c r="B1330" s="793"/>
      <c r="C1330" s="853"/>
    </row>
    <row r="1331" spans="2:3" ht="13.5" outlineLevel="1">
      <c r="B1331" s="793"/>
      <c r="C1331" s="853"/>
    </row>
    <row r="1332" spans="2:3" ht="13.5" outlineLevel="1">
      <c r="B1332" s="793"/>
      <c r="C1332" s="853"/>
    </row>
    <row r="1333" spans="2:3" ht="13.5" outlineLevel="1">
      <c r="B1333" s="793"/>
      <c r="C1333" s="853"/>
    </row>
    <row r="1334" spans="2:3" ht="13.5" outlineLevel="1">
      <c r="B1334" s="793"/>
      <c r="C1334" s="853"/>
    </row>
    <row r="1335" spans="2:3" ht="13.5" outlineLevel="1">
      <c r="B1335" s="793"/>
      <c r="C1335" s="853"/>
    </row>
    <row r="1336" spans="2:3" ht="13.5" outlineLevel="1">
      <c r="B1336" s="793"/>
      <c r="C1336" s="853"/>
    </row>
    <row r="1337" spans="2:3" ht="13.5" outlineLevel="1">
      <c r="B1337" s="793"/>
      <c r="C1337" s="853"/>
    </row>
    <row r="1338" spans="2:3" ht="13.5" outlineLevel="1">
      <c r="B1338" s="793"/>
      <c r="C1338" s="853"/>
    </row>
    <row r="1339" spans="2:3" ht="13.5" outlineLevel="1">
      <c r="B1339" s="793"/>
      <c r="C1339" s="853"/>
    </row>
    <row r="1340" spans="2:3" ht="13.5" outlineLevel="1">
      <c r="B1340" s="793"/>
      <c r="C1340" s="853"/>
    </row>
    <row r="1341" spans="2:3" ht="13.5" outlineLevel="1">
      <c r="B1341" s="793"/>
      <c r="C1341" s="853"/>
    </row>
    <row r="1342" spans="2:3" ht="13.5" outlineLevel="1">
      <c r="B1342" s="793"/>
      <c r="C1342" s="853"/>
    </row>
    <row r="1343" spans="2:3" ht="13.5" outlineLevel="1">
      <c r="B1343" s="793"/>
      <c r="C1343" s="853"/>
    </row>
    <row r="1344" spans="2:3" ht="13.5" outlineLevel="1">
      <c r="B1344" s="793"/>
      <c r="C1344" s="853"/>
    </row>
    <row r="1345" spans="2:3" ht="13.5" outlineLevel="1">
      <c r="B1345" s="793"/>
      <c r="C1345" s="853"/>
    </row>
    <row r="1346" spans="2:3" ht="13.5" outlineLevel="1">
      <c r="B1346" s="793"/>
      <c r="C1346" s="853"/>
    </row>
    <row r="1347" spans="2:3" ht="13.5" outlineLevel="1">
      <c r="B1347" s="793"/>
      <c r="C1347" s="853"/>
    </row>
    <row r="1348" spans="2:3" ht="13.5" outlineLevel="1">
      <c r="B1348" s="793"/>
      <c r="C1348" s="853"/>
    </row>
    <row r="1349" spans="2:3" ht="13.5" outlineLevel="1">
      <c r="B1349" s="793"/>
      <c r="C1349" s="853"/>
    </row>
    <row r="1350" spans="2:3" ht="13.5" outlineLevel="1">
      <c r="B1350" s="793"/>
      <c r="C1350" s="853"/>
    </row>
    <row r="1351" spans="2:3" ht="13.5" outlineLevel="1">
      <c r="B1351" s="793"/>
      <c r="C1351" s="853"/>
    </row>
    <row r="1352" spans="2:3" ht="13.5" outlineLevel="1">
      <c r="B1352" s="793"/>
      <c r="C1352" s="853"/>
    </row>
    <row r="1353" spans="2:3" ht="13.5" outlineLevel="1">
      <c r="B1353" s="793"/>
      <c r="C1353" s="853"/>
    </row>
    <row r="1354" spans="2:3" ht="13.5" outlineLevel="1">
      <c r="B1354" s="793"/>
      <c r="C1354" s="853"/>
    </row>
    <row r="1355" spans="2:3" ht="13.5" outlineLevel="1">
      <c r="B1355" s="793"/>
      <c r="C1355" s="853"/>
    </row>
    <row r="1356" spans="2:3" ht="13.5" outlineLevel="1">
      <c r="B1356" s="793"/>
      <c r="C1356" s="853"/>
    </row>
    <row r="1357" spans="2:3" ht="13.5" outlineLevel="1">
      <c r="B1357" s="793"/>
      <c r="C1357" s="853"/>
    </row>
    <row r="1358" spans="2:3" ht="13.5" outlineLevel="1">
      <c r="B1358" s="793"/>
      <c r="C1358" s="853"/>
    </row>
    <row r="1359" spans="2:3" ht="13.5" outlineLevel="1">
      <c r="B1359" s="793"/>
      <c r="C1359" s="853"/>
    </row>
    <row r="1360" spans="2:3" ht="13.5" outlineLevel="1">
      <c r="B1360" s="793"/>
      <c r="C1360" s="853"/>
    </row>
    <row r="1361" spans="2:3" ht="13.5" outlineLevel="1">
      <c r="B1361" s="793"/>
      <c r="C1361" s="853"/>
    </row>
    <row r="1362" spans="2:3" ht="13.5" outlineLevel="1">
      <c r="B1362" s="793"/>
      <c r="C1362" s="853"/>
    </row>
    <row r="1363" spans="2:3" ht="13.5" outlineLevel="1">
      <c r="B1363" s="793"/>
      <c r="C1363" s="853"/>
    </row>
    <row r="1364" spans="2:3" ht="13.5" outlineLevel="1">
      <c r="B1364" s="793"/>
      <c r="C1364" s="853"/>
    </row>
    <row r="1365" spans="2:3" ht="13.5" outlineLevel="1">
      <c r="B1365" s="793"/>
      <c r="C1365" s="853"/>
    </row>
    <row r="1366" spans="2:3" ht="13.5" outlineLevel="1">
      <c r="B1366" s="793"/>
      <c r="C1366" s="853"/>
    </row>
    <row r="1367" spans="2:3" ht="13.5" outlineLevel="1">
      <c r="B1367" s="793"/>
      <c r="C1367" s="853"/>
    </row>
    <row r="1368" spans="2:3" ht="13.5" outlineLevel="1">
      <c r="B1368" s="793"/>
      <c r="C1368" s="853"/>
    </row>
    <row r="1369" spans="2:3" ht="13.5" outlineLevel="1">
      <c r="B1369" s="793"/>
      <c r="C1369" s="853"/>
    </row>
    <row r="1370" spans="2:3" ht="13.5" outlineLevel="1">
      <c r="B1370" s="793"/>
      <c r="C1370" s="853"/>
    </row>
    <row r="1371" spans="2:3" ht="13.5" outlineLevel="1">
      <c r="B1371" s="793"/>
      <c r="C1371" s="853"/>
    </row>
    <row r="1372" spans="2:3" ht="13.5" outlineLevel="1">
      <c r="B1372" s="793"/>
      <c r="C1372" s="853"/>
    </row>
    <row r="1373" spans="2:3" ht="13.5" outlineLevel="1">
      <c r="B1373" s="793"/>
      <c r="C1373" s="853"/>
    </row>
    <row r="1374" spans="2:3" ht="13.5" outlineLevel="1">
      <c r="B1374" s="793"/>
      <c r="C1374" s="853"/>
    </row>
    <row r="1375" spans="2:3" ht="13.5" outlineLevel="1">
      <c r="B1375" s="793"/>
      <c r="C1375" s="853"/>
    </row>
    <row r="1376" spans="2:3" ht="13.5" outlineLevel="1">
      <c r="B1376" s="793"/>
      <c r="C1376" s="853"/>
    </row>
    <row r="1377" spans="2:3" ht="13.5" outlineLevel="1">
      <c r="B1377" s="793"/>
      <c r="C1377" s="853"/>
    </row>
    <row r="1378" spans="2:3" ht="13.5" outlineLevel="1">
      <c r="B1378" s="793"/>
      <c r="C1378" s="853"/>
    </row>
    <row r="1379" spans="2:3" ht="13.5" outlineLevel="1">
      <c r="B1379" s="793"/>
      <c r="C1379" s="853"/>
    </row>
    <row r="1380" spans="2:3" ht="13.5" outlineLevel="1">
      <c r="B1380" s="793"/>
      <c r="C1380" s="853"/>
    </row>
    <row r="1381" spans="2:3" ht="13.5" outlineLevel="1">
      <c r="B1381" s="793"/>
      <c r="C1381" s="853"/>
    </row>
    <row r="1382" spans="2:3" ht="13.5" outlineLevel="1">
      <c r="B1382" s="793"/>
      <c r="C1382" s="853"/>
    </row>
    <row r="1383" spans="2:3" ht="13.5" outlineLevel="1">
      <c r="B1383" s="793"/>
      <c r="C1383" s="853"/>
    </row>
    <row r="1384" spans="2:3" ht="13.5" outlineLevel="1">
      <c r="B1384" s="793"/>
      <c r="C1384" s="853"/>
    </row>
    <row r="1385" spans="2:3" ht="13.5" outlineLevel="1">
      <c r="B1385" s="793"/>
      <c r="C1385" s="853"/>
    </row>
    <row r="1386" spans="2:3" ht="13.5" outlineLevel="1">
      <c r="B1386" s="793"/>
      <c r="C1386" s="853"/>
    </row>
    <row r="1387" spans="2:3" ht="13.5" outlineLevel="1">
      <c r="B1387" s="793"/>
      <c r="C1387" s="853"/>
    </row>
    <row r="1388" spans="2:3" ht="13.5" outlineLevel="1">
      <c r="B1388" s="793"/>
      <c r="C1388" s="853"/>
    </row>
    <row r="1389" spans="2:3" ht="13.5" outlineLevel="1">
      <c r="B1389" s="793"/>
      <c r="C1389" s="853"/>
    </row>
    <row r="1390" spans="2:3" ht="13.5" outlineLevel="1">
      <c r="B1390" s="793"/>
      <c r="C1390" s="853"/>
    </row>
    <row r="1391" spans="2:3" ht="13.5" outlineLevel="1">
      <c r="B1391" s="793"/>
      <c r="C1391" s="853"/>
    </row>
    <row r="1392" spans="2:3" ht="13.5" outlineLevel="1">
      <c r="B1392" s="793"/>
      <c r="C1392" s="853"/>
    </row>
    <row r="1393" spans="2:3" ht="13.5" outlineLevel="1">
      <c r="B1393" s="793"/>
      <c r="C1393" s="853"/>
    </row>
    <row r="1394" spans="2:3" ht="13.5" outlineLevel="1">
      <c r="B1394" s="793"/>
      <c r="C1394" s="853"/>
    </row>
    <row r="1395" spans="2:3" ht="13.5" outlineLevel="1">
      <c r="B1395" s="793"/>
      <c r="C1395" s="853"/>
    </row>
    <row r="1396" spans="2:3" ht="13.5" outlineLevel="1">
      <c r="B1396" s="793"/>
      <c r="C1396" s="853"/>
    </row>
    <row r="1397" spans="2:3" ht="13.5" outlineLevel="1">
      <c r="B1397" s="793"/>
      <c r="C1397" s="853"/>
    </row>
    <row r="1398" spans="2:3" ht="13.5" outlineLevel="1">
      <c r="B1398" s="793"/>
      <c r="C1398" s="853"/>
    </row>
    <row r="1399" spans="2:3" ht="13.5" outlineLevel="1">
      <c r="B1399" s="793"/>
      <c r="C1399" s="853"/>
    </row>
    <row r="1400" spans="2:3" ht="13.5" outlineLevel="1">
      <c r="B1400" s="793"/>
      <c r="C1400" s="853"/>
    </row>
    <row r="1401" spans="2:3" ht="13.5" outlineLevel="1">
      <c r="B1401" s="793"/>
      <c r="C1401" s="853"/>
    </row>
    <row r="1402" spans="2:3" ht="13.5" outlineLevel="1">
      <c r="B1402" s="793"/>
      <c r="C1402" s="853"/>
    </row>
    <row r="1403" spans="2:3" ht="13.5" outlineLevel="1">
      <c r="B1403" s="793"/>
      <c r="C1403" s="853"/>
    </row>
    <row r="1404" spans="2:3" ht="13.5" outlineLevel="1">
      <c r="B1404" s="793"/>
      <c r="C1404" s="853"/>
    </row>
    <row r="1405" spans="2:3" ht="13.5" outlineLevel="1">
      <c r="B1405" s="793"/>
      <c r="C1405" s="853"/>
    </row>
    <row r="1406" spans="2:3" ht="13.5" outlineLevel="1">
      <c r="B1406" s="793"/>
      <c r="C1406" s="853"/>
    </row>
    <row r="1407" spans="2:3" ht="13.5" outlineLevel="1">
      <c r="B1407" s="793"/>
      <c r="C1407" s="853"/>
    </row>
    <row r="1408" spans="2:3" ht="13.5" outlineLevel="1">
      <c r="B1408" s="793"/>
      <c r="C1408" s="853"/>
    </row>
    <row r="1409" spans="2:3" ht="13.5" outlineLevel="1">
      <c r="B1409" s="793"/>
      <c r="C1409" s="853"/>
    </row>
    <row r="1410" spans="2:3" ht="13.5" outlineLevel="1">
      <c r="B1410" s="793"/>
      <c r="C1410" s="853"/>
    </row>
    <row r="1411" spans="2:3" ht="13.5" outlineLevel="1">
      <c r="B1411" s="793"/>
      <c r="C1411" s="853"/>
    </row>
    <row r="1412" spans="2:3" ht="13.5" outlineLevel="1">
      <c r="B1412" s="793"/>
      <c r="C1412" s="853"/>
    </row>
    <row r="1413" spans="2:3" ht="13.5" outlineLevel="1">
      <c r="B1413" s="793"/>
      <c r="C1413" s="853"/>
    </row>
    <row r="1414" spans="2:3" ht="13.5" outlineLevel="1">
      <c r="B1414" s="793"/>
      <c r="C1414" s="853"/>
    </row>
    <row r="1415" spans="2:3" ht="13.5" outlineLevel="1">
      <c r="B1415" s="793"/>
      <c r="C1415" s="853"/>
    </row>
    <row r="1416" spans="2:3" ht="13.5" outlineLevel="1">
      <c r="B1416" s="793"/>
      <c r="C1416" s="853"/>
    </row>
    <row r="1417" spans="2:3" ht="13.5" outlineLevel="1">
      <c r="B1417" s="793"/>
      <c r="C1417" s="853"/>
    </row>
    <row r="1418" spans="2:3" ht="13.5" outlineLevel="1">
      <c r="B1418" s="793"/>
      <c r="C1418" s="853"/>
    </row>
    <row r="1419" spans="2:3" ht="13.5" outlineLevel="1">
      <c r="B1419" s="793"/>
      <c r="C1419" s="853"/>
    </row>
    <row r="1420" spans="2:3" ht="13.5" outlineLevel="1">
      <c r="B1420" s="793"/>
      <c r="C1420" s="853"/>
    </row>
    <row r="1421" spans="2:3" ht="13.5" outlineLevel="1">
      <c r="B1421" s="793"/>
      <c r="C1421" s="853"/>
    </row>
    <row r="1422" spans="2:3" ht="13.5" outlineLevel="1">
      <c r="B1422" s="793"/>
      <c r="C1422" s="853"/>
    </row>
    <row r="1423" spans="2:3" ht="13.5" outlineLevel="1">
      <c r="B1423" s="793"/>
      <c r="C1423" s="853"/>
    </row>
    <row r="1424" spans="2:3" ht="13.5" outlineLevel="1">
      <c r="B1424" s="793"/>
      <c r="C1424" s="853"/>
    </row>
    <row r="1425" spans="2:3" ht="13.5" outlineLevel="1">
      <c r="B1425" s="793"/>
      <c r="C1425" s="853"/>
    </row>
    <row r="1426" spans="2:3" ht="13.5" outlineLevel="1">
      <c r="B1426" s="793"/>
      <c r="C1426" s="853"/>
    </row>
    <row r="1427" spans="2:3" ht="13.5" outlineLevel="1">
      <c r="B1427" s="793"/>
      <c r="C1427" s="853"/>
    </row>
    <row r="1428" spans="2:3" ht="13.5" outlineLevel="1">
      <c r="B1428" s="793"/>
      <c r="C1428" s="853"/>
    </row>
    <row r="1429" spans="2:3" ht="13.5" outlineLevel="1">
      <c r="B1429" s="793"/>
      <c r="C1429" s="853"/>
    </row>
    <row r="1430" spans="2:3" ht="13.5" outlineLevel="1">
      <c r="B1430" s="793"/>
      <c r="C1430" s="853"/>
    </row>
    <row r="1431" spans="2:3" ht="13.5" outlineLevel="1">
      <c r="B1431" s="793"/>
      <c r="C1431" s="853"/>
    </row>
    <row r="1432" spans="2:3" ht="13.5" outlineLevel="1">
      <c r="B1432" s="793"/>
      <c r="C1432" s="853"/>
    </row>
    <row r="1433" spans="2:3" ht="13.5" outlineLevel="1">
      <c r="B1433" s="793"/>
      <c r="C1433" s="853"/>
    </row>
    <row r="1434" spans="2:3" ht="13.5" outlineLevel="1">
      <c r="B1434" s="793"/>
      <c r="C1434" s="853"/>
    </row>
    <row r="1435" spans="2:3" ht="13.5" outlineLevel="1">
      <c r="B1435" s="793"/>
      <c r="C1435" s="853"/>
    </row>
    <row r="1436" spans="2:3" ht="13.5" outlineLevel="1">
      <c r="B1436" s="793"/>
      <c r="C1436" s="853"/>
    </row>
    <row r="1437" spans="2:3" ht="13.5" outlineLevel="1">
      <c r="B1437" s="793"/>
      <c r="C1437" s="853"/>
    </row>
    <row r="1438" spans="2:3" ht="13.5" outlineLevel="1">
      <c r="B1438" s="793"/>
      <c r="C1438" s="853"/>
    </row>
    <row r="1439" spans="2:3" ht="13.5" outlineLevel="1">
      <c r="B1439" s="793"/>
      <c r="C1439" s="853"/>
    </row>
    <row r="1440" spans="2:3" ht="13.5" outlineLevel="1">
      <c r="B1440" s="793"/>
      <c r="C1440" s="853"/>
    </row>
    <row r="1441" spans="2:3" ht="13.5" outlineLevel="1">
      <c r="B1441" s="793"/>
      <c r="C1441" s="853"/>
    </row>
    <row r="1442" spans="2:3" ht="13.5" outlineLevel="1">
      <c r="B1442" s="793"/>
      <c r="C1442" s="853"/>
    </row>
    <row r="1443" spans="2:3" ht="13.5" outlineLevel="1">
      <c r="B1443" s="793"/>
      <c r="C1443" s="853"/>
    </row>
    <row r="1444" spans="2:3" ht="13.5" outlineLevel="1">
      <c r="B1444" s="793"/>
      <c r="C1444" s="853"/>
    </row>
    <row r="1445" spans="2:3" ht="13.5" outlineLevel="1">
      <c r="B1445" s="793"/>
      <c r="C1445" s="853"/>
    </row>
    <row r="1446" spans="2:3" ht="13.5" outlineLevel="1">
      <c r="B1446" s="793"/>
      <c r="C1446" s="853"/>
    </row>
    <row r="1447" spans="2:3" ht="13.5" outlineLevel="1">
      <c r="B1447" s="793"/>
      <c r="C1447" s="853"/>
    </row>
    <row r="1448" spans="2:3" ht="13.5" outlineLevel="1">
      <c r="B1448" s="793"/>
      <c r="C1448" s="853"/>
    </row>
    <row r="1449" spans="2:3" ht="13.5" outlineLevel="1">
      <c r="B1449" s="793"/>
      <c r="C1449" s="853"/>
    </row>
    <row r="1450" spans="2:3" ht="13.5" outlineLevel="1">
      <c r="B1450" s="793"/>
      <c r="C1450" s="853"/>
    </row>
    <row r="1451" spans="2:3" ht="13.5" outlineLevel="1">
      <c r="B1451" s="793"/>
      <c r="C1451" s="853"/>
    </row>
    <row r="1452" spans="2:3" ht="13.5" outlineLevel="1">
      <c r="B1452" s="793"/>
      <c r="C1452" s="853"/>
    </row>
    <row r="1453" spans="2:3" ht="13.5" outlineLevel="1">
      <c r="B1453" s="793"/>
      <c r="C1453" s="853"/>
    </row>
    <row r="1454" spans="2:3" ht="13.5" outlineLevel="1">
      <c r="B1454" s="793"/>
      <c r="C1454" s="853"/>
    </row>
    <row r="1455" spans="2:3" ht="13.5" outlineLevel="1">
      <c r="B1455" s="793"/>
      <c r="C1455" s="853"/>
    </row>
    <row r="1456" spans="2:3" ht="13.5" outlineLevel="1">
      <c r="B1456" s="793"/>
      <c r="C1456" s="853"/>
    </row>
    <row r="1457" spans="2:3" ht="13.5" outlineLevel="1">
      <c r="B1457" s="793"/>
      <c r="C1457" s="853"/>
    </row>
    <row r="1458" spans="2:3" ht="13.5" outlineLevel="1">
      <c r="B1458" s="793"/>
      <c r="C1458" s="853"/>
    </row>
    <row r="1459" spans="2:3" ht="13.5" outlineLevel="1">
      <c r="B1459" s="793"/>
      <c r="C1459" s="853"/>
    </row>
    <row r="1460" spans="2:3" ht="13.5" outlineLevel="1">
      <c r="B1460" s="793"/>
      <c r="C1460" s="853"/>
    </row>
    <row r="1461" spans="2:3" ht="13.5" outlineLevel="1">
      <c r="B1461" s="793"/>
      <c r="C1461" s="853"/>
    </row>
    <row r="1462" spans="2:3" ht="13.5" outlineLevel="1">
      <c r="B1462" s="793"/>
      <c r="C1462" s="853"/>
    </row>
    <row r="1463" spans="2:3" ht="13.5" outlineLevel="1">
      <c r="B1463" s="793"/>
      <c r="C1463" s="853"/>
    </row>
    <row r="1464" spans="2:3" ht="13.5" outlineLevel="1">
      <c r="B1464" s="793"/>
      <c r="C1464" s="853"/>
    </row>
    <row r="1465" spans="2:3" ht="13.5" outlineLevel="1">
      <c r="B1465" s="793"/>
      <c r="C1465" s="853"/>
    </row>
    <row r="1466" spans="2:3" ht="13.5" outlineLevel="1">
      <c r="B1466" s="793"/>
      <c r="C1466" s="853"/>
    </row>
    <row r="1467" spans="2:3" ht="13.5" outlineLevel="1">
      <c r="B1467" s="793"/>
      <c r="C1467" s="853"/>
    </row>
    <row r="1468" spans="2:3" ht="13.5" outlineLevel="1">
      <c r="B1468" s="793"/>
      <c r="C1468" s="853"/>
    </row>
    <row r="1469" spans="2:3" ht="13.5" outlineLevel="1">
      <c r="B1469" s="793"/>
      <c r="C1469" s="853"/>
    </row>
    <row r="1470" spans="2:3" ht="13.5" outlineLevel="1">
      <c r="B1470" s="793"/>
      <c r="C1470" s="853"/>
    </row>
    <row r="1471" spans="2:3" ht="13.5" outlineLevel="1">
      <c r="B1471" s="793"/>
      <c r="C1471" s="853"/>
    </row>
    <row r="1472" spans="2:3" ht="13.5" outlineLevel="1">
      <c r="B1472" s="793"/>
      <c r="C1472" s="853"/>
    </row>
    <row r="1473" spans="2:3" ht="13.5" outlineLevel="1">
      <c r="B1473" s="793"/>
      <c r="C1473" s="853"/>
    </row>
    <row r="1474" spans="2:3" ht="13.5" outlineLevel="1">
      <c r="B1474" s="793"/>
      <c r="C1474" s="853"/>
    </row>
    <row r="1475" spans="2:3" ht="13.5" outlineLevel="1">
      <c r="B1475" s="793"/>
      <c r="C1475" s="853"/>
    </row>
    <row r="1476" spans="2:3" ht="13.5" outlineLevel="1">
      <c r="B1476" s="793"/>
      <c r="C1476" s="853"/>
    </row>
    <row r="1477" spans="2:3" ht="13.5" outlineLevel="1">
      <c r="B1477" s="793"/>
      <c r="C1477" s="853"/>
    </row>
    <row r="1478" spans="2:3" ht="13.5" outlineLevel="1">
      <c r="B1478" s="793"/>
      <c r="C1478" s="853"/>
    </row>
    <row r="1479" spans="2:3" ht="13.5" outlineLevel="1">
      <c r="B1479" s="793"/>
      <c r="C1479" s="853"/>
    </row>
    <row r="1480" spans="2:3" ht="13.5" outlineLevel="1">
      <c r="B1480" s="793"/>
      <c r="C1480" s="853"/>
    </row>
    <row r="1481" spans="2:3" ht="13.5" outlineLevel="1">
      <c r="B1481" s="793"/>
      <c r="C1481" s="853"/>
    </row>
    <row r="1482" spans="2:3" ht="13.5" outlineLevel="1">
      <c r="B1482" s="793"/>
      <c r="C1482" s="853"/>
    </row>
    <row r="1483" spans="2:3" ht="13.5" outlineLevel="1">
      <c r="B1483" s="793"/>
      <c r="C1483" s="853"/>
    </row>
    <row r="1484" spans="2:3" ht="13.5" outlineLevel="1">
      <c r="B1484" s="793"/>
      <c r="C1484" s="853"/>
    </row>
    <row r="1485" spans="2:3" ht="13.5" outlineLevel="1">
      <c r="B1485" s="793"/>
      <c r="C1485" s="853"/>
    </row>
    <row r="1486" spans="2:3" ht="13.5" outlineLevel="1">
      <c r="B1486" s="793"/>
      <c r="C1486" s="853"/>
    </row>
    <row r="1487" spans="2:3" ht="13.5" outlineLevel="1">
      <c r="B1487" s="793"/>
      <c r="C1487" s="853"/>
    </row>
    <row r="1488" spans="2:3" ht="13.5" outlineLevel="1">
      <c r="B1488" s="793"/>
      <c r="C1488" s="853"/>
    </row>
    <row r="1489" spans="2:3" ht="13.5" outlineLevel="1">
      <c r="B1489" s="793"/>
      <c r="C1489" s="853"/>
    </row>
    <row r="1490" spans="2:3" ht="13.5" outlineLevel="1">
      <c r="B1490" s="793"/>
      <c r="C1490" s="853"/>
    </row>
    <row r="1491" spans="2:3" ht="13.5" outlineLevel="1">
      <c r="B1491" s="793"/>
      <c r="C1491" s="853"/>
    </row>
    <row r="1492" spans="2:3" ht="13.5" outlineLevel="1">
      <c r="B1492" s="793"/>
      <c r="C1492" s="853"/>
    </row>
    <row r="1493" spans="2:3" ht="13.5" outlineLevel="1">
      <c r="B1493" s="793"/>
      <c r="C1493" s="853"/>
    </row>
    <row r="1494" spans="2:3" ht="13.5" outlineLevel="1">
      <c r="B1494" s="793"/>
      <c r="C1494" s="853"/>
    </row>
    <row r="1495" spans="2:3" ht="13.5" outlineLevel="1">
      <c r="B1495" s="793"/>
      <c r="C1495" s="853"/>
    </row>
    <row r="1496" spans="2:3" ht="13.5" outlineLevel="1">
      <c r="B1496" s="793"/>
      <c r="C1496" s="853"/>
    </row>
    <row r="1497" spans="2:3" ht="13.5" outlineLevel="1">
      <c r="B1497" s="793"/>
      <c r="C1497" s="853"/>
    </row>
    <row r="1498" spans="2:3" ht="13.5" outlineLevel="1">
      <c r="B1498" s="793"/>
      <c r="C1498" s="853"/>
    </row>
    <row r="1499" spans="2:3" ht="13.5" outlineLevel="1">
      <c r="B1499" s="793"/>
      <c r="C1499" s="853"/>
    </row>
    <row r="1500" spans="2:3" ht="13.5" outlineLevel="1">
      <c r="B1500" s="793"/>
      <c r="C1500" s="853"/>
    </row>
    <row r="1501" spans="2:3" ht="13.5" outlineLevel="1">
      <c r="B1501" s="793"/>
      <c r="C1501" s="853"/>
    </row>
    <row r="1502" spans="2:3" ht="13.5" outlineLevel="1">
      <c r="B1502" s="793"/>
      <c r="C1502" s="853"/>
    </row>
    <row r="1503" spans="2:3" ht="13.5" outlineLevel="1">
      <c r="B1503" s="793"/>
      <c r="C1503" s="853"/>
    </row>
    <row r="1504" spans="2:3" ht="13.5" outlineLevel="1">
      <c r="B1504" s="793"/>
      <c r="C1504" s="853"/>
    </row>
    <row r="1505" spans="2:3" ht="13.5" outlineLevel="1">
      <c r="B1505" s="793"/>
      <c r="C1505" s="853"/>
    </row>
    <row r="1506" spans="2:3" ht="13.5" outlineLevel="1">
      <c r="B1506" s="793"/>
      <c r="C1506" s="853"/>
    </row>
    <row r="1507" spans="2:3" ht="13.5" outlineLevel="1">
      <c r="B1507" s="793"/>
      <c r="C1507" s="853"/>
    </row>
    <row r="1508" spans="2:3" ht="13.5" outlineLevel="1">
      <c r="B1508" s="793"/>
      <c r="C1508" s="853"/>
    </row>
    <row r="1509" spans="2:3" ht="13.5" outlineLevel="1">
      <c r="B1509" s="793"/>
      <c r="C1509" s="853"/>
    </row>
    <row r="1510" spans="2:3" ht="13.5" outlineLevel="1">
      <c r="B1510" s="793"/>
      <c r="C1510" s="853"/>
    </row>
    <row r="1511" spans="2:3" ht="13.5" outlineLevel="1">
      <c r="B1511" s="793"/>
      <c r="C1511" s="853"/>
    </row>
    <row r="1512" spans="2:3" ht="13.5" outlineLevel="1">
      <c r="B1512" s="793"/>
      <c r="C1512" s="853"/>
    </row>
    <row r="1513" spans="2:3" ht="13.5" outlineLevel="1">
      <c r="B1513" s="793"/>
      <c r="C1513" s="853"/>
    </row>
    <row r="1514" spans="2:3" ht="13.5" outlineLevel="1">
      <c r="B1514" s="793"/>
      <c r="C1514" s="853"/>
    </row>
    <row r="1515" spans="2:3" ht="13.5" outlineLevel="1">
      <c r="B1515" s="793"/>
      <c r="C1515" s="853"/>
    </row>
    <row r="1516" spans="2:3" ht="13.5" outlineLevel="1">
      <c r="B1516" s="793"/>
      <c r="C1516" s="853"/>
    </row>
    <row r="1517" spans="2:3" ht="13.5" outlineLevel="1">
      <c r="B1517" s="793"/>
      <c r="C1517" s="853"/>
    </row>
    <row r="1518" spans="2:3" ht="13.5" outlineLevel="1">
      <c r="B1518" s="793"/>
      <c r="C1518" s="853"/>
    </row>
    <row r="1519" spans="2:3" ht="13.5" outlineLevel="1">
      <c r="B1519" s="793"/>
      <c r="C1519" s="853"/>
    </row>
    <row r="1520" spans="2:3" ht="13.5" outlineLevel="1">
      <c r="B1520" s="793"/>
      <c r="C1520" s="853"/>
    </row>
    <row r="1521" spans="2:3" ht="13.5" outlineLevel="1">
      <c r="B1521" s="793"/>
      <c r="C1521" s="853"/>
    </row>
    <row r="1522" spans="2:3" ht="13.5" outlineLevel="1">
      <c r="B1522" s="793"/>
      <c r="C1522" s="853"/>
    </row>
    <row r="1523" spans="2:3" ht="13.5" outlineLevel="1">
      <c r="B1523" s="793"/>
      <c r="C1523" s="853"/>
    </row>
    <row r="1524" spans="2:3" ht="13.5" outlineLevel="1">
      <c r="B1524" s="793"/>
      <c r="C1524" s="853"/>
    </row>
    <row r="1525" spans="2:3" ht="13.5" outlineLevel="1">
      <c r="B1525" s="793"/>
      <c r="C1525" s="853"/>
    </row>
    <row r="1526" spans="2:3" ht="13.5" outlineLevel="1">
      <c r="B1526" s="793"/>
      <c r="C1526" s="853"/>
    </row>
    <row r="1527" spans="2:3" ht="13.5" outlineLevel="1">
      <c r="B1527" s="793"/>
      <c r="C1527" s="853"/>
    </row>
    <row r="1528" spans="2:3" ht="13.5" outlineLevel="1">
      <c r="B1528" s="793"/>
      <c r="C1528" s="853"/>
    </row>
    <row r="1529" spans="2:3" ht="13.5" outlineLevel="1">
      <c r="B1529" s="793"/>
      <c r="C1529" s="853"/>
    </row>
    <row r="1530" spans="2:3" ht="13.5" outlineLevel="1">
      <c r="B1530" s="793"/>
      <c r="C1530" s="853"/>
    </row>
    <row r="1531" spans="2:3" ht="13.5" outlineLevel="1">
      <c r="B1531" s="793"/>
      <c r="C1531" s="853"/>
    </row>
    <row r="1532" spans="2:3" ht="13.5" outlineLevel="1">
      <c r="B1532" s="793"/>
      <c r="C1532" s="853"/>
    </row>
    <row r="1533" spans="2:3" ht="13.5" outlineLevel="1">
      <c r="B1533" s="793"/>
      <c r="C1533" s="853"/>
    </row>
    <row r="1534" spans="2:3" ht="13.5" outlineLevel="1">
      <c r="B1534" s="793"/>
      <c r="C1534" s="853"/>
    </row>
    <row r="1535" spans="2:3" ht="13.5" outlineLevel="1">
      <c r="B1535" s="793"/>
      <c r="C1535" s="853"/>
    </row>
    <row r="1536" spans="2:3" ht="13.5" outlineLevel="1">
      <c r="B1536" s="793"/>
      <c r="C1536" s="853"/>
    </row>
    <row r="1537" spans="2:3" ht="13.5" outlineLevel="1">
      <c r="B1537" s="793"/>
      <c r="C1537" s="853"/>
    </row>
    <row r="1538" spans="2:3" ht="13.5" outlineLevel="1">
      <c r="B1538" s="793"/>
      <c r="C1538" s="853"/>
    </row>
    <row r="1539" spans="2:3" ht="13.5" outlineLevel="1">
      <c r="B1539" s="793"/>
      <c r="C1539" s="853"/>
    </row>
    <row r="1540" spans="2:3" ht="13.5" outlineLevel="1">
      <c r="B1540" s="793"/>
      <c r="C1540" s="853"/>
    </row>
    <row r="1541" spans="2:3" ht="13.5" outlineLevel="1">
      <c r="B1541" s="793"/>
      <c r="C1541" s="853"/>
    </row>
    <row r="1542" spans="2:3" ht="13.5" outlineLevel="1">
      <c r="B1542" s="793"/>
      <c r="C1542" s="853"/>
    </row>
    <row r="1543" spans="2:3" ht="13.5" outlineLevel="1">
      <c r="B1543" s="793"/>
      <c r="C1543" s="853"/>
    </row>
    <row r="1544" spans="2:3" ht="13.5" outlineLevel="1">
      <c r="B1544" s="793"/>
      <c r="C1544" s="853"/>
    </row>
    <row r="1545" spans="2:3" ht="13.5" outlineLevel="1">
      <c r="B1545" s="793"/>
      <c r="C1545" s="853"/>
    </row>
    <row r="1546" spans="2:3" ht="13.5" outlineLevel="1">
      <c r="B1546" s="793"/>
      <c r="C1546" s="853"/>
    </row>
    <row r="1547" spans="2:3" ht="13.5" outlineLevel="1">
      <c r="B1547" s="793"/>
      <c r="C1547" s="853"/>
    </row>
    <row r="1548" spans="2:3" ht="13.5" outlineLevel="1">
      <c r="B1548" s="793"/>
      <c r="C1548" s="853"/>
    </row>
    <row r="1549" spans="2:3" ht="13.5" outlineLevel="1">
      <c r="B1549" s="793"/>
      <c r="C1549" s="853"/>
    </row>
    <row r="1550" spans="2:3" ht="13.5" outlineLevel="1">
      <c r="B1550" s="793"/>
      <c r="C1550" s="853"/>
    </row>
    <row r="1551" spans="2:3" ht="13.5" outlineLevel="1">
      <c r="B1551" s="793"/>
      <c r="C1551" s="853"/>
    </row>
    <row r="1552" spans="2:3" ht="13.5" outlineLevel="1">
      <c r="B1552" s="793"/>
      <c r="C1552" s="853"/>
    </row>
    <row r="1553" spans="2:3" ht="13.5" outlineLevel="1">
      <c r="B1553" s="793"/>
      <c r="C1553" s="853"/>
    </row>
    <row r="1554" spans="2:3" ht="13.5" outlineLevel="1">
      <c r="B1554" s="793"/>
      <c r="C1554" s="853"/>
    </row>
    <row r="1555" spans="2:3" ht="13.5" outlineLevel="1">
      <c r="B1555" s="793"/>
      <c r="C1555" s="853"/>
    </row>
    <row r="1556" spans="2:3" ht="13.5" outlineLevel="1">
      <c r="B1556" s="793"/>
      <c r="C1556" s="853"/>
    </row>
    <row r="1557" spans="2:3" ht="13.5" outlineLevel="1">
      <c r="B1557" s="793"/>
      <c r="C1557" s="853"/>
    </row>
    <row r="1558" spans="2:3" ht="13.5" outlineLevel="1">
      <c r="B1558" s="793"/>
      <c r="C1558" s="853"/>
    </row>
    <row r="1559" spans="2:3" ht="13.5" outlineLevel="1">
      <c r="B1559" s="793"/>
      <c r="C1559" s="853"/>
    </row>
    <row r="1560" spans="2:3" ht="13.5" outlineLevel="1">
      <c r="B1560" s="793"/>
      <c r="C1560" s="853"/>
    </row>
    <row r="1561" spans="2:3" ht="13.5" outlineLevel="1">
      <c r="B1561" s="793"/>
      <c r="C1561" s="853"/>
    </row>
    <row r="1562" spans="2:3" ht="13.5" outlineLevel="1">
      <c r="B1562" s="793"/>
      <c r="C1562" s="853"/>
    </row>
    <row r="1563" spans="2:3" ht="13.5" outlineLevel="1">
      <c r="B1563" s="793"/>
      <c r="C1563" s="853"/>
    </row>
    <row r="1564" spans="2:3" ht="13.5" outlineLevel="1">
      <c r="B1564" s="793"/>
      <c r="C1564" s="853"/>
    </row>
    <row r="1565" spans="2:3" ht="13.5" outlineLevel="1">
      <c r="B1565" s="793"/>
      <c r="C1565" s="853"/>
    </row>
    <row r="1566" spans="2:3" ht="13.5" outlineLevel="1">
      <c r="B1566" s="793"/>
      <c r="C1566" s="853"/>
    </row>
    <row r="1567" spans="2:3" ht="13.5" outlineLevel="1">
      <c r="B1567" s="793"/>
      <c r="C1567" s="853"/>
    </row>
    <row r="1568" spans="2:3" ht="13.5" outlineLevel="1">
      <c r="B1568" s="793"/>
      <c r="C1568" s="853"/>
    </row>
    <row r="1569" spans="2:3" ht="13.5" outlineLevel="1">
      <c r="B1569" s="793"/>
      <c r="C1569" s="853"/>
    </row>
    <row r="1570" spans="2:3" ht="13.5" outlineLevel="1">
      <c r="B1570" s="793"/>
      <c r="C1570" s="853"/>
    </row>
    <row r="1571" spans="2:3" ht="13.5" outlineLevel="1">
      <c r="B1571" s="793"/>
      <c r="C1571" s="853"/>
    </row>
    <row r="1572" spans="2:3" ht="13.5" outlineLevel="1">
      <c r="B1572" s="793"/>
      <c r="C1572" s="853"/>
    </row>
    <row r="1573" spans="2:3" ht="13.5" outlineLevel="1">
      <c r="B1573" s="793"/>
      <c r="C1573" s="853"/>
    </row>
    <row r="1574" spans="2:3" ht="13.5" outlineLevel="1">
      <c r="B1574" s="793"/>
      <c r="C1574" s="853"/>
    </row>
    <row r="1575" spans="2:3" ht="13.5" outlineLevel="1">
      <c r="B1575" s="793"/>
      <c r="C1575" s="853"/>
    </row>
    <row r="1576" spans="2:3" ht="13.5" outlineLevel="1">
      <c r="B1576" s="793"/>
      <c r="C1576" s="853"/>
    </row>
    <row r="1577" spans="2:3" ht="13.5" outlineLevel="1">
      <c r="B1577" s="793"/>
      <c r="C1577" s="853"/>
    </row>
    <row r="1578" spans="2:3" ht="13.5" outlineLevel="1">
      <c r="B1578" s="793"/>
      <c r="C1578" s="853"/>
    </row>
    <row r="1579" spans="2:3" ht="13.5" outlineLevel="1">
      <c r="B1579" s="793"/>
      <c r="C1579" s="853"/>
    </row>
    <row r="1580" spans="2:3" ht="13.5" outlineLevel="1">
      <c r="B1580" s="793"/>
      <c r="C1580" s="853"/>
    </row>
    <row r="1581" spans="2:3" ht="13.5" outlineLevel="1">
      <c r="B1581" s="793"/>
      <c r="C1581" s="853"/>
    </row>
    <row r="1582" spans="2:3" ht="13.5" outlineLevel="1">
      <c r="B1582" s="793"/>
      <c r="C1582" s="853"/>
    </row>
    <row r="1583" spans="2:3" ht="13.5" outlineLevel="1">
      <c r="B1583" s="793"/>
      <c r="C1583" s="853"/>
    </row>
    <row r="1584" spans="2:3" ht="13.5" outlineLevel="1">
      <c r="B1584" s="793"/>
      <c r="C1584" s="853"/>
    </row>
    <row r="1585" spans="2:3" ht="13.5" outlineLevel="1">
      <c r="B1585" s="793"/>
      <c r="C1585" s="853"/>
    </row>
    <row r="1586" spans="2:3" ht="13.5" outlineLevel="1">
      <c r="B1586" s="793"/>
      <c r="C1586" s="853"/>
    </row>
    <row r="1587" spans="2:3" ht="13.5" outlineLevel="1">
      <c r="B1587" s="793"/>
      <c r="C1587" s="853"/>
    </row>
    <row r="1588" spans="2:3" ht="13.5" outlineLevel="1">
      <c r="B1588" s="793"/>
      <c r="C1588" s="853"/>
    </row>
    <row r="1589" spans="2:3" ht="13.5" outlineLevel="1">
      <c r="B1589" s="793"/>
      <c r="C1589" s="853"/>
    </row>
    <row r="1590" spans="2:3" ht="13.5" outlineLevel="1">
      <c r="B1590" s="793"/>
      <c r="C1590" s="853"/>
    </row>
    <row r="1591" spans="2:3" ht="13.5" outlineLevel="1">
      <c r="B1591" s="793"/>
      <c r="C1591" s="853"/>
    </row>
    <row r="1592" spans="2:3" ht="13.5" outlineLevel="1">
      <c r="B1592" s="793"/>
      <c r="C1592" s="853"/>
    </row>
    <row r="1593" spans="2:3" ht="13.5" outlineLevel="1">
      <c r="B1593" s="793"/>
      <c r="C1593" s="853"/>
    </row>
    <row r="1594" spans="2:3" ht="13.5" outlineLevel="1">
      <c r="B1594" s="793"/>
      <c r="C1594" s="853"/>
    </row>
    <row r="1595" spans="2:3" ht="13.5" outlineLevel="1">
      <c r="B1595" s="793"/>
      <c r="C1595" s="853"/>
    </row>
    <row r="1596" spans="2:3" ht="13.5" outlineLevel="1">
      <c r="B1596" s="793"/>
      <c r="C1596" s="853"/>
    </row>
    <row r="1597" spans="2:3" ht="13.5" outlineLevel="1">
      <c r="B1597" s="793"/>
      <c r="C1597" s="853"/>
    </row>
    <row r="1598" spans="2:3" ht="13.5" outlineLevel="1">
      <c r="B1598" s="793"/>
      <c r="C1598" s="853"/>
    </row>
    <row r="1599" spans="2:3" ht="13.5" outlineLevel="1">
      <c r="B1599" s="793"/>
      <c r="C1599" s="853"/>
    </row>
    <row r="1600" spans="2:3" ht="13.5" outlineLevel="1">
      <c r="B1600" s="793"/>
      <c r="C1600" s="853"/>
    </row>
    <row r="1601" spans="2:3" ht="13.5" outlineLevel="1">
      <c r="B1601" s="793"/>
      <c r="C1601" s="853"/>
    </row>
    <row r="1602" spans="2:3" ht="13.5" outlineLevel="1">
      <c r="B1602" s="793"/>
      <c r="C1602" s="853"/>
    </row>
    <row r="1603" spans="2:3" ht="13.5" outlineLevel="1">
      <c r="B1603" s="793"/>
      <c r="C1603" s="853"/>
    </row>
    <row r="1604" spans="2:3" ht="13.5" outlineLevel="1">
      <c r="B1604" s="793"/>
      <c r="C1604" s="853"/>
    </row>
    <row r="1605" spans="2:3" ht="13.5" outlineLevel="1">
      <c r="B1605" s="793"/>
      <c r="C1605" s="853"/>
    </row>
    <row r="1606" spans="2:3" ht="13.5" outlineLevel="1">
      <c r="B1606" s="793"/>
      <c r="C1606" s="853"/>
    </row>
    <row r="1607" spans="2:3" ht="13.5" outlineLevel="1">
      <c r="B1607" s="793"/>
      <c r="C1607" s="853"/>
    </row>
    <row r="1608" spans="2:3" ht="13.5" outlineLevel="1">
      <c r="B1608" s="793"/>
      <c r="C1608" s="853"/>
    </row>
    <row r="1609" spans="2:3" ht="13.5" outlineLevel="1">
      <c r="B1609" s="793"/>
      <c r="C1609" s="853"/>
    </row>
    <row r="1610" spans="2:3" ht="13.5" outlineLevel="1">
      <c r="B1610" s="793"/>
      <c r="C1610" s="853"/>
    </row>
    <row r="1611" spans="2:3" ht="13.5" outlineLevel="1">
      <c r="B1611" s="793"/>
      <c r="C1611" s="853"/>
    </row>
    <row r="1612" spans="2:3" ht="13.5" outlineLevel="1">
      <c r="B1612" s="793"/>
      <c r="C1612" s="853"/>
    </row>
    <row r="1613" spans="2:3" ht="13.5" outlineLevel="1">
      <c r="B1613" s="793"/>
      <c r="C1613" s="853"/>
    </row>
    <row r="1614" spans="2:3" ht="13.5" outlineLevel="1">
      <c r="B1614" s="793"/>
      <c r="C1614" s="853"/>
    </row>
    <row r="1615" spans="2:3" ht="13.5" outlineLevel="1">
      <c r="B1615" s="793"/>
      <c r="C1615" s="853"/>
    </row>
    <row r="1616" spans="2:3" ht="13.5" outlineLevel="1">
      <c r="B1616" s="793"/>
      <c r="C1616" s="853"/>
    </row>
    <row r="1617" spans="2:3" ht="13.5" outlineLevel="1">
      <c r="B1617" s="793"/>
      <c r="C1617" s="853"/>
    </row>
    <row r="1618" spans="2:3" ht="13.5" outlineLevel="1">
      <c r="B1618" s="793"/>
      <c r="C1618" s="853"/>
    </row>
    <row r="1619" spans="2:3" ht="13.5" outlineLevel="1">
      <c r="B1619" s="793"/>
      <c r="C1619" s="853"/>
    </row>
    <row r="1620" spans="2:3" ht="13.5" outlineLevel="1">
      <c r="B1620" s="793"/>
      <c r="C1620" s="853"/>
    </row>
    <row r="1621" spans="2:3" ht="13.5" outlineLevel="1">
      <c r="B1621" s="793"/>
      <c r="C1621" s="853"/>
    </row>
    <row r="1622" spans="2:3" ht="13.5" outlineLevel="1">
      <c r="B1622" s="793"/>
      <c r="C1622" s="853"/>
    </row>
    <row r="1623" spans="2:3" ht="13.5" outlineLevel="1">
      <c r="B1623" s="793"/>
      <c r="C1623" s="853"/>
    </row>
    <row r="1624" spans="2:3" ht="13.5" outlineLevel="1">
      <c r="B1624" s="793"/>
      <c r="C1624" s="853"/>
    </row>
    <row r="1625" spans="2:3" ht="13.5" outlineLevel="1">
      <c r="B1625" s="793"/>
      <c r="C1625" s="853"/>
    </row>
    <row r="1626" spans="2:3" ht="13.5" outlineLevel="1">
      <c r="B1626" s="793"/>
      <c r="C1626" s="853"/>
    </row>
    <row r="1627" spans="2:3" ht="13.5" outlineLevel="1">
      <c r="B1627" s="793"/>
      <c r="C1627" s="853"/>
    </row>
    <row r="1628" spans="2:3" ht="13.5" outlineLevel="1">
      <c r="B1628" s="793"/>
      <c r="C1628" s="853"/>
    </row>
    <row r="1629" spans="2:3" ht="13.5" outlineLevel="1">
      <c r="B1629" s="793"/>
      <c r="C1629" s="853"/>
    </row>
    <row r="1630" spans="2:3" ht="13.5" outlineLevel="1">
      <c r="B1630" s="793"/>
      <c r="C1630" s="853"/>
    </row>
    <row r="1631" spans="2:3" ht="13.5" outlineLevel="1">
      <c r="B1631" s="793"/>
      <c r="C1631" s="853"/>
    </row>
    <row r="1632" spans="2:3" ht="13.5" outlineLevel="1">
      <c r="B1632" s="793"/>
      <c r="C1632" s="853"/>
    </row>
    <row r="1633" spans="2:3" ht="13.5" outlineLevel="1">
      <c r="B1633" s="793"/>
      <c r="C1633" s="853"/>
    </row>
    <row r="1634" spans="2:3" ht="13.5" outlineLevel="1">
      <c r="B1634" s="793"/>
      <c r="C1634" s="853"/>
    </row>
    <row r="1635" spans="2:3" ht="13.5" outlineLevel="1">
      <c r="B1635" s="793"/>
      <c r="C1635" s="853"/>
    </row>
    <row r="1636" spans="2:3" ht="13.5" outlineLevel="1">
      <c r="B1636" s="793"/>
      <c r="C1636" s="853"/>
    </row>
    <row r="1637" spans="2:3" ht="13.5" outlineLevel="1">
      <c r="B1637" s="793"/>
      <c r="C1637" s="853"/>
    </row>
    <row r="1638" spans="2:3" ht="13.5" outlineLevel="1">
      <c r="B1638" s="793"/>
      <c r="C1638" s="853"/>
    </row>
    <row r="1639" spans="2:3" ht="13.5" outlineLevel="1">
      <c r="B1639" s="793"/>
      <c r="C1639" s="853"/>
    </row>
    <row r="1640" spans="2:3" ht="13.5" outlineLevel="1">
      <c r="B1640" s="793"/>
      <c r="C1640" s="853"/>
    </row>
    <row r="1641" spans="2:3" ht="13.5" outlineLevel="1">
      <c r="B1641" s="793"/>
      <c r="C1641" s="853"/>
    </row>
    <row r="1642" spans="2:3" ht="13.5" outlineLevel="1">
      <c r="B1642" s="793"/>
      <c r="C1642" s="853"/>
    </row>
    <row r="1643" spans="2:3" ht="13.5" outlineLevel="1">
      <c r="B1643" s="793"/>
      <c r="C1643" s="853"/>
    </row>
    <row r="1644" spans="2:3" ht="13.5" outlineLevel="1">
      <c r="B1644" s="793"/>
      <c r="C1644" s="853"/>
    </row>
    <row r="1645" spans="2:3" ht="13.5" outlineLevel="1">
      <c r="B1645" s="793"/>
      <c r="C1645" s="853"/>
    </row>
    <row r="1646" spans="2:3" ht="13.5" outlineLevel="1">
      <c r="B1646" s="793"/>
      <c r="C1646" s="853"/>
    </row>
    <row r="1647" spans="2:3" ht="13.5" outlineLevel="1">
      <c r="B1647" s="793"/>
      <c r="C1647" s="853"/>
    </row>
    <row r="1648" spans="2:3" ht="13.5" outlineLevel="1">
      <c r="B1648" s="793"/>
      <c r="C1648" s="853"/>
    </row>
    <row r="1649" spans="2:3" ht="13.5" outlineLevel="1">
      <c r="B1649" s="793"/>
      <c r="C1649" s="853"/>
    </row>
    <row r="1650" spans="2:3" ht="13.5" outlineLevel="1">
      <c r="B1650" s="793"/>
      <c r="C1650" s="853"/>
    </row>
    <row r="1651" spans="2:3" ht="13.5" outlineLevel="1">
      <c r="B1651" s="793"/>
      <c r="C1651" s="853"/>
    </row>
    <row r="1652" spans="2:3" ht="13.5" outlineLevel="1">
      <c r="B1652" s="793"/>
      <c r="C1652" s="853"/>
    </row>
    <row r="1653" spans="2:3" ht="13.5" outlineLevel="1">
      <c r="B1653" s="793"/>
      <c r="C1653" s="853"/>
    </row>
    <row r="1654" spans="2:3" ht="13.5" outlineLevel="1">
      <c r="B1654" s="793"/>
      <c r="C1654" s="853"/>
    </row>
    <row r="1655" spans="2:3" ht="13.5" outlineLevel="1">
      <c r="B1655" s="793"/>
      <c r="C1655" s="853"/>
    </row>
    <row r="1656" spans="2:3" ht="13.5" outlineLevel="1">
      <c r="B1656" s="793"/>
      <c r="C1656" s="853"/>
    </row>
    <row r="1657" spans="2:3" ht="13.5" outlineLevel="1">
      <c r="B1657" s="793"/>
      <c r="C1657" s="853"/>
    </row>
    <row r="1658" spans="2:3" ht="13.5" outlineLevel="1">
      <c r="B1658" s="793"/>
      <c r="C1658" s="853"/>
    </row>
    <row r="1659" spans="2:3" ht="13.5" outlineLevel="1">
      <c r="B1659" s="793"/>
      <c r="C1659" s="853"/>
    </row>
    <row r="1660" spans="2:3" ht="13.5" outlineLevel="1">
      <c r="B1660" s="793"/>
      <c r="C1660" s="853"/>
    </row>
    <row r="1661" spans="2:3" ht="13.5" outlineLevel="1">
      <c r="B1661" s="793"/>
      <c r="C1661" s="853"/>
    </row>
    <row r="1662" spans="2:3" ht="13.5" outlineLevel="1">
      <c r="B1662" s="793"/>
      <c r="C1662" s="853"/>
    </row>
    <row r="1663" spans="2:3" ht="13.5" outlineLevel="1">
      <c r="B1663" s="793"/>
      <c r="C1663" s="853"/>
    </row>
    <row r="1664" spans="2:3" ht="13.5" outlineLevel="1">
      <c r="B1664" s="793"/>
      <c r="C1664" s="853"/>
    </row>
    <row r="1665" spans="2:3" ht="13.5" outlineLevel="1">
      <c r="B1665" s="793"/>
      <c r="C1665" s="853"/>
    </row>
    <row r="1666" spans="2:3" ht="13.5" outlineLevel="1">
      <c r="B1666" s="793"/>
      <c r="C1666" s="853"/>
    </row>
    <row r="1667" spans="2:3" ht="13.5" outlineLevel="1">
      <c r="B1667" s="793"/>
      <c r="C1667" s="853"/>
    </row>
    <row r="1668" spans="2:3" ht="13.5" outlineLevel="1">
      <c r="B1668" s="793"/>
      <c r="C1668" s="853"/>
    </row>
    <row r="1669" spans="2:3" ht="13.5" outlineLevel="1">
      <c r="B1669" s="793"/>
      <c r="C1669" s="853"/>
    </row>
    <row r="1670" spans="2:3" ht="13.5" outlineLevel="1">
      <c r="B1670" s="793"/>
      <c r="C1670" s="853"/>
    </row>
    <row r="1671" spans="2:3" ht="13.5" outlineLevel="1">
      <c r="B1671" s="793"/>
      <c r="C1671" s="853"/>
    </row>
    <row r="1672" spans="2:3" ht="13.5" outlineLevel="1">
      <c r="B1672" s="793"/>
      <c r="C1672" s="853"/>
    </row>
    <row r="1673" spans="2:3" ht="13.5" outlineLevel="1">
      <c r="B1673" s="793"/>
      <c r="C1673" s="853"/>
    </row>
    <row r="1674" spans="2:3" ht="13.5" outlineLevel="1">
      <c r="B1674" s="793"/>
      <c r="C1674" s="853"/>
    </row>
    <row r="1675" spans="2:3" ht="13.5" outlineLevel="1">
      <c r="B1675" s="793"/>
      <c r="C1675" s="853"/>
    </row>
    <row r="1676" spans="2:3" ht="13.5" outlineLevel="1">
      <c r="B1676" s="793"/>
      <c r="C1676" s="853"/>
    </row>
    <row r="1677" spans="2:3" ht="13.5" outlineLevel="1">
      <c r="B1677" s="793"/>
      <c r="C1677" s="853"/>
    </row>
    <row r="1678" spans="2:3" ht="13.5" outlineLevel="1">
      <c r="B1678" s="793"/>
      <c r="C1678" s="853"/>
    </row>
    <row r="1679" spans="2:3" ht="13.5" outlineLevel="1">
      <c r="B1679" s="793"/>
      <c r="C1679" s="853"/>
    </row>
    <row r="1680" spans="2:3" ht="13.5" outlineLevel="1">
      <c r="B1680" s="793"/>
      <c r="C1680" s="853"/>
    </row>
    <row r="1681" spans="2:3" ht="13.5" outlineLevel="1">
      <c r="B1681" s="793"/>
      <c r="C1681" s="853"/>
    </row>
    <row r="1682" spans="2:3" ht="13.5" outlineLevel="1">
      <c r="B1682" s="793"/>
      <c r="C1682" s="853"/>
    </row>
    <row r="1683" spans="2:3" ht="13.5" outlineLevel="1">
      <c r="B1683" s="793"/>
      <c r="C1683" s="853"/>
    </row>
    <row r="1684" spans="2:3" ht="13.5" outlineLevel="1">
      <c r="B1684" s="793"/>
      <c r="C1684" s="853"/>
    </row>
    <row r="1685" spans="2:3" ht="13.5" outlineLevel="1">
      <c r="B1685" s="793"/>
      <c r="C1685" s="853"/>
    </row>
    <row r="1686" spans="2:3" ht="13.5" outlineLevel="1">
      <c r="B1686" s="793"/>
      <c r="C1686" s="853"/>
    </row>
    <row r="1687" spans="2:3" ht="13.5" outlineLevel="1">
      <c r="B1687" s="793"/>
      <c r="C1687" s="853"/>
    </row>
    <row r="1688" spans="2:3" ht="13.5" outlineLevel="1">
      <c r="B1688" s="793"/>
      <c r="C1688" s="853"/>
    </row>
    <row r="1689" spans="2:3" ht="13.5" outlineLevel="1">
      <c r="B1689" s="793"/>
      <c r="C1689" s="853"/>
    </row>
    <row r="1690" spans="2:3" ht="13.5" outlineLevel="1">
      <c r="B1690" s="793"/>
      <c r="C1690" s="853"/>
    </row>
    <row r="1691" spans="2:3" ht="13.5" outlineLevel="1">
      <c r="B1691" s="793"/>
      <c r="C1691" s="853"/>
    </row>
    <row r="1692" spans="2:3" ht="13.5" outlineLevel="1">
      <c r="B1692" s="793"/>
      <c r="C1692" s="853"/>
    </row>
    <row r="1693" spans="2:3" ht="13.5" outlineLevel="1">
      <c r="B1693" s="793"/>
      <c r="C1693" s="853"/>
    </row>
    <row r="1694" spans="2:3" ht="13.5" outlineLevel="1">
      <c r="B1694" s="793"/>
      <c r="C1694" s="853"/>
    </row>
    <row r="1695" spans="2:3" ht="13.5" outlineLevel="1">
      <c r="B1695" s="793"/>
      <c r="C1695" s="853"/>
    </row>
    <row r="1696" spans="2:3" ht="13.5" outlineLevel="1">
      <c r="B1696" s="793"/>
      <c r="C1696" s="853"/>
    </row>
    <row r="1697" spans="2:3" ht="13.5" outlineLevel="1">
      <c r="B1697" s="793"/>
      <c r="C1697" s="853"/>
    </row>
    <row r="1698" spans="2:3" ht="13.5" outlineLevel="1">
      <c r="B1698" s="793"/>
      <c r="C1698" s="853"/>
    </row>
    <row r="1699" spans="2:3" ht="13.5" outlineLevel="1">
      <c r="B1699" s="793"/>
      <c r="C1699" s="853"/>
    </row>
    <row r="1700" spans="2:3" ht="13.5" outlineLevel="1">
      <c r="B1700" s="793"/>
      <c r="C1700" s="853"/>
    </row>
    <row r="1701" spans="2:3" ht="13.5" outlineLevel="1">
      <c r="B1701" s="793"/>
      <c r="C1701" s="853"/>
    </row>
    <row r="1702" spans="2:3" ht="13.5" outlineLevel="1">
      <c r="B1702" s="793"/>
      <c r="C1702" s="853"/>
    </row>
    <row r="1703" spans="2:3" ht="13.5" outlineLevel="1">
      <c r="B1703" s="793"/>
      <c r="C1703" s="853"/>
    </row>
    <row r="1704" spans="2:3" ht="13.5" outlineLevel="1">
      <c r="B1704" s="793"/>
      <c r="C1704" s="853"/>
    </row>
    <row r="1705" spans="2:3" ht="13.5" outlineLevel="1">
      <c r="B1705" s="793"/>
      <c r="C1705" s="853"/>
    </row>
    <row r="1706" spans="2:3" ht="13.5" outlineLevel="1">
      <c r="B1706" s="793"/>
      <c r="C1706" s="853"/>
    </row>
    <row r="1707" spans="2:3" ht="13.5" outlineLevel="1">
      <c r="B1707" s="793"/>
      <c r="C1707" s="853"/>
    </row>
    <row r="1708" spans="2:3" ht="13.5" outlineLevel="1">
      <c r="B1708" s="793"/>
      <c r="C1708" s="853"/>
    </row>
    <row r="1709" spans="2:3" ht="13.5" outlineLevel="1">
      <c r="B1709" s="793"/>
      <c r="C1709" s="853"/>
    </row>
    <row r="1710" spans="2:3" ht="13.5" outlineLevel="1">
      <c r="B1710" s="793"/>
      <c r="C1710" s="853"/>
    </row>
    <row r="1711" spans="2:3" ht="13.5" outlineLevel="1">
      <c r="B1711" s="793"/>
      <c r="C1711" s="853"/>
    </row>
    <row r="1712" spans="2:3" ht="13.5" outlineLevel="1">
      <c r="B1712" s="793"/>
      <c r="C1712" s="853"/>
    </row>
    <row r="1713" spans="2:3" ht="13.5" outlineLevel="1">
      <c r="B1713" s="793"/>
      <c r="C1713" s="853"/>
    </row>
    <row r="1714" spans="2:3" ht="13.5" outlineLevel="1">
      <c r="B1714" s="793"/>
      <c r="C1714" s="853"/>
    </row>
    <row r="1715" spans="2:3" ht="13.5" outlineLevel="1">
      <c r="B1715" s="793"/>
      <c r="C1715" s="853"/>
    </row>
    <row r="1716" spans="2:3" ht="13.5" outlineLevel="1">
      <c r="B1716" s="793"/>
      <c r="C1716" s="853"/>
    </row>
    <row r="1717" spans="2:3" ht="13.5" outlineLevel="1">
      <c r="B1717" s="793"/>
      <c r="C1717" s="853"/>
    </row>
    <row r="1718" spans="2:3" ht="13.5" outlineLevel="1">
      <c r="B1718" s="793"/>
      <c r="C1718" s="853"/>
    </row>
    <row r="1719" spans="2:3" ht="13.5" outlineLevel="1">
      <c r="B1719" s="793"/>
      <c r="C1719" s="853"/>
    </row>
    <row r="1720" spans="2:3" ht="13.5" outlineLevel="1">
      <c r="B1720" s="793"/>
      <c r="C1720" s="853"/>
    </row>
    <row r="1721" spans="2:3" ht="13.5" outlineLevel="1">
      <c r="B1721" s="793"/>
      <c r="C1721" s="853"/>
    </row>
    <row r="1722" spans="2:3" ht="13.5" outlineLevel="1">
      <c r="B1722" s="793"/>
      <c r="C1722" s="853"/>
    </row>
    <row r="1723" spans="2:3" ht="13.5" outlineLevel="1">
      <c r="B1723" s="793"/>
      <c r="C1723" s="853"/>
    </row>
    <row r="1724" spans="2:3" ht="13.5" outlineLevel="1">
      <c r="B1724" s="793"/>
      <c r="C1724" s="853"/>
    </row>
    <row r="1725" spans="2:3" ht="13.5" outlineLevel="1">
      <c r="B1725" s="793"/>
      <c r="C1725" s="853"/>
    </row>
    <row r="1726" spans="2:3" ht="13.5" outlineLevel="1">
      <c r="B1726" s="793"/>
      <c r="C1726" s="853"/>
    </row>
    <row r="1727" spans="2:3" ht="13.5" outlineLevel="1">
      <c r="B1727" s="793"/>
      <c r="C1727" s="853"/>
    </row>
    <row r="1728" spans="2:3" ht="13.5" outlineLevel="1">
      <c r="B1728" s="793"/>
      <c r="C1728" s="853"/>
    </row>
    <row r="1729" spans="2:3" ht="13.5" outlineLevel="1">
      <c r="B1729" s="793"/>
      <c r="C1729" s="853"/>
    </row>
    <row r="1730" spans="2:3" ht="13.5" outlineLevel="1">
      <c r="B1730" s="793"/>
      <c r="C1730" s="853"/>
    </row>
    <row r="1731" spans="2:3" ht="13.5" outlineLevel="1">
      <c r="B1731" s="793"/>
      <c r="C1731" s="853"/>
    </row>
    <row r="1732" spans="2:3" ht="13.5" outlineLevel="1">
      <c r="B1732" s="793"/>
      <c r="C1732" s="853"/>
    </row>
    <row r="1733" spans="2:3" ht="13.5" outlineLevel="1">
      <c r="B1733" s="793"/>
      <c r="C1733" s="853"/>
    </row>
    <row r="1734" spans="2:3" ht="13.5" outlineLevel="1">
      <c r="B1734" s="793"/>
      <c r="C1734" s="853"/>
    </row>
    <row r="1735" spans="2:3" ht="13.5" outlineLevel="1">
      <c r="B1735" s="793"/>
      <c r="C1735" s="853"/>
    </row>
    <row r="1736" spans="2:3" ht="13.5" outlineLevel="1">
      <c r="B1736" s="793"/>
      <c r="C1736" s="853"/>
    </row>
    <row r="1737" spans="2:3" ht="13.5" outlineLevel="1">
      <c r="B1737" s="793"/>
      <c r="C1737" s="853"/>
    </row>
    <row r="1738" spans="2:3" ht="13.5" outlineLevel="1">
      <c r="B1738" s="793"/>
      <c r="C1738" s="853"/>
    </row>
    <row r="1739" spans="2:3" ht="13.5" outlineLevel="1">
      <c r="B1739" s="793"/>
      <c r="C1739" s="853"/>
    </row>
    <row r="1740" spans="2:3" ht="13.5" outlineLevel="1">
      <c r="B1740" s="793"/>
      <c r="C1740" s="853"/>
    </row>
    <row r="1741" spans="2:3" ht="13.5" outlineLevel="1">
      <c r="B1741" s="793"/>
      <c r="C1741" s="853"/>
    </row>
    <row r="1742" spans="2:3" ht="13.5" outlineLevel="1">
      <c r="B1742" s="793"/>
      <c r="C1742" s="853"/>
    </row>
    <row r="1743" spans="2:3" ht="13.5" outlineLevel="1">
      <c r="B1743" s="793"/>
      <c r="C1743" s="853"/>
    </row>
    <row r="1744" spans="2:3" ht="13.5" outlineLevel="1">
      <c r="B1744" s="793"/>
      <c r="C1744" s="853"/>
    </row>
    <row r="1745" spans="2:3" ht="13.5" outlineLevel="1">
      <c r="B1745" s="793"/>
      <c r="C1745" s="853"/>
    </row>
    <row r="1746" spans="2:3" ht="13.5" outlineLevel="1">
      <c r="B1746" s="793"/>
      <c r="C1746" s="853"/>
    </row>
    <row r="1747" spans="2:3" ht="13.5" outlineLevel="1">
      <c r="B1747" s="793"/>
      <c r="C1747" s="853"/>
    </row>
    <row r="1748" spans="2:3" ht="13.5" outlineLevel="1">
      <c r="B1748" s="793"/>
      <c r="C1748" s="853"/>
    </row>
    <row r="1749" spans="2:3" ht="13.5" outlineLevel="1">
      <c r="B1749" s="793"/>
      <c r="C1749" s="853"/>
    </row>
    <row r="1750" spans="2:3" ht="13.5" outlineLevel="1">
      <c r="B1750" s="793"/>
      <c r="C1750" s="853"/>
    </row>
    <row r="1751" spans="2:3" ht="13.5" outlineLevel="1">
      <c r="B1751" s="793"/>
      <c r="C1751" s="853"/>
    </row>
    <row r="1752" spans="2:3" ht="13.5" outlineLevel="1">
      <c r="B1752" s="793"/>
      <c r="C1752" s="853"/>
    </row>
    <row r="1753" spans="2:3" ht="13.5" outlineLevel="1">
      <c r="B1753" s="793"/>
      <c r="C1753" s="853"/>
    </row>
    <row r="1754" spans="2:3" ht="13.5" outlineLevel="1">
      <c r="B1754" s="793"/>
      <c r="C1754" s="853"/>
    </row>
    <row r="1755" spans="2:3" ht="13.5" outlineLevel="1">
      <c r="B1755" s="793"/>
      <c r="C1755" s="853"/>
    </row>
    <row r="1756" spans="2:3" ht="13.5" outlineLevel="1">
      <c r="B1756" s="793"/>
      <c r="C1756" s="853"/>
    </row>
    <row r="1757" spans="2:3" ht="13.5" outlineLevel="1">
      <c r="B1757" s="793"/>
      <c r="C1757" s="853"/>
    </row>
    <row r="1758" spans="2:3" ht="13.5" outlineLevel="1">
      <c r="B1758" s="793"/>
      <c r="C1758" s="853"/>
    </row>
    <row r="1759" spans="2:3" ht="13.5" outlineLevel="1">
      <c r="B1759" s="793"/>
      <c r="C1759" s="853"/>
    </row>
    <row r="1760" spans="2:3" ht="13.5" outlineLevel="1">
      <c r="B1760" s="793"/>
      <c r="C1760" s="853"/>
    </row>
    <row r="1761" spans="2:3" ht="13.5" outlineLevel="1">
      <c r="B1761" s="793"/>
      <c r="C1761" s="853"/>
    </row>
    <row r="1762" spans="2:3" ht="13.5" outlineLevel="1">
      <c r="B1762" s="793"/>
      <c r="C1762" s="853"/>
    </row>
    <row r="1763" spans="2:3" ht="13.5" outlineLevel="1">
      <c r="B1763" s="793"/>
      <c r="C1763" s="853"/>
    </row>
    <row r="1764" spans="2:3" ht="13.5" outlineLevel="1">
      <c r="B1764" s="793"/>
      <c r="C1764" s="853"/>
    </row>
    <row r="1765" spans="2:3" ht="13.5" outlineLevel="1">
      <c r="B1765" s="793"/>
      <c r="C1765" s="853"/>
    </row>
    <row r="1766" spans="2:3" ht="13.5" outlineLevel="1">
      <c r="B1766" s="793"/>
      <c r="C1766" s="853"/>
    </row>
    <row r="1767" spans="2:3" ht="13.5" outlineLevel="1">
      <c r="B1767" s="793"/>
      <c r="C1767" s="853"/>
    </row>
    <row r="1768" spans="2:3" ht="13.5" outlineLevel="1">
      <c r="B1768" s="793"/>
      <c r="C1768" s="853"/>
    </row>
    <row r="1769" spans="2:3" ht="13.5" outlineLevel="1">
      <c r="B1769" s="793"/>
      <c r="C1769" s="853"/>
    </row>
    <row r="1770" spans="2:3" ht="13.5" outlineLevel="1">
      <c r="B1770" s="793"/>
      <c r="C1770" s="853"/>
    </row>
    <row r="1771" spans="2:3" ht="13.5" outlineLevel="1">
      <c r="B1771" s="793"/>
      <c r="C1771" s="853"/>
    </row>
    <row r="1772" spans="2:3" ht="13.5" outlineLevel="1">
      <c r="B1772" s="793"/>
      <c r="C1772" s="853"/>
    </row>
    <row r="1773" spans="2:3" ht="13.5" outlineLevel="1">
      <c r="B1773" s="793"/>
      <c r="C1773" s="853"/>
    </row>
    <row r="1774" spans="2:3" ht="13.5" outlineLevel="1">
      <c r="B1774" s="793"/>
      <c r="C1774" s="853"/>
    </row>
    <row r="1775" spans="2:3" ht="13.5" outlineLevel="1">
      <c r="B1775" s="793"/>
      <c r="C1775" s="853"/>
    </row>
    <row r="1776" spans="2:3" ht="13.5" outlineLevel="1">
      <c r="B1776" s="793"/>
      <c r="C1776" s="853"/>
    </row>
    <row r="1777" spans="2:3" ht="13.5" outlineLevel="1">
      <c r="B1777" s="793"/>
      <c r="C1777" s="853"/>
    </row>
    <row r="1778" spans="2:3" ht="13.5" outlineLevel="1">
      <c r="B1778" s="793"/>
      <c r="C1778" s="853"/>
    </row>
    <row r="1779" spans="2:3" ht="13.5" outlineLevel="1">
      <c r="B1779" s="793"/>
      <c r="C1779" s="853"/>
    </row>
    <row r="1780" spans="2:3" ht="13.5" outlineLevel="1">
      <c r="B1780" s="793"/>
      <c r="C1780" s="853"/>
    </row>
    <row r="1781" spans="2:3" ht="13.5" outlineLevel="1">
      <c r="B1781" s="793"/>
      <c r="C1781" s="853"/>
    </row>
    <row r="1782" spans="2:3" ht="13.5" outlineLevel="1">
      <c r="B1782" s="793"/>
      <c r="C1782" s="853"/>
    </row>
    <row r="1783" spans="2:3" ht="13.5" outlineLevel="1">
      <c r="B1783" s="793"/>
      <c r="C1783" s="853"/>
    </row>
    <row r="1784" spans="2:3" ht="13.5" outlineLevel="1">
      <c r="B1784" s="793"/>
      <c r="C1784" s="853"/>
    </row>
    <row r="1785" spans="2:3" ht="13.5" outlineLevel="1">
      <c r="B1785" s="793"/>
      <c r="C1785" s="853"/>
    </row>
    <row r="1786" spans="2:3" ht="13.5" outlineLevel="1">
      <c r="B1786" s="793"/>
      <c r="C1786" s="853"/>
    </row>
    <row r="1787" spans="2:3" ht="13.5" outlineLevel="1">
      <c r="B1787" s="793"/>
      <c r="C1787" s="853"/>
    </row>
    <row r="1788" spans="2:3" ht="13.5" outlineLevel="1">
      <c r="B1788" s="793"/>
      <c r="C1788" s="853"/>
    </row>
    <row r="1789" spans="2:3" ht="13.5" outlineLevel="1">
      <c r="B1789" s="793"/>
      <c r="C1789" s="853"/>
    </row>
    <row r="1790" spans="2:3" ht="13.5" outlineLevel="1">
      <c r="B1790" s="793"/>
      <c r="C1790" s="853"/>
    </row>
    <row r="1791" spans="2:3" ht="13.5" outlineLevel="1">
      <c r="B1791" s="793"/>
      <c r="C1791" s="853"/>
    </row>
    <row r="1792" spans="2:3" ht="13.5" outlineLevel="1">
      <c r="B1792" s="793"/>
      <c r="C1792" s="853"/>
    </row>
    <row r="1793" spans="2:3" ht="13.5" outlineLevel="1">
      <c r="B1793" s="793"/>
      <c r="C1793" s="853"/>
    </row>
    <row r="1794" spans="2:3" ht="13.5" outlineLevel="1">
      <c r="B1794" s="793"/>
      <c r="C1794" s="853"/>
    </row>
    <row r="1795" spans="2:3" ht="13.5" outlineLevel="1">
      <c r="B1795" s="793"/>
      <c r="C1795" s="853"/>
    </row>
    <row r="1796" spans="2:3" ht="13.5" outlineLevel="1">
      <c r="B1796" s="793"/>
      <c r="C1796" s="853"/>
    </row>
    <row r="1797" spans="2:3" ht="13.5" outlineLevel="1">
      <c r="B1797" s="793"/>
      <c r="C1797" s="853"/>
    </row>
    <row r="1798" spans="2:3" ht="13.5" outlineLevel="1">
      <c r="B1798" s="793"/>
      <c r="C1798" s="853"/>
    </row>
    <row r="1799" spans="2:3" ht="13.5" outlineLevel="1">
      <c r="B1799" s="793"/>
      <c r="C1799" s="853"/>
    </row>
    <row r="1800" spans="2:3" ht="13.5" outlineLevel="1">
      <c r="B1800" s="793"/>
      <c r="C1800" s="853"/>
    </row>
    <row r="1801" spans="2:3" ht="13.5" outlineLevel="1">
      <c r="B1801" s="793"/>
      <c r="C1801" s="853"/>
    </row>
    <row r="1802" spans="2:3" ht="13.5" outlineLevel="1">
      <c r="B1802" s="793"/>
      <c r="C1802" s="853"/>
    </row>
    <row r="1803" spans="2:3" ht="13.5" outlineLevel="1">
      <c r="B1803" s="793"/>
      <c r="C1803" s="853"/>
    </row>
    <row r="1804" spans="2:3" ht="13.5" outlineLevel="1">
      <c r="B1804" s="793"/>
      <c r="C1804" s="853"/>
    </row>
    <row r="1805" spans="2:3" ht="13.5" outlineLevel="1">
      <c r="B1805" s="793"/>
      <c r="C1805" s="853"/>
    </row>
    <row r="1806" spans="2:3" ht="13.5" outlineLevel="1">
      <c r="B1806" s="793"/>
      <c r="C1806" s="853"/>
    </row>
    <row r="1807" spans="2:3" ht="13.5" outlineLevel="1">
      <c r="B1807" s="793"/>
      <c r="C1807" s="853"/>
    </row>
    <row r="1808" spans="2:3" ht="13.5" outlineLevel="1">
      <c r="B1808" s="793"/>
      <c r="C1808" s="853"/>
    </row>
    <row r="1809" spans="2:3" ht="13.5" outlineLevel="1">
      <c r="B1809" s="793"/>
      <c r="C1809" s="853"/>
    </row>
    <row r="1810" spans="2:3" ht="13.5" outlineLevel="1">
      <c r="B1810" s="793"/>
      <c r="C1810" s="853"/>
    </row>
    <row r="1811" spans="2:3" ht="13.5" outlineLevel="1">
      <c r="B1811" s="793"/>
      <c r="C1811" s="853"/>
    </row>
    <row r="1812" spans="2:3" ht="13.5" outlineLevel="1">
      <c r="B1812" s="793"/>
      <c r="C1812" s="853"/>
    </row>
    <row r="1813" spans="2:3" ht="13.5" outlineLevel="1">
      <c r="B1813" s="793"/>
      <c r="C1813" s="853"/>
    </row>
    <row r="1814" spans="2:3" ht="13.5" outlineLevel="1">
      <c r="B1814" s="793"/>
      <c r="C1814" s="853"/>
    </row>
    <row r="1815" spans="2:3" ht="13.5" outlineLevel="1">
      <c r="B1815" s="793"/>
      <c r="C1815" s="853"/>
    </row>
    <row r="1816" spans="2:3" ht="13.5" outlineLevel="1">
      <c r="B1816" s="793"/>
      <c r="C1816" s="853"/>
    </row>
    <row r="1817" spans="2:3" ht="13.5" outlineLevel="1">
      <c r="B1817" s="793"/>
      <c r="C1817" s="853"/>
    </row>
    <row r="1818" spans="2:3" ht="13.5" outlineLevel="1">
      <c r="B1818" s="793"/>
      <c r="C1818" s="853"/>
    </row>
    <row r="1819" spans="2:3" ht="13.5" outlineLevel="1">
      <c r="B1819" s="793"/>
      <c r="C1819" s="853"/>
    </row>
    <row r="1820" spans="2:3" ht="13.5" outlineLevel="1">
      <c r="B1820" s="793"/>
      <c r="C1820" s="853"/>
    </row>
    <row r="1821" spans="2:3" ht="13.5" outlineLevel="1">
      <c r="B1821" s="793"/>
      <c r="C1821" s="853"/>
    </row>
    <row r="1822" spans="2:3" ht="13.5" outlineLevel="1">
      <c r="B1822" s="793"/>
      <c r="C1822" s="853"/>
    </row>
    <row r="1823" spans="2:3" ht="13.5" outlineLevel="1">
      <c r="B1823" s="793"/>
      <c r="C1823" s="853"/>
    </row>
    <row r="1824" spans="2:3" ht="13.5" outlineLevel="1">
      <c r="B1824" s="793"/>
      <c r="C1824" s="853"/>
    </row>
    <row r="1825" spans="2:3" ht="13.5" outlineLevel="1">
      <c r="B1825" s="793"/>
      <c r="C1825" s="853"/>
    </row>
    <row r="1826" spans="2:3" ht="13.5" outlineLevel="1">
      <c r="B1826" s="793"/>
      <c r="C1826" s="853"/>
    </row>
    <row r="1827" spans="2:3" ht="13.5" outlineLevel="1">
      <c r="B1827" s="793"/>
      <c r="C1827" s="853"/>
    </row>
    <row r="1828" spans="2:3" ht="13.5" outlineLevel="1">
      <c r="B1828" s="793"/>
      <c r="C1828" s="853"/>
    </row>
    <row r="1829" spans="2:3" ht="13.5" outlineLevel="1">
      <c r="B1829" s="793"/>
      <c r="C1829" s="853"/>
    </row>
    <row r="1830" spans="2:3" ht="13.5" outlineLevel="1">
      <c r="B1830" s="793"/>
      <c r="C1830" s="853"/>
    </row>
    <row r="1831" spans="2:3" ht="13.5" outlineLevel="1">
      <c r="B1831" s="793"/>
      <c r="C1831" s="853"/>
    </row>
    <row r="1832" spans="2:3" ht="13.5" outlineLevel="1">
      <c r="B1832" s="793"/>
      <c r="C1832" s="853"/>
    </row>
    <row r="1833" spans="2:3" ht="13.5" outlineLevel="1">
      <c r="B1833" s="793"/>
      <c r="C1833" s="853"/>
    </row>
    <row r="1834" spans="2:3" ht="13.5" outlineLevel="1">
      <c r="B1834" s="793"/>
      <c r="C1834" s="853"/>
    </row>
    <row r="1835" spans="2:3" ht="13.5" outlineLevel="1">
      <c r="B1835" s="793"/>
      <c r="C1835" s="853"/>
    </row>
    <row r="1836" spans="2:3" ht="13.5" outlineLevel="1">
      <c r="B1836" s="793"/>
      <c r="C1836" s="853"/>
    </row>
    <row r="1837" spans="2:3" ht="13.5" outlineLevel="1">
      <c r="B1837" s="793"/>
      <c r="C1837" s="853"/>
    </row>
    <row r="1838" spans="2:3" ht="13.5" outlineLevel="1">
      <c r="B1838" s="793"/>
      <c r="C1838" s="853"/>
    </row>
    <row r="1839" spans="2:3" ht="13.5" outlineLevel="1">
      <c r="B1839" s="793"/>
      <c r="C1839" s="853"/>
    </row>
    <row r="1840" spans="2:3" ht="13.5" outlineLevel="1">
      <c r="B1840" s="793"/>
      <c r="C1840" s="853"/>
    </row>
    <row r="1841" spans="2:3" ht="13.5" outlineLevel="1">
      <c r="B1841" s="793"/>
      <c r="C1841" s="853"/>
    </row>
    <row r="1842" spans="2:3" ht="13.5" outlineLevel="1">
      <c r="B1842" s="793"/>
      <c r="C1842" s="853"/>
    </row>
    <row r="1843" spans="2:3" ht="13.5" outlineLevel="1">
      <c r="B1843" s="793"/>
      <c r="C1843" s="853"/>
    </row>
    <row r="1844" spans="2:3" ht="13.5" outlineLevel="1">
      <c r="B1844" s="793"/>
      <c r="C1844" s="853"/>
    </row>
    <row r="1845" spans="2:3" ht="13.5" outlineLevel="1">
      <c r="B1845" s="793"/>
      <c r="C1845" s="853"/>
    </row>
    <row r="1846" spans="2:3" ht="13.5" outlineLevel="1">
      <c r="B1846" s="793"/>
      <c r="C1846" s="853"/>
    </row>
    <row r="1847" spans="2:3" ht="13.5" outlineLevel="1">
      <c r="B1847" s="793"/>
      <c r="C1847" s="853"/>
    </row>
    <row r="1848" spans="2:3" ht="13.5" outlineLevel="1">
      <c r="B1848" s="793"/>
      <c r="C1848" s="853"/>
    </row>
    <row r="1849" spans="2:3" ht="13.5" outlineLevel="1">
      <c r="B1849" s="793"/>
      <c r="C1849" s="853"/>
    </row>
    <row r="1850" spans="2:3" ht="13.5" outlineLevel="1">
      <c r="B1850" s="793"/>
      <c r="C1850" s="853"/>
    </row>
    <row r="1851" spans="2:3" ht="13.5" outlineLevel="1">
      <c r="B1851" s="793"/>
      <c r="C1851" s="853"/>
    </row>
    <row r="1852" spans="2:3" ht="13.5" outlineLevel="1">
      <c r="B1852" s="793"/>
      <c r="C1852" s="853"/>
    </row>
    <row r="1853" spans="2:3" ht="13.5" outlineLevel="1">
      <c r="B1853" s="793"/>
      <c r="C1853" s="853"/>
    </row>
    <row r="1854" spans="2:3" ht="13.5" outlineLevel="1">
      <c r="B1854" s="793"/>
      <c r="C1854" s="853"/>
    </row>
    <row r="1855" spans="2:3" ht="13.5" outlineLevel="1">
      <c r="B1855" s="793"/>
      <c r="C1855" s="853"/>
    </row>
    <row r="1856" spans="2:3" ht="13.5" outlineLevel="1">
      <c r="B1856" s="793"/>
      <c r="C1856" s="853"/>
    </row>
    <row r="1857" spans="2:3" ht="13.5" outlineLevel="1">
      <c r="B1857" s="793"/>
      <c r="C1857" s="853"/>
    </row>
    <row r="1858" spans="2:3" ht="13.5" outlineLevel="1">
      <c r="B1858" s="793"/>
      <c r="C1858" s="853"/>
    </row>
    <row r="1859" spans="2:3" ht="13.5" outlineLevel="1">
      <c r="B1859" s="793"/>
      <c r="C1859" s="853"/>
    </row>
    <row r="1860" spans="2:3" ht="13.5" outlineLevel="1">
      <c r="B1860" s="793"/>
      <c r="C1860" s="853"/>
    </row>
    <row r="1861" spans="2:3" ht="13.5" outlineLevel="1">
      <c r="B1861" s="793"/>
      <c r="C1861" s="853"/>
    </row>
    <row r="1862" spans="2:3" ht="13.5" outlineLevel="1">
      <c r="B1862" s="793"/>
      <c r="C1862" s="853"/>
    </row>
    <row r="1863" spans="2:3" ht="13.5" outlineLevel="1">
      <c r="B1863" s="793"/>
      <c r="C1863" s="853"/>
    </row>
    <row r="1864" spans="2:3" ht="13.5" outlineLevel="1">
      <c r="B1864" s="793"/>
      <c r="C1864" s="853"/>
    </row>
    <row r="1865" spans="2:3" ht="13.5" outlineLevel="1">
      <c r="B1865" s="793"/>
      <c r="C1865" s="853"/>
    </row>
    <row r="1866" spans="2:3" ht="13.5" outlineLevel="1">
      <c r="B1866" s="793"/>
      <c r="C1866" s="853"/>
    </row>
    <row r="1867" spans="2:3" ht="13.5" outlineLevel="1">
      <c r="B1867" s="793"/>
      <c r="C1867" s="853"/>
    </row>
    <row r="1868" spans="2:3" ht="13.5" outlineLevel="1">
      <c r="B1868" s="793"/>
      <c r="C1868" s="853"/>
    </row>
    <row r="1869" spans="2:3" ht="13.5" outlineLevel="1">
      <c r="B1869" s="793"/>
      <c r="C1869" s="853"/>
    </row>
    <row r="1870" spans="2:3" ht="13.5" outlineLevel="1">
      <c r="B1870" s="793"/>
      <c r="C1870" s="853"/>
    </row>
    <row r="1871" spans="2:3" ht="13.5" outlineLevel="1">
      <c r="B1871" s="793"/>
      <c r="C1871" s="853"/>
    </row>
    <row r="1872" spans="2:3" ht="13.5" outlineLevel="1">
      <c r="B1872" s="793"/>
      <c r="C1872" s="853"/>
    </row>
    <row r="1873" spans="2:3" ht="13.5" outlineLevel="1">
      <c r="B1873" s="793"/>
      <c r="C1873" s="853"/>
    </row>
    <row r="1874" spans="2:3" ht="13.5" outlineLevel="1">
      <c r="B1874" s="793"/>
      <c r="C1874" s="853"/>
    </row>
    <row r="1875" spans="2:3" ht="13.5" outlineLevel="1">
      <c r="B1875" s="793"/>
      <c r="C1875" s="853"/>
    </row>
    <row r="1876" spans="2:3" ht="13.5" outlineLevel="1">
      <c r="B1876" s="793"/>
      <c r="C1876" s="853"/>
    </row>
    <row r="1877" spans="2:3" ht="13.5" outlineLevel="1">
      <c r="B1877" s="793"/>
      <c r="C1877" s="853"/>
    </row>
    <row r="1878" spans="2:3" ht="13.5" outlineLevel="1">
      <c r="B1878" s="793"/>
      <c r="C1878" s="853"/>
    </row>
    <row r="1879" spans="2:3" ht="13.5" outlineLevel="1">
      <c r="B1879" s="793"/>
      <c r="C1879" s="853"/>
    </row>
    <row r="1880" spans="2:3" ht="13.5" outlineLevel="1">
      <c r="B1880" s="793"/>
      <c r="C1880" s="853"/>
    </row>
    <row r="1881" spans="2:3" ht="13.5" outlineLevel="1">
      <c r="B1881" s="793"/>
      <c r="C1881" s="853"/>
    </row>
    <row r="1882" spans="2:3" ht="13.5" outlineLevel="1">
      <c r="B1882" s="793"/>
      <c r="C1882" s="853"/>
    </row>
    <row r="1883" spans="2:3" ht="13.5" outlineLevel="1">
      <c r="B1883" s="793"/>
      <c r="C1883" s="853"/>
    </row>
    <row r="1884" spans="2:3" ht="13.5" outlineLevel="1">
      <c r="B1884" s="793"/>
      <c r="C1884" s="853"/>
    </row>
    <row r="1885" spans="2:3" ht="13.5" outlineLevel="1">
      <c r="B1885" s="793"/>
      <c r="C1885" s="853"/>
    </row>
    <row r="1886" spans="2:3" ht="13.5" outlineLevel="1">
      <c r="B1886" s="793"/>
      <c r="C1886" s="853"/>
    </row>
    <row r="1887" spans="2:3" ht="13.5" outlineLevel="1">
      <c r="B1887" s="793"/>
      <c r="C1887" s="853"/>
    </row>
    <row r="1888" spans="2:3" ht="13.5" outlineLevel="1">
      <c r="B1888" s="793"/>
      <c r="C1888" s="853"/>
    </row>
    <row r="1889" spans="2:3" ht="13.5" outlineLevel="1">
      <c r="B1889" s="793"/>
      <c r="C1889" s="853"/>
    </row>
    <row r="1890" spans="2:3" ht="13.5" outlineLevel="1">
      <c r="B1890" s="793"/>
      <c r="C1890" s="853"/>
    </row>
    <row r="1891" spans="2:3" ht="13.5" outlineLevel="1">
      <c r="B1891" s="793"/>
      <c r="C1891" s="853"/>
    </row>
    <row r="1892" spans="2:3" ht="13.5" outlineLevel="1">
      <c r="B1892" s="793"/>
      <c r="C1892" s="853"/>
    </row>
    <row r="1893" spans="2:3" ht="13.5" outlineLevel="1">
      <c r="B1893" s="793"/>
      <c r="C1893" s="853"/>
    </row>
    <row r="1894" spans="2:3" ht="13.5" outlineLevel="1">
      <c r="B1894" s="793"/>
      <c r="C1894" s="853"/>
    </row>
    <row r="1895" spans="2:3" ht="13.5" outlineLevel="1">
      <c r="B1895" s="793"/>
      <c r="C1895" s="853"/>
    </row>
    <row r="1896" spans="2:3" ht="13.5" outlineLevel="1">
      <c r="B1896" s="793"/>
      <c r="C1896" s="853"/>
    </row>
    <row r="1897" spans="2:3" ht="13.5" outlineLevel="1">
      <c r="B1897" s="793"/>
      <c r="C1897" s="853"/>
    </row>
    <row r="1898" spans="2:3" ht="13.5" outlineLevel="1">
      <c r="B1898" s="793"/>
      <c r="C1898" s="853"/>
    </row>
    <row r="1899" spans="2:3" ht="13.5" outlineLevel="1">
      <c r="B1899" s="793"/>
      <c r="C1899" s="853"/>
    </row>
    <row r="1900" spans="2:3" ht="13.5" outlineLevel="1">
      <c r="B1900" s="793"/>
      <c r="C1900" s="853"/>
    </row>
    <row r="1901" spans="2:3" ht="13.5" outlineLevel="1">
      <c r="B1901" s="793"/>
      <c r="C1901" s="853"/>
    </row>
    <row r="1902" spans="2:3" ht="13.5" outlineLevel="1">
      <c r="B1902" s="793"/>
      <c r="C1902" s="853"/>
    </row>
    <row r="1903" spans="2:3" ht="13.5" outlineLevel="1">
      <c r="B1903" s="793"/>
      <c r="C1903" s="853"/>
    </row>
    <row r="1904" spans="2:3" ht="13.5" outlineLevel="1">
      <c r="B1904" s="793"/>
      <c r="C1904" s="853"/>
    </row>
    <row r="1905" spans="2:3" ht="13.5" outlineLevel="1">
      <c r="B1905" s="793"/>
      <c r="C1905" s="853"/>
    </row>
    <row r="1906" spans="2:3" ht="13.5" outlineLevel="1">
      <c r="B1906" s="793"/>
      <c r="C1906" s="853"/>
    </row>
    <row r="1907" spans="2:3" ht="13.5" outlineLevel="1">
      <c r="B1907" s="793"/>
      <c r="C1907" s="853"/>
    </row>
    <row r="1908" spans="2:3" ht="13.5" outlineLevel="1">
      <c r="B1908" s="793"/>
      <c r="C1908" s="853"/>
    </row>
    <row r="1909" spans="2:3" ht="13.5" outlineLevel="1">
      <c r="B1909" s="793"/>
      <c r="C1909" s="853"/>
    </row>
    <row r="1910" spans="2:3" ht="13.5" outlineLevel="1">
      <c r="B1910" s="793"/>
      <c r="C1910" s="853"/>
    </row>
    <row r="1911" spans="2:3" ht="13.5" outlineLevel="1">
      <c r="B1911" s="793"/>
      <c r="C1911" s="853"/>
    </row>
    <row r="1912" spans="2:3" ht="13.5" outlineLevel="1">
      <c r="B1912" s="793"/>
      <c r="C1912" s="853"/>
    </row>
    <row r="1913" spans="2:3" ht="13.5" outlineLevel="1">
      <c r="B1913" s="793"/>
      <c r="C1913" s="853"/>
    </row>
    <row r="1914" spans="2:3" ht="13.5" outlineLevel="1">
      <c r="B1914" s="793"/>
      <c r="C1914" s="853"/>
    </row>
    <row r="1915" spans="2:3" ht="13.5" outlineLevel="1">
      <c r="B1915" s="793"/>
      <c r="C1915" s="853"/>
    </row>
    <row r="1916" spans="2:3" ht="13.5" outlineLevel="1">
      <c r="B1916" s="793"/>
      <c r="C1916" s="853"/>
    </row>
    <row r="1917" spans="2:3" ht="13.5" outlineLevel="1">
      <c r="B1917" s="793"/>
      <c r="C1917" s="853"/>
    </row>
    <row r="1918" spans="2:3" ht="13.5" outlineLevel="1">
      <c r="B1918" s="793"/>
      <c r="C1918" s="853"/>
    </row>
    <row r="1919" spans="2:3" ht="13.5" outlineLevel="1">
      <c r="B1919" s="793"/>
      <c r="C1919" s="853"/>
    </row>
    <row r="1920" spans="2:3" ht="13.5" outlineLevel="1">
      <c r="B1920" s="793"/>
      <c r="C1920" s="853"/>
    </row>
    <row r="1921" spans="2:3" ht="13.5" outlineLevel="1">
      <c r="B1921" s="793"/>
      <c r="C1921" s="853"/>
    </row>
    <row r="1922" spans="2:3" ht="13.5" outlineLevel="1">
      <c r="B1922" s="793"/>
      <c r="C1922" s="853"/>
    </row>
    <row r="1923" spans="2:3" ht="13.5" outlineLevel="1">
      <c r="B1923" s="793"/>
      <c r="C1923" s="853"/>
    </row>
    <row r="1924" spans="2:3" ht="13.5" outlineLevel="1">
      <c r="B1924" s="793"/>
      <c r="C1924" s="853"/>
    </row>
    <row r="1925" spans="2:3" ht="13.5" outlineLevel="1">
      <c r="B1925" s="793"/>
      <c r="C1925" s="853"/>
    </row>
    <row r="1926" spans="2:3" ht="13.5" outlineLevel="1">
      <c r="B1926" s="793"/>
      <c r="C1926" s="853"/>
    </row>
    <row r="1927" spans="2:3" ht="13.5" outlineLevel="1">
      <c r="B1927" s="793"/>
      <c r="C1927" s="853"/>
    </row>
    <row r="1928" spans="2:3" ht="13.5" outlineLevel="1">
      <c r="B1928" s="793"/>
      <c r="C1928" s="853"/>
    </row>
    <row r="1929" spans="2:3" ht="13.5" outlineLevel="1">
      <c r="B1929" s="793"/>
      <c r="C1929" s="853"/>
    </row>
    <row r="1930" spans="2:3" ht="13.5" outlineLevel="1">
      <c r="B1930" s="793"/>
      <c r="C1930" s="853"/>
    </row>
    <row r="1931" spans="2:3" ht="13.5" outlineLevel="1">
      <c r="B1931" s="793"/>
      <c r="C1931" s="853"/>
    </row>
    <row r="1932" spans="2:3" ht="13.5" outlineLevel="1">
      <c r="B1932" s="793"/>
      <c r="C1932" s="853"/>
    </row>
    <row r="1933" spans="2:3" ht="13.5" outlineLevel="1">
      <c r="B1933" s="793"/>
      <c r="C1933" s="853"/>
    </row>
    <row r="1934" spans="2:3" ht="13.5" outlineLevel="1">
      <c r="B1934" s="793"/>
      <c r="C1934" s="853"/>
    </row>
    <row r="1935" spans="2:3" ht="13.5" outlineLevel="1">
      <c r="B1935" s="793"/>
      <c r="C1935" s="853"/>
    </row>
    <row r="1936" spans="2:3" ht="13.5" outlineLevel="1">
      <c r="B1936" s="793"/>
      <c r="C1936" s="853"/>
    </row>
    <row r="1937" spans="2:3" ht="13.5">
      <c r="B1937" s="793"/>
      <c r="C1937" s="853"/>
    </row>
    <row r="1938" spans="2:3" ht="13.5">
      <c r="B1938" s="793"/>
      <c r="C1938" s="853"/>
    </row>
    <row r="1939" spans="2:3" ht="13.5">
      <c r="B1939" s="793"/>
      <c r="C1939" s="853"/>
    </row>
    <row r="1940" spans="2:3" ht="13.5">
      <c r="B1940" s="793"/>
      <c r="C1940" s="853"/>
    </row>
    <row r="1941" spans="2:3" ht="13.5">
      <c r="B1941" s="793"/>
      <c r="C1941" s="853"/>
    </row>
    <row r="1942" spans="2:3" ht="13.5">
      <c r="B1942" s="793"/>
      <c r="C1942" s="853"/>
    </row>
    <row r="1943" spans="2:3">
      <c r="B1943" s="793"/>
      <c r="C1943" s="848"/>
    </row>
  </sheetData>
  <sortState xmlns:xlrd2="http://schemas.microsoft.com/office/spreadsheetml/2017/richdata2" ref="B38:C1943">
    <sortCondition ref="B38:B1943" customList="January,February,March,April,May,June,July,August,September,October,November,December"/>
  </sortState>
  <mergeCells count="141">
    <mergeCell ref="C14:L14"/>
    <mergeCell ref="B146:C146"/>
    <mergeCell ref="D146:G146"/>
    <mergeCell ref="H146:K146"/>
    <mergeCell ref="L146:O146"/>
    <mergeCell ref="EE130:EH130"/>
    <mergeCell ref="EM130:EP130"/>
    <mergeCell ref="BS130:BV130"/>
    <mergeCell ref="CA130:CD130"/>
    <mergeCell ref="CI130:CL130"/>
    <mergeCell ref="CQ130:CT130"/>
    <mergeCell ref="CY130:DB130"/>
    <mergeCell ref="W128:Z128"/>
    <mergeCell ref="AY124:BB124"/>
    <mergeCell ref="BG124:BJ124"/>
    <mergeCell ref="BO124:BR124"/>
    <mergeCell ref="BH146:BK146"/>
    <mergeCell ref="BL146:BO146"/>
    <mergeCell ref="CJ143:CM143"/>
    <mergeCell ref="CN143:CQ143"/>
    <mergeCell ref="CR143:CU143"/>
    <mergeCell ref="CV143:CY143"/>
    <mergeCell ref="CZ143:DC143"/>
    <mergeCell ref="BP143:BS143"/>
    <mergeCell ref="EU130:EX130"/>
    <mergeCell ref="DG130:DJ130"/>
    <mergeCell ref="DO130:DR130"/>
    <mergeCell ref="DW130:DZ130"/>
    <mergeCell ref="AE130:AH130"/>
    <mergeCell ref="AM130:AP130"/>
    <mergeCell ref="AU130:AX130"/>
    <mergeCell ref="BC130:BF130"/>
    <mergeCell ref="AV143:AY143"/>
    <mergeCell ref="AZ143:BC143"/>
    <mergeCell ref="BD143:BG143"/>
    <mergeCell ref="BH143:BK143"/>
    <mergeCell ref="BL143:BO143"/>
    <mergeCell ref="BK130:BN130"/>
    <mergeCell ref="DX143:EA143"/>
    <mergeCell ref="EB143:EE143"/>
    <mergeCell ref="EF143:EI143"/>
    <mergeCell ref="EJ143:EM143"/>
    <mergeCell ref="EN143:EQ143"/>
    <mergeCell ref="DD143:DG143"/>
    <mergeCell ref="DH143:DK143"/>
    <mergeCell ref="DL143:DO143"/>
    <mergeCell ref="DP143:DS143"/>
    <mergeCell ref="DT143:DW143"/>
    <mergeCell ref="B345:C345"/>
    <mergeCell ref="AG37:AK37"/>
    <mergeCell ref="B144:C144"/>
    <mergeCell ref="AR143:AU143"/>
    <mergeCell ref="D143:G143"/>
    <mergeCell ref="H143:K143"/>
    <mergeCell ref="L143:O143"/>
    <mergeCell ref="P143:S143"/>
    <mergeCell ref="T143:W143"/>
    <mergeCell ref="X143:AA143"/>
    <mergeCell ref="AI124:AL124"/>
    <mergeCell ref="AQ124:AT124"/>
    <mergeCell ref="J154:K154"/>
    <mergeCell ref="J153:K153"/>
    <mergeCell ref="J155:K155"/>
    <mergeCell ref="AF146:AI146"/>
    <mergeCell ref="AB143:AE143"/>
    <mergeCell ref="AF143:AI143"/>
    <mergeCell ref="AJ143:AM143"/>
    <mergeCell ref="AN143:AQ143"/>
    <mergeCell ref="J156:K156"/>
    <mergeCell ref="BT143:BW143"/>
    <mergeCell ref="BX143:CA143"/>
    <mergeCell ref="CB143:CE143"/>
    <mergeCell ref="CF143:CI143"/>
    <mergeCell ref="B145:C145"/>
    <mergeCell ref="DX146:EA146"/>
    <mergeCell ref="EB146:EE146"/>
    <mergeCell ref="EF146:EI146"/>
    <mergeCell ref="BP146:BS146"/>
    <mergeCell ref="BT146:BW146"/>
    <mergeCell ref="BX146:CA146"/>
    <mergeCell ref="CB146:CE146"/>
    <mergeCell ref="CF146:CI146"/>
    <mergeCell ref="AV146:AY146"/>
    <mergeCell ref="AZ146:BC146"/>
    <mergeCell ref="BD146:BG146"/>
    <mergeCell ref="AJ146:AM146"/>
    <mergeCell ref="AN146:AQ146"/>
    <mergeCell ref="AR146:AU146"/>
    <mergeCell ref="P146:S146"/>
    <mergeCell ref="T146:W146"/>
    <mergeCell ref="X146:AA146"/>
    <mergeCell ref="AB146:AE146"/>
    <mergeCell ref="EJ146:EM146"/>
    <mergeCell ref="EN146:EQ146"/>
    <mergeCell ref="DD146:DG146"/>
    <mergeCell ref="DH146:DK146"/>
    <mergeCell ref="DL146:DO146"/>
    <mergeCell ref="DP146:DS146"/>
    <mergeCell ref="DT146:DW146"/>
    <mergeCell ref="CJ146:CM146"/>
    <mergeCell ref="CN146:CQ146"/>
    <mergeCell ref="CR146:CU146"/>
    <mergeCell ref="CV146:CY146"/>
    <mergeCell ref="CZ146:DC146"/>
    <mergeCell ref="AV147:AY147"/>
    <mergeCell ref="AZ147:BC147"/>
    <mergeCell ref="BD147:BG147"/>
    <mergeCell ref="BH147:BK147"/>
    <mergeCell ref="BL147:BO147"/>
    <mergeCell ref="B147:C147"/>
    <mergeCell ref="D147:G147"/>
    <mergeCell ref="H147:K147"/>
    <mergeCell ref="L147:O147"/>
    <mergeCell ref="P147:S147"/>
    <mergeCell ref="T147:W147"/>
    <mergeCell ref="X147:AA147"/>
    <mergeCell ref="AB147:AE147"/>
    <mergeCell ref="AF147:AI147"/>
    <mergeCell ref="AJ147:AM147"/>
    <mergeCell ref="AN147:AQ147"/>
    <mergeCell ref="AR147:AU147"/>
    <mergeCell ref="CJ147:CM147"/>
    <mergeCell ref="CN147:CQ147"/>
    <mergeCell ref="CR147:CU147"/>
    <mergeCell ref="CV147:CY147"/>
    <mergeCell ref="CZ147:DC147"/>
    <mergeCell ref="BP147:BS147"/>
    <mergeCell ref="BT147:BW147"/>
    <mergeCell ref="BX147:CA147"/>
    <mergeCell ref="CB147:CE147"/>
    <mergeCell ref="CF147:CI147"/>
    <mergeCell ref="DX147:EA147"/>
    <mergeCell ref="EB147:EE147"/>
    <mergeCell ref="EF147:EI147"/>
    <mergeCell ref="EJ147:EM147"/>
    <mergeCell ref="EN147:EQ147"/>
    <mergeCell ref="DD147:DG147"/>
    <mergeCell ref="DH147:DK147"/>
    <mergeCell ref="DL147:DO147"/>
    <mergeCell ref="DP147:DS147"/>
    <mergeCell ref="DT147:DW147"/>
  </mergeCells>
  <phoneticPr fontId="87" type="noConversion"/>
  <conditionalFormatting sqref="C320:L320">
    <cfRule type="colorScale" priority="197">
      <colorScale>
        <cfvo type="min"/>
        <cfvo type="percentile" val="50"/>
        <cfvo type="max"/>
        <color rgb="FFF8696B"/>
        <color rgb="FFFFEB84"/>
        <color rgb="FF63BE7B"/>
      </colorScale>
    </cfRule>
  </conditionalFormatting>
  <conditionalFormatting sqref="C370:L370">
    <cfRule type="colorScale" priority="68">
      <colorScale>
        <cfvo type="min"/>
        <cfvo type="percentile" val="50"/>
        <cfvo type="max"/>
        <color rgb="FFF8696B"/>
        <color rgb="FFFFEB84"/>
        <color rgb="FF63BE7B"/>
      </colorScale>
    </cfRule>
  </conditionalFormatting>
  <conditionalFormatting sqref="C371:L371">
    <cfRule type="colorScale" priority="67">
      <colorScale>
        <cfvo type="min"/>
        <cfvo type="percentile" val="50"/>
        <cfvo type="max"/>
        <color rgb="FFF8696B"/>
        <color rgb="FFFFEB84"/>
        <color rgb="FF63BE7B"/>
      </colorScale>
    </cfRule>
  </conditionalFormatting>
  <conditionalFormatting sqref="C372:L372">
    <cfRule type="colorScale" priority="66">
      <colorScale>
        <cfvo type="min"/>
        <cfvo type="percentile" val="50"/>
        <cfvo type="max"/>
        <color rgb="FFF8696B"/>
        <color rgb="FFFFEB84"/>
        <color rgb="FF63BE7B"/>
      </colorScale>
    </cfRule>
  </conditionalFormatting>
  <conditionalFormatting sqref="C373:L373">
    <cfRule type="colorScale" priority="65">
      <colorScale>
        <cfvo type="min"/>
        <cfvo type="percentile" val="50"/>
        <cfvo type="max"/>
        <color rgb="FFF8696B"/>
        <color rgb="FFFFEB84"/>
        <color rgb="FF63BE7B"/>
      </colorScale>
    </cfRule>
  </conditionalFormatting>
  <conditionalFormatting sqref="D309">
    <cfRule type="colorScale" priority="84">
      <colorScale>
        <cfvo type="min"/>
        <cfvo type="percentile" val="50"/>
        <cfvo type="max"/>
        <color rgb="FFF8696B"/>
        <color rgb="FFFFEB84"/>
        <color rgb="FF63BE7B"/>
      </colorScale>
    </cfRule>
  </conditionalFormatting>
  <conditionalFormatting sqref="D84:G84">
    <cfRule type="colorScale" priority="106">
      <colorScale>
        <cfvo type="min"/>
        <cfvo type="percentile" val="50"/>
        <cfvo type="max"/>
        <color rgb="FFF8696B"/>
        <color rgb="FFFFEB84"/>
        <color rgb="FF63BE7B"/>
      </colorScale>
    </cfRule>
  </conditionalFormatting>
  <conditionalFormatting sqref="D86:G86">
    <cfRule type="colorScale" priority="105">
      <colorScale>
        <cfvo type="min"/>
        <cfvo type="percentile" val="50"/>
        <cfvo type="max"/>
        <color rgb="FFF8696B"/>
        <color rgb="FFFFEB84"/>
        <color rgb="FF63BE7B"/>
      </colorScale>
    </cfRule>
  </conditionalFormatting>
  <conditionalFormatting sqref="D88:G88">
    <cfRule type="colorScale" priority="104">
      <colorScale>
        <cfvo type="min"/>
        <cfvo type="percentile" val="50"/>
        <cfvo type="max"/>
        <color rgb="FFF8696B"/>
        <color rgb="FFFFEB84"/>
        <color rgb="FF63BE7B"/>
      </colorScale>
    </cfRule>
  </conditionalFormatting>
  <conditionalFormatting sqref="D90:G90">
    <cfRule type="colorScale" priority="103">
      <colorScale>
        <cfvo type="min"/>
        <cfvo type="percentile" val="50"/>
        <cfvo type="max"/>
        <color rgb="FFF8696B"/>
        <color rgb="FFFFEB84"/>
        <color rgb="FF63BE7B"/>
      </colorScale>
    </cfRule>
  </conditionalFormatting>
  <conditionalFormatting sqref="D92:G92">
    <cfRule type="colorScale" priority="102">
      <colorScale>
        <cfvo type="min"/>
        <cfvo type="percentile" val="50"/>
        <cfvo type="max"/>
        <color rgb="FFF8696B"/>
        <color rgb="FFFFEB84"/>
        <color rgb="FF63BE7B"/>
      </colorScale>
    </cfRule>
  </conditionalFormatting>
  <conditionalFormatting sqref="D94:G94">
    <cfRule type="colorScale" priority="101">
      <colorScale>
        <cfvo type="min"/>
        <cfvo type="percentile" val="50"/>
        <cfvo type="max"/>
        <color rgb="FFF8696B"/>
        <color rgb="FFFFEB84"/>
        <color rgb="FF63BE7B"/>
      </colorScale>
    </cfRule>
  </conditionalFormatting>
  <conditionalFormatting sqref="D96:G96">
    <cfRule type="colorScale" priority="100">
      <colorScale>
        <cfvo type="min"/>
        <cfvo type="percentile" val="50"/>
        <cfvo type="max"/>
        <color rgb="FFF8696B"/>
        <color rgb="FFFFEB84"/>
        <color rgb="FF63BE7B"/>
      </colorScale>
    </cfRule>
  </conditionalFormatting>
  <conditionalFormatting sqref="D98:G98">
    <cfRule type="colorScale" priority="99">
      <colorScale>
        <cfvo type="min"/>
        <cfvo type="percentile" val="50"/>
        <cfvo type="max"/>
        <color rgb="FFF8696B"/>
        <color rgb="FFFFEB84"/>
        <color rgb="FF63BE7B"/>
      </colorScale>
    </cfRule>
  </conditionalFormatting>
  <conditionalFormatting sqref="D100:G100">
    <cfRule type="colorScale" priority="98">
      <colorScale>
        <cfvo type="min"/>
        <cfvo type="percentile" val="50"/>
        <cfvo type="max"/>
        <color rgb="FFF8696B"/>
        <color rgb="FFFFEB84"/>
        <color rgb="FF63BE7B"/>
      </colorScale>
    </cfRule>
  </conditionalFormatting>
  <conditionalFormatting sqref="D102:G102">
    <cfRule type="colorScale" priority="97">
      <colorScale>
        <cfvo type="min"/>
        <cfvo type="percentile" val="50"/>
        <cfvo type="max"/>
        <color rgb="FFF8696B"/>
        <color rgb="FFFFEB84"/>
        <color rgb="FF63BE7B"/>
      </colorScale>
    </cfRule>
  </conditionalFormatting>
  <conditionalFormatting sqref="D104:G104">
    <cfRule type="colorScale" priority="60">
      <colorScale>
        <cfvo type="min"/>
        <cfvo type="percentile" val="50"/>
        <cfvo type="max"/>
        <color rgb="FFF8696B"/>
        <color rgb="FFFFEB84"/>
        <color rgb="FF63BE7B"/>
      </colorScale>
    </cfRule>
  </conditionalFormatting>
  <conditionalFormatting sqref="D153:G153">
    <cfRule type="colorScale" priority="10">
      <colorScale>
        <cfvo type="min"/>
        <cfvo type="percentile" val="50"/>
        <cfvo type="max"/>
        <color rgb="FFF8696B"/>
        <color rgb="FFFFEB84"/>
        <color rgb="FF63BE7B"/>
      </colorScale>
    </cfRule>
  </conditionalFormatting>
  <conditionalFormatting sqref="D155:G155">
    <cfRule type="colorScale" priority="30">
      <colorScale>
        <cfvo type="min"/>
        <cfvo type="percentile" val="50"/>
        <cfvo type="max"/>
        <color rgb="FFF8696B"/>
        <color rgb="FFFFEB84"/>
        <color rgb="FF63BE7B"/>
      </colorScale>
    </cfRule>
  </conditionalFormatting>
  <conditionalFormatting sqref="D157:G157">
    <cfRule type="colorScale" priority="9">
      <colorScale>
        <cfvo type="min"/>
        <cfvo type="percentile" val="50"/>
        <cfvo type="max"/>
        <color rgb="FFF8696B"/>
        <color rgb="FFFFEB84"/>
        <color rgb="FF63BE7B"/>
      </colorScale>
    </cfRule>
  </conditionalFormatting>
  <conditionalFormatting sqref="D159:G159">
    <cfRule type="colorScale" priority="8">
      <colorScale>
        <cfvo type="min"/>
        <cfvo type="percentile" val="50"/>
        <cfvo type="max"/>
        <color rgb="FFF8696B"/>
        <color rgb="FFFFEB84"/>
        <color rgb="FF63BE7B"/>
      </colorScale>
    </cfRule>
  </conditionalFormatting>
  <conditionalFormatting sqref="D161:G161">
    <cfRule type="colorScale" priority="7">
      <colorScale>
        <cfvo type="min"/>
        <cfvo type="percentile" val="50"/>
        <cfvo type="max"/>
        <color rgb="FFF8696B"/>
        <color rgb="FFFFEB84"/>
        <color rgb="FF63BE7B"/>
      </colorScale>
    </cfRule>
  </conditionalFormatting>
  <conditionalFormatting sqref="D163:G163">
    <cfRule type="colorScale" priority="6">
      <colorScale>
        <cfvo type="min"/>
        <cfvo type="percentile" val="50"/>
        <cfvo type="max"/>
        <color rgb="FFF8696B"/>
        <color rgb="FFFFEB84"/>
        <color rgb="FF63BE7B"/>
      </colorScale>
    </cfRule>
  </conditionalFormatting>
  <conditionalFormatting sqref="D165:G165">
    <cfRule type="colorScale" priority="5">
      <colorScale>
        <cfvo type="min"/>
        <cfvo type="percentile" val="50"/>
        <cfvo type="max"/>
        <color rgb="FFF8696B"/>
        <color rgb="FFFFEB84"/>
        <color rgb="FF63BE7B"/>
      </colorScale>
    </cfRule>
  </conditionalFormatting>
  <conditionalFormatting sqref="D167:G167">
    <cfRule type="colorScale" priority="4">
      <colorScale>
        <cfvo type="min"/>
        <cfvo type="percentile" val="50"/>
        <cfvo type="max"/>
        <color rgb="FFF8696B"/>
        <color rgb="FFFFEB84"/>
        <color rgb="FF63BE7B"/>
      </colorScale>
    </cfRule>
  </conditionalFormatting>
  <conditionalFormatting sqref="D169:G169">
    <cfRule type="colorScale" priority="3">
      <colorScale>
        <cfvo type="min"/>
        <cfvo type="percentile" val="50"/>
        <cfvo type="max"/>
        <color rgb="FFF8696B"/>
        <color rgb="FFFFEB84"/>
        <color rgb="FF63BE7B"/>
      </colorScale>
    </cfRule>
  </conditionalFormatting>
  <conditionalFormatting sqref="D171:G171">
    <cfRule type="colorScale" priority="2">
      <colorScale>
        <cfvo type="min"/>
        <cfvo type="percentile" val="50"/>
        <cfvo type="max"/>
        <color rgb="FFF8696B"/>
        <color rgb="FFFFEB84"/>
        <color rgb="FF63BE7B"/>
      </colorScale>
    </cfRule>
  </conditionalFormatting>
  <conditionalFormatting sqref="D173:G173">
    <cfRule type="colorScale" priority="1">
      <colorScale>
        <cfvo type="min"/>
        <cfvo type="percentile" val="50"/>
        <cfvo type="max"/>
        <color rgb="FFF8696B"/>
        <color rgb="FFFFEB84"/>
        <color rgb="FF63BE7B"/>
      </colorScale>
    </cfRule>
  </conditionalFormatting>
  <conditionalFormatting sqref="D263:G263">
    <cfRule type="colorScale" priority="129">
      <colorScale>
        <cfvo type="min"/>
        <cfvo type="percentile" val="50"/>
        <cfvo type="max"/>
        <color rgb="FFF8696B"/>
        <color rgb="FFFFEB84"/>
        <color rgb="FF63BE7B"/>
      </colorScale>
    </cfRule>
  </conditionalFormatting>
  <conditionalFormatting sqref="D265:G265">
    <cfRule type="colorScale" priority="128">
      <colorScale>
        <cfvo type="min"/>
        <cfvo type="percentile" val="50"/>
        <cfvo type="max"/>
        <color rgb="FFF8696B"/>
        <color rgb="FFFFEB84"/>
        <color rgb="FF63BE7B"/>
      </colorScale>
    </cfRule>
  </conditionalFormatting>
  <conditionalFormatting sqref="D267:G267">
    <cfRule type="colorScale" priority="127">
      <colorScale>
        <cfvo type="min"/>
        <cfvo type="percentile" val="50"/>
        <cfvo type="max"/>
        <color rgb="FFF8696B"/>
        <color rgb="FFFFEB84"/>
        <color rgb="FF63BE7B"/>
      </colorScale>
    </cfRule>
  </conditionalFormatting>
  <conditionalFormatting sqref="D269:G269">
    <cfRule type="colorScale" priority="126">
      <colorScale>
        <cfvo type="min"/>
        <cfvo type="percentile" val="50"/>
        <cfvo type="max"/>
        <color rgb="FFF8696B"/>
        <color rgb="FFFFEB84"/>
        <color rgb="FF63BE7B"/>
      </colorScale>
    </cfRule>
  </conditionalFormatting>
  <conditionalFormatting sqref="D271:G271">
    <cfRule type="colorScale" priority="125">
      <colorScale>
        <cfvo type="min"/>
        <cfvo type="percentile" val="50"/>
        <cfvo type="max"/>
        <color rgb="FFF8696B"/>
        <color rgb="FFFFEB84"/>
        <color rgb="FF63BE7B"/>
      </colorScale>
    </cfRule>
  </conditionalFormatting>
  <conditionalFormatting sqref="D273:G273">
    <cfRule type="colorScale" priority="124">
      <colorScale>
        <cfvo type="min"/>
        <cfvo type="percentile" val="50"/>
        <cfvo type="max"/>
        <color rgb="FFF8696B"/>
        <color rgb="FFFFEB84"/>
        <color rgb="FF63BE7B"/>
      </colorScale>
    </cfRule>
  </conditionalFormatting>
  <conditionalFormatting sqref="D275:G275">
    <cfRule type="colorScale" priority="123">
      <colorScale>
        <cfvo type="min"/>
        <cfvo type="percentile" val="50"/>
        <cfvo type="max"/>
        <color rgb="FFF8696B"/>
        <color rgb="FFFFEB84"/>
        <color rgb="FF63BE7B"/>
      </colorScale>
    </cfRule>
  </conditionalFormatting>
  <conditionalFormatting sqref="D277:G277">
    <cfRule type="colorScale" priority="122">
      <colorScale>
        <cfvo type="min"/>
        <cfvo type="percentile" val="50"/>
        <cfvo type="max"/>
        <color rgb="FFF8696B"/>
        <color rgb="FFFFEB84"/>
        <color rgb="FF63BE7B"/>
      </colorScale>
    </cfRule>
  </conditionalFormatting>
  <conditionalFormatting sqref="D279:G279">
    <cfRule type="colorScale" priority="121">
      <colorScale>
        <cfvo type="min"/>
        <cfvo type="percentile" val="50"/>
        <cfvo type="max"/>
        <color rgb="FFF8696B"/>
        <color rgb="FFFFEB84"/>
        <color rgb="FF63BE7B"/>
      </colorScale>
    </cfRule>
  </conditionalFormatting>
  <conditionalFormatting sqref="D281:G281">
    <cfRule type="colorScale" priority="120">
      <colorScale>
        <cfvo type="min"/>
        <cfvo type="percentile" val="50"/>
        <cfvo type="max"/>
        <color rgb="FFF8696B"/>
        <color rgb="FFFFEB84"/>
        <color rgb="FF63BE7B"/>
      </colorScale>
    </cfRule>
  </conditionalFormatting>
  <conditionalFormatting sqref="D289:G289">
    <cfRule type="colorScale" priority="93">
      <colorScale>
        <cfvo type="min"/>
        <cfvo type="percentile" val="50"/>
        <cfvo type="max"/>
        <color rgb="FFF8696B"/>
        <color rgb="FFFFEB84"/>
        <color rgb="FF63BE7B"/>
      </colorScale>
    </cfRule>
  </conditionalFormatting>
  <conditionalFormatting sqref="D291:G291">
    <cfRule type="colorScale" priority="92">
      <colorScale>
        <cfvo type="min"/>
        <cfvo type="percentile" val="50"/>
        <cfvo type="max"/>
        <color rgb="FFF8696B"/>
        <color rgb="FFFFEB84"/>
        <color rgb="FF63BE7B"/>
      </colorScale>
    </cfRule>
  </conditionalFormatting>
  <conditionalFormatting sqref="D293:G293">
    <cfRule type="colorScale" priority="91">
      <colorScale>
        <cfvo type="min"/>
        <cfvo type="percentile" val="50"/>
        <cfvo type="max"/>
        <color rgb="FFF8696B"/>
        <color rgb="FFFFEB84"/>
        <color rgb="FF63BE7B"/>
      </colorScale>
    </cfRule>
  </conditionalFormatting>
  <conditionalFormatting sqref="D295:G295">
    <cfRule type="colorScale" priority="90">
      <colorScale>
        <cfvo type="min"/>
        <cfvo type="percentile" val="50"/>
        <cfvo type="max"/>
        <color rgb="FFF8696B"/>
        <color rgb="FFFFEB84"/>
        <color rgb="FF63BE7B"/>
      </colorScale>
    </cfRule>
  </conditionalFormatting>
  <conditionalFormatting sqref="D297:G297">
    <cfRule type="colorScale" priority="89">
      <colorScale>
        <cfvo type="min"/>
        <cfvo type="percentile" val="50"/>
        <cfvo type="max"/>
        <color rgb="FFF8696B"/>
        <color rgb="FFFFEB84"/>
        <color rgb="FF63BE7B"/>
      </colorScale>
    </cfRule>
  </conditionalFormatting>
  <conditionalFormatting sqref="D299:G299">
    <cfRule type="colorScale" priority="88">
      <colorScale>
        <cfvo type="min"/>
        <cfvo type="percentile" val="50"/>
        <cfvo type="max"/>
        <color rgb="FFF8696B"/>
        <color rgb="FFFFEB84"/>
        <color rgb="FF63BE7B"/>
      </colorScale>
    </cfRule>
  </conditionalFormatting>
  <conditionalFormatting sqref="D301:G301">
    <cfRule type="colorScale" priority="87">
      <colorScale>
        <cfvo type="min"/>
        <cfvo type="percentile" val="50"/>
        <cfvo type="max"/>
        <color rgb="FFF8696B"/>
        <color rgb="FFFFEB84"/>
        <color rgb="FF63BE7B"/>
      </colorScale>
    </cfRule>
  </conditionalFormatting>
  <conditionalFormatting sqref="D303:G303">
    <cfRule type="colorScale" priority="86">
      <colorScale>
        <cfvo type="min"/>
        <cfvo type="percentile" val="50"/>
        <cfvo type="max"/>
        <color rgb="FFF8696B"/>
        <color rgb="FFFFEB84"/>
        <color rgb="FF63BE7B"/>
      </colorScale>
    </cfRule>
  </conditionalFormatting>
  <conditionalFormatting sqref="D305:G305">
    <cfRule type="colorScale" priority="85">
      <colorScale>
        <cfvo type="min"/>
        <cfvo type="percentile" val="50"/>
        <cfvo type="max"/>
        <color rgb="FFF8696B"/>
        <color rgb="FFFFEB84"/>
        <color rgb="FF63BE7B"/>
      </colorScale>
    </cfRule>
  </conditionalFormatting>
  <conditionalFormatting sqref="D307:G307">
    <cfRule type="colorScale" priority="83">
      <colorScale>
        <cfvo type="min"/>
        <cfvo type="percentile" val="50"/>
        <cfvo type="max"/>
        <color rgb="FFF8696B"/>
        <color rgb="FFFFEB84"/>
        <color rgb="FF63BE7B"/>
      </colorScale>
    </cfRule>
  </conditionalFormatting>
  <conditionalFormatting sqref="D135:AR135">
    <cfRule type="colorScale" priority="172">
      <colorScale>
        <cfvo type="min"/>
        <cfvo type="percentile" val="50"/>
        <cfvo type="max"/>
        <color rgb="FFF8696B"/>
        <color rgb="FFFFEB84"/>
        <color rgb="FF63BE7B"/>
      </colorScale>
    </cfRule>
  </conditionalFormatting>
  <conditionalFormatting sqref="D136:AR136">
    <cfRule type="colorScale" priority="171">
      <colorScale>
        <cfvo type="min"/>
        <cfvo type="percentile" val="50"/>
        <cfvo type="max"/>
        <color rgb="FFF8696B"/>
        <color rgb="FFFFEB84"/>
        <color rgb="FF63BE7B"/>
      </colorScale>
    </cfRule>
  </conditionalFormatting>
  <conditionalFormatting sqref="D137:AR137">
    <cfRule type="colorScale" priority="170">
      <colorScale>
        <cfvo type="min"/>
        <cfvo type="percentile" val="50"/>
        <cfvo type="max"/>
        <color rgb="FFF8696B"/>
        <color rgb="FFFFEB84"/>
        <color rgb="FF63BE7B"/>
      </colorScale>
    </cfRule>
  </conditionalFormatting>
  <conditionalFormatting sqref="D138:AR138">
    <cfRule type="colorScale" priority="169">
      <colorScale>
        <cfvo type="min"/>
        <cfvo type="percentile" val="50"/>
        <cfvo type="max"/>
        <color rgb="FFF8696B"/>
        <color rgb="FFFFEB84"/>
        <color rgb="FF63BE7B"/>
      </colorScale>
    </cfRule>
  </conditionalFormatting>
  <conditionalFormatting sqref="D139:AR139">
    <cfRule type="colorScale" priority="167">
      <colorScale>
        <cfvo type="min"/>
        <cfvo type="percentile" val="50"/>
        <cfvo type="max"/>
        <color rgb="FFF8696B"/>
        <color rgb="FFFFEB84"/>
        <color rgb="FF63BE7B"/>
      </colorScale>
    </cfRule>
  </conditionalFormatting>
  <conditionalFormatting sqref="D140:AR140">
    <cfRule type="colorScale" priority="166">
      <colorScale>
        <cfvo type="min"/>
        <cfvo type="percentile" val="50"/>
        <cfvo type="max"/>
        <color rgb="FFF8696B"/>
        <color rgb="FFFFEB84"/>
        <color rgb="FF63BE7B"/>
      </colorScale>
    </cfRule>
  </conditionalFormatting>
  <conditionalFormatting sqref="E309:G309">
    <cfRule type="colorScale" priority="38">
      <colorScale>
        <cfvo type="min"/>
        <cfvo type="percentile" val="50"/>
        <cfvo type="max"/>
        <color rgb="FFF8696B"/>
        <color rgb="FFFFEB84"/>
        <color rgb="FF63BE7B"/>
      </colorScale>
    </cfRule>
  </conditionalFormatting>
  <conditionalFormatting sqref="H84">
    <cfRule type="colorScale" priority="107">
      <colorScale>
        <cfvo type="min"/>
        <cfvo type="percentile" val="50"/>
        <cfvo type="max"/>
        <color rgb="FFF8696B"/>
        <color rgb="FFFFEB84"/>
        <color rgb="FF63BE7B"/>
      </colorScale>
    </cfRule>
  </conditionalFormatting>
  <conditionalFormatting sqref="H86">
    <cfRule type="colorScale" priority="108">
      <colorScale>
        <cfvo type="min"/>
        <cfvo type="percentile" val="50"/>
        <cfvo type="max"/>
        <color rgb="FFF8696B"/>
        <color rgb="FFFFEB84"/>
        <color rgb="FF63BE7B"/>
      </colorScale>
    </cfRule>
  </conditionalFormatting>
  <conditionalFormatting sqref="H102 H88 H100 H98 H96 H94 H92 H90">
    <cfRule type="colorScale" priority="109">
      <colorScale>
        <cfvo type="min"/>
        <cfvo type="percentile" val="50"/>
        <cfvo type="max"/>
        <color rgb="FFF8696B"/>
        <color rgb="FFFFEB84"/>
        <color rgb="FF63BE7B"/>
      </colorScale>
    </cfRule>
  </conditionalFormatting>
  <conditionalFormatting sqref="H104">
    <cfRule type="colorScale" priority="61">
      <colorScale>
        <cfvo type="min"/>
        <cfvo type="percentile" val="50"/>
        <cfvo type="max"/>
        <color rgb="FFF8696B"/>
        <color rgb="FFFFEB84"/>
        <color rgb="FF63BE7B"/>
      </colorScale>
    </cfRule>
  </conditionalFormatting>
  <conditionalFormatting sqref="H153">
    <cfRule type="colorScale" priority="32">
      <colorScale>
        <cfvo type="min"/>
        <cfvo type="percentile" val="50"/>
        <cfvo type="max"/>
        <color rgb="FFF8696B"/>
        <color rgb="FFFFEB84"/>
        <color rgb="FF63BE7B"/>
      </colorScale>
    </cfRule>
  </conditionalFormatting>
  <conditionalFormatting sqref="H155">
    <cfRule type="colorScale" priority="33">
      <colorScale>
        <cfvo type="min"/>
        <cfvo type="percentile" val="50"/>
        <cfvo type="max"/>
        <color rgb="FFF8696B"/>
        <color rgb="FFFFEB84"/>
        <color rgb="FF63BE7B"/>
      </colorScale>
    </cfRule>
  </conditionalFormatting>
  <conditionalFormatting sqref="H171 H157 H169 H167 H165 H163 H161 H159">
    <cfRule type="colorScale" priority="34">
      <colorScale>
        <cfvo type="min"/>
        <cfvo type="percentile" val="50"/>
        <cfvo type="max"/>
        <color rgb="FFF8696B"/>
        <color rgb="FFFFEB84"/>
        <color rgb="FF63BE7B"/>
      </colorScale>
    </cfRule>
  </conditionalFormatting>
  <conditionalFormatting sqref="H173">
    <cfRule type="colorScale" priority="21">
      <colorScale>
        <cfvo type="min"/>
        <cfvo type="percentile" val="50"/>
        <cfvo type="max"/>
        <color rgb="FFF8696B"/>
        <color rgb="FFFFEB84"/>
        <color rgb="FF63BE7B"/>
      </colorScale>
    </cfRule>
  </conditionalFormatting>
  <conditionalFormatting sqref="H263">
    <cfRule type="colorScale" priority="478">
      <colorScale>
        <cfvo type="min"/>
        <cfvo type="percentile" val="50"/>
        <cfvo type="max"/>
        <color rgb="FFF8696B"/>
        <color rgb="FFFFEB84"/>
        <color rgb="FF63BE7B"/>
      </colorScale>
    </cfRule>
  </conditionalFormatting>
  <conditionalFormatting sqref="H265">
    <cfRule type="colorScale" priority="479">
      <colorScale>
        <cfvo type="min"/>
        <cfvo type="percentile" val="50"/>
        <cfvo type="max"/>
        <color rgb="FFF8696B"/>
        <color rgb="FFFFEB84"/>
        <color rgb="FF63BE7B"/>
      </colorScale>
    </cfRule>
  </conditionalFormatting>
  <conditionalFormatting sqref="H267 H281 H279 H277 H275 H273 H271 H269">
    <cfRule type="colorScale" priority="480">
      <colorScale>
        <cfvo type="min"/>
        <cfvo type="percentile" val="50"/>
        <cfvo type="max"/>
        <color rgb="FFF8696B"/>
        <color rgb="FFFFEB84"/>
        <color rgb="FF63BE7B"/>
      </colorScale>
    </cfRule>
  </conditionalFormatting>
  <conditionalFormatting sqref="H289">
    <cfRule type="colorScale" priority="94">
      <colorScale>
        <cfvo type="min"/>
        <cfvo type="percentile" val="50"/>
        <cfvo type="max"/>
        <color rgb="FFF8696B"/>
        <color rgb="FFFFEB84"/>
        <color rgb="FF63BE7B"/>
      </colorScale>
    </cfRule>
  </conditionalFormatting>
  <conditionalFormatting sqref="H291">
    <cfRule type="colorScale" priority="95">
      <colorScale>
        <cfvo type="min"/>
        <cfvo type="percentile" val="50"/>
        <cfvo type="max"/>
        <color rgb="FFF8696B"/>
        <color rgb="FFFFEB84"/>
        <color rgb="FF63BE7B"/>
      </colorScale>
    </cfRule>
  </conditionalFormatting>
  <conditionalFormatting sqref="H305 H293 H303 H301 H299 H297 H295 H307">
    <cfRule type="colorScale" priority="96">
      <colorScale>
        <cfvo type="min"/>
        <cfvo type="percentile" val="50"/>
        <cfvo type="max"/>
        <color rgb="FFF8696B"/>
        <color rgb="FFFFEB84"/>
        <color rgb="FF63BE7B"/>
      </colorScale>
    </cfRule>
  </conditionalFormatting>
  <conditionalFormatting sqref="H309">
    <cfRule type="colorScale" priority="482">
      <colorScale>
        <cfvo type="min"/>
        <cfvo type="percentile" val="50"/>
        <cfvo type="max"/>
        <color rgb="FFF8696B"/>
        <color rgb="FFFFEB84"/>
        <color rgb="FF63BE7B"/>
      </colorScale>
    </cfRule>
  </conditionalFormatting>
  <conditionalFormatting sqref="L104">
    <cfRule type="colorScale" priority="58">
      <colorScale>
        <cfvo type="min"/>
        <cfvo type="percentile" val="50"/>
        <cfvo type="max"/>
        <color rgb="FFF8696B"/>
        <color rgb="FFFFEB84"/>
        <color rgb="FF63BE7B"/>
      </colorScale>
    </cfRule>
  </conditionalFormatting>
  <conditionalFormatting sqref="L309">
    <cfRule type="colorScale" priority="70">
      <colorScale>
        <cfvo type="min"/>
        <cfvo type="percentile" val="50"/>
        <cfvo type="max"/>
        <color rgb="FFF8696B"/>
        <color rgb="FFFFEB84"/>
        <color rgb="FF63BE7B"/>
      </colorScale>
    </cfRule>
  </conditionalFormatting>
  <conditionalFormatting sqref="L86:O86">
    <cfRule type="colorScale" priority="154">
      <colorScale>
        <cfvo type="min"/>
        <cfvo type="percentile" val="50"/>
        <cfvo type="max"/>
        <color rgb="FFF8696B"/>
        <color rgb="FFFFEB84"/>
        <color rgb="FF63BE7B"/>
      </colorScale>
    </cfRule>
  </conditionalFormatting>
  <conditionalFormatting sqref="L88:O88">
    <cfRule type="colorScale" priority="147">
      <colorScale>
        <cfvo type="min"/>
        <cfvo type="percentile" val="50"/>
        <cfvo type="max"/>
        <color rgb="FFF8696B"/>
        <color rgb="FFFFEB84"/>
        <color rgb="FF63BE7B"/>
      </colorScale>
    </cfRule>
  </conditionalFormatting>
  <conditionalFormatting sqref="L90:O90">
    <cfRule type="colorScale" priority="146">
      <colorScale>
        <cfvo type="min"/>
        <cfvo type="percentile" val="50"/>
        <cfvo type="max"/>
        <color rgb="FFF8696B"/>
        <color rgb="FFFFEB84"/>
        <color rgb="FF63BE7B"/>
      </colorScale>
    </cfRule>
  </conditionalFormatting>
  <conditionalFormatting sqref="L92:O92">
    <cfRule type="colorScale" priority="145">
      <colorScale>
        <cfvo type="min"/>
        <cfvo type="percentile" val="50"/>
        <cfvo type="max"/>
        <color rgb="FFF8696B"/>
        <color rgb="FFFFEB84"/>
        <color rgb="FF63BE7B"/>
      </colorScale>
    </cfRule>
  </conditionalFormatting>
  <conditionalFormatting sqref="L94:O94">
    <cfRule type="colorScale" priority="144">
      <colorScale>
        <cfvo type="min"/>
        <cfvo type="percentile" val="50"/>
        <cfvo type="max"/>
        <color rgb="FFF8696B"/>
        <color rgb="FFFFEB84"/>
        <color rgb="FF63BE7B"/>
      </colorScale>
    </cfRule>
  </conditionalFormatting>
  <conditionalFormatting sqref="L96:O96">
    <cfRule type="colorScale" priority="143">
      <colorScale>
        <cfvo type="min"/>
        <cfvo type="percentile" val="50"/>
        <cfvo type="max"/>
        <color rgb="FFF8696B"/>
        <color rgb="FFFFEB84"/>
        <color rgb="FF63BE7B"/>
      </colorScale>
    </cfRule>
  </conditionalFormatting>
  <conditionalFormatting sqref="L98:O98">
    <cfRule type="colorScale" priority="142">
      <colorScale>
        <cfvo type="min"/>
        <cfvo type="percentile" val="50"/>
        <cfvo type="max"/>
        <color rgb="FFF8696B"/>
        <color rgb="FFFFEB84"/>
        <color rgb="FF63BE7B"/>
      </colorScale>
    </cfRule>
  </conditionalFormatting>
  <conditionalFormatting sqref="L100:O100">
    <cfRule type="colorScale" priority="141">
      <colorScale>
        <cfvo type="min"/>
        <cfvo type="percentile" val="50"/>
        <cfvo type="max"/>
        <color rgb="FFF8696B"/>
        <color rgb="FFFFEB84"/>
        <color rgb="FF63BE7B"/>
      </colorScale>
    </cfRule>
  </conditionalFormatting>
  <conditionalFormatting sqref="L102:O102">
    <cfRule type="colorScale" priority="140">
      <colorScale>
        <cfvo type="min"/>
        <cfvo type="percentile" val="50"/>
        <cfvo type="max"/>
        <color rgb="FFF8696B"/>
        <color rgb="FFFFEB84"/>
        <color rgb="FF63BE7B"/>
      </colorScale>
    </cfRule>
  </conditionalFormatting>
  <conditionalFormatting sqref="L289:O289">
    <cfRule type="colorScale" priority="79">
      <colorScale>
        <cfvo type="min"/>
        <cfvo type="percentile" val="50"/>
        <cfvo type="max"/>
        <color rgb="FFF8696B"/>
        <color rgb="FFFFEB84"/>
        <color rgb="FF63BE7B"/>
      </colorScale>
    </cfRule>
  </conditionalFormatting>
  <conditionalFormatting sqref="L291:O291">
    <cfRule type="colorScale" priority="78">
      <colorScale>
        <cfvo type="min"/>
        <cfvo type="percentile" val="50"/>
        <cfvo type="max"/>
        <color rgb="FFF8696B"/>
        <color rgb="FFFFEB84"/>
        <color rgb="FF63BE7B"/>
      </colorScale>
    </cfRule>
  </conditionalFormatting>
  <conditionalFormatting sqref="L293:O293">
    <cfRule type="colorScale" priority="77">
      <colorScale>
        <cfvo type="min"/>
        <cfvo type="percentile" val="50"/>
        <cfvo type="max"/>
        <color rgb="FFF8696B"/>
        <color rgb="FFFFEB84"/>
        <color rgb="FF63BE7B"/>
      </colorScale>
    </cfRule>
  </conditionalFormatting>
  <conditionalFormatting sqref="L295:O295">
    <cfRule type="colorScale" priority="76">
      <colorScale>
        <cfvo type="min"/>
        <cfvo type="percentile" val="50"/>
        <cfvo type="max"/>
        <color rgb="FFF8696B"/>
        <color rgb="FFFFEB84"/>
        <color rgb="FF63BE7B"/>
      </colorScale>
    </cfRule>
  </conditionalFormatting>
  <conditionalFormatting sqref="L297:O297">
    <cfRule type="colorScale" priority="75">
      <colorScale>
        <cfvo type="min"/>
        <cfvo type="percentile" val="50"/>
        <cfvo type="max"/>
        <color rgb="FFF8696B"/>
        <color rgb="FFFFEB84"/>
        <color rgb="FF63BE7B"/>
      </colorScale>
    </cfRule>
  </conditionalFormatting>
  <conditionalFormatting sqref="L299:O299">
    <cfRule type="colorScale" priority="74">
      <colorScale>
        <cfvo type="min"/>
        <cfvo type="percentile" val="50"/>
        <cfvo type="max"/>
        <color rgb="FFF8696B"/>
        <color rgb="FFFFEB84"/>
        <color rgb="FF63BE7B"/>
      </colorScale>
    </cfRule>
  </conditionalFormatting>
  <conditionalFormatting sqref="L301:O301">
    <cfRule type="colorScale" priority="73">
      <colorScale>
        <cfvo type="min"/>
        <cfvo type="percentile" val="50"/>
        <cfvo type="max"/>
        <color rgb="FFF8696B"/>
        <color rgb="FFFFEB84"/>
        <color rgb="FF63BE7B"/>
      </colorScale>
    </cfRule>
  </conditionalFormatting>
  <conditionalFormatting sqref="L303:O303">
    <cfRule type="colorScale" priority="72">
      <colorScale>
        <cfvo type="min"/>
        <cfvo type="percentile" val="50"/>
        <cfvo type="max"/>
        <color rgb="FFF8696B"/>
        <color rgb="FFFFEB84"/>
        <color rgb="FF63BE7B"/>
      </colorScale>
    </cfRule>
  </conditionalFormatting>
  <conditionalFormatting sqref="L305:O305">
    <cfRule type="colorScale" priority="71">
      <colorScale>
        <cfvo type="min"/>
        <cfvo type="percentile" val="50"/>
        <cfvo type="max"/>
        <color rgb="FFF8696B"/>
        <color rgb="FFFFEB84"/>
        <color rgb="FF63BE7B"/>
      </colorScale>
    </cfRule>
  </conditionalFormatting>
  <conditionalFormatting sqref="L307:O307">
    <cfRule type="colorScale" priority="69">
      <colorScale>
        <cfvo type="min"/>
        <cfvo type="percentile" val="50"/>
        <cfvo type="max"/>
        <color rgb="FFF8696B"/>
        <color rgb="FFFFEB84"/>
        <color rgb="FF63BE7B"/>
      </colorScale>
    </cfRule>
  </conditionalFormatting>
  <conditionalFormatting sqref="L84:P84">
    <cfRule type="colorScale" priority="155">
      <colorScale>
        <cfvo type="min"/>
        <cfvo type="percentile" val="50"/>
        <cfvo type="max"/>
        <color rgb="FFF8696B"/>
        <color rgb="FFFFEB84"/>
        <color rgb="FF63BE7B"/>
      </colorScale>
    </cfRule>
  </conditionalFormatting>
  <conditionalFormatting sqref="M104:O104">
    <cfRule type="colorScale" priority="43">
      <colorScale>
        <cfvo type="min"/>
        <cfvo type="percentile" val="50"/>
        <cfvo type="max"/>
        <color rgb="FFF8696B"/>
        <color rgb="FFFFEB84"/>
        <color rgb="FF63BE7B"/>
      </colorScale>
    </cfRule>
  </conditionalFormatting>
  <conditionalFormatting sqref="M309:O309">
    <cfRule type="colorScale" priority="35">
      <colorScale>
        <cfvo type="min"/>
        <cfvo type="percentile" val="50"/>
        <cfvo type="max"/>
        <color rgb="FFF8696B"/>
        <color rgb="FFFFEB84"/>
        <color rgb="FF63BE7B"/>
      </colorScale>
    </cfRule>
  </conditionalFormatting>
  <conditionalFormatting sqref="P86">
    <cfRule type="colorScale" priority="156">
      <colorScale>
        <cfvo type="min"/>
        <cfvo type="percentile" val="50"/>
        <cfvo type="max"/>
        <color rgb="FFF8696B"/>
        <color rgb="FFFFEB84"/>
        <color rgb="FF63BE7B"/>
      </colorScale>
    </cfRule>
  </conditionalFormatting>
  <conditionalFormatting sqref="P102 P88 P100 P98 P96 P94 P92 P90">
    <cfRule type="colorScale" priority="157">
      <colorScale>
        <cfvo type="min"/>
        <cfvo type="percentile" val="50"/>
        <cfvo type="max"/>
        <color rgb="FFF8696B"/>
        <color rgb="FFFFEB84"/>
        <color rgb="FF63BE7B"/>
      </colorScale>
    </cfRule>
  </conditionalFormatting>
  <conditionalFormatting sqref="P104">
    <cfRule type="colorScale" priority="44">
      <colorScale>
        <cfvo type="min"/>
        <cfvo type="percentile" val="50"/>
        <cfvo type="max"/>
        <color rgb="FFF8696B"/>
        <color rgb="FFFFEB84"/>
        <color rgb="FF63BE7B"/>
      </colorScale>
    </cfRule>
  </conditionalFormatting>
  <conditionalFormatting sqref="P289">
    <cfRule type="colorScale" priority="80">
      <colorScale>
        <cfvo type="min"/>
        <cfvo type="percentile" val="50"/>
        <cfvo type="max"/>
        <color rgb="FFF8696B"/>
        <color rgb="FFFFEB84"/>
        <color rgb="FF63BE7B"/>
      </colorScale>
    </cfRule>
  </conditionalFormatting>
  <conditionalFormatting sqref="P291">
    <cfRule type="colorScale" priority="81">
      <colorScale>
        <cfvo type="min"/>
        <cfvo type="percentile" val="50"/>
        <cfvo type="max"/>
        <color rgb="FFF8696B"/>
        <color rgb="FFFFEB84"/>
        <color rgb="FF63BE7B"/>
      </colorScale>
    </cfRule>
  </conditionalFormatting>
  <conditionalFormatting sqref="P305 P293 P303 P301 P299 P297 P295 P307">
    <cfRule type="colorScale" priority="82">
      <colorScale>
        <cfvo type="min"/>
        <cfvo type="percentile" val="50"/>
        <cfvo type="max"/>
        <color rgb="FFF8696B"/>
        <color rgb="FFFFEB84"/>
        <color rgb="FF63BE7B"/>
      </colorScale>
    </cfRule>
  </conditionalFormatting>
  <conditionalFormatting sqref="T104">
    <cfRule type="colorScale" priority="56">
      <colorScale>
        <cfvo type="min"/>
        <cfvo type="percentile" val="50"/>
        <cfvo type="max"/>
        <color rgb="FFF8696B"/>
        <color rgb="FFFFEB84"/>
        <color rgb="FF63BE7B"/>
      </colorScale>
    </cfRule>
  </conditionalFormatting>
  <conditionalFormatting sqref="T84:W84">
    <cfRule type="colorScale" priority="139">
      <colorScale>
        <cfvo type="min"/>
        <cfvo type="percentile" val="50"/>
        <cfvo type="max"/>
        <color rgb="FFF8696B"/>
        <color rgb="FFFFEB84"/>
        <color rgb="FF63BE7B"/>
      </colorScale>
    </cfRule>
  </conditionalFormatting>
  <conditionalFormatting sqref="T86:W86">
    <cfRule type="colorScale" priority="138">
      <colorScale>
        <cfvo type="min"/>
        <cfvo type="percentile" val="50"/>
        <cfvo type="max"/>
        <color rgb="FFF8696B"/>
        <color rgb="FFFFEB84"/>
        <color rgb="FF63BE7B"/>
      </colorScale>
    </cfRule>
  </conditionalFormatting>
  <conditionalFormatting sqref="T88:W88">
    <cfRule type="colorScale" priority="137">
      <colorScale>
        <cfvo type="min"/>
        <cfvo type="percentile" val="50"/>
        <cfvo type="max"/>
        <color rgb="FFF8696B"/>
        <color rgb="FFFFEB84"/>
        <color rgb="FF63BE7B"/>
      </colorScale>
    </cfRule>
  </conditionalFormatting>
  <conditionalFormatting sqref="T90:W90">
    <cfRule type="colorScale" priority="136">
      <colorScale>
        <cfvo type="min"/>
        <cfvo type="percentile" val="50"/>
        <cfvo type="max"/>
        <color rgb="FFF8696B"/>
        <color rgb="FFFFEB84"/>
        <color rgb="FF63BE7B"/>
      </colorScale>
    </cfRule>
  </conditionalFormatting>
  <conditionalFormatting sqref="T92:W92">
    <cfRule type="colorScale" priority="135">
      <colorScale>
        <cfvo type="min"/>
        <cfvo type="percentile" val="50"/>
        <cfvo type="max"/>
        <color rgb="FFF8696B"/>
        <color rgb="FFFFEB84"/>
        <color rgb="FF63BE7B"/>
      </colorScale>
    </cfRule>
  </conditionalFormatting>
  <conditionalFormatting sqref="T94:W94">
    <cfRule type="colorScale" priority="134">
      <colorScale>
        <cfvo type="min"/>
        <cfvo type="percentile" val="50"/>
        <cfvo type="max"/>
        <color rgb="FFF8696B"/>
        <color rgb="FFFFEB84"/>
        <color rgb="FF63BE7B"/>
      </colorScale>
    </cfRule>
  </conditionalFormatting>
  <conditionalFormatting sqref="T96:W96">
    <cfRule type="colorScale" priority="133">
      <colorScale>
        <cfvo type="min"/>
        <cfvo type="percentile" val="50"/>
        <cfvo type="max"/>
        <color rgb="FFF8696B"/>
        <color rgb="FFFFEB84"/>
        <color rgb="FF63BE7B"/>
      </colorScale>
    </cfRule>
  </conditionalFormatting>
  <conditionalFormatting sqref="T98:W98">
    <cfRule type="colorScale" priority="132">
      <colorScale>
        <cfvo type="min"/>
        <cfvo type="percentile" val="50"/>
        <cfvo type="max"/>
        <color rgb="FFF8696B"/>
        <color rgb="FFFFEB84"/>
        <color rgb="FF63BE7B"/>
      </colorScale>
    </cfRule>
  </conditionalFormatting>
  <conditionalFormatting sqref="T100:W100">
    <cfRule type="colorScale" priority="131">
      <colorScale>
        <cfvo type="min"/>
        <cfvo type="percentile" val="50"/>
        <cfvo type="max"/>
        <color rgb="FFF8696B"/>
        <color rgb="FFFFEB84"/>
        <color rgb="FF63BE7B"/>
      </colorScale>
    </cfRule>
  </conditionalFormatting>
  <conditionalFormatting sqref="T102:W102">
    <cfRule type="colorScale" priority="130">
      <colorScale>
        <cfvo type="min"/>
        <cfvo type="percentile" val="50"/>
        <cfvo type="max"/>
        <color rgb="FFF8696B"/>
        <color rgb="FFFFEB84"/>
        <color rgb="FF63BE7B"/>
      </colorScale>
    </cfRule>
  </conditionalFormatting>
  <conditionalFormatting sqref="U104:W104">
    <cfRule type="colorScale" priority="42">
      <colorScale>
        <cfvo type="min"/>
        <cfvo type="percentile" val="50"/>
        <cfvo type="max"/>
        <color rgb="FFF8696B"/>
        <color rgb="FFFFEB84"/>
        <color rgb="FF63BE7B"/>
      </colorScale>
    </cfRule>
  </conditionalFormatting>
  <conditionalFormatting sqref="X84">
    <cfRule type="colorScale" priority="160">
      <colorScale>
        <cfvo type="min"/>
        <cfvo type="percentile" val="50"/>
        <cfvo type="max"/>
        <color rgb="FFF8696B"/>
        <color rgb="FFFFEB84"/>
        <color rgb="FF63BE7B"/>
      </colorScale>
    </cfRule>
  </conditionalFormatting>
  <conditionalFormatting sqref="X86">
    <cfRule type="colorScale" priority="161">
      <colorScale>
        <cfvo type="min"/>
        <cfvo type="percentile" val="50"/>
        <cfvo type="max"/>
        <color rgb="FFF8696B"/>
        <color rgb="FFFFEB84"/>
        <color rgb="FF63BE7B"/>
      </colorScale>
    </cfRule>
  </conditionalFormatting>
  <conditionalFormatting sqref="X102 X88 X100 X98 X96 X94 X92 X90">
    <cfRule type="colorScale" priority="162">
      <colorScale>
        <cfvo type="min"/>
        <cfvo type="percentile" val="50"/>
        <cfvo type="max"/>
        <color rgb="FFF8696B"/>
        <color rgb="FFFFEB84"/>
        <color rgb="FF63BE7B"/>
      </colorScale>
    </cfRule>
  </conditionalFormatting>
  <conditionalFormatting sqref="X104">
    <cfRule type="colorScale" priority="481">
      <colorScale>
        <cfvo type="min"/>
        <cfvo type="percentile" val="50"/>
        <cfvo type="max"/>
        <color rgb="FFF8696B"/>
        <color rgb="FFFFEB84"/>
        <color rgb="FF63BE7B"/>
      </colorScale>
    </cfRule>
  </conditionalFormatting>
  <conditionalFormatting sqref="AB104">
    <cfRule type="colorScale" priority="54">
      <colorScale>
        <cfvo type="min"/>
        <cfvo type="percentile" val="50"/>
        <cfvo type="max"/>
        <color rgb="FFF8696B"/>
        <color rgb="FFFFEB84"/>
        <color rgb="FF63BE7B"/>
      </colorScale>
    </cfRule>
  </conditionalFormatting>
  <conditionalFormatting sqref="AB84:AE84">
    <cfRule type="colorScale" priority="119">
      <colorScale>
        <cfvo type="min"/>
        <cfvo type="percentile" val="50"/>
        <cfvo type="max"/>
        <color rgb="FFF8696B"/>
        <color rgb="FFFFEB84"/>
        <color rgb="FF63BE7B"/>
      </colorScale>
    </cfRule>
  </conditionalFormatting>
  <conditionalFormatting sqref="AB86:AE86">
    <cfRule type="colorScale" priority="118">
      <colorScale>
        <cfvo type="min"/>
        <cfvo type="percentile" val="50"/>
        <cfvo type="max"/>
        <color rgb="FFF8696B"/>
        <color rgb="FFFFEB84"/>
        <color rgb="FF63BE7B"/>
      </colorScale>
    </cfRule>
  </conditionalFormatting>
  <conditionalFormatting sqref="AB88:AE88">
    <cfRule type="colorScale" priority="117">
      <colorScale>
        <cfvo type="min"/>
        <cfvo type="percentile" val="50"/>
        <cfvo type="max"/>
        <color rgb="FFF8696B"/>
        <color rgb="FFFFEB84"/>
        <color rgb="FF63BE7B"/>
      </colorScale>
    </cfRule>
  </conditionalFormatting>
  <conditionalFormatting sqref="AB90:AE90">
    <cfRule type="colorScale" priority="116">
      <colorScale>
        <cfvo type="min"/>
        <cfvo type="percentile" val="50"/>
        <cfvo type="max"/>
        <color rgb="FFF8696B"/>
        <color rgb="FFFFEB84"/>
        <color rgb="FF63BE7B"/>
      </colorScale>
    </cfRule>
  </conditionalFormatting>
  <conditionalFormatting sqref="AB92:AE92">
    <cfRule type="colorScale" priority="115">
      <colorScale>
        <cfvo type="min"/>
        <cfvo type="percentile" val="50"/>
        <cfvo type="max"/>
        <color rgb="FFF8696B"/>
        <color rgb="FFFFEB84"/>
        <color rgb="FF63BE7B"/>
      </colorScale>
    </cfRule>
  </conditionalFormatting>
  <conditionalFormatting sqref="AB94:AE94">
    <cfRule type="colorScale" priority="114">
      <colorScale>
        <cfvo type="min"/>
        <cfvo type="percentile" val="50"/>
        <cfvo type="max"/>
        <color rgb="FFF8696B"/>
        <color rgb="FFFFEB84"/>
        <color rgb="FF63BE7B"/>
      </colorScale>
    </cfRule>
  </conditionalFormatting>
  <conditionalFormatting sqref="AB96:AE96">
    <cfRule type="colorScale" priority="113">
      <colorScale>
        <cfvo type="min"/>
        <cfvo type="percentile" val="50"/>
        <cfvo type="max"/>
        <color rgb="FFF8696B"/>
        <color rgb="FFFFEB84"/>
        <color rgb="FF63BE7B"/>
      </colorScale>
    </cfRule>
  </conditionalFormatting>
  <conditionalFormatting sqref="AB98:AE98">
    <cfRule type="colorScale" priority="112">
      <colorScale>
        <cfvo type="min"/>
        <cfvo type="percentile" val="50"/>
        <cfvo type="max"/>
        <color rgb="FFF8696B"/>
        <color rgb="FFFFEB84"/>
        <color rgb="FF63BE7B"/>
      </colorScale>
    </cfRule>
  </conditionalFormatting>
  <conditionalFormatting sqref="AB100:AE100">
    <cfRule type="colorScale" priority="111">
      <colorScale>
        <cfvo type="min"/>
        <cfvo type="percentile" val="50"/>
        <cfvo type="max"/>
        <color rgb="FFF8696B"/>
        <color rgb="FFFFEB84"/>
        <color rgb="FF63BE7B"/>
      </colorScale>
    </cfRule>
  </conditionalFormatting>
  <conditionalFormatting sqref="AB102:AE102">
    <cfRule type="colorScale" priority="110">
      <colorScale>
        <cfvo type="min"/>
        <cfvo type="percentile" val="50"/>
        <cfvo type="max"/>
        <color rgb="FFF8696B"/>
        <color rgb="FFFFEB84"/>
        <color rgb="FF63BE7B"/>
      </colorScale>
    </cfRule>
  </conditionalFormatting>
  <conditionalFormatting sqref="AC104:AE104">
    <cfRule type="colorScale" priority="39">
      <colorScale>
        <cfvo type="min"/>
        <cfvo type="percentile" val="50"/>
        <cfvo type="max"/>
        <color rgb="FFF8696B"/>
        <color rgb="FFFFEB84"/>
        <color rgb="FF63BE7B"/>
      </colorScale>
    </cfRule>
  </conditionalFormatting>
  <conditionalFormatting sqref="AF84">
    <cfRule type="colorScale" priority="150">
      <colorScale>
        <cfvo type="min"/>
        <cfvo type="percentile" val="50"/>
        <cfvo type="max"/>
        <color rgb="FFF8696B"/>
        <color rgb="FFFFEB84"/>
        <color rgb="FF63BE7B"/>
      </colorScale>
    </cfRule>
  </conditionalFormatting>
  <conditionalFormatting sqref="AF86">
    <cfRule type="colorScale" priority="151">
      <colorScale>
        <cfvo type="min"/>
        <cfvo type="percentile" val="50"/>
        <cfvo type="max"/>
        <color rgb="FFF8696B"/>
        <color rgb="FFFFEB84"/>
        <color rgb="FF63BE7B"/>
      </colorScale>
    </cfRule>
  </conditionalFormatting>
  <conditionalFormatting sqref="AF102 AF88 AF100 AF98 AF96 AF94 AF92 AF90">
    <cfRule type="colorScale" priority="152">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legacyDrawing r:id="rId3"/>
  <extLst>
    <ext xmlns:x14="http://schemas.microsoft.com/office/spreadsheetml/2009/9/main" uri="{05C60535-1F16-4fd2-B633-F4F36F0B64E0}">
      <x14:sparklineGroups xmlns:xm="http://schemas.microsoft.com/office/excel/2006/main">
        <x14:sparklineGroup displayEmptyCellsAs="gap" xr2:uid="{1F076866-D9A9-4A4F-9941-EAC532D86B08}">
          <x14:colorSeries rgb="FF376092"/>
          <x14:colorNegative rgb="FFD00000"/>
          <x14:colorAxis rgb="FF000000"/>
          <x14:colorMarkers rgb="FFD00000"/>
          <x14:colorFirst rgb="FFD00000"/>
          <x14:colorLast rgb="FFD00000"/>
          <x14:colorHigh rgb="FFD00000"/>
          <x14:colorLow rgb="FFD00000"/>
          <x14:sparklines>
            <x14:sparkline>
              <xm:f>Assumptions!J74:J76</xm:f>
              <xm:sqref>J71</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A3883-DD98-4992-AC33-2C1B89D086E1}">
  <sheetPr>
    <tabColor rgb="FFFFFF00"/>
  </sheetPr>
  <dimension ref="A1:IA99"/>
  <sheetViews>
    <sheetView zoomScale="86" workbookViewId="0">
      <selection activeCell="A14" sqref="A14"/>
    </sheetView>
  </sheetViews>
  <sheetFormatPr defaultColWidth="11.42578125" defaultRowHeight="12.75"/>
  <cols>
    <col min="1" max="1" width="36.140625" style="10" customWidth="1"/>
    <col min="2" max="10" width="12.42578125" style="41" customWidth="1"/>
    <col min="11" max="11" width="12.42578125" style="47" customWidth="1"/>
    <col min="12" max="12" width="12.42578125" style="47" hidden="1" customWidth="1"/>
    <col min="13" max="13" width="12.140625" style="47" hidden="1" customWidth="1"/>
    <col min="14" max="16384" width="11.42578125" style="40"/>
  </cols>
  <sheetData>
    <row r="1" spans="1:25" ht="14.25">
      <c r="A1" s="1507" t="e" vm="1">
        <f>Inputs!H3</f>
        <v>#VALUE!</v>
      </c>
      <c r="B1" s="1507"/>
      <c r="C1" s="1507"/>
      <c r="D1" s="1507"/>
      <c r="E1" s="1507"/>
      <c r="F1" s="1507"/>
      <c r="G1" s="1507"/>
      <c r="H1" s="1507"/>
      <c r="I1" s="1507"/>
      <c r="J1" s="1507"/>
      <c r="K1" s="1507"/>
      <c r="L1" s="1507"/>
      <c r="M1" s="1507"/>
    </row>
    <row r="2" spans="1:25">
      <c r="A2" s="1508" t="str">
        <f ca="1">Inputs!G2</f>
        <v>Figures in Millions of USD</v>
      </c>
      <c r="B2" s="1508"/>
      <c r="C2" s="1508"/>
      <c r="D2" s="1508"/>
      <c r="E2" s="1508"/>
      <c r="F2" s="1508"/>
      <c r="G2" s="1508"/>
      <c r="H2" s="1508"/>
      <c r="I2" s="1508"/>
      <c r="J2" s="1508"/>
      <c r="K2" s="1508"/>
      <c r="L2" s="1508"/>
      <c r="M2" s="1508"/>
    </row>
    <row r="3" spans="1:25" ht="20.25">
      <c r="A3" s="1506" t="s">
        <v>314</v>
      </c>
      <c r="B3" s="1506"/>
      <c r="C3" s="1506"/>
      <c r="D3" s="1506"/>
      <c r="E3" s="1506"/>
      <c r="F3" s="1506"/>
      <c r="G3" s="1506"/>
      <c r="H3" s="1506"/>
      <c r="I3" s="1506"/>
      <c r="J3" s="1506"/>
      <c r="K3" s="1506"/>
      <c r="L3" s="1506"/>
      <c r="M3" s="1506"/>
    </row>
    <row r="4" spans="1:25">
      <c r="A4" s="105"/>
      <c r="B4" s="50">
        <f>OP!J19</f>
        <v>2023</v>
      </c>
      <c r="C4" s="42">
        <f>B4-1</f>
        <v>2022</v>
      </c>
      <c r="D4" s="42">
        <f t="shared" ref="D4:M4" si="0">C4-1</f>
        <v>2021</v>
      </c>
      <c r="E4" s="42">
        <f t="shared" si="0"/>
        <v>2020</v>
      </c>
      <c r="F4" s="42">
        <f t="shared" si="0"/>
        <v>2019</v>
      </c>
      <c r="G4" s="42">
        <f t="shared" si="0"/>
        <v>2018</v>
      </c>
      <c r="H4" s="42">
        <f t="shared" si="0"/>
        <v>2017</v>
      </c>
      <c r="I4" s="42">
        <f t="shared" si="0"/>
        <v>2016</v>
      </c>
      <c r="J4" s="42">
        <f>I4-1</f>
        <v>2015</v>
      </c>
      <c r="K4" s="42">
        <f t="shared" si="0"/>
        <v>2014</v>
      </c>
      <c r="L4" s="42">
        <f t="shared" si="0"/>
        <v>2013</v>
      </c>
      <c r="M4" s="42">
        <f t="shared" si="0"/>
        <v>2012</v>
      </c>
    </row>
    <row r="5" spans="1:25">
      <c r="A5" s="106" t="s">
        <v>134</v>
      </c>
      <c r="B5" s="51">
        <f>_xlfn.XLOOKUP($A5,Inputs!$A:$A,Inputs!B:B,,0)</f>
        <v>35127</v>
      </c>
      <c r="C5" s="51">
        <f>_xlfn.XLOOKUP($A5,Inputs!$A:$A,Inputs!C:C,,0)</f>
        <v>28820</v>
      </c>
      <c r="D5" s="51">
        <f>_xlfn.XLOOKUP($A5,Inputs!$A:$A,Inputs!D:D,,0)</f>
        <v>23522</v>
      </c>
      <c r="E5" s="51">
        <f>_xlfn.XLOOKUP($A5,Inputs!$A:$A,Inputs!E:E,,0)</f>
        <v>18729</v>
      </c>
      <c r="F5" s="51">
        <f>_xlfn.XLOOKUP($A5,Inputs!$A:$A,Inputs!F:F,,0)</f>
        <v>25600</v>
      </c>
      <c r="G5" s="51">
        <f>_xlfn.XLOOKUP($A5,Inputs!$A:$A,Inputs!G:G,,0)</f>
        <v>23496</v>
      </c>
      <c r="H5" s="51">
        <f>_xlfn.XLOOKUP($A5,Inputs!$A:$A,Inputs!H:H,,0)</f>
        <v>19456</v>
      </c>
      <c r="I5" s="51">
        <f>_xlfn.XLOOKUP($A5,Inputs!$A:$A,Inputs!I:I,,0)</f>
        <v>17033</v>
      </c>
      <c r="J5" s="51">
        <f>_xlfn.XLOOKUP($A5,Inputs!$A:$A,Inputs!J:J,,0)</f>
        <v>19115</v>
      </c>
      <c r="K5" s="51">
        <f>_xlfn.XLOOKUP($A5,Inputs!$A:$A,Inputs!K:K,,0)</f>
        <v>18997</v>
      </c>
      <c r="L5" s="51">
        <f>_xlfn.XLOOKUP($A5,Inputs!$A:$A,Inputs!L:L,,0)</f>
        <v>4884</v>
      </c>
      <c r="M5" s="52">
        <f>_xlfn.XLOOKUP($A5,Inputs!$A:$A,Inputs!M:M,,0)</f>
        <v>0</v>
      </c>
    </row>
    <row r="6" spans="1:25">
      <c r="A6" s="107" t="s">
        <v>1077</v>
      </c>
      <c r="B6" s="53">
        <f t="shared" ref="B6:L6" si="1">IFERROR(B5/C5-1,"-")</f>
        <v>0.21884108258154056</v>
      </c>
      <c r="C6" s="53">
        <f t="shared" si="1"/>
        <v>0.22523594932403701</v>
      </c>
      <c r="D6" s="53">
        <f t="shared" si="1"/>
        <v>0.25591328955096371</v>
      </c>
      <c r="E6" s="53">
        <f t="shared" si="1"/>
        <v>-0.26839843750000003</v>
      </c>
      <c r="F6" s="53">
        <f t="shared" si="1"/>
        <v>8.9547156962887398E-2</v>
      </c>
      <c r="G6" s="53">
        <f t="shared" si="1"/>
        <v>0.20764802631578938</v>
      </c>
      <c r="H6" s="53">
        <f t="shared" si="1"/>
        <v>0.14225327305818114</v>
      </c>
      <c r="I6" s="53">
        <f t="shared" si="1"/>
        <v>-0.10891969657337175</v>
      </c>
      <c r="J6" s="53">
        <f t="shared" si="1"/>
        <v>6.2115070800652372E-3</v>
      </c>
      <c r="K6" s="53"/>
      <c r="L6" s="53" t="str">
        <f t="shared" si="1"/>
        <v>-</v>
      </c>
      <c r="M6" s="54" t="str">
        <f>IFERROR(M5/#REF!-1,"-")</f>
        <v>-</v>
      </c>
      <c r="N6" s="331"/>
      <c r="O6" s="331"/>
    </row>
    <row r="7" spans="1:25">
      <c r="A7" s="106" t="s">
        <v>1078</v>
      </c>
      <c r="B7" s="51">
        <f>_xlfn.XLOOKUP($A7,Inputs!$A:$A,Inputs!B:B,,0)</f>
        <v>8233</v>
      </c>
      <c r="C7" s="51">
        <f>_xlfn.XLOOKUP($A7,Inputs!$A:$A,Inputs!C:C,,0)</f>
        <v>5529</v>
      </c>
      <c r="D7" s="51">
        <f>_xlfn.XLOOKUP($A7,Inputs!$A:$A,Inputs!D:D,,0)</f>
        <v>4412</v>
      </c>
      <c r="E7" s="51">
        <f>_xlfn.XLOOKUP($A7,Inputs!$A:$A,Inputs!E:E,,0)</f>
        <v>3652</v>
      </c>
      <c r="F7" s="51">
        <f>_xlfn.XLOOKUP($A7,Inputs!$A:$A,Inputs!F:F,,0)</f>
        <v>5045</v>
      </c>
      <c r="G7" s="51">
        <f>_xlfn.XLOOKUP($A7,Inputs!$A:$A,Inputs!G:G,,0)</f>
        <v>4570</v>
      </c>
      <c r="H7" s="51">
        <f>_xlfn.XLOOKUP($A7,Inputs!$A:$A,Inputs!H:H,,0)</f>
        <v>3863</v>
      </c>
      <c r="I7" s="51">
        <f>_xlfn.XLOOKUP($A7,Inputs!$A:$A,Inputs!I:I,,0)</f>
        <v>3516</v>
      </c>
      <c r="J7" s="51">
        <f>_xlfn.XLOOKUP($A7,Inputs!$A:$A,Inputs!J:J,,0)</f>
        <v>3822</v>
      </c>
      <c r="K7" s="51">
        <f>_xlfn.XLOOKUP($A7,Inputs!$A:$A,Inputs!K:K,,0)</f>
        <v>3510</v>
      </c>
      <c r="L7" s="51">
        <f>_xlfn.XLOOKUP($A7,Inputs!$A:$A,Inputs!L:L,,0)</f>
        <v>1681</v>
      </c>
      <c r="M7" s="52">
        <f>_xlfn.XLOOKUP($A7,Inputs!$A:$A,Inputs!M:M,,0)</f>
        <v>0</v>
      </c>
    </row>
    <row r="8" spans="1:25">
      <c r="A8" s="107" t="s">
        <v>1079</v>
      </c>
      <c r="B8" s="53">
        <f>IFERROR(B7/B$5,"-")</f>
        <v>0.23437811370171094</v>
      </c>
      <c r="C8" s="53">
        <f t="shared" ref="C8:M8" si="2">IFERROR(C7/C$5,"-")</f>
        <v>0.19184594031922275</v>
      </c>
      <c r="D8" s="53">
        <f t="shared" si="2"/>
        <v>0.1875690842615424</v>
      </c>
      <c r="E8" s="53">
        <f t="shared" si="2"/>
        <v>0.19499172406428533</v>
      </c>
      <c r="F8" s="53">
        <f t="shared" si="2"/>
        <v>0.19707031250000001</v>
      </c>
      <c r="G8" s="53">
        <f t="shared" si="2"/>
        <v>0.19450119169220292</v>
      </c>
      <c r="H8" s="53">
        <f t="shared" si="2"/>
        <v>0.19855057565789475</v>
      </c>
      <c r="I8" s="53">
        <f t="shared" si="2"/>
        <v>0.20642282627840075</v>
      </c>
      <c r="J8" s="53">
        <f t="shared" si="2"/>
        <v>0.19994768506408581</v>
      </c>
      <c r="K8" s="53">
        <f t="shared" si="2"/>
        <v>0.18476601568668738</v>
      </c>
      <c r="L8" s="53">
        <f t="shared" si="2"/>
        <v>0.34418509418509419</v>
      </c>
      <c r="M8" s="54" t="str">
        <f t="shared" si="2"/>
        <v>-</v>
      </c>
    </row>
    <row r="9" spans="1:25">
      <c r="A9" s="106" t="s">
        <v>1080</v>
      </c>
      <c r="B9" s="51">
        <f t="shared" ref="B9:M9" si="3">B5-B11</f>
        <v>29280</v>
      </c>
      <c r="C9" s="51">
        <f t="shared" si="3"/>
        <v>24925</v>
      </c>
      <c r="D9" s="51">
        <f t="shared" si="3"/>
        <v>21081</v>
      </c>
      <c r="E9" s="51">
        <f t="shared" si="3"/>
        <v>16969</v>
      </c>
      <c r="F9" s="51">
        <f t="shared" si="3"/>
        <v>22394</v>
      </c>
      <c r="G9" s="51">
        <f t="shared" si="3"/>
        <v>20619</v>
      </c>
      <c r="H9" s="51">
        <f t="shared" si="3"/>
        <v>17162</v>
      </c>
      <c r="I9" s="51">
        <f t="shared" si="3"/>
        <v>15790</v>
      </c>
      <c r="J9" s="51">
        <f t="shared" si="3"/>
        <v>16672</v>
      </c>
      <c r="K9" s="51">
        <f t="shared" si="3"/>
        <v>16863</v>
      </c>
      <c r="L9" s="51">
        <f t="shared" si="3"/>
        <v>4166</v>
      </c>
      <c r="M9" s="52">
        <f t="shared" si="3"/>
        <v>0</v>
      </c>
    </row>
    <row r="10" spans="1:25">
      <c r="A10" s="107" t="s">
        <v>1079</v>
      </c>
      <c r="B10" s="53">
        <f>IFERROR(B9/B$5,"-")</f>
        <v>0.83354684430779746</v>
      </c>
      <c r="C10" s="53">
        <f t="shared" ref="C10:M10" si="4">IFERROR(C9/C$5,"-")</f>
        <v>0.8648507980569049</v>
      </c>
      <c r="D10" s="53">
        <f t="shared" si="4"/>
        <v>0.89622481081540684</v>
      </c>
      <c r="E10" s="53">
        <f t="shared" si="4"/>
        <v>0.90602808478829622</v>
      </c>
      <c r="F10" s="53">
        <f t="shared" si="4"/>
        <v>0.87476562499999999</v>
      </c>
      <c r="G10" s="53">
        <f t="shared" si="4"/>
        <v>0.87755362614913179</v>
      </c>
      <c r="H10" s="53">
        <f t="shared" si="4"/>
        <v>0.88209292763157898</v>
      </c>
      <c r="I10" s="53">
        <f t="shared" si="4"/>
        <v>0.92702401221158925</v>
      </c>
      <c r="J10" s="53">
        <f t="shared" si="4"/>
        <v>0.87219461156160083</v>
      </c>
      <c r="K10" s="53">
        <f t="shared" si="4"/>
        <v>0.88766647365373486</v>
      </c>
      <c r="L10" s="53">
        <f t="shared" si="4"/>
        <v>0.85298935298935297</v>
      </c>
      <c r="M10" s="54" t="str">
        <f t="shared" si="4"/>
        <v>-</v>
      </c>
    </row>
    <row r="11" spans="1:25">
      <c r="A11" s="106" t="s">
        <v>294</v>
      </c>
      <c r="B11" s="51">
        <f>_xlfn.XLOOKUP($A11,Inputs!$A:$A,Inputs!B:B,,0)</f>
        <v>5847</v>
      </c>
      <c r="C11" s="51">
        <f>_xlfn.XLOOKUP($A11,Inputs!$A:$A,Inputs!C:C,,0)</f>
        <v>3895</v>
      </c>
      <c r="D11" s="51">
        <f>_xlfn.XLOOKUP($A11,Inputs!$A:$A,Inputs!D:D,,0)</f>
        <v>2441</v>
      </c>
      <c r="E11" s="51">
        <f>_xlfn.XLOOKUP($A11,Inputs!$A:$A,Inputs!E:E,,0)</f>
        <v>1760</v>
      </c>
      <c r="F11" s="51">
        <f>_xlfn.XLOOKUP($A11,Inputs!$A:$A,Inputs!F:F,,0)</f>
        <v>3206</v>
      </c>
      <c r="G11" s="51">
        <f>_xlfn.XLOOKUP($A11,Inputs!$A:$A,Inputs!G:G,,0)</f>
        <v>2877</v>
      </c>
      <c r="H11" s="51">
        <f>_xlfn.XLOOKUP($A11,Inputs!$A:$A,Inputs!H:H,,0)</f>
        <v>2294</v>
      </c>
      <c r="I11" s="51">
        <f>_xlfn.XLOOKUP($A11,Inputs!$A:$A,Inputs!I:I,,0)</f>
        <v>1243</v>
      </c>
      <c r="J11" s="51">
        <f>_xlfn.XLOOKUP($A11,Inputs!$A:$A,Inputs!J:J,,0)</f>
        <v>2443</v>
      </c>
      <c r="K11" s="51">
        <f>_xlfn.XLOOKUP($A11,Inputs!$A:$A,Inputs!K:K,,0)</f>
        <v>2134</v>
      </c>
      <c r="L11" s="51">
        <f>_xlfn.XLOOKUP($A11,Inputs!$A:$A,Inputs!L:L,,0)</f>
        <v>718</v>
      </c>
      <c r="M11" s="52">
        <f>_xlfn.XLOOKUP($A11,Inputs!$A:$A,Inputs!M:M,,0)</f>
        <v>0</v>
      </c>
    </row>
    <row r="12" spans="1:25">
      <c r="A12" s="107" t="s">
        <v>135</v>
      </c>
      <c r="B12" s="53">
        <f t="shared" ref="B12:M12" si="5">IFERROR(B11/B$5,"-")</f>
        <v>0.16645315569220259</v>
      </c>
      <c r="C12" s="53">
        <f t="shared" si="5"/>
        <v>0.13514920194309507</v>
      </c>
      <c r="D12" s="53">
        <f t="shared" si="5"/>
        <v>0.10377518918459315</v>
      </c>
      <c r="E12" s="53">
        <f t="shared" si="5"/>
        <v>9.3971915211703769E-2</v>
      </c>
      <c r="F12" s="53">
        <f t="shared" si="5"/>
        <v>0.12523437500000001</v>
      </c>
      <c r="G12" s="53">
        <f t="shared" si="5"/>
        <v>0.12244637385086823</v>
      </c>
      <c r="H12" s="53">
        <f t="shared" si="5"/>
        <v>0.11790707236842106</v>
      </c>
      <c r="I12" s="53">
        <f t="shared" si="5"/>
        <v>7.2975987788410732E-2</v>
      </c>
      <c r="J12" s="53">
        <f t="shared" si="5"/>
        <v>0.12780538843839917</v>
      </c>
      <c r="K12" s="53">
        <f t="shared" si="5"/>
        <v>0.1123335263462652</v>
      </c>
      <c r="L12" s="53">
        <f t="shared" si="5"/>
        <v>0.14701064701064701</v>
      </c>
      <c r="M12" s="54" t="str">
        <f t="shared" si="5"/>
        <v>-</v>
      </c>
    </row>
    <row r="13" spans="1:25">
      <c r="A13" s="106" t="s">
        <v>1081</v>
      </c>
      <c r="B13" s="53">
        <f>IFERROR(B12/C12-1,"-")</f>
        <v>0.23162514686759406</v>
      </c>
      <c r="C13" s="53">
        <f t="shared" ref="C13" si="6">IFERROR(C12/D12-1,"-")</f>
        <v>0.30232672187852616</v>
      </c>
      <c r="D13" s="53">
        <f t="shared" ref="D13" si="7">IFERROR(D12/E12-1,"-")</f>
        <v>0.10432131718082105</v>
      </c>
      <c r="E13" s="53">
        <f t="shared" ref="E13" si="8">IFERROR(E12/F12-1,"-")</f>
        <v>-0.24963161902070607</v>
      </c>
      <c r="F13" s="53">
        <f t="shared" ref="F13" si="9">IFERROR(F12/G12-1,"-")</f>
        <v>2.2769160583941739E-2</v>
      </c>
      <c r="G13" s="53">
        <f t="shared" ref="G13" si="10">IFERROR(G12/H12-1,"-")</f>
        <v>3.849897543264702E-2</v>
      </c>
      <c r="H13" s="53">
        <f t="shared" ref="H13" si="11">IFERROR(H12/I12-1,"-")</f>
        <v>0.61569683318689927</v>
      </c>
      <c r="I13" s="53">
        <f t="shared" ref="I13" si="12">IFERROR(I12/J12-1,"-")</f>
        <v>-0.4290069559658326</v>
      </c>
      <c r="J13" s="53">
        <f t="shared" ref="J13" si="13">IFERROR(J12/K12-1,"-")</f>
        <v>0.13773147336657399</v>
      </c>
      <c r="K13" s="53">
        <f t="shared" ref="K13" si="14">IFERROR(K12/L12-1,"-")</f>
        <v>-0.23588169543849691</v>
      </c>
      <c r="L13" s="53" t="str">
        <f t="shared" ref="L13" si="15">IFERROR(L12/M12-1,"-")</f>
        <v>-</v>
      </c>
      <c r="M13" s="54" t="str">
        <f>IFERROR(M12/#REF!-1,"-")</f>
        <v>-</v>
      </c>
      <c r="O13" s="331"/>
    </row>
    <row r="14" spans="1:25">
      <c r="A14" s="108" t="s">
        <v>295</v>
      </c>
      <c r="B14" s="51">
        <f>_xlfn.XLOOKUP($A14,Inputs!$A:$A,Inputs!B:B,,0)</f>
        <v>-129</v>
      </c>
      <c r="C14" s="51">
        <f>_xlfn.XLOOKUP($A14,Inputs!$A:$A,Inputs!C:C,,0)</f>
        <v>-46</v>
      </c>
      <c r="D14" s="51">
        <f>_xlfn.XLOOKUP($A14,Inputs!$A:$A,Inputs!D:D,,0)</f>
        <v>-63</v>
      </c>
      <c r="E14" s="51">
        <f>_xlfn.XLOOKUP($A14,Inputs!$A:$A,Inputs!E:E,,0)</f>
        <v>-102</v>
      </c>
      <c r="F14" s="51">
        <f>_xlfn.XLOOKUP($A14,Inputs!$A:$A,Inputs!F:F,,0)</f>
        <v>-107</v>
      </c>
      <c r="G14" s="51">
        <f>_xlfn.XLOOKUP($A14,Inputs!$A:$A,Inputs!G:G,,0)</f>
        <v>-67</v>
      </c>
      <c r="H14" s="51">
        <f>_xlfn.XLOOKUP($A14,Inputs!$A:$A,Inputs!H:H,,0)</f>
        <v>-121</v>
      </c>
      <c r="I14" s="51">
        <f>_xlfn.XLOOKUP($A14,Inputs!$A:$A,Inputs!I:I,,0)</f>
        <v>-113</v>
      </c>
      <c r="J14" s="51">
        <f>_xlfn.XLOOKUP($A14,Inputs!$A:$A,Inputs!J:J,,0)</f>
        <v>-106</v>
      </c>
      <c r="K14" s="51">
        <f>_xlfn.XLOOKUP($A14,Inputs!$A:$A,Inputs!K:K,,0)</f>
        <v>-117</v>
      </c>
      <c r="L14" s="51">
        <f>_xlfn.XLOOKUP($A14,Inputs!$A:$A,Inputs!L:L,,0)</f>
        <v>-67</v>
      </c>
      <c r="M14" s="52">
        <f>_xlfn.XLOOKUP($A14,Inputs!$A:$A,Inputs!M:M,,0)</f>
        <v>0</v>
      </c>
    </row>
    <row r="15" spans="1:25">
      <c r="A15" s="106" t="s">
        <v>1082</v>
      </c>
      <c r="B15" s="51">
        <f>_xlfn.XLOOKUP($A15,Inputs!$A:$A,Inputs!B:B,,0)</f>
        <v>0</v>
      </c>
      <c r="C15" s="51">
        <f>_xlfn.XLOOKUP($A15,Inputs!$A:$A,Inputs!C:C,,0)</f>
        <v>0</v>
      </c>
      <c r="D15" s="51">
        <f>_xlfn.XLOOKUP($A15,Inputs!$A:$A,Inputs!D:D,,0)</f>
        <v>0</v>
      </c>
      <c r="E15" s="51">
        <f>_xlfn.XLOOKUP($A15,Inputs!$A:$A,Inputs!E:E,,0)</f>
        <v>0</v>
      </c>
      <c r="F15" s="51">
        <f>_xlfn.XLOOKUP($A15,Inputs!$A:$A,Inputs!F:F,,0)</f>
        <v>1</v>
      </c>
      <c r="G15" s="51">
        <f>_xlfn.XLOOKUP($A15,Inputs!$A:$A,Inputs!G:G,,0)</f>
        <v>-1</v>
      </c>
      <c r="H15" s="51">
        <f>_xlfn.XLOOKUP($A15,Inputs!$A:$A,Inputs!H:H,,0)</f>
        <v>2</v>
      </c>
      <c r="I15" s="51">
        <f>_xlfn.XLOOKUP($A15,Inputs!$A:$A,Inputs!I:I,,0)</f>
        <v>2</v>
      </c>
      <c r="J15" s="51">
        <f>_xlfn.XLOOKUP($A15,Inputs!$A:$A,Inputs!J:J,,0)</f>
        <v>0</v>
      </c>
      <c r="K15" s="51">
        <f>_xlfn.XLOOKUP($A15,Inputs!$A:$A,Inputs!K:K,,0)</f>
        <v>2</v>
      </c>
      <c r="L15" s="51">
        <f>_xlfn.XLOOKUP($A15,Inputs!$A:$A,Inputs!L:L,,0)</f>
        <v>0</v>
      </c>
      <c r="M15" s="52">
        <f>_xlfn.XLOOKUP($A15,Inputs!$A:$A,Inputs!M:M,,0)</f>
        <v>0</v>
      </c>
    </row>
    <row r="16" spans="1:25">
      <c r="A16" s="108" t="s">
        <v>71</v>
      </c>
      <c r="B16" s="51">
        <f>B11-B15</f>
        <v>5847</v>
      </c>
      <c r="C16" s="51">
        <f t="shared" ref="C16:M16" si="16">C11-C15</f>
        <v>3895</v>
      </c>
      <c r="D16" s="51">
        <f t="shared" si="16"/>
        <v>2441</v>
      </c>
      <c r="E16" s="51">
        <f t="shared" si="16"/>
        <v>1760</v>
      </c>
      <c r="F16" s="51">
        <f t="shared" si="16"/>
        <v>3205</v>
      </c>
      <c r="G16" s="51">
        <f t="shared" si="16"/>
        <v>2878</v>
      </c>
      <c r="H16" s="51">
        <f t="shared" si="16"/>
        <v>2292</v>
      </c>
      <c r="I16" s="51">
        <f t="shared" si="16"/>
        <v>1241</v>
      </c>
      <c r="J16" s="51">
        <f t="shared" si="16"/>
        <v>2443</v>
      </c>
      <c r="K16" s="51">
        <f t="shared" si="16"/>
        <v>2132</v>
      </c>
      <c r="L16" s="51">
        <f t="shared" si="16"/>
        <v>718</v>
      </c>
      <c r="M16" s="52">
        <f t="shared" si="16"/>
        <v>0</v>
      </c>
      <c r="N16" s="49"/>
      <c r="O16" s="49"/>
      <c r="P16" s="49"/>
      <c r="Q16" s="49"/>
      <c r="R16" s="49"/>
      <c r="S16" s="49"/>
      <c r="T16" s="49"/>
      <c r="U16" s="49"/>
      <c r="V16" s="49"/>
      <c r="W16" s="49"/>
      <c r="X16" s="49"/>
      <c r="Y16" s="49"/>
    </row>
    <row r="17" spans="1:18">
      <c r="A17" s="106" t="s">
        <v>138</v>
      </c>
      <c r="B17" s="51">
        <f>_xlfn.XLOOKUP($A17,Inputs!$A:$A,Inputs!B:B,,0)</f>
        <v>923.9</v>
      </c>
      <c r="C17" s="51">
        <f>_xlfn.XLOOKUP($A17,Inputs!$A:$A,Inputs!C:C,,0)</f>
        <v>790.2</v>
      </c>
      <c r="D17" s="51">
        <f>_xlfn.XLOOKUP($A17,Inputs!$A:$A,Inputs!D:D,,0)</f>
        <v>903.3</v>
      </c>
      <c r="E17" s="51">
        <f>_xlfn.XLOOKUP($A17,Inputs!$A:$A,Inputs!E:E,,0)</f>
        <v>1049</v>
      </c>
      <c r="F17" s="51">
        <f>_xlfn.XLOOKUP($A17,Inputs!$A:$A,Inputs!F:F,,0)</f>
        <v>1077.3</v>
      </c>
      <c r="G17" s="51">
        <f>_xlfn.XLOOKUP($A17,Inputs!$A:$A,Inputs!G:G,,0)</f>
        <v>1054.0999999999999</v>
      </c>
      <c r="H17" s="51">
        <f>_xlfn.XLOOKUP($A17,Inputs!$A:$A,Inputs!H:H,,0)</f>
        <v>1107.5</v>
      </c>
      <c r="I17" s="51">
        <f>_xlfn.XLOOKUP($A17,Inputs!$A:$A,Inputs!I:I,,0)</f>
        <v>993.1</v>
      </c>
      <c r="J17" s="51">
        <f>_xlfn.XLOOKUP($A17,Inputs!$A:$A,Inputs!J:J,,0)</f>
        <v>907.1</v>
      </c>
      <c r="K17" s="51">
        <f>_xlfn.XLOOKUP($A17,Inputs!$A:$A,Inputs!K:K,,0)</f>
        <v>917.7</v>
      </c>
      <c r="L17" s="51">
        <f>_xlfn.XLOOKUP($A17,Inputs!$A:$A,Inputs!L:L,,0)</f>
        <v>329.6</v>
      </c>
      <c r="M17" s="52">
        <f>_xlfn.XLOOKUP($A17,Inputs!$A:$A,Inputs!M:M,,0)</f>
        <v>0</v>
      </c>
      <c r="N17" s="255"/>
    </row>
    <row r="18" spans="1:18">
      <c r="A18" s="108" t="s">
        <v>1083</v>
      </c>
      <c r="B18" s="51">
        <f>_xlfn.XLOOKUP($A18,Inputs!$A:$A,Inputs!B:B,,0)</f>
        <v>-2687</v>
      </c>
      <c r="C18" s="51">
        <f>_xlfn.XLOOKUP($A18,Inputs!$A:$A,Inputs!C:C,,0)</f>
        <v>-728</v>
      </c>
      <c r="D18" s="51">
        <f>_xlfn.XLOOKUP($A18,Inputs!$A:$A,Inputs!D:D,,0)</f>
        <v>121</v>
      </c>
      <c r="E18" s="51">
        <f>_xlfn.XLOOKUP($A18,Inputs!$A:$A,Inputs!E:E,,0)</f>
        <v>1106</v>
      </c>
      <c r="F18" s="51">
        <f>_xlfn.XLOOKUP($A18,Inputs!$A:$A,Inputs!F:F,,0)</f>
        <v>-4343</v>
      </c>
      <c r="G18" s="51">
        <f>_xlfn.XLOOKUP($A18,Inputs!$A:$A,Inputs!G:G,,0)</f>
        <v>-343</v>
      </c>
      <c r="H18" s="51">
        <f>_xlfn.XLOOKUP($A18,Inputs!$A:$A,Inputs!H:H,,0)</f>
        <v>-351</v>
      </c>
      <c r="I18" s="51">
        <f>_xlfn.XLOOKUP($A18,Inputs!$A:$A,Inputs!I:I,,0)</f>
        <v>197</v>
      </c>
      <c r="J18" s="51">
        <f>_xlfn.XLOOKUP($A18,Inputs!$A:$A,Inputs!J:J,,0)</f>
        <v>-181</v>
      </c>
      <c r="K18" s="51">
        <f>_xlfn.XLOOKUP($A18,Inputs!$A:$A,Inputs!K:K,,0)</f>
        <v>-1062.0999999999999</v>
      </c>
      <c r="L18" s="51" t="e">
        <f>_xlfn.XLOOKUP($A18,Inputs!$A:$A,Inputs!L:L,,0)</f>
        <v>#REF!</v>
      </c>
      <c r="M18" s="52">
        <f>_xlfn.XLOOKUP($A18,Inputs!$A:$A,Inputs!M:M,,0)</f>
        <v>0</v>
      </c>
    </row>
    <row r="19" spans="1:18">
      <c r="A19" s="106" t="s">
        <v>63</v>
      </c>
      <c r="B19" s="51">
        <f>B11-B15+B17</f>
        <v>6770.9</v>
      </c>
      <c r="C19" s="51">
        <f t="shared" ref="C19:M19" si="17">C11-C15+C17</f>
        <v>4685.2</v>
      </c>
      <c r="D19" s="51">
        <f t="shared" si="17"/>
        <v>3344.3</v>
      </c>
      <c r="E19" s="51">
        <f t="shared" si="17"/>
        <v>2809</v>
      </c>
      <c r="F19" s="51">
        <f t="shared" si="17"/>
        <v>4282.3</v>
      </c>
      <c r="G19" s="51">
        <f t="shared" si="17"/>
        <v>3932.1</v>
      </c>
      <c r="H19" s="51">
        <f t="shared" si="17"/>
        <v>3399.5</v>
      </c>
      <c r="I19" s="51">
        <f t="shared" si="17"/>
        <v>2234.1</v>
      </c>
      <c r="J19" s="51">
        <f t="shared" si="17"/>
        <v>3350.1</v>
      </c>
      <c r="K19" s="51">
        <f t="shared" si="17"/>
        <v>3049.7</v>
      </c>
      <c r="L19" s="51">
        <f t="shared" si="17"/>
        <v>1047.5999999999999</v>
      </c>
      <c r="M19" s="52">
        <f t="shared" si="17"/>
        <v>0</v>
      </c>
    </row>
    <row r="20" spans="1:18">
      <c r="A20" s="107" t="s">
        <v>1084</v>
      </c>
      <c r="B20" s="53">
        <f t="shared" ref="B20" si="18">IFERROR(B19/B$5,"-")</f>
        <v>0.19275486093318528</v>
      </c>
      <c r="C20" s="53">
        <f t="shared" ref="C20" si="19">IFERROR(C19/C$5,"-")</f>
        <v>0.16256766134628731</v>
      </c>
      <c r="D20" s="53">
        <f t="shared" ref="D20" si="20">IFERROR(D19/D$5,"-")</f>
        <v>0.14217753592381602</v>
      </c>
      <c r="E20" s="53">
        <f t="shared" ref="E20" si="21">IFERROR(E19/E$5,"-")</f>
        <v>0.14998131240322496</v>
      </c>
      <c r="F20" s="53">
        <f t="shared" ref="F20" si="22">IFERROR(F19/F$5,"-")</f>
        <v>0.16727734375</v>
      </c>
      <c r="G20" s="53">
        <f t="shared" ref="G20" si="23">IFERROR(G19/G$5,"-")</f>
        <v>0.16735188968335035</v>
      </c>
      <c r="H20" s="53">
        <f t="shared" ref="H20" si="24">IFERROR(H19/H$5,"-")</f>
        <v>0.17472759046052633</v>
      </c>
      <c r="I20" s="53">
        <f t="shared" ref="I20" si="25">IFERROR(I19/I$5,"-")</f>
        <v>0.13116303645863911</v>
      </c>
      <c r="J20" s="53">
        <f t="shared" ref="J20" si="26">IFERROR(J19/J$5,"-")</f>
        <v>0.17526026680617315</v>
      </c>
      <c r="K20" s="53">
        <f t="shared" ref="K20" si="27">IFERROR(K19/K$5,"-")</f>
        <v>0.16053587408538189</v>
      </c>
      <c r="L20" s="53">
        <f t="shared" ref="L20" si="28">IFERROR(L19/L$5,"-")</f>
        <v>0.21449631449631448</v>
      </c>
      <c r="M20" s="54" t="str">
        <f t="shared" ref="M20" si="29">IFERROR(M19/M$5,"-")</f>
        <v>-</v>
      </c>
      <c r="N20" s="331"/>
      <c r="P20" s="255"/>
      <c r="Q20" s="255"/>
      <c r="R20" s="255"/>
    </row>
    <row r="21" spans="1:18">
      <c r="A21" s="106" t="s">
        <v>296</v>
      </c>
      <c r="B21" s="51">
        <f>_xlfn.XLOOKUP($A21,Inputs!$A:$A,Inputs!B:B,,0)</f>
        <v>-1117</v>
      </c>
      <c r="C21" s="51">
        <f>_xlfn.XLOOKUP($A21,Inputs!$A:$A,Inputs!C:C,,0)</f>
        <v>-837</v>
      </c>
      <c r="D21" s="51">
        <f>_xlfn.XLOOKUP($A21,Inputs!$A:$A,Inputs!D:D,,0)</f>
        <v>-527</v>
      </c>
      <c r="E21" s="51">
        <f>_xlfn.XLOOKUP($A21,Inputs!$A:$A,Inputs!E:E,,0)</f>
        <v>-360</v>
      </c>
      <c r="F21" s="51">
        <f>_xlfn.XLOOKUP($A21,Inputs!$A:$A,Inputs!F:F,,0)</f>
        <v>-711</v>
      </c>
      <c r="G21" s="51">
        <f>_xlfn.XLOOKUP($A21,Inputs!$A:$A,Inputs!G:G,,0)</f>
        <v>-615</v>
      </c>
      <c r="H21" s="51">
        <f>_xlfn.XLOOKUP($A21,Inputs!$A:$A,Inputs!H:H,,0)</f>
        <v>-672</v>
      </c>
      <c r="I21" s="51">
        <f>_xlfn.XLOOKUP($A21,Inputs!$A:$A,Inputs!I:I,,0)</f>
        <v>-609</v>
      </c>
      <c r="J21" s="51">
        <f>_xlfn.XLOOKUP($A21,Inputs!$A:$A,Inputs!J:J,,0)</f>
        <v>-733</v>
      </c>
      <c r="K21" s="51">
        <f>_xlfn.XLOOKUP($A21,Inputs!$A:$A,Inputs!K:K,,0)</f>
        <v>-659</v>
      </c>
      <c r="L21" s="51">
        <f>_xlfn.XLOOKUP($A21,Inputs!$A:$A,Inputs!L:L,,0)</f>
        <v>82</v>
      </c>
      <c r="M21" s="52">
        <f>_xlfn.XLOOKUP($A21,Inputs!$A:$A,Inputs!M:M,,0)</f>
        <v>0</v>
      </c>
    </row>
    <row r="22" spans="1:18">
      <c r="A22" s="107" t="s">
        <v>1085</v>
      </c>
      <c r="B22" s="53">
        <f t="shared" ref="B22" si="30">IFERROR(B21/B$5,"-")</f>
        <v>-3.1798901130184756E-2</v>
      </c>
      <c r="C22" s="53">
        <f t="shared" ref="C22" si="31">IFERROR(C21/C$5,"-")</f>
        <v>-2.904233171408744E-2</v>
      </c>
      <c r="D22" s="53">
        <f t="shared" ref="D22" si="32">IFERROR(D21/D$5,"-")</f>
        <v>-2.240455743559221E-2</v>
      </c>
      <c r="E22" s="53">
        <f t="shared" ref="E22" si="33">IFERROR(E21/E$5,"-")</f>
        <v>-1.9221528111484865E-2</v>
      </c>
      <c r="F22" s="53">
        <f t="shared" ref="F22" si="34">IFERROR(F21/F$5,"-")</f>
        <v>-2.7773437500000001E-2</v>
      </c>
      <c r="G22" s="53">
        <f t="shared" ref="G22" si="35">IFERROR(G21/G$5,"-")</f>
        <v>-2.6174668028600613E-2</v>
      </c>
      <c r="H22" s="53">
        <f t="shared" ref="H22" si="36">IFERROR(H21/H$5,"-")</f>
        <v>-3.453947368421053E-2</v>
      </c>
      <c r="I22" s="53">
        <f t="shared" ref="I22" si="37">IFERROR(I21/I$5,"-")</f>
        <v>-3.5754124346856105E-2</v>
      </c>
      <c r="J22" s="53">
        <f t="shared" ref="J22" si="38">IFERROR(J21/J$5,"-")</f>
        <v>-3.8346848025111166E-2</v>
      </c>
      <c r="K22" s="53">
        <f t="shared" ref="K22" si="39">IFERROR(K21/K$5,"-")</f>
        <v>-3.4689687845449284E-2</v>
      </c>
      <c r="L22" s="53">
        <f t="shared" ref="L22" si="40">IFERROR(L21/L$5,"-")</f>
        <v>1.678951678951679E-2</v>
      </c>
      <c r="M22" s="54" t="str">
        <f t="shared" ref="M22" si="41">IFERROR(M21/M$5,"-")</f>
        <v>-</v>
      </c>
    </row>
    <row r="23" spans="1:18">
      <c r="A23" s="106" t="s">
        <v>75</v>
      </c>
      <c r="B23" s="51">
        <f>_xlfn.XLOOKUP($A23,Inputs!$A:$A,Inputs!B:B,,0)</f>
        <v>4601</v>
      </c>
      <c r="C23" s="51">
        <f>_xlfn.XLOOKUP($A23,Inputs!$A:$A,Inputs!C:C,,0)</f>
        <v>3012</v>
      </c>
      <c r="D23" s="51">
        <f>_xlfn.XLOOKUP($A23,Inputs!$A:$A,Inputs!D:D,,0)</f>
        <v>1852</v>
      </c>
      <c r="E23" s="51">
        <f>_xlfn.XLOOKUP($A23,Inputs!$A:$A,Inputs!E:E,,0)</f>
        <v>1298</v>
      </c>
      <c r="F23" s="51">
        <f>_xlfn.XLOOKUP($A23,Inputs!$A:$A,Inputs!F:F,,0)</f>
        <v>2388</v>
      </c>
      <c r="G23" s="51">
        <f>_xlfn.XLOOKUP($A23,Inputs!$A:$A,Inputs!G:G,,0)</f>
        <v>2195</v>
      </c>
      <c r="H23" s="51">
        <f>_xlfn.XLOOKUP($A23,Inputs!$A:$A,Inputs!H:H,,0)</f>
        <v>1502</v>
      </c>
      <c r="I23" s="51">
        <f>_xlfn.XLOOKUP($A23,Inputs!$A:$A,Inputs!I:I,,0)</f>
        <v>522</v>
      </c>
      <c r="J23" s="51">
        <f>_xlfn.XLOOKUP($A23,Inputs!$A:$A,Inputs!J:J,,0)</f>
        <v>1604</v>
      </c>
      <c r="K23" s="51">
        <f>_xlfn.XLOOKUP($A23,Inputs!$A:$A,Inputs!K:K,,0)</f>
        <v>1359</v>
      </c>
      <c r="L23" s="51">
        <f>_xlfn.XLOOKUP($A23,Inputs!$A:$A,Inputs!L:L,,0)</f>
        <v>569</v>
      </c>
      <c r="M23" s="52">
        <f>_xlfn.XLOOKUP($A23,Inputs!$A:$A,Inputs!M:M,,0)</f>
        <v>0</v>
      </c>
    </row>
    <row r="24" spans="1:18">
      <c r="A24" s="107" t="s">
        <v>255</v>
      </c>
      <c r="B24" s="53">
        <f t="shared" ref="B24" si="42">IFERROR(B23/B$5,"-")</f>
        <v>0.13098186580123553</v>
      </c>
      <c r="C24" s="53">
        <f t="shared" ref="C24" si="43">IFERROR(C23/C$5,"-")</f>
        <v>0.10451075641915336</v>
      </c>
      <c r="D24" s="53">
        <f t="shared" ref="D24" si="44">IFERROR(D23/D$5,"-")</f>
        <v>7.8734801462460674E-2</v>
      </c>
      <c r="E24" s="53">
        <f t="shared" ref="E24" si="45">IFERROR(E23/E$5,"-")</f>
        <v>6.9304287468631529E-2</v>
      </c>
      <c r="F24" s="53">
        <f t="shared" ref="F24" si="46">IFERROR(F23/F$5,"-")</f>
        <v>9.3281249999999996E-2</v>
      </c>
      <c r="G24" s="53">
        <f t="shared" ref="G24" si="47">IFERROR(G23/G$5,"-")</f>
        <v>9.3420156622403813E-2</v>
      </c>
      <c r="H24" s="53">
        <f t="shared" ref="H24" si="48">IFERROR(H23/H$5,"-")</f>
        <v>7.7199835526315791E-2</v>
      </c>
      <c r="I24" s="53">
        <f t="shared" ref="I24" si="49">IFERROR(I23/I$5,"-")</f>
        <v>3.0646392297305231E-2</v>
      </c>
      <c r="J24" s="53">
        <f t="shared" ref="J24" si="50">IFERROR(J23/J$5,"-")</f>
        <v>8.3913157206382427E-2</v>
      </c>
      <c r="K24" s="53">
        <f t="shared" ref="K24" si="51">IFERROR(K23/K$5,"-")</f>
        <v>7.15376112017687E-2</v>
      </c>
      <c r="L24" s="53">
        <f t="shared" ref="L24" si="52">IFERROR(L23/L$5,"-")</f>
        <v>0.11650286650286651</v>
      </c>
      <c r="M24" s="54" t="str">
        <f t="shared" ref="M24" si="53">IFERROR(M23/M$5,"-")</f>
        <v>-</v>
      </c>
    </row>
    <row r="25" spans="1:18">
      <c r="A25" s="106" t="s">
        <v>1077</v>
      </c>
      <c r="B25" s="53">
        <f t="shared" ref="B25" si="54">IFERROR(B24/C24-1,"-")</f>
        <v>0.25328598020969717</v>
      </c>
      <c r="C25" s="53">
        <f t="shared" ref="C25" si="55">IFERROR(C24/D24-1,"-")</f>
        <v>0.32737689659358815</v>
      </c>
      <c r="D25" s="53">
        <f t="shared" ref="D25" si="56">IFERROR(D24/E24-1,"-")</f>
        <v>0.13607403435317877</v>
      </c>
      <c r="E25" s="53">
        <f t="shared" ref="E25" si="57">IFERROR(E24/F24-1,"-")</f>
        <v>-0.25703946432287805</v>
      </c>
      <c r="F25" s="53">
        <f t="shared" ref="F25" si="58">IFERROR(F24/G24-1,"-")</f>
        <v>-1.4869020501139252E-3</v>
      </c>
      <c r="G25" s="53">
        <f t="shared" ref="G25" si="59">IFERROR(G24/H24-1,"-")</f>
        <v>0.21010823385185651</v>
      </c>
      <c r="H25" s="53">
        <f t="shared" ref="H25" si="60">IFERROR(H24/I24-1,"-")</f>
        <v>1.5190513381604154</v>
      </c>
      <c r="I25" s="53">
        <f t="shared" ref="I25" si="61">IFERROR(I24/J24-1,"-")</f>
        <v>-0.63478442097070475</v>
      </c>
      <c r="J25" s="53">
        <f t="shared" ref="J25" si="62">IFERROR(J24/K24-1,"-")</f>
        <v>0.17299355956559759</v>
      </c>
      <c r="K25" s="53">
        <f t="shared" ref="K25" si="63">IFERROR(K24/L24-1,"-")</f>
        <v>-0.38595836008886064</v>
      </c>
      <c r="L25" s="53" t="str">
        <f t="shared" ref="L25" si="64">IFERROR(L24/M24-1,"-")</f>
        <v>-</v>
      </c>
      <c r="M25" s="54" t="str">
        <f>IFERROR(M24/#REF!-1,"-")</f>
        <v>-</v>
      </c>
    </row>
    <row r="26" spans="1:18">
      <c r="A26" s="107" t="s">
        <v>1086</v>
      </c>
      <c r="B26" s="55">
        <f>B39-C39</f>
        <v>2491</v>
      </c>
      <c r="C26" s="55">
        <f t="shared" ref="C26:M26" si="65">C39-D39</f>
        <v>1263</v>
      </c>
      <c r="D26" s="55">
        <f t="shared" si="65"/>
        <v>3074</v>
      </c>
      <c r="E26" s="55">
        <f t="shared" si="65"/>
        <v>-3821</v>
      </c>
      <c r="F26" s="55">
        <f t="shared" si="65"/>
        <v>739</v>
      </c>
      <c r="G26" s="55">
        <f t="shared" si="65"/>
        <v>1071</v>
      </c>
      <c r="H26" s="55">
        <f t="shared" si="65"/>
        <v>449</v>
      </c>
      <c r="I26" s="55">
        <f t="shared" si="65"/>
        <v>-100</v>
      </c>
      <c r="J26" s="55">
        <f t="shared" si="65"/>
        <v>278</v>
      </c>
      <c r="K26" s="55">
        <f t="shared" si="65"/>
        <v>1737</v>
      </c>
      <c r="L26" s="55">
        <f t="shared" si="65"/>
        <v>1</v>
      </c>
      <c r="M26" s="52">
        <f t="shared" si="65"/>
        <v>0</v>
      </c>
    </row>
    <row r="27" spans="1:18">
      <c r="A27" s="106" t="s">
        <v>146</v>
      </c>
      <c r="B27" s="51">
        <f>_xlfn.XLOOKUP($A27,Inputs!$A:$A,Inputs!B:B,,0)</f>
        <v>-1518.6</v>
      </c>
      <c r="C27" s="51">
        <f>_xlfn.XLOOKUP($A27,Inputs!$A:$A,Inputs!C:C,,0)</f>
        <v>-1004.7</v>
      </c>
      <c r="D27" s="51">
        <f>_xlfn.XLOOKUP($A27,Inputs!$A:$A,Inputs!D:D,,0)</f>
        <v>-708</v>
      </c>
      <c r="E27" s="51">
        <f>_xlfn.XLOOKUP($A27,Inputs!$A:$A,Inputs!E:E,,0)</f>
        <v>-1239.8</v>
      </c>
      <c r="F27" s="51">
        <f>_xlfn.XLOOKUP($A27,Inputs!$A:$A,Inputs!F:F,,0)</f>
        <v>-1138.5999999999999</v>
      </c>
      <c r="G27" s="51">
        <f>_xlfn.XLOOKUP($A27,Inputs!$A:$A,Inputs!G:G,,0)</f>
        <v>-804.3</v>
      </c>
      <c r="H27" s="51">
        <f>_xlfn.XLOOKUP($A27,Inputs!$A:$A,Inputs!H:H,,0)</f>
        <v>-558.29999999999995</v>
      </c>
      <c r="I27" s="51">
        <f>_xlfn.XLOOKUP($A27,Inputs!$A:$A,Inputs!I:I,,0)</f>
        <v>-829.3</v>
      </c>
      <c r="J27" s="51">
        <f>_xlfn.XLOOKUP($A27,Inputs!$A:$A,Inputs!J:J,,0)</f>
        <v>-680.5</v>
      </c>
      <c r="K27" s="51">
        <f>_xlfn.XLOOKUP($A27,Inputs!$A:$A,Inputs!K:K,,0)</f>
        <v>-623.79999999999995</v>
      </c>
      <c r="L27" s="51" t="str">
        <f>_xlfn.XLOOKUP($A27,Inputs!$A:$A,Inputs!L:L,,0)</f>
        <v>--</v>
      </c>
      <c r="M27" s="52">
        <f>_xlfn.XLOOKUP($A27,Inputs!$A:$A,Inputs!M:M,,0)</f>
        <v>0</v>
      </c>
    </row>
    <row r="28" spans="1:18">
      <c r="A28" s="108" t="s">
        <v>1087</v>
      </c>
      <c r="B28" s="51">
        <f>_xlfn.XLOOKUP($A28,Inputs!$A:$A,Inputs!B:B,,0)</f>
        <v>-3.5</v>
      </c>
      <c r="C28" s="51">
        <f>_xlfn.XLOOKUP($A28,Inputs!$A:$A,Inputs!C:C,,0)</f>
        <v>-2.1</v>
      </c>
      <c r="D28" s="51">
        <f>_xlfn.XLOOKUP($A28,Inputs!$A:$A,Inputs!D:D,,0)</f>
        <v>-1.5</v>
      </c>
      <c r="E28" s="51">
        <f>_xlfn.XLOOKUP($A28,Inputs!$A:$A,Inputs!E:E,,0)</f>
        <v>-42.1</v>
      </c>
      <c r="F28" s="51">
        <f>_xlfn.XLOOKUP($A28,Inputs!$A:$A,Inputs!F:F,,0)</f>
        <v>-110.2</v>
      </c>
      <c r="G28" s="51">
        <f>_xlfn.XLOOKUP($A28,Inputs!$A:$A,Inputs!G:G,,0)</f>
        <v>-354.4</v>
      </c>
      <c r="H28" s="51">
        <f>_xlfn.XLOOKUP($A28,Inputs!$A:$A,Inputs!H:H,,0)</f>
        <v>0</v>
      </c>
      <c r="I28" s="51">
        <f>_xlfn.XLOOKUP($A28,Inputs!$A:$A,Inputs!I:I,,0)</f>
        <v>-70.5</v>
      </c>
      <c r="J28" s="51">
        <f>_xlfn.XLOOKUP($A28,Inputs!$A:$A,Inputs!J:J,,0)</f>
        <v>-201.6</v>
      </c>
      <c r="K28" s="51">
        <f>_xlfn.XLOOKUP($A28,Inputs!$A:$A,Inputs!K:K,,0)</f>
        <v>-42.7</v>
      </c>
      <c r="L28" s="51">
        <f>_xlfn.XLOOKUP($A28,Inputs!$A:$A,Inputs!L:L,,0)</f>
        <v>1.1000000000000001</v>
      </c>
      <c r="M28" s="52">
        <f>_xlfn.XLOOKUP($A28,Inputs!$A:$A,Inputs!M:M,,0)</f>
        <v>0</v>
      </c>
    </row>
    <row r="29" spans="1:18">
      <c r="A29" s="106" t="s">
        <v>137</v>
      </c>
      <c r="B29" s="55">
        <f>SUM(B26:B28)</f>
        <v>968.90000000000009</v>
      </c>
      <c r="C29" s="55">
        <f t="shared" ref="C29:M29" si="66">SUM(C26:C28)</f>
        <v>256.19999999999993</v>
      </c>
      <c r="D29" s="55">
        <f t="shared" si="66"/>
        <v>2364.5</v>
      </c>
      <c r="E29" s="55">
        <f t="shared" si="66"/>
        <v>-5102.9000000000005</v>
      </c>
      <c r="F29" s="55">
        <f t="shared" si="66"/>
        <v>-509.7999999999999</v>
      </c>
      <c r="G29" s="55">
        <f t="shared" si="66"/>
        <v>-87.699999999999932</v>
      </c>
      <c r="H29" s="55">
        <f t="shared" si="66"/>
        <v>-109.29999999999995</v>
      </c>
      <c r="I29" s="55">
        <f t="shared" si="66"/>
        <v>-999.8</v>
      </c>
      <c r="J29" s="55">
        <f t="shared" si="66"/>
        <v>-604.1</v>
      </c>
      <c r="K29" s="55">
        <f t="shared" si="66"/>
        <v>1070.5</v>
      </c>
      <c r="L29" s="55">
        <f t="shared" si="66"/>
        <v>2.1</v>
      </c>
      <c r="M29" s="52">
        <f t="shared" si="66"/>
        <v>0</v>
      </c>
    </row>
    <row r="30" spans="1:18">
      <c r="A30" s="108" t="s">
        <v>1088</v>
      </c>
      <c r="B30" s="55">
        <f>+B29-(B58-C29)</f>
        <v>-13012.9</v>
      </c>
      <c r="C30" s="55">
        <f t="shared" ref="C30:M30" si="67">+C29-(C58-D29)</f>
        <v>-8854.2999999999993</v>
      </c>
      <c r="D30" s="55">
        <f t="shared" si="67"/>
        <v>-13171.400000000001</v>
      </c>
      <c r="E30" s="55">
        <f t="shared" si="67"/>
        <v>-16468.7</v>
      </c>
      <c r="F30" s="55">
        <f t="shared" si="67"/>
        <v>-11821.5</v>
      </c>
      <c r="G30" s="55">
        <f t="shared" si="67"/>
        <v>-10148</v>
      </c>
      <c r="H30" s="55">
        <f t="shared" si="67"/>
        <v>-9988.0999999999985</v>
      </c>
      <c r="I30" s="55">
        <f t="shared" si="67"/>
        <v>-10078.9</v>
      </c>
      <c r="J30" s="55">
        <f t="shared" si="67"/>
        <v>-8125.6</v>
      </c>
      <c r="K30" s="55">
        <f t="shared" si="67"/>
        <v>-7158.4</v>
      </c>
      <c r="L30" s="55" t="e">
        <f t="shared" si="67"/>
        <v>#VALUE!</v>
      </c>
      <c r="M30" s="52">
        <f t="shared" si="67"/>
        <v>0</v>
      </c>
    </row>
    <row r="31" spans="1:18">
      <c r="A31" s="106" t="s">
        <v>1089</v>
      </c>
      <c r="B31" s="55">
        <f>+B30+B33</f>
        <v>-13744</v>
      </c>
      <c r="C31" s="55">
        <f t="shared" ref="C31:L31" si="68">+C30+C33</f>
        <v>-9890.0999999999985</v>
      </c>
      <c r="D31" s="55">
        <f t="shared" si="68"/>
        <v>-14421.2</v>
      </c>
      <c r="E31" s="55">
        <f t="shared" si="68"/>
        <v>-17801.3</v>
      </c>
      <c r="F31" s="55">
        <f t="shared" si="68"/>
        <v>-13353.4</v>
      </c>
      <c r="G31" s="55">
        <f t="shared" si="68"/>
        <v>-11327.1</v>
      </c>
      <c r="H31" s="55">
        <f t="shared" si="68"/>
        <v>-11602.099999999999</v>
      </c>
      <c r="I31" s="55">
        <f t="shared" si="68"/>
        <v>-11395.7</v>
      </c>
      <c r="J31" s="55">
        <f t="shared" si="68"/>
        <v>-9858.4</v>
      </c>
      <c r="K31" s="55">
        <f t="shared" si="68"/>
        <v>-8522.0999999999985</v>
      </c>
      <c r="L31" s="55" t="e">
        <f t="shared" si="68"/>
        <v>#VALUE!</v>
      </c>
      <c r="M31" s="52">
        <f t="shared" ref="M31" si="69">+M30+M33</f>
        <v>0</v>
      </c>
    </row>
    <row r="32" spans="1:18">
      <c r="A32" s="108" t="s">
        <v>143</v>
      </c>
      <c r="B32" s="51">
        <f>_xlfn.XLOOKUP($A32,Inputs!$A:$A,Inputs!B:B,,0)</f>
        <v>-695</v>
      </c>
      <c r="C32" s="51">
        <f>_xlfn.XLOOKUP($A32,Inputs!$A:$A,Inputs!C:C,,0)</f>
        <v>-525</v>
      </c>
      <c r="D32" s="51">
        <f>_xlfn.XLOOKUP($A32,Inputs!$A:$A,Inputs!D:D,,0)</f>
        <v>-559.1</v>
      </c>
      <c r="E32" s="51">
        <f>_xlfn.XLOOKUP($A32,Inputs!$A:$A,Inputs!E:E,,0)</f>
        <v>-550.4</v>
      </c>
      <c r="F32" s="51">
        <f>_xlfn.XLOOKUP($A32,Inputs!$A:$A,Inputs!F:F,,0)</f>
        <v>-574</v>
      </c>
      <c r="G32" s="51">
        <f>_xlfn.XLOOKUP($A32,Inputs!$A:$A,Inputs!G:G,,0)</f>
        <v>-457.6</v>
      </c>
      <c r="H32" s="51">
        <f>_xlfn.XLOOKUP($A32,Inputs!$A:$A,Inputs!H:H,,0)</f>
        <v>-423.4</v>
      </c>
      <c r="I32" s="51">
        <f>_xlfn.XLOOKUP($A32,Inputs!$A:$A,Inputs!I:I,,0)</f>
        <v>-375.2</v>
      </c>
      <c r="J32" s="51">
        <f>_xlfn.XLOOKUP($A32,Inputs!$A:$A,Inputs!J:J,,0)</f>
        <v>-286.7</v>
      </c>
      <c r="K32" s="51">
        <f>_xlfn.XLOOKUP($A32,Inputs!$A:$A,Inputs!K:K,,0)</f>
        <v>-289.2</v>
      </c>
      <c r="L32" s="51">
        <f>_xlfn.XLOOKUP($A32,Inputs!$A:$A,Inputs!L:L,,0)</f>
        <v>-1.5</v>
      </c>
      <c r="M32" s="52">
        <f>_xlfn.XLOOKUP($A32,Inputs!$A:$A,Inputs!M:M,,0)</f>
        <v>0</v>
      </c>
    </row>
    <row r="33" spans="1:13">
      <c r="A33" s="106" t="s">
        <v>144</v>
      </c>
      <c r="B33" s="51">
        <f>_xlfn.XLOOKUP($A33,Inputs!$A:$A,Inputs!B:B,,0)</f>
        <v>-731.1</v>
      </c>
      <c r="C33" s="51">
        <f>_xlfn.XLOOKUP($A33,Inputs!$A:$A,Inputs!C:C,,0)</f>
        <v>-1035.8</v>
      </c>
      <c r="D33" s="51">
        <f>_xlfn.XLOOKUP($A33,Inputs!$A:$A,Inputs!D:D,,0)</f>
        <v>-1249.8000000000002</v>
      </c>
      <c r="E33" s="51">
        <f>_xlfn.XLOOKUP($A33,Inputs!$A:$A,Inputs!E:E,,0)</f>
        <v>-1332.6</v>
      </c>
      <c r="F33" s="51">
        <f>_xlfn.XLOOKUP($A33,Inputs!$A:$A,Inputs!F:F,,0)</f>
        <v>-1531.9</v>
      </c>
      <c r="G33" s="51">
        <f>_xlfn.XLOOKUP($A33,Inputs!$A:$A,Inputs!G:G,,0)</f>
        <v>-1179.0999999999999</v>
      </c>
      <c r="H33" s="51">
        <f>_xlfn.XLOOKUP($A33,Inputs!$A:$A,Inputs!H:H,,0)</f>
        <v>-1614</v>
      </c>
      <c r="I33" s="51">
        <f>_xlfn.XLOOKUP($A33,Inputs!$A:$A,Inputs!I:I,,0)</f>
        <v>-1316.8000000000002</v>
      </c>
      <c r="J33" s="51">
        <f>_xlfn.XLOOKUP($A33,Inputs!$A:$A,Inputs!J:J,,0)</f>
        <v>-1732.8</v>
      </c>
      <c r="K33" s="51">
        <f>_xlfn.XLOOKUP($A33,Inputs!$A:$A,Inputs!K:K,,0)</f>
        <v>-1363.6999999999998</v>
      </c>
      <c r="L33" s="51">
        <f>_xlfn.XLOOKUP($A33,Inputs!$A:$A,Inputs!L:L,,0)</f>
        <v>0</v>
      </c>
      <c r="M33" s="52">
        <f>_xlfn.XLOOKUP($A33,Inputs!$A:$A,Inputs!M:M,,0)</f>
        <v>0</v>
      </c>
    </row>
    <row r="34" spans="1:13">
      <c r="A34" s="107" t="s">
        <v>139</v>
      </c>
      <c r="B34" s="55">
        <f t="shared" ref="B34:M34" si="70">+B32+B33</f>
        <v>-1426.1</v>
      </c>
      <c r="C34" s="55">
        <f t="shared" si="70"/>
        <v>-1560.8</v>
      </c>
      <c r="D34" s="55">
        <f t="shared" si="70"/>
        <v>-1808.9</v>
      </c>
      <c r="E34" s="55">
        <f t="shared" si="70"/>
        <v>-1883</v>
      </c>
      <c r="F34" s="55">
        <f t="shared" si="70"/>
        <v>-2105.9</v>
      </c>
      <c r="G34" s="55">
        <f t="shared" si="70"/>
        <v>-1636.6999999999998</v>
      </c>
      <c r="H34" s="55">
        <f t="shared" si="70"/>
        <v>-2037.4</v>
      </c>
      <c r="I34" s="55">
        <f t="shared" si="70"/>
        <v>-1692.0000000000002</v>
      </c>
      <c r="J34" s="55">
        <f t="shared" si="70"/>
        <v>-2019.5</v>
      </c>
      <c r="K34" s="55">
        <f t="shared" si="70"/>
        <v>-1652.8999999999999</v>
      </c>
      <c r="L34" s="55">
        <f t="shared" si="70"/>
        <v>-1.5</v>
      </c>
      <c r="M34" s="56">
        <f t="shared" si="70"/>
        <v>0</v>
      </c>
    </row>
    <row r="35" spans="1:13">
      <c r="A35" s="106" t="s">
        <v>136</v>
      </c>
      <c r="B35" s="55">
        <f>+B27+B28</f>
        <v>-1522.1</v>
      </c>
      <c r="C35" s="55">
        <f t="shared" ref="C35:M35" si="71">+C27+C28</f>
        <v>-1006.8000000000001</v>
      </c>
      <c r="D35" s="55">
        <f t="shared" si="71"/>
        <v>-709.5</v>
      </c>
      <c r="E35" s="55">
        <f t="shared" si="71"/>
        <v>-1281.8999999999999</v>
      </c>
      <c r="F35" s="55">
        <f t="shared" si="71"/>
        <v>-1248.8</v>
      </c>
      <c r="G35" s="55">
        <f t="shared" si="71"/>
        <v>-1158.6999999999998</v>
      </c>
      <c r="H35" s="55">
        <f t="shared" si="71"/>
        <v>-558.29999999999995</v>
      </c>
      <c r="I35" s="55">
        <f t="shared" si="71"/>
        <v>-899.8</v>
      </c>
      <c r="J35" s="55">
        <f t="shared" si="71"/>
        <v>-882.1</v>
      </c>
      <c r="K35" s="55">
        <f t="shared" si="71"/>
        <v>-666.5</v>
      </c>
      <c r="L35" s="55" t="e">
        <f t="shared" si="71"/>
        <v>#VALUE!</v>
      </c>
      <c r="M35" s="56">
        <f t="shared" si="71"/>
        <v>0</v>
      </c>
    </row>
    <row r="36" spans="1:13">
      <c r="A36" s="108" t="s">
        <v>1090</v>
      </c>
      <c r="B36" s="53">
        <f>IFERROR(B35/B23,"-")</f>
        <v>-0.33081938708976305</v>
      </c>
      <c r="C36" s="53">
        <f t="shared" ref="C36:M36" si="72">IFERROR(C35/C23,"-")</f>
        <v>-0.33426294820717134</v>
      </c>
      <c r="D36" s="53">
        <f t="shared" si="72"/>
        <v>-0.38309935205183587</v>
      </c>
      <c r="E36" s="53">
        <f t="shared" si="72"/>
        <v>-0.98759630200308157</v>
      </c>
      <c r="F36" s="53">
        <f t="shared" si="72"/>
        <v>-0.52294807370184249</v>
      </c>
      <c r="G36" s="53">
        <f t="shared" si="72"/>
        <v>-0.52788154897494299</v>
      </c>
      <c r="H36" s="53">
        <f t="shared" si="72"/>
        <v>-0.37170439414114509</v>
      </c>
      <c r="I36" s="53">
        <f t="shared" si="72"/>
        <v>-1.7237547892720306</v>
      </c>
      <c r="J36" s="53">
        <f t="shared" si="72"/>
        <v>-0.54993765586034915</v>
      </c>
      <c r="K36" s="53">
        <f t="shared" si="72"/>
        <v>-0.49043414275202357</v>
      </c>
      <c r="L36" s="53" t="str">
        <f t="shared" si="72"/>
        <v>-</v>
      </c>
      <c r="M36" s="54" t="str">
        <f t="shared" si="72"/>
        <v>-</v>
      </c>
    </row>
    <row r="37" spans="1:13">
      <c r="A37" s="7"/>
      <c r="B37" s="44"/>
      <c r="C37" s="44"/>
      <c r="D37" s="44"/>
      <c r="E37" s="44"/>
      <c r="F37" s="44"/>
      <c r="G37" s="44"/>
      <c r="H37" s="44"/>
      <c r="I37" s="44"/>
      <c r="J37" s="44"/>
      <c r="K37" s="44"/>
      <c r="L37" s="44"/>
      <c r="M37" s="44"/>
    </row>
    <row r="38" spans="1:13" ht="20.25">
      <c r="A38" s="1506" t="s">
        <v>1091</v>
      </c>
      <c r="B38" s="1506"/>
      <c r="C38" s="1506"/>
      <c r="D38" s="1506"/>
      <c r="E38" s="1506"/>
      <c r="F38" s="1506"/>
      <c r="G38" s="1506"/>
      <c r="H38" s="1506"/>
      <c r="I38" s="1506"/>
      <c r="J38" s="1506"/>
      <c r="K38" s="1506"/>
      <c r="L38" s="1506"/>
      <c r="M38" s="1506"/>
    </row>
    <row r="39" spans="1:13">
      <c r="A39" s="109" t="s">
        <v>299</v>
      </c>
      <c r="B39" s="51">
        <f>_xlfn.XLOOKUP($A39,Inputs!$A:$A,Inputs!B:B,,0)</f>
        <v>7182</v>
      </c>
      <c r="C39" s="51">
        <f>_xlfn.XLOOKUP($A39,Inputs!$A:$A,Inputs!C:C,,0)</f>
        <v>4691</v>
      </c>
      <c r="D39" s="51">
        <f>_xlfn.XLOOKUP($A39,Inputs!$A:$A,Inputs!D:D,,0)</f>
        <v>3428</v>
      </c>
      <c r="E39" s="51">
        <f>_xlfn.XLOOKUP($A39,Inputs!$A:$A,Inputs!E:E,,0)</f>
        <v>354</v>
      </c>
      <c r="F39" s="51">
        <f>_xlfn.XLOOKUP($A39,Inputs!$A:$A,Inputs!F:F,,0)</f>
        <v>4175</v>
      </c>
      <c r="G39" s="51">
        <f>_xlfn.XLOOKUP($A39,Inputs!$A:$A,Inputs!G:G,,0)</f>
        <v>3436</v>
      </c>
      <c r="H39" s="51">
        <f>_xlfn.XLOOKUP($A39,Inputs!$A:$A,Inputs!H:H,,0)</f>
        <v>2365</v>
      </c>
      <c r="I39" s="51">
        <f>_xlfn.XLOOKUP($A39,Inputs!$A:$A,Inputs!I:I,,0)</f>
        <v>1916</v>
      </c>
      <c r="J39" s="51">
        <f>_xlfn.XLOOKUP($A39,Inputs!$A:$A,Inputs!J:J,,0)</f>
        <v>2016</v>
      </c>
      <c r="K39" s="51">
        <f>_xlfn.XLOOKUP($A39,Inputs!$A:$A,Inputs!K:K,,0)</f>
        <v>1738</v>
      </c>
      <c r="L39" s="51">
        <f>_xlfn.XLOOKUP($A39,Inputs!$A:$A,Inputs!L:L,,0)</f>
        <v>1</v>
      </c>
      <c r="M39" s="52">
        <f>_xlfn.XLOOKUP($A39,Inputs!$A:$A,Inputs!M:M,,0)</f>
        <v>0</v>
      </c>
    </row>
    <row r="40" spans="1:13">
      <c r="A40" s="107" t="s">
        <v>1058</v>
      </c>
      <c r="B40" s="51">
        <f>_xlfn.XLOOKUP($A40,Inputs!$A:$A,Inputs!B:B,,0)</f>
        <v>2198</v>
      </c>
      <c r="C40" s="51">
        <f>_xlfn.XLOOKUP($A40,Inputs!$A:$A,Inputs!C:C,,0)</f>
        <v>1920</v>
      </c>
      <c r="D40" s="51">
        <f>_xlfn.XLOOKUP($A40,Inputs!$A:$A,Inputs!D:D,,0)</f>
        <v>1575</v>
      </c>
      <c r="E40" s="51">
        <f>_xlfn.XLOOKUP($A40,Inputs!$A:$A,Inputs!E:E,,0)</f>
        <v>1198</v>
      </c>
      <c r="F40" s="51">
        <f>_xlfn.XLOOKUP($A40,Inputs!$A:$A,Inputs!F:F,,0)</f>
        <v>1306</v>
      </c>
      <c r="G40" s="51">
        <f>_xlfn.XLOOKUP($A40,Inputs!$A:$A,Inputs!G:G,,0)</f>
        <v>1314</v>
      </c>
      <c r="H40" s="51">
        <f>_xlfn.XLOOKUP($A40,Inputs!$A:$A,Inputs!H:H,,0)</f>
        <v>1128</v>
      </c>
      <c r="I40" s="51">
        <f>_xlfn.XLOOKUP($A40,Inputs!$A:$A,Inputs!I:I,,0)</f>
        <v>862</v>
      </c>
      <c r="J40" s="51">
        <f>_xlfn.XLOOKUP($A40,Inputs!$A:$A,Inputs!J:J,,0)</f>
        <v>879</v>
      </c>
      <c r="K40" s="51">
        <f>_xlfn.XLOOKUP($A40,Inputs!$A:$A,Inputs!K:K,,0)</f>
        <v>1047</v>
      </c>
      <c r="L40" s="51" t="str">
        <f>_xlfn.XLOOKUP($A40,Inputs!$A:$A,Inputs!L:L,,0)</f>
        <v>--</v>
      </c>
      <c r="M40" s="52">
        <f>_xlfn.XLOOKUP($A40,Inputs!$A:$A,Inputs!M:M,,0)</f>
        <v>0</v>
      </c>
    </row>
    <row r="41" spans="1:13">
      <c r="A41" s="109" t="s">
        <v>301</v>
      </c>
      <c r="B41" s="51">
        <f>_xlfn.XLOOKUP($A41,Inputs!$A:$A,Inputs!B:B,,0)</f>
        <v>2577</v>
      </c>
      <c r="C41" s="51">
        <f>_xlfn.XLOOKUP($A41,Inputs!$A:$A,Inputs!C:C,,0)</f>
        <v>2199</v>
      </c>
      <c r="D41" s="51">
        <f>_xlfn.XLOOKUP($A41,Inputs!$A:$A,Inputs!D:D,,0)</f>
        <v>1768</v>
      </c>
      <c r="E41" s="51">
        <f>_xlfn.XLOOKUP($A41,Inputs!$A:$A,Inputs!E:E,,0)</f>
        <v>1222</v>
      </c>
      <c r="F41" s="51">
        <f>_xlfn.XLOOKUP($A41,Inputs!$A:$A,Inputs!F:F,,0)</f>
        <v>1153</v>
      </c>
      <c r="G41" s="51">
        <f>_xlfn.XLOOKUP($A41,Inputs!$A:$A,Inputs!G:G,,0)</f>
        <v>1185</v>
      </c>
      <c r="H41" s="51">
        <f>_xlfn.XLOOKUP($A41,Inputs!$A:$A,Inputs!H:H,,0)</f>
        <v>928</v>
      </c>
      <c r="I41" s="51">
        <f>_xlfn.XLOOKUP($A41,Inputs!$A:$A,Inputs!I:I,,0)</f>
        <v>728</v>
      </c>
      <c r="J41" s="51">
        <f>_xlfn.XLOOKUP($A41,Inputs!$A:$A,Inputs!J:J,,0)</f>
        <v>797</v>
      </c>
      <c r="K41" s="51">
        <f>_xlfn.XLOOKUP($A41,Inputs!$A:$A,Inputs!K:K,,0)</f>
        <v>926</v>
      </c>
      <c r="L41" s="51" t="str">
        <f>_xlfn.XLOOKUP($A41,Inputs!$A:$A,Inputs!L:L,,0)</f>
        <v>--</v>
      </c>
      <c r="M41" s="52">
        <f>_xlfn.XLOOKUP($A41,Inputs!$A:$A,Inputs!M:M,,0)</f>
        <v>0</v>
      </c>
    </row>
    <row r="42" spans="1:13">
      <c r="A42" s="107" t="s">
        <v>1092</v>
      </c>
      <c r="B42" s="51">
        <f>_xlfn.XLOOKUP($A42,Inputs!$A:$A,Inputs!B:B,,0)</f>
        <v>3853.6000000000004</v>
      </c>
      <c r="C42" s="51">
        <f>_xlfn.XLOOKUP($A42,Inputs!$A:$A,Inputs!C:C,,0)</f>
        <v>3515.2</v>
      </c>
      <c r="D42" s="51">
        <f>_xlfn.XLOOKUP($A42,Inputs!$A:$A,Inputs!D:D,,0)</f>
        <v>3435.8</v>
      </c>
      <c r="E42" s="51">
        <f>_xlfn.XLOOKUP($A42,Inputs!$A:$A,Inputs!E:E,,0)</f>
        <v>3311.4999999999995</v>
      </c>
      <c r="F42" s="51">
        <f>_xlfn.XLOOKUP($A42,Inputs!$A:$A,Inputs!F:F,,0)</f>
        <v>2922.1</v>
      </c>
      <c r="G42" s="51">
        <f>_xlfn.XLOOKUP($A42,Inputs!$A:$A,Inputs!G:G,,0)</f>
        <v>2480.6999999999998</v>
      </c>
      <c r="H42" s="51">
        <f>_xlfn.XLOOKUP($A42,Inputs!$A:$A,Inputs!H:H,,0)</f>
        <v>2464.2000000000003</v>
      </c>
      <c r="I42" s="51">
        <f>_xlfn.XLOOKUP($A42,Inputs!$A:$A,Inputs!I:I,,0)</f>
        <v>2259.8999999999996</v>
      </c>
      <c r="J42" s="51">
        <f>_xlfn.XLOOKUP($A42,Inputs!$A:$A,Inputs!J:J,,0)</f>
        <v>2176.2000000000003</v>
      </c>
      <c r="K42" s="51">
        <f>_xlfn.XLOOKUP($A42,Inputs!$A:$A,Inputs!K:K,,0)</f>
        <v>2313.6999999999998</v>
      </c>
      <c r="L42" s="51" t="str">
        <f>_xlfn.XLOOKUP($A42,Inputs!$A:$A,Inputs!L:L,,0)</f>
        <v xml:space="preserve">     </v>
      </c>
      <c r="M42" s="52">
        <f>_xlfn.XLOOKUP($A42,Inputs!$A:$A,Inputs!M:M,,0)</f>
        <v>0</v>
      </c>
    </row>
    <row r="43" spans="1:13">
      <c r="A43" s="109" t="s">
        <v>1093</v>
      </c>
      <c r="B43" s="51">
        <f>_xlfn.XLOOKUP($A43,Inputs!$A:$A,Inputs!B:B,,0)</f>
        <v>19646.400000000001</v>
      </c>
      <c r="C43" s="51">
        <f>_xlfn.XLOOKUP($A43,Inputs!$A:$A,Inputs!C:C,,0)</f>
        <v>15109.8</v>
      </c>
      <c r="D43" s="51">
        <f>_xlfn.XLOOKUP($A43,Inputs!$A:$A,Inputs!D:D,,0)</f>
        <v>12849.2</v>
      </c>
      <c r="E43" s="51">
        <f>_xlfn.XLOOKUP($A43,Inputs!$A:$A,Inputs!E:E,,0)</f>
        <v>20168.5</v>
      </c>
      <c r="F43" s="51">
        <f>_xlfn.XLOOKUP($A43,Inputs!$A:$A,Inputs!F:F,,0)</f>
        <v>16936.900000000001</v>
      </c>
      <c r="G43" s="51">
        <f>_xlfn.XLOOKUP($A43,Inputs!$A:$A,Inputs!G:G,,0)</f>
        <v>15098.3</v>
      </c>
      <c r="H43" s="51">
        <f>_xlfn.XLOOKUP($A43,Inputs!$A:$A,Inputs!H:H,,0)</f>
        <v>15187.8</v>
      </c>
      <c r="I43" s="51">
        <f>_xlfn.XLOOKUP($A43,Inputs!$A:$A,Inputs!I:I,,0)</f>
        <v>13732.1</v>
      </c>
      <c r="J43" s="51">
        <f>_xlfn.XLOOKUP($A43,Inputs!$A:$A,Inputs!J:J,,0)</f>
        <v>13793.8</v>
      </c>
      <c r="K43" s="51">
        <f>_xlfn.XLOOKUP($A43,Inputs!$A:$A,Inputs!K:K,,0)</f>
        <v>13322.3</v>
      </c>
      <c r="L43" s="51">
        <f>_xlfn.XLOOKUP($A43,Inputs!$A:$A,Inputs!L:L,,0)</f>
        <v>8531.7000000000007</v>
      </c>
      <c r="M43" s="52">
        <f>_xlfn.XLOOKUP($A43,Inputs!$A:$A,Inputs!M:M,,0)</f>
        <v>0</v>
      </c>
    </row>
    <row r="44" spans="1:13">
      <c r="A44" s="110" t="s">
        <v>52</v>
      </c>
      <c r="B44" s="57">
        <f>_xlfn.XLOOKUP($A44,Inputs!$A:$A,Inputs!B:B,,0)</f>
        <v>40823</v>
      </c>
      <c r="C44" s="57">
        <f>_xlfn.XLOOKUP($A44,Inputs!$A:$A,Inputs!C:C,,0)</f>
        <v>33276</v>
      </c>
      <c r="D44" s="57">
        <f>_xlfn.XLOOKUP($A44,Inputs!$A:$A,Inputs!D:D,,0)</f>
        <v>29302</v>
      </c>
      <c r="E44" s="57">
        <f>_xlfn.XLOOKUP($A44,Inputs!$A:$A,Inputs!E:E,,0)</f>
        <v>28260</v>
      </c>
      <c r="F44" s="57">
        <f>_xlfn.XLOOKUP($A44,Inputs!$A:$A,Inputs!F:F,,0)</f>
        <v>28361</v>
      </c>
      <c r="G44" s="57">
        <f>_xlfn.XLOOKUP($A44,Inputs!$A:$A,Inputs!G:G,,0)</f>
        <v>25482</v>
      </c>
      <c r="H44" s="57">
        <f>_xlfn.XLOOKUP($A44,Inputs!$A:$A,Inputs!H:H,,0)</f>
        <v>23440</v>
      </c>
      <c r="I44" s="57">
        <f>_xlfn.XLOOKUP($A44,Inputs!$A:$A,Inputs!I:I,,0)</f>
        <v>20639</v>
      </c>
      <c r="J44" s="57">
        <f>_xlfn.XLOOKUP($A44,Inputs!$A:$A,Inputs!J:J,,0)</f>
        <v>21110</v>
      </c>
      <c r="K44" s="57">
        <f>_xlfn.XLOOKUP($A44,Inputs!$A:$A,Inputs!K:K,,0)</f>
        <v>20619</v>
      </c>
      <c r="L44" s="57">
        <f>_xlfn.XLOOKUP($A44,Inputs!$A:$A,Inputs!L:L,,0)</f>
        <v>8943</v>
      </c>
      <c r="M44" s="57">
        <f>_xlfn.XLOOKUP($A44,Inputs!$A:$A,Inputs!M:M,,0)</f>
        <v>0</v>
      </c>
    </row>
    <row r="45" spans="1:13">
      <c r="B45"/>
      <c r="C45"/>
      <c r="D45"/>
      <c r="E45"/>
      <c r="F45"/>
      <c r="G45"/>
      <c r="H45"/>
      <c r="I45"/>
      <c r="J45"/>
      <c r="K45"/>
      <c r="L45"/>
      <c r="M45"/>
    </row>
    <row r="46" spans="1:13">
      <c r="B46"/>
      <c r="C46"/>
      <c r="D46"/>
      <c r="E46"/>
      <c r="F46"/>
      <c r="G46"/>
      <c r="H46"/>
      <c r="I46"/>
      <c r="J46"/>
      <c r="K46"/>
      <c r="L46"/>
      <c r="M46"/>
    </row>
    <row r="47" spans="1:13" ht="20.25">
      <c r="A47" s="1506" t="s">
        <v>1094</v>
      </c>
      <c r="B47" s="1506"/>
      <c r="C47" s="1506"/>
      <c r="D47" s="1506"/>
      <c r="E47" s="1506"/>
      <c r="F47" s="1506"/>
      <c r="G47" s="1506"/>
      <c r="H47" s="1506"/>
      <c r="I47" s="1506"/>
      <c r="J47" s="1506"/>
      <c r="K47" s="1506"/>
      <c r="L47" s="1506"/>
      <c r="M47" s="1506"/>
    </row>
    <row r="48" spans="1:13">
      <c r="A48" s="111" t="s">
        <v>305</v>
      </c>
      <c r="B48" s="57">
        <f>_xlfn.XLOOKUP($A48,Inputs!$A:$A,Inputs!B:B,,0)</f>
        <v>13048</v>
      </c>
      <c r="C48" s="57">
        <f>_xlfn.XLOOKUP($A48,Inputs!$A:$A,Inputs!C:C,,0)</f>
        <v>9705</v>
      </c>
      <c r="D48" s="57">
        <f>_xlfn.XLOOKUP($A48,Inputs!$A:$A,Inputs!D:D,,0)</f>
        <v>8201</v>
      </c>
      <c r="E48" s="57">
        <f>_xlfn.XLOOKUP($A48,Inputs!$A:$A,Inputs!E:E,,0)</f>
        <v>7399</v>
      </c>
      <c r="F48" s="57">
        <f>_xlfn.XLOOKUP($A48,Inputs!$A:$A,Inputs!F:F,,0)</f>
        <v>8544</v>
      </c>
      <c r="G48" s="57">
        <f>_xlfn.XLOOKUP($A48,Inputs!$A:$A,Inputs!G:G,,0)</f>
        <v>4241</v>
      </c>
      <c r="H48" s="57">
        <f>_xlfn.XLOOKUP($A48,Inputs!$A:$A,Inputs!H:H,,0)</f>
        <v>3455</v>
      </c>
      <c r="I48" s="57">
        <f>_xlfn.XLOOKUP($A48,Inputs!$A:$A,Inputs!I:I,,0)</f>
        <v>2638</v>
      </c>
      <c r="J48" s="57">
        <f>_xlfn.XLOOKUP($A48,Inputs!$A:$A,Inputs!J:J,,0)</f>
        <v>2921</v>
      </c>
      <c r="K48" s="57">
        <f>_xlfn.XLOOKUP($A48,Inputs!$A:$A,Inputs!K:K,,0)</f>
        <v>3037</v>
      </c>
      <c r="L48" s="57">
        <f>_xlfn.XLOOKUP($A48,Inputs!$A:$A,Inputs!L:L,,0)</f>
        <v>2.2000000000000002</v>
      </c>
      <c r="M48" s="57">
        <f>_xlfn.XLOOKUP($A48,Inputs!$A:$A,Inputs!M:M,,0)</f>
        <v>0</v>
      </c>
    </row>
    <row r="49" spans="1:13">
      <c r="A49" s="112" t="s">
        <v>1095</v>
      </c>
      <c r="B49" s="51">
        <f>_xlfn.XLOOKUP($A49,Inputs!$A:$A,Inputs!B:B,,0)</f>
        <v>5069</v>
      </c>
      <c r="C49" s="51">
        <f>_xlfn.XLOOKUP($A49,Inputs!$A:$A,Inputs!C:C,,0)</f>
        <v>3266</v>
      </c>
      <c r="D49" s="51">
        <f>_xlfn.XLOOKUP($A49,Inputs!$A:$A,Inputs!D:D,,0)</f>
        <v>3025</v>
      </c>
      <c r="E49" s="51">
        <f>_xlfn.XLOOKUP($A49,Inputs!$A:$A,Inputs!E:E,,0)</f>
        <v>3114</v>
      </c>
      <c r="F49" s="51">
        <f>_xlfn.XLOOKUP($A49,Inputs!$A:$A,Inputs!F:F,,0)</f>
        <v>3797</v>
      </c>
      <c r="G49" s="51">
        <f>_xlfn.XLOOKUP($A49,Inputs!$A:$A,Inputs!G:G,,0)</f>
        <v>0</v>
      </c>
      <c r="H49" s="51">
        <f>_xlfn.XLOOKUP($A49,Inputs!$A:$A,Inputs!H:H,,0)</f>
        <v>0</v>
      </c>
      <c r="I49" s="51">
        <f>_xlfn.XLOOKUP($A49,Inputs!$A:$A,Inputs!I:I,,0)</f>
        <v>0</v>
      </c>
      <c r="J49" s="51">
        <f>_xlfn.XLOOKUP($A49,Inputs!$A:$A,Inputs!J:J,,0)</f>
        <v>0</v>
      </c>
      <c r="K49" s="51">
        <f>_xlfn.XLOOKUP($A49,Inputs!$A:$A,Inputs!K:K,,0)</f>
        <v>0</v>
      </c>
      <c r="L49" s="51">
        <f>_xlfn.XLOOKUP($A49,Inputs!$A:$A,Inputs!L:L,,0)</f>
        <v>1.3</v>
      </c>
      <c r="M49" s="51">
        <f>_xlfn.XLOOKUP($A49,Inputs!$A:$A,Inputs!M:M,,0)</f>
        <v>0</v>
      </c>
    </row>
    <row r="50" spans="1:13">
      <c r="A50" s="106" t="s">
        <v>1096</v>
      </c>
      <c r="B50" s="51">
        <f>_xlfn.XLOOKUP($A50,Inputs!$A:$A,Inputs!B:B,,0)</f>
        <v>180</v>
      </c>
      <c r="C50" s="51">
        <f>_xlfn.XLOOKUP($A50,Inputs!$A:$A,Inputs!C:C,,0)</f>
        <v>97</v>
      </c>
      <c r="D50" s="51">
        <f>_xlfn.XLOOKUP($A50,Inputs!$A:$A,Inputs!D:D,,0)</f>
        <v>78</v>
      </c>
      <c r="E50" s="51">
        <f>_xlfn.XLOOKUP($A50,Inputs!$A:$A,Inputs!E:E,,0)</f>
        <v>41</v>
      </c>
      <c r="F50" s="51">
        <f>_xlfn.XLOOKUP($A50,Inputs!$A:$A,Inputs!F:F,,0)</f>
        <v>115</v>
      </c>
      <c r="G50" s="51">
        <f>_xlfn.XLOOKUP($A50,Inputs!$A:$A,Inputs!G:G,,0)</f>
        <v>0</v>
      </c>
      <c r="H50" s="51">
        <f>_xlfn.XLOOKUP($A50,Inputs!$A:$A,Inputs!H:H,,0)</f>
        <v>0</v>
      </c>
      <c r="I50" s="51">
        <f>_xlfn.XLOOKUP($A50,Inputs!$A:$A,Inputs!I:I,,0)</f>
        <v>0</v>
      </c>
      <c r="J50" s="51">
        <f>_xlfn.XLOOKUP($A50,Inputs!$A:$A,Inputs!J:J,,0)</f>
        <v>0</v>
      </c>
      <c r="K50" s="51">
        <f>_xlfn.XLOOKUP($A50,Inputs!$A:$A,Inputs!K:K,,0)</f>
        <v>0</v>
      </c>
      <c r="L50" s="51">
        <f>_xlfn.XLOOKUP($A50,Inputs!$A:$A,Inputs!L:L,,0)</f>
        <v>0</v>
      </c>
      <c r="M50" s="51">
        <f>_xlfn.XLOOKUP($A50,Inputs!$A:$A,Inputs!M:M,,0)</f>
        <v>0</v>
      </c>
    </row>
    <row r="51" spans="1:13">
      <c r="A51" s="107" t="s">
        <v>1097</v>
      </c>
      <c r="B51" s="51">
        <f>_xlfn.XLOOKUP($A51,Inputs!$A:$A,Inputs!B:B,,0)</f>
        <v>6131</v>
      </c>
      <c r="C51" s="51">
        <f>_xlfn.XLOOKUP($A51,Inputs!$A:$A,Inputs!C:C,,0)</f>
        <v>4677</v>
      </c>
      <c r="D51" s="51">
        <f>_xlfn.XLOOKUP($A51,Inputs!$A:$A,Inputs!D:D,,0)</f>
        <v>3704</v>
      </c>
      <c r="E51" s="51">
        <f>_xlfn.XLOOKUP($A51,Inputs!$A:$A,Inputs!E:E,,0)</f>
        <v>3068</v>
      </c>
      <c r="F51" s="51">
        <f>_xlfn.XLOOKUP($A51,Inputs!$A:$A,Inputs!F:F,,0)</f>
        <v>3516</v>
      </c>
      <c r="G51" s="51">
        <f>_xlfn.XLOOKUP($A51,Inputs!$A:$A,Inputs!G:G,,0)</f>
        <v>2936</v>
      </c>
      <c r="H51" s="51">
        <f>_xlfn.XLOOKUP($A51,Inputs!$A:$A,Inputs!H:H,,0)</f>
        <v>2300</v>
      </c>
      <c r="I51" s="51">
        <f>_xlfn.XLOOKUP($A51,Inputs!$A:$A,Inputs!I:I,,0)</f>
        <v>1699</v>
      </c>
      <c r="J51" s="51">
        <f>_xlfn.XLOOKUP($A51,Inputs!$A:$A,Inputs!J:J,,0)</f>
        <v>1991</v>
      </c>
      <c r="K51" s="51">
        <f>_xlfn.XLOOKUP($A51,Inputs!$A:$A,Inputs!K:K,,0)</f>
        <v>1869</v>
      </c>
      <c r="L51" s="51">
        <f>_xlfn.XLOOKUP($A51,Inputs!$A:$A,Inputs!L:L,,0)</f>
        <v>0.90000000000000013</v>
      </c>
      <c r="M51" s="51">
        <f>_xlfn.XLOOKUP($A51,Inputs!$A:$A,Inputs!M:M,,0)</f>
        <v>0</v>
      </c>
    </row>
    <row r="52" spans="1:13">
      <c r="A52" s="111" t="s">
        <v>1098</v>
      </c>
      <c r="B52" s="57">
        <f>_xlfn.XLOOKUP($A52,Inputs!$A:$A,Inputs!B:B,,0)</f>
        <v>11897</v>
      </c>
      <c r="C52" s="57">
        <f>_xlfn.XLOOKUP($A52,Inputs!$A:$A,Inputs!C:C,,0)</f>
        <v>10403</v>
      </c>
      <c r="D52" s="57">
        <f>_xlfn.XLOOKUP($A52,Inputs!$A:$A,Inputs!D:D,,0)</f>
        <v>9663</v>
      </c>
      <c r="E52" s="57">
        <f>_xlfn.XLOOKUP($A52,Inputs!$A:$A,Inputs!E:E,,0)</f>
        <v>10471</v>
      </c>
      <c r="F52" s="57">
        <f>_xlfn.XLOOKUP($A52,Inputs!$A:$A,Inputs!F:F,,0)</f>
        <v>10111</v>
      </c>
      <c r="G52" s="57">
        <f>_xlfn.XLOOKUP($A52,Inputs!$A:$A,Inputs!G:G,,0)</f>
        <v>12649</v>
      </c>
      <c r="H52" s="57">
        <f>_xlfn.XLOOKUP($A52,Inputs!$A:$A,Inputs!H:H,,0)</f>
        <v>11935</v>
      </c>
      <c r="I52" s="57">
        <f>_xlfn.XLOOKUP($A52,Inputs!$A:$A,Inputs!I:I,,0)</f>
        <v>11223</v>
      </c>
      <c r="J52" s="57">
        <f>_xlfn.XLOOKUP($A52,Inputs!$A:$A,Inputs!J:J,,0)</f>
        <v>11248</v>
      </c>
      <c r="K52" s="57">
        <f>_xlfn.XLOOKUP($A52,Inputs!$A:$A,Inputs!K:K,,0)</f>
        <v>10829</v>
      </c>
      <c r="L52" s="57">
        <f>_xlfn.XLOOKUP($A52,Inputs!$A:$A,Inputs!L:L,,0)</f>
        <v>0</v>
      </c>
      <c r="M52" s="57">
        <f>_xlfn.XLOOKUP($A52,Inputs!$A:$A,Inputs!M:M,,0)</f>
        <v>0</v>
      </c>
    </row>
    <row r="53" spans="1:13">
      <c r="A53" s="112" t="s">
        <v>1099</v>
      </c>
      <c r="B53" s="51">
        <f>_xlfn.XLOOKUP($A53,Inputs!$A:$A,Inputs!B:B,,0)</f>
        <v>8987</v>
      </c>
      <c r="C53" s="51">
        <f>_xlfn.XLOOKUP($A53,Inputs!$A:$A,Inputs!C:C,,0)</f>
        <v>8110</v>
      </c>
      <c r="D53" s="51">
        <f>_xlfn.XLOOKUP($A53,Inputs!$A:$A,Inputs!D:D,,0)</f>
        <v>7329</v>
      </c>
      <c r="E53" s="51">
        <f>_xlfn.XLOOKUP($A53,Inputs!$A:$A,Inputs!E:E,,0)</f>
        <v>7700</v>
      </c>
      <c r="F53" s="51">
        <f>_xlfn.XLOOKUP($A53,Inputs!$A:$A,Inputs!F:F,,0)</f>
        <v>7311</v>
      </c>
      <c r="G53" s="51">
        <f>_xlfn.XLOOKUP($A53,Inputs!$A:$A,Inputs!G:G,,0)</f>
        <v>9951</v>
      </c>
      <c r="H53" s="51">
        <f>_xlfn.XLOOKUP($A53,Inputs!$A:$A,Inputs!H:H,,0)</f>
        <v>8879</v>
      </c>
      <c r="I53" s="51">
        <f>_xlfn.XLOOKUP($A53,Inputs!$A:$A,Inputs!I:I,,0)</f>
        <v>8475</v>
      </c>
      <c r="J53" s="51">
        <f>_xlfn.XLOOKUP($A53,Inputs!$A:$A,Inputs!J:J,,0)</f>
        <v>8592</v>
      </c>
      <c r="K53" s="51">
        <f>_xlfn.XLOOKUP($A53,Inputs!$A:$A,Inputs!K:K,,0)</f>
        <v>8231</v>
      </c>
      <c r="L53" s="51" t="str">
        <f>_xlfn.XLOOKUP($A53,Inputs!$A:$A,Inputs!L:L,,0)</f>
        <v>--</v>
      </c>
      <c r="M53" s="51">
        <f>_xlfn.XLOOKUP($A53,Inputs!$A:$A,Inputs!M:M,,0)</f>
        <v>0</v>
      </c>
    </row>
    <row r="54" spans="1:13">
      <c r="A54" s="106" t="s">
        <v>1100</v>
      </c>
      <c r="B54" s="51">
        <f>_xlfn.XLOOKUP($A54,Inputs!$A:$A,Inputs!B:B,,0)</f>
        <v>2</v>
      </c>
      <c r="C54" s="51">
        <f>_xlfn.XLOOKUP($A54,Inputs!$A:$A,Inputs!C:C,,0)</f>
        <v>2</v>
      </c>
      <c r="D54" s="51">
        <f>_xlfn.XLOOKUP($A54,Inputs!$A:$A,Inputs!D:D,,0)</f>
        <v>1</v>
      </c>
      <c r="E54" s="51">
        <f>_xlfn.XLOOKUP($A54,Inputs!$A:$A,Inputs!E:E,,0)</f>
        <v>1</v>
      </c>
      <c r="F54" s="51">
        <f>_xlfn.XLOOKUP($A54,Inputs!$A:$A,Inputs!F:F,,0)</f>
        <v>1</v>
      </c>
      <c r="G54" s="51">
        <f>_xlfn.XLOOKUP($A54,Inputs!$A:$A,Inputs!G:G,,0)</f>
        <v>0</v>
      </c>
      <c r="H54" s="51">
        <f>_xlfn.XLOOKUP($A54,Inputs!$A:$A,Inputs!H:H,,0)</f>
        <v>0</v>
      </c>
      <c r="I54" s="51">
        <f>_xlfn.XLOOKUP($A54,Inputs!$A:$A,Inputs!I:I,,0)</f>
        <v>0</v>
      </c>
      <c r="J54" s="51">
        <f>_xlfn.XLOOKUP($A54,Inputs!$A:$A,Inputs!J:J,,0)</f>
        <v>0</v>
      </c>
      <c r="K54" s="51">
        <f>_xlfn.XLOOKUP($A54,Inputs!$A:$A,Inputs!K:K,,0)</f>
        <v>0</v>
      </c>
      <c r="L54" s="51">
        <f>_xlfn.XLOOKUP($A54,Inputs!$A:$A,Inputs!L:L,,0)</f>
        <v>0</v>
      </c>
      <c r="M54" s="51">
        <f>_xlfn.XLOOKUP($A54,Inputs!$A:$A,Inputs!M:M,,0)</f>
        <v>0</v>
      </c>
    </row>
    <row r="55" spans="1:13">
      <c r="A55" s="107" t="s">
        <v>1101</v>
      </c>
      <c r="B55" s="51">
        <f>_xlfn.XLOOKUP($A55,Inputs!$A:$A,Inputs!B:B,,0)</f>
        <v>2908</v>
      </c>
      <c r="C55" s="51">
        <f>_xlfn.XLOOKUP($A55,Inputs!$A:$A,Inputs!C:C,,0)</f>
        <v>2291</v>
      </c>
      <c r="D55" s="51">
        <f>_xlfn.XLOOKUP($A55,Inputs!$A:$A,Inputs!D:D,,0)</f>
        <v>2333</v>
      </c>
      <c r="E55" s="51">
        <f>_xlfn.XLOOKUP($A55,Inputs!$A:$A,Inputs!E:E,,0)</f>
        <v>2770</v>
      </c>
      <c r="F55" s="51">
        <f>_xlfn.XLOOKUP($A55,Inputs!$A:$A,Inputs!F:F,,0)</f>
        <v>2799</v>
      </c>
      <c r="G55" s="51">
        <f>_xlfn.XLOOKUP($A55,Inputs!$A:$A,Inputs!G:G,,0)</f>
        <v>2698</v>
      </c>
      <c r="H55" s="51">
        <f>_xlfn.XLOOKUP($A55,Inputs!$A:$A,Inputs!H:H,,0)</f>
        <v>3056</v>
      </c>
      <c r="I55" s="51">
        <f>_xlfn.XLOOKUP($A55,Inputs!$A:$A,Inputs!I:I,,0)</f>
        <v>2748</v>
      </c>
      <c r="J55" s="51">
        <f>_xlfn.XLOOKUP($A55,Inputs!$A:$A,Inputs!J:J,,0)</f>
        <v>2656</v>
      </c>
      <c r="K55" s="51">
        <f>_xlfn.XLOOKUP($A55,Inputs!$A:$A,Inputs!K:K,,0)</f>
        <v>2598</v>
      </c>
      <c r="L55" s="51">
        <f>_xlfn.XLOOKUP($A55,Inputs!$A:$A,Inputs!L:L,,0)</f>
        <v>0</v>
      </c>
      <c r="M55" s="51">
        <f>_xlfn.XLOOKUP($A55,Inputs!$A:$A,Inputs!M:M,,0)</f>
        <v>0</v>
      </c>
    </row>
    <row r="56" spans="1:13">
      <c r="A56" s="111" t="s">
        <v>58</v>
      </c>
      <c r="B56" s="57">
        <f>_xlfn.XLOOKUP($A56,Inputs!$A:$A,Inputs!B:B,,0)</f>
        <v>24945</v>
      </c>
      <c r="C56" s="57">
        <f>_xlfn.XLOOKUP($A56,Inputs!$A:$A,Inputs!C:C,,0)</f>
        <v>20108</v>
      </c>
      <c r="D56" s="57">
        <f>_xlfn.XLOOKUP($A56,Inputs!$A:$A,Inputs!D:D,,0)</f>
        <v>17864</v>
      </c>
      <c r="E56" s="57">
        <f>_xlfn.XLOOKUP($A56,Inputs!$A:$A,Inputs!E:E,,0)</f>
        <v>17870</v>
      </c>
      <c r="F56" s="57">
        <f>_xlfn.XLOOKUP($A56,Inputs!$A:$A,Inputs!F:F,,0)</f>
        <v>18655</v>
      </c>
      <c r="G56" s="57">
        <f>_xlfn.XLOOKUP($A56,Inputs!$A:$A,Inputs!G:G,,0)</f>
        <v>16890</v>
      </c>
      <c r="H56" s="57">
        <f>_xlfn.XLOOKUP($A56,Inputs!$A:$A,Inputs!H:H,,0)</f>
        <v>15390</v>
      </c>
      <c r="I56" s="57">
        <f>_xlfn.XLOOKUP($A56,Inputs!$A:$A,Inputs!I:I,,0)</f>
        <v>13861</v>
      </c>
      <c r="J56" s="57">
        <f>_xlfn.XLOOKUP($A56,Inputs!$A:$A,Inputs!J:J,,0)</f>
        <v>14169</v>
      </c>
      <c r="K56" s="57">
        <f>_xlfn.XLOOKUP($A56,Inputs!$A:$A,Inputs!K:K,,0)</f>
        <v>13866</v>
      </c>
      <c r="L56" s="57">
        <f>_xlfn.XLOOKUP($A56,Inputs!$A:$A,Inputs!L:L,,0)</f>
        <v>2.2000000000000002</v>
      </c>
      <c r="M56" s="57">
        <f>_xlfn.XLOOKUP($A56,Inputs!$A:$A,Inputs!M:M,,0)</f>
        <v>0</v>
      </c>
    </row>
    <row r="57" spans="1:13">
      <c r="B57"/>
      <c r="C57"/>
      <c r="D57"/>
      <c r="E57"/>
      <c r="F57"/>
      <c r="G57"/>
      <c r="H57"/>
      <c r="I57"/>
      <c r="J57"/>
      <c r="K57"/>
      <c r="L57"/>
      <c r="M57"/>
    </row>
    <row r="58" spans="1:13">
      <c r="A58" s="111" t="s">
        <v>307</v>
      </c>
      <c r="B58" s="57">
        <f>B49+B53+B50+B54</f>
        <v>14238</v>
      </c>
      <c r="C58" s="57">
        <f t="shared" ref="C58:M58" si="73">C49+C53+C50+C54</f>
        <v>11475</v>
      </c>
      <c r="D58" s="57">
        <f t="shared" si="73"/>
        <v>10433</v>
      </c>
      <c r="E58" s="57">
        <f t="shared" si="73"/>
        <v>10856</v>
      </c>
      <c r="F58" s="57">
        <f t="shared" si="73"/>
        <v>11224</v>
      </c>
      <c r="G58" s="57">
        <f t="shared" si="73"/>
        <v>9951</v>
      </c>
      <c r="H58" s="57">
        <f t="shared" si="73"/>
        <v>8879</v>
      </c>
      <c r="I58" s="57">
        <f t="shared" si="73"/>
        <v>8475</v>
      </c>
      <c r="J58" s="57">
        <f t="shared" si="73"/>
        <v>8592</v>
      </c>
      <c r="K58" s="57">
        <f t="shared" si="73"/>
        <v>8231</v>
      </c>
      <c r="L58" s="57" t="e">
        <f t="shared" si="73"/>
        <v>#VALUE!</v>
      </c>
      <c r="M58" s="57">
        <f t="shared" si="73"/>
        <v>0</v>
      </c>
    </row>
    <row r="59" spans="1:13">
      <c r="A59" s="112" t="s">
        <v>79</v>
      </c>
      <c r="B59" s="53">
        <f>IFERROR(B58/B44,"-")</f>
        <v>0.3487739754550131</v>
      </c>
      <c r="C59" s="53">
        <f t="shared" ref="C59:M59" si="74">IFERROR(C58/C44,"-")</f>
        <v>0.34484313018391632</v>
      </c>
      <c r="D59" s="53">
        <f t="shared" si="74"/>
        <v>0.35605078151662001</v>
      </c>
      <c r="E59" s="53">
        <f t="shared" si="74"/>
        <v>0.38414720452937012</v>
      </c>
      <c r="F59" s="53">
        <f t="shared" si="74"/>
        <v>0.39575473361306018</v>
      </c>
      <c r="G59" s="53">
        <f t="shared" si="74"/>
        <v>0.39051094890510951</v>
      </c>
      <c r="H59" s="53">
        <f t="shared" si="74"/>
        <v>0.37879692832764505</v>
      </c>
      <c r="I59" s="53">
        <f t="shared" si="74"/>
        <v>0.41063035999806191</v>
      </c>
      <c r="J59" s="53">
        <f t="shared" si="74"/>
        <v>0.40701089531027951</v>
      </c>
      <c r="K59" s="53">
        <f t="shared" si="74"/>
        <v>0.39919491730927786</v>
      </c>
      <c r="L59" s="53" t="str">
        <f t="shared" si="74"/>
        <v>-</v>
      </c>
      <c r="M59" s="53" t="str">
        <f t="shared" si="74"/>
        <v>-</v>
      </c>
    </row>
    <row r="60" spans="1:13">
      <c r="A60" s="111" t="s">
        <v>1102</v>
      </c>
      <c r="B60" s="57">
        <f>B58-B39</f>
        <v>7056</v>
      </c>
      <c r="C60" s="57">
        <f t="shared" ref="C60:M60" si="75">C58-C39</f>
        <v>6784</v>
      </c>
      <c r="D60" s="57">
        <f t="shared" si="75"/>
        <v>7005</v>
      </c>
      <c r="E60" s="57">
        <f t="shared" si="75"/>
        <v>10502</v>
      </c>
      <c r="F60" s="57">
        <f t="shared" si="75"/>
        <v>7049</v>
      </c>
      <c r="G60" s="57">
        <f t="shared" si="75"/>
        <v>6515</v>
      </c>
      <c r="H60" s="57">
        <f t="shared" si="75"/>
        <v>6514</v>
      </c>
      <c r="I60" s="57">
        <f t="shared" si="75"/>
        <v>6559</v>
      </c>
      <c r="J60" s="57">
        <f t="shared" si="75"/>
        <v>6576</v>
      </c>
      <c r="K60" s="57">
        <f t="shared" si="75"/>
        <v>6493</v>
      </c>
      <c r="L60" s="57" t="e">
        <f t="shared" si="75"/>
        <v>#VALUE!</v>
      </c>
      <c r="M60" s="57">
        <f t="shared" si="75"/>
        <v>0</v>
      </c>
    </row>
    <row r="61" spans="1:13">
      <c r="B61"/>
      <c r="C61"/>
      <c r="D61"/>
      <c r="E61"/>
      <c r="F61"/>
      <c r="G61"/>
      <c r="H61"/>
      <c r="I61"/>
      <c r="J61"/>
      <c r="K61"/>
      <c r="L61"/>
      <c r="M61"/>
    </row>
    <row r="62" spans="1:13" s="45" customFormat="1">
      <c r="A62" s="111" t="s">
        <v>1103</v>
      </c>
      <c r="B62" s="57">
        <f>_xlfn.XLOOKUP($A62,Inputs!$A:$A,Inputs!B:B,,0)</f>
        <v>0</v>
      </c>
      <c r="C62" s="57">
        <f>_xlfn.XLOOKUP($A62,Inputs!$A:$A,Inputs!C:C,,0)</f>
        <v>0</v>
      </c>
      <c r="D62" s="57">
        <f>_xlfn.XLOOKUP($A62,Inputs!$A:$A,Inputs!D:D,,0)</f>
        <v>0</v>
      </c>
      <c r="E62" s="57">
        <f>_xlfn.XLOOKUP($A62,Inputs!$A:$A,Inputs!E:E,,0)</f>
        <v>0</v>
      </c>
      <c r="F62" s="57">
        <f>_xlfn.XLOOKUP($A62,Inputs!$A:$A,Inputs!F:F,,0)</f>
        <v>0</v>
      </c>
      <c r="G62" s="57">
        <f>_xlfn.XLOOKUP($A62,Inputs!$A:$A,Inputs!G:G,,0)</f>
        <v>0</v>
      </c>
      <c r="H62" s="57">
        <f>_xlfn.XLOOKUP($A62,Inputs!$A:$A,Inputs!H:H,,0)</f>
        <v>0</v>
      </c>
      <c r="I62" s="57">
        <f>_xlfn.XLOOKUP($A62,Inputs!$A:$A,Inputs!I:I,,0)</f>
        <v>0</v>
      </c>
      <c r="J62" s="57">
        <f>_xlfn.XLOOKUP($A62,Inputs!$A:$A,Inputs!J:J,,0)</f>
        <v>0</v>
      </c>
      <c r="K62" s="57">
        <f>_xlfn.XLOOKUP($A62,Inputs!$A:$A,Inputs!K:K,,0)</f>
        <v>0</v>
      </c>
      <c r="L62" s="57">
        <f>_xlfn.XLOOKUP($A62,Inputs!$A:$A,Inputs!L:L,,0)</f>
        <v>0</v>
      </c>
      <c r="M62" s="57">
        <f>_xlfn.XLOOKUP($A62,Inputs!$A:$A,Inputs!M:M,,0)</f>
        <v>0</v>
      </c>
    </row>
    <row r="63" spans="1:13">
      <c r="B63"/>
      <c r="C63"/>
      <c r="D63"/>
      <c r="E63"/>
      <c r="F63"/>
      <c r="G63"/>
      <c r="H63"/>
      <c r="I63"/>
      <c r="J63"/>
      <c r="K63"/>
      <c r="L63"/>
      <c r="M63"/>
    </row>
    <row r="64" spans="1:13">
      <c r="A64" s="111" t="s">
        <v>1104</v>
      </c>
      <c r="B64" s="57">
        <f>_xlfn.XLOOKUP($A64,Inputs!$A:$A,Inputs!B:B,,0)</f>
        <v>15878</v>
      </c>
      <c r="C64" s="57">
        <f>_xlfn.XLOOKUP($A64,Inputs!$A:$A,Inputs!C:C,,0)</f>
        <v>13168</v>
      </c>
      <c r="D64" s="57">
        <f>_xlfn.XLOOKUP($A64,Inputs!$A:$A,Inputs!D:D,,0)</f>
        <v>11438</v>
      </c>
      <c r="E64" s="57">
        <f>_xlfn.XLOOKUP($A64,Inputs!$A:$A,Inputs!E:E,,0)</f>
        <v>10390</v>
      </c>
      <c r="F64" s="57">
        <f>_xlfn.XLOOKUP($A64,Inputs!$A:$A,Inputs!F:F,,0)</f>
        <v>9706</v>
      </c>
      <c r="G64" s="57">
        <f>_xlfn.XLOOKUP($A64,Inputs!$A:$A,Inputs!G:G,,0)</f>
        <v>8592</v>
      </c>
      <c r="H64" s="57">
        <f>_xlfn.XLOOKUP($A64,Inputs!$A:$A,Inputs!H:H,,0)</f>
        <v>8050</v>
      </c>
      <c r="I64" s="57">
        <f>_xlfn.XLOOKUP($A64,Inputs!$A:$A,Inputs!I:I,,0)</f>
        <v>6778</v>
      </c>
      <c r="J64" s="57">
        <f>_xlfn.XLOOKUP($A64,Inputs!$A:$A,Inputs!J:J,,0)</f>
        <v>6941</v>
      </c>
      <c r="K64" s="57">
        <f>_xlfn.XLOOKUP($A64,Inputs!$A:$A,Inputs!K:K,,0)</f>
        <v>6753</v>
      </c>
      <c r="L64" s="57">
        <f>_xlfn.XLOOKUP($A64,Inputs!$A:$A,Inputs!L:L,,0)</f>
        <v>8940.7999999999993</v>
      </c>
      <c r="M64" s="57">
        <f>_xlfn.XLOOKUP($A64,Inputs!$A:$A,Inputs!M:M,,0)</f>
        <v>0</v>
      </c>
    </row>
    <row r="65" spans="1:235">
      <c r="K65" s="41"/>
      <c r="L65" s="41"/>
      <c r="M65" s="41"/>
    </row>
    <row r="66" spans="1:235" ht="20.25">
      <c r="A66" s="1506" t="s">
        <v>140</v>
      </c>
      <c r="B66" s="1506"/>
      <c r="C66" s="1506"/>
      <c r="D66" s="1506"/>
      <c r="E66" s="1506"/>
      <c r="F66" s="1506"/>
      <c r="G66" s="1506"/>
      <c r="H66" s="1506"/>
      <c r="I66" s="1506"/>
      <c r="J66" s="1506"/>
      <c r="K66" s="1506"/>
      <c r="L66" s="1506"/>
      <c r="M66" s="1506"/>
    </row>
    <row r="67" spans="1:235">
      <c r="A67" s="111" t="s">
        <v>141</v>
      </c>
      <c r="B67" s="57">
        <f>_xlfn.XLOOKUP($A67,Inputs!$A:$A,Inputs!B:B,,0)</f>
        <v>4190</v>
      </c>
      <c r="C67" s="57">
        <f>_xlfn.XLOOKUP($A67,Inputs!$A:$A,Inputs!C:C,,0)</f>
        <v>3027</v>
      </c>
      <c r="D67" s="57">
        <f>_xlfn.XLOOKUP($A67,Inputs!$A:$A,Inputs!D:D,,0)</f>
        <v>2186.6999999999998</v>
      </c>
      <c r="E67" s="57">
        <f>_xlfn.XLOOKUP($A67,Inputs!$A:$A,Inputs!E:E,,0)</f>
        <v>2987.2</v>
      </c>
      <c r="F67" s="57">
        <f>_xlfn.XLOOKUP($A67,Inputs!$A:$A,Inputs!F:F,,0)</f>
        <v>2860.3</v>
      </c>
      <c r="G67" s="57">
        <f>_xlfn.XLOOKUP($A67,Inputs!$A:$A,Inputs!G:G,,0)</f>
        <v>2992.3</v>
      </c>
      <c r="H67" s="57">
        <f>_xlfn.XLOOKUP($A67,Inputs!$A:$A,Inputs!H:H,,0)</f>
        <v>2715.8</v>
      </c>
      <c r="I67" s="57">
        <f>_xlfn.XLOOKUP($A67,Inputs!$A:$A,Inputs!I:I,,0)</f>
        <v>2300.8000000000002</v>
      </c>
      <c r="J67" s="57">
        <f>_xlfn.XLOOKUP($A67,Inputs!$A:$A,Inputs!J:J,,0)</f>
        <v>2556</v>
      </c>
      <c r="K67" s="57">
        <f>_xlfn.XLOOKUP($A67,Inputs!$A:$A,Inputs!K:K,,0)</f>
        <v>2123.6</v>
      </c>
      <c r="L67" s="57">
        <f>_xlfn.XLOOKUP($A67,Inputs!$A:$A,Inputs!L:L,,0)</f>
        <v>-0.8</v>
      </c>
      <c r="M67" s="57">
        <f>_xlfn.XLOOKUP($A67,Inputs!$A:$A,Inputs!M:M,,0)</f>
        <v>0</v>
      </c>
    </row>
    <row r="68" spans="1:235">
      <c r="A68" s="111" t="s">
        <v>142</v>
      </c>
      <c r="B68" s="57">
        <f>_xlfn.XLOOKUP($A68,Inputs!$A:$A,Inputs!B:B,,0)</f>
        <v>-2871</v>
      </c>
      <c r="C68" s="57">
        <f>_xlfn.XLOOKUP($A68,Inputs!$A:$A,Inputs!C:C,,0)</f>
        <v>-2033</v>
      </c>
      <c r="D68" s="57">
        <f>_xlfn.XLOOKUP($A68,Inputs!$A:$A,Inputs!D:D,,0)</f>
        <v>-1362.7</v>
      </c>
      <c r="E68" s="57">
        <f>_xlfn.XLOOKUP($A68,Inputs!$A:$A,Inputs!E:E,,0)</f>
        <v>-1875.8</v>
      </c>
      <c r="F68" s="57">
        <f>_xlfn.XLOOKUP($A68,Inputs!$A:$A,Inputs!F:F,,0)</f>
        <v>-2207.4</v>
      </c>
      <c r="G68" s="57">
        <f>_xlfn.XLOOKUP($A68,Inputs!$A:$A,Inputs!G:G,,0)</f>
        <v>-1930.7</v>
      </c>
      <c r="H68" s="57">
        <f>_xlfn.XLOOKUP($A68,Inputs!$A:$A,Inputs!H:H,,0)</f>
        <v>-1964.6</v>
      </c>
      <c r="I68" s="57">
        <f>_xlfn.XLOOKUP($A68,Inputs!$A:$A,Inputs!I:I,,0)</f>
        <v>-1564.3</v>
      </c>
      <c r="J68" s="57">
        <f>_xlfn.XLOOKUP($A68,Inputs!$A:$A,Inputs!J:J,,0)</f>
        <v>-1974.9</v>
      </c>
      <c r="K68" s="57">
        <f>_xlfn.XLOOKUP($A68,Inputs!$A:$A,Inputs!K:K,,0)</f>
        <v>-1531.9</v>
      </c>
      <c r="L68" s="57">
        <f>_xlfn.XLOOKUP($A68,Inputs!$A:$A,Inputs!L:L,,0)</f>
        <v>-1.5</v>
      </c>
      <c r="M68" s="57">
        <f>_xlfn.XLOOKUP($A68,Inputs!$A:$A,Inputs!M:M,,0)</f>
        <v>0</v>
      </c>
    </row>
    <row r="69" spans="1:235">
      <c r="A69" s="107" t="s">
        <v>143</v>
      </c>
      <c r="B69" s="51">
        <f>_xlfn.XLOOKUP($A69,Inputs!$A:$A,Inputs!B:B,,0)</f>
        <v>-695</v>
      </c>
      <c r="C69" s="51">
        <f>_xlfn.XLOOKUP($A69,Inputs!$A:$A,Inputs!C:C,,0)</f>
        <v>-525</v>
      </c>
      <c r="D69" s="51">
        <f>_xlfn.XLOOKUP($A69,Inputs!$A:$A,Inputs!D:D,,0)</f>
        <v>-559.1</v>
      </c>
      <c r="E69" s="51">
        <f>_xlfn.XLOOKUP($A69,Inputs!$A:$A,Inputs!E:E,,0)</f>
        <v>-550.4</v>
      </c>
      <c r="F69" s="51">
        <f>_xlfn.XLOOKUP($A69,Inputs!$A:$A,Inputs!F:F,,0)</f>
        <v>-574</v>
      </c>
      <c r="G69" s="51">
        <f>_xlfn.XLOOKUP($A69,Inputs!$A:$A,Inputs!G:G,,0)</f>
        <v>-457.6</v>
      </c>
      <c r="H69" s="51">
        <f>_xlfn.XLOOKUP($A69,Inputs!$A:$A,Inputs!H:H,,0)</f>
        <v>-423.4</v>
      </c>
      <c r="I69" s="51">
        <f>_xlfn.XLOOKUP($A69,Inputs!$A:$A,Inputs!I:I,,0)</f>
        <v>-375.2</v>
      </c>
      <c r="J69" s="51">
        <f>_xlfn.XLOOKUP($A69,Inputs!$A:$A,Inputs!J:J,,0)</f>
        <v>-286.7</v>
      </c>
      <c r="K69" s="51">
        <f>_xlfn.XLOOKUP($A69,Inputs!$A:$A,Inputs!K:K,,0)</f>
        <v>-289.2</v>
      </c>
      <c r="L69" s="51">
        <f>_xlfn.XLOOKUP($A69,Inputs!$A:$A,Inputs!L:L,,0)</f>
        <v>-1.5</v>
      </c>
      <c r="M69" s="51">
        <f>_xlfn.XLOOKUP($A69,Inputs!$A:$A,Inputs!M:M,,0)</f>
        <v>0</v>
      </c>
    </row>
    <row r="70" spans="1:235">
      <c r="A70" s="107" t="s">
        <v>144</v>
      </c>
      <c r="B70" s="51">
        <f>_xlfn.XLOOKUP($A70,Inputs!$A:$A,Inputs!B:B,,0)</f>
        <v>-731.1</v>
      </c>
      <c r="C70" s="51">
        <f>_xlfn.XLOOKUP($A70,Inputs!$A:$A,Inputs!C:C,,0)</f>
        <v>-1035.8</v>
      </c>
      <c r="D70" s="51">
        <f>_xlfn.XLOOKUP($A70,Inputs!$A:$A,Inputs!D:D,,0)</f>
        <v>-1249.8000000000002</v>
      </c>
      <c r="E70" s="51">
        <f>_xlfn.XLOOKUP($A70,Inputs!$A:$A,Inputs!E:E,,0)</f>
        <v>-1332.6</v>
      </c>
      <c r="F70" s="51">
        <f>_xlfn.XLOOKUP($A70,Inputs!$A:$A,Inputs!F:F,,0)</f>
        <v>-1531.9</v>
      </c>
      <c r="G70" s="51">
        <f>_xlfn.XLOOKUP($A70,Inputs!$A:$A,Inputs!G:G,,0)</f>
        <v>-1179.0999999999999</v>
      </c>
      <c r="H70" s="51">
        <f>_xlfn.XLOOKUP($A70,Inputs!$A:$A,Inputs!H:H,,0)</f>
        <v>-1614</v>
      </c>
      <c r="I70" s="51">
        <f>_xlfn.XLOOKUP($A70,Inputs!$A:$A,Inputs!I:I,,0)</f>
        <v>-1316.8000000000002</v>
      </c>
      <c r="J70" s="51">
        <f>_xlfn.XLOOKUP($A70,Inputs!$A:$A,Inputs!J:J,,0)</f>
        <v>-1732.8</v>
      </c>
      <c r="K70" s="51">
        <f>_xlfn.XLOOKUP($A70,Inputs!$A:$A,Inputs!K:K,,0)</f>
        <v>-1363.6999999999998</v>
      </c>
      <c r="L70" s="51">
        <f>_xlfn.XLOOKUP($A70,Inputs!$A:$A,Inputs!L:L,,0)</f>
        <v>0</v>
      </c>
      <c r="M70" s="51">
        <f>_xlfn.XLOOKUP($A70,Inputs!$A:$A,Inputs!M:M,,0)</f>
        <v>0</v>
      </c>
      <c r="IA70" s="41"/>
    </row>
    <row r="71" spans="1:235">
      <c r="A71" s="111" t="s">
        <v>145</v>
      </c>
      <c r="B71" s="57">
        <f>_xlfn.XLOOKUP($A71,Inputs!$A:$A,Inputs!B:B,,0)</f>
        <v>1102.2</v>
      </c>
      <c r="C71" s="57">
        <f>_xlfn.XLOOKUP($A71,Inputs!$A:$A,Inputs!C:C,,0)</f>
        <v>304.89999999999998</v>
      </c>
      <c r="D71" s="57">
        <f>_xlfn.XLOOKUP($A71,Inputs!$A:$A,Inputs!D:D,,0)</f>
        <v>-882.9</v>
      </c>
      <c r="E71" s="57">
        <f>_xlfn.XLOOKUP($A71,Inputs!$A:$A,Inputs!E:E,,0)</f>
        <v>-1808.5</v>
      </c>
      <c r="F71" s="57">
        <f>_xlfn.XLOOKUP($A71,Inputs!$A:$A,Inputs!F:F,,0)</f>
        <v>83.4</v>
      </c>
      <c r="G71" s="57">
        <f>_xlfn.XLOOKUP($A71,Inputs!$A:$A,Inputs!G:G,,0)</f>
        <v>71.099999999999994</v>
      </c>
      <c r="H71" s="57">
        <f>_xlfn.XLOOKUP($A71,Inputs!$A:$A,Inputs!H:H,,0)</f>
        <v>-393.8</v>
      </c>
      <c r="I71" s="57">
        <f>_xlfn.XLOOKUP($A71,Inputs!$A:$A,Inputs!I:I,,0)</f>
        <v>-823.5</v>
      </c>
      <c r="J71" s="57">
        <f>_xlfn.XLOOKUP($A71,Inputs!$A:$A,Inputs!J:J,,0)</f>
        <v>-196.5</v>
      </c>
      <c r="K71" s="57">
        <f>_xlfn.XLOOKUP($A71,Inputs!$A:$A,Inputs!K:K,,0)</f>
        <v>-520.5</v>
      </c>
      <c r="L71" s="57">
        <f>_xlfn.XLOOKUP($A71,Inputs!$A:$A,Inputs!L:L,,0)</f>
        <v>3.1</v>
      </c>
      <c r="M71" s="57">
        <f>_xlfn.XLOOKUP($A71,Inputs!$A:$A,Inputs!M:M,,0)</f>
        <v>0</v>
      </c>
      <c r="IA71" s="41"/>
    </row>
    <row r="72" spans="1:235">
      <c r="A72" s="107" t="s">
        <v>146</v>
      </c>
      <c r="B72" s="51">
        <f>_xlfn.XLOOKUP($A72,Inputs!$A:$A,Inputs!B:B,,0)</f>
        <v>-1518.6</v>
      </c>
      <c r="C72" s="51">
        <f>_xlfn.XLOOKUP($A72,Inputs!$A:$A,Inputs!C:C,,0)</f>
        <v>-1004.7</v>
      </c>
      <c r="D72" s="51">
        <f>_xlfn.XLOOKUP($A72,Inputs!$A:$A,Inputs!D:D,,0)</f>
        <v>-708</v>
      </c>
      <c r="E72" s="51">
        <f>_xlfn.XLOOKUP($A72,Inputs!$A:$A,Inputs!E:E,,0)</f>
        <v>-1239.8</v>
      </c>
      <c r="F72" s="51">
        <f>_xlfn.XLOOKUP($A72,Inputs!$A:$A,Inputs!F:F,,0)</f>
        <v>-1138.5999999999999</v>
      </c>
      <c r="G72" s="51">
        <f>_xlfn.XLOOKUP($A72,Inputs!$A:$A,Inputs!G:G,,0)</f>
        <v>-804.3</v>
      </c>
      <c r="H72" s="51">
        <f>_xlfn.XLOOKUP($A72,Inputs!$A:$A,Inputs!H:H,,0)</f>
        <v>-558.29999999999995</v>
      </c>
      <c r="I72" s="51">
        <f>_xlfn.XLOOKUP($A72,Inputs!$A:$A,Inputs!I:I,,0)</f>
        <v>-829.3</v>
      </c>
      <c r="J72" s="51">
        <f>_xlfn.XLOOKUP($A72,Inputs!$A:$A,Inputs!J:J,,0)</f>
        <v>-680.5</v>
      </c>
      <c r="K72" s="51">
        <f>_xlfn.XLOOKUP($A72,Inputs!$A:$A,Inputs!K:K,,0)</f>
        <v>-623.79999999999995</v>
      </c>
      <c r="L72" s="51" t="str">
        <f>_xlfn.XLOOKUP($A72,Inputs!$A:$A,Inputs!L:L,,0)</f>
        <v>--</v>
      </c>
      <c r="M72" s="51">
        <f>_xlfn.XLOOKUP($A72,Inputs!$A:$A,Inputs!M:M,,0)</f>
        <v>0</v>
      </c>
      <c r="IA72" s="41"/>
    </row>
    <row r="73" spans="1:235">
      <c r="A73" s="107" t="s">
        <v>1087</v>
      </c>
      <c r="B73" s="51">
        <f>_xlfn.XLOOKUP($A73,Inputs!$A:$A,Inputs!B:B,,0)</f>
        <v>-3.5</v>
      </c>
      <c r="C73" s="51" t="s">
        <v>1105</v>
      </c>
      <c r="D73" s="51">
        <f>_xlfn.XLOOKUP($A73,Inputs!$A:$A,Inputs!D:D,,0)</f>
        <v>-1.5</v>
      </c>
      <c r="E73" s="51">
        <f>_xlfn.XLOOKUP($A73,Inputs!$A:$A,Inputs!E:E,,0)</f>
        <v>-42.1</v>
      </c>
      <c r="F73" s="51">
        <f>_xlfn.XLOOKUP($A73,Inputs!$A:$A,Inputs!F:F,,0)</f>
        <v>-110.2</v>
      </c>
      <c r="G73" s="51">
        <f>_xlfn.XLOOKUP($A73,Inputs!$A:$A,Inputs!G:G,,0)</f>
        <v>-354.4</v>
      </c>
      <c r="H73" s="51">
        <f>_xlfn.XLOOKUP($A73,Inputs!$A:$A,Inputs!H:H,,0)</f>
        <v>0</v>
      </c>
      <c r="I73" s="51">
        <f>_xlfn.XLOOKUP($A73,Inputs!$A:$A,Inputs!I:I,,0)</f>
        <v>-70.5</v>
      </c>
      <c r="J73" s="51">
        <f>_xlfn.XLOOKUP($A73,Inputs!$A:$A,Inputs!J:J,,0)</f>
        <v>-201.6</v>
      </c>
      <c r="K73" s="51">
        <f>_xlfn.XLOOKUP($A73,Inputs!$A:$A,Inputs!K:K,,0)</f>
        <v>-42.7</v>
      </c>
      <c r="L73" s="51">
        <f>_xlfn.XLOOKUP($A73,Inputs!$A:$A,Inputs!L:L,,0)</f>
        <v>1.1000000000000001</v>
      </c>
      <c r="M73" s="51">
        <f>_xlfn.XLOOKUP($A73,Inputs!$A:$A,Inputs!M:M,,0)</f>
        <v>0</v>
      </c>
    </row>
    <row r="74" spans="1:235">
      <c r="A74" s="111" t="s">
        <v>149</v>
      </c>
      <c r="B74" s="57">
        <f>_xlfn.XLOOKUP($A74,Inputs!$A:$A,Inputs!B:B,,0)</f>
        <v>69.599999999999994</v>
      </c>
      <c r="C74" s="57">
        <f>_xlfn.XLOOKUP($A74,Inputs!$A:$A,Inputs!C:C,,0)</f>
        <v>-36.299999999999997</v>
      </c>
      <c r="D74" s="57">
        <f>_xlfn.XLOOKUP($A74,Inputs!$A:$A,Inputs!D:D,,0)</f>
        <v>-52.4</v>
      </c>
      <c r="E74" s="57">
        <f>_xlfn.XLOOKUP($A74,Inputs!$A:$A,Inputs!E:E,,0)</f>
        <v>61.6</v>
      </c>
      <c r="F74" s="57">
        <f>_xlfn.XLOOKUP($A74,Inputs!$A:$A,Inputs!F:F,,0)</f>
        <v>2.9</v>
      </c>
      <c r="G74" s="57">
        <f>_xlfn.XLOOKUP($A74,Inputs!$A:$A,Inputs!G:G,,0)</f>
        <v>-61.5</v>
      </c>
      <c r="H74" s="57">
        <f>_xlfn.XLOOKUP($A74,Inputs!$A:$A,Inputs!H:H,,0)</f>
        <v>91.6</v>
      </c>
      <c r="I74" s="57">
        <f>_xlfn.XLOOKUP($A74,Inputs!$A:$A,Inputs!I:I,,0)</f>
        <v>-13.7</v>
      </c>
      <c r="J74" s="57">
        <f>_xlfn.XLOOKUP($A74,Inputs!$A:$A,Inputs!J:J,,0)</f>
        <v>-105.8</v>
      </c>
      <c r="K74" s="57">
        <f>_xlfn.XLOOKUP($A74,Inputs!$A:$A,Inputs!K:K,,0)</f>
        <v>-83.7</v>
      </c>
      <c r="L74" s="57" t="str">
        <f>_xlfn.XLOOKUP($A74,Inputs!$A:$A,Inputs!L:L,,0)</f>
        <v>--</v>
      </c>
      <c r="M74" s="57">
        <f>_xlfn.XLOOKUP($A74,Inputs!$A:$A,Inputs!M:M,,0)</f>
        <v>0</v>
      </c>
    </row>
    <row r="75" spans="1:235">
      <c r="A75" s="111" t="s">
        <v>1106</v>
      </c>
      <c r="B75" s="57">
        <f>_xlfn.XLOOKUP($A75,Inputs!$A:$A,Inputs!B:B,,0)</f>
        <v>2490.7999999999997</v>
      </c>
      <c r="C75" s="57">
        <f>_xlfn.XLOOKUP($A75,Inputs!$A:$A,Inputs!C:C,,0)</f>
        <v>1262.6000000000001</v>
      </c>
      <c r="D75" s="57">
        <f>_xlfn.XLOOKUP($A75,Inputs!$A:$A,Inputs!D:D,,0)</f>
        <v>-111.30000000000021</v>
      </c>
      <c r="E75" s="57">
        <f>_xlfn.XLOOKUP($A75,Inputs!$A:$A,Inputs!E:E,,0)</f>
        <v>-635.50000000000011</v>
      </c>
      <c r="F75" s="57">
        <f>_xlfn.XLOOKUP($A75,Inputs!$A:$A,Inputs!F:F,,0)</f>
        <v>739.2</v>
      </c>
      <c r="G75" s="57">
        <f>_xlfn.XLOOKUP($A75,Inputs!$A:$A,Inputs!G:G,,0)</f>
        <v>1071.2</v>
      </c>
      <c r="H75" s="57">
        <f>_xlfn.XLOOKUP($A75,Inputs!$A:$A,Inputs!H:H,,0)</f>
        <v>449.00000000000023</v>
      </c>
      <c r="I75" s="57">
        <f>_xlfn.XLOOKUP($A75,Inputs!$A:$A,Inputs!I:I,,0)</f>
        <v>-100.69999999999978</v>
      </c>
      <c r="J75" s="57">
        <f>_xlfn.XLOOKUP($A75,Inputs!$A:$A,Inputs!J:J,,0)</f>
        <v>278.7999999999999</v>
      </c>
      <c r="K75" s="57">
        <f>_xlfn.XLOOKUP($A75,Inputs!$A:$A,Inputs!K:K,,0)</f>
        <v>-12.500000000000185</v>
      </c>
      <c r="L75" s="57" t="e">
        <f>_xlfn.XLOOKUP($A75,Inputs!$A:$A,Inputs!L:L,,0)</f>
        <v>#VALUE!</v>
      </c>
      <c r="M75" s="57">
        <f>_xlfn.XLOOKUP($A75,Inputs!$A:$A,Inputs!M:M,,0)</f>
        <v>0</v>
      </c>
    </row>
    <row r="76" spans="1:235">
      <c r="K76" s="41"/>
      <c r="L76" s="41"/>
      <c r="M76" s="41"/>
    </row>
    <row r="77" spans="1:235" ht="20.25">
      <c r="A77" s="1506" t="s">
        <v>1107</v>
      </c>
      <c r="B77" s="1506"/>
      <c r="C77" s="1506"/>
      <c r="D77" s="1506"/>
      <c r="E77" s="1506"/>
      <c r="F77" s="1506"/>
      <c r="G77" s="1506"/>
      <c r="H77" s="1506"/>
      <c r="I77" s="1506"/>
      <c r="J77" s="1506"/>
      <c r="K77" s="1506"/>
      <c r="L77" s="1506"/>
      <c r="M77" s="1506"/>
    </row>
    <row r="78" spans="1:235">
      <c r="A78" s="106" t="s">
        <v>1108</v>
      </c>
      <c r="B78" s="51" t="e">
        <f>_xlfn.XLOOKUP($A78,Inputs!$A:$A,Inputs!B:B,,0)</f>
        <v>#N/A</v>
      </c>
      <c r="C78" s="51" t="e">
        <f>_xlfn.XLOOKUP($A78,Inputs!$A:$A,Inputs!C:C,,0)</f>
        <v>#N/A</v>
      </c>
      <c r="D78" s="51" t="e">
        <f>_xlfn.XLOOKUP($A78,Inputs!$A:$A,Inputs!D:D,,0)</f>
        <v>#N/A</v>
      </c>
      <c r="E78" s="51" t="e">
        <f>_xlfn.XLOOKUP($A78,Inputs!$A:$A,Inputs!E:E,,0)</f>
        <v>#N/A</v>
      </c>
      <c r="F78" s="51" t="e">
        <f>_xlfn.XLOOKUP($A78,Inputs!$A:$A,Inputs!F:F,,0)</f>
        <v>#N/A</v>
      </c>
      <c r="G78" s="51" t="e">
        <f>_xlfn.XLOOKUP($A78,Inputs!$A:$A,Inputs!G:G,,0)</f>
        <v>#N/A</v>
      </c>
      <c r="H78" s="51" t="e">
        <f>_xlfn.XLOOKUP($A78,Inputs!$A:$A,Inputs!H:H,,0)</f>
        <v>#N/A</v>
      </c>
      <c r="I78" s="51" t="e">
        <f>_xlfn.XLOOKUP($A78,Inputs!$A:$A,Inputs!I:I,,0)</f>
        <v>#N/A</v>
      </c>
      <c r="J78" s="51" t="e">
        <f>_xlfn.XLOOKUP($A78,Inputs!$A:$A,Inputs!J:J,,0)</f>
        <v>#N/A</v>
      </c>
      <c r="K78" s="51" t="e">
        <f>_xlfn.XLOOKUP($A78,Inputs!$A:$A,Inputs!K:K,,0)</f>
        <v>#N/A</v>
      </c>
      <c r="L78" s="51" t="e">
        <f>_xlfn.XLOOKUP($A78,Inputs!$A:$A,Inputs!L:L,,0)</f>
        <v>#N/A</v>
      </c>
      <c r="M78" s="51" t="e">
        <f>_xlfn.XLOOKUP($A78,Inputs!$A:$A,Inputs!M:M,,0)</f>
        <v>#N/A</v>
      </c>
    </row>
    <row r="79" spans="1:235">
      <c r="A79" s="112" t="s">
        <v>1109</v>
      </c>
      <c r="B79" s="51" t="e">
        <f>_xlfn.XLOOKUP($A79,Inputs!$A:$A,Inputs!B:B,,0)</f>
        <v>#N/A</v>
      </c>
      <c r="C79" s="51" t="e">
        <f>_xlfn.XLOOKUP($A79,Inputs!$A:$A,Inputs!C:C,,0)</f>
        <v>#N/A</v>
      </c>
      <c r="D79" s="51" t="e">
        <f>_xlfn.XLOOKUP($A79,Inputs!$A:$A,Inputs!D:D,,0)</f>
        <v>#N/A</v>
      </c>
      <c r="E79" s="51" t="e">
        <f>_xlfn.XLOOKUP($A79,Inputs!$A:$A,Inputs!E:E,,0)</f>
        <v>#N/A</v>
      </c>
      <c r="F79" s="51" t="e">
        <f>_xlfn.XLOOKUP($A79,Inputs!$A:$A,Inputs!F:F,,0)</f>
        <v>#N/A</v>
      </c>
      <c r="G79" s="51" t="e">
        <f>_xlfn.XLOOKUP($A79,Inputs!$A:$A,Inputs!G:G,,0)</f>
        <v>#N/A</v>
      </c>
      <c r="H79" s="51" t="e">
        <f>_xlfn.XLOOKUP($A79,Inputs!$A:$A,Inputs!H:H,,0)</f>
        <v>#N/A</v>
      </c>
      <c r="I79" s="51" t="e">
        <f>_xlfn.XLOOKUP($A79,Inputs!$A:$A,Inputs!I:I,,0)</f>
        <v>#N/A</v>
      </c>
      <c r="J79" s="51" t="e">
        <f>_xlfn.XLOOKUP($A79,Inputs!$A:$A,Inputs!J:J,,0)</f>
        <v>#N/A</v>
      </c>
      <c r="K79" s="51" t="e">
        <f>_xlfn.XLOOKUP($A79,Inputs!$A:$A,Inputs!K:K,,0)</f>
        <v>#N/A</v>
      </c>
      <c r="L79" s="51" t="e">
        <f>_xlfn.XLOOKUP($A79,Inputs!$A:$A,Inputs!L:L,,0)</f>
        <v>#N/A</v>
      </c>
      <c r="M79" s="51" t="e">
        <f>_xlfn.XLOOKUP($A79,Inputs!$A:$A,Inputs!M:M,,0)</f>
        <v>#N/A</v>
      </c>
    </row>
    <row r="80" spans="1:235">
      <c r="A80" s="106" t="s">
        <v>56</v>
      </c>
      <c r="B80" s="51">
        <f>_xlfn.XLOOKUP($A80,Inputs!$A:$A,Inputs!B:B,,0)</f>
        <v>0.98140000000000005</v>
      </c>
      <c r="C80" s="51" t="str">
        <f>_xlfn.XLOOKUP($A80,Inputs!$A:$A,Inputs!C:C,,0)</f>
        <v>Yahoo finance</v>
      </c>
      <c r="D80" s="51">
        <f>_xlfn.XLOOKUP($A80,Inputs!$A:$A,Inputs!D:D,,0)</f>
        <v>0</v>
      </c>
      <c r="E80" s="51">
        <f>_xlfn.XLOOKUP($A80,Inputs!$A:$A,Inputs!E:E,,0)</f>
        <v>0</v>
      </c>
      <c r="F80" s="51">
        <f>_xlfn.XLOOKUP($A80,Inputs!$A:$A,Inputs!F:F,,0)</f>
        <v>0</v>
      </c>
      <c r="G80" s="51">
        <f>_xlfn.XLOOKUP($A80,Inputs!$A:$A,Inputs!G:G,,0)</f>
        <v>0</v>
      </c>
      <c r="H80" s="51">
        <f>_xlfn.XLOOKUP($A80,Inputs!$A:$A,Inputs!H:H,,0)</f>
        <v>0</v>
      </c>
      <c r="I80" s="51">
        <f>_xlfn.XLOOKUP($A80,Inputs!$A:$A,Inputs!I:I,,0)</f>
        <v>0</v>
      </c>
      <c r="J80" s="51">
        <f>_xlfn.XLOOKUP($A80,Inputs!$A:$A,Inputs!J:J,,0)</f>
        <v>0</v>
      </c>
      <c r="K80" s="51">
        <f>_xlfn.XLOOKUP($A80,Inputs!$A:$A,Inputs!K:K,,0)</f>
        <v>0</v>
      </c>
      <c r="L80" s="51">
        <f>_xlfn.XLOOKUP($A80,Inputs!$A:$A,Inputs!L:L,,0)</f>
        <v>0</v>
      </c>
      <c r="M80" s="51">
        <f>_xlfn.XLOOKUP($A80,Inputs!$A:$A,Inputs!M:M,,0)</f>
        <v>0</v>
      </c>
    </row>
    <row r="81" spans="1:15">
      <c r="A81" s="112" t="s">
        <v>60</v>
      </c>
      <c r="B81" s="51">
        <f>_xlfn.XLOOKUP($A81,Inputs!$A:$A,Inputs!B:B,,0)</f>
        <v>1.8599999999999998E-2</v>
      </c>
      <c r="C81" s="51" t="str">
        <f>_xlfn.XLOOKUP($A81,Inputs!$A:$A,Inputs!C:C,,0)</f>
        <v>Yahoo finance</v>
      </c>
      <c r="D81" s="51">
        <f>_xlfn.XLOOKUP($A81,Inputs!$A:$A,Inputs!D:D,,0)</f>
        <v>0</v>
      </c>
      <c r="E81" s="51">
        <f>_xlfn.XLOOKUP($A81,Inputs!$A:$A,Inputs!E:E,,0)</f>
        <v>0</v>
      </c>
      <c r="F81" s="51">
        <f>_xlfn.XLOOKUP($A81,Inputs!$A:$A,Inputs!F:F,,0)</f>
        <v>0</v>
      </c>
      <c r="G81" s="51">
        <f>_xlfn.XLOOKUP($A81,Inputs!$A:$A,Inputs!G:G,,0)</f>
        <v>0</v>
      </c>
      <c r="H81" s="51">
        <f>_xlfn.XLOOKUP($A81,Inputs!$A:$A,Inputs!H:H,,0)</f>
        <v>0</v>
      </c>
      <c r="I81" s="51">
        <f>_xlfn.XLOOKUP($A81,Inputs!$A:$A,Inputs!I:I,,0)</f>
        <v>0</v>
      </c>
      <c r="J81" s="51">
        <f>_xlfn.XLOOKUP($A81,Inputs!$A:$A,Inputs!J:J,,0)</f>
        <v>0</v>
      </c>
      <c r="K81" s="51">
        <f>_xlfn.XLOOKUP($A81,Inputs!$A:$A,Inputs!K:K,,0)</f>
        <v>0</v>
      </c>
      <c r="L81" s="51">
        <f>_xlfn.XLOOKUP($A81,Inputs!$A:$A,Inputs!L:L,,0)</f>
        <v>0</v>
      </c>
      <c r="M81" s="51">
        <f>_xlfn.XLOOKUP($A81,Inputs!$A:$A,Inputs!M:M,,0)</f>
        <v>0</v>
      </c>
    </row>
    <row r="82" spans="1:15">
      <c r="A82" s="106" t="s">
        <v>1110</v>
      </c>
      <c r="B82" s="51" t="e">
        <f>_xlfn.XLOOKUP($A82,Inputs!$A:$A,Inputs!B:B,,0)</f>
        <v>#N/A</v>
      </c>
      <c r="C82" s="51" t="e">
        <f>_xlfn.XLOOKUP($A82,Inputs!$A:$A,Inputs!C:C,,0)</f>
        <v>#N/A</v>
      </c>
      <c r="D82" s="51" t="e">
        <f>_xlfn.XLOOKUP($A82,Inputs!$A:$A,Inputs!D:D,,0)</f>
        <v>#N/A</v>
      </c>
      <c r="E82" s="51" t="e">
        <f>_xlfn.XLOOKUP($A82,Inputs!$A:$A,Inputs!E:E,,0)</f>
        <v>#N/A</v>
      </c>
      <c r="F82" s="51" t="e">
        <f>_xlfn.XLOOKUP($A82,Inputs!$A:$A,Inputs!F:F,,0)</f>
        <v>#N/A</v>
      </c>
      <c r="G82" s="51" t="e">
        <f>_xlfn.XLOOKUP($A82,Inputs!$A:$A,Inputs!G:G,,0)</f>
        <v>#N/A</v>
      </c>
      <c r="H82" s="51" t="e">
        <f>_xlfn.XLOOKUP($A82,Inputs!$A:$A,Inputs!H:H,,0)</f>
        <v>#N/A</v>
      </c>
      <c r="I82" s="51" t="e">
        <f>_xlfn.XLOOKUP($A82,Inputs!$A:$A,Inputs!I:I,,0)</f>
        <v>#N/A</v>
      </c>
      <c r="J82" s="51" t="e">
        <f>_xlfn.XLOOKUP($A82,Inputs!$A:$A,Inputs!J:J,,0)</f>
        <v>#N/A</v>
      </c>
      <c r="K82" s="51" t="e">
        <f>_xlfn.XLOOKUP($A82,Inputs!$A:$A,Inputs!K:K,,0)</f>
        <v>#N/A</v>
      </c>
      <c r="L82" s="51" t="e">
        <f>_xlfn.XLOOKUP($A82,Inputs!$A:$A,Inputs!L:L,,0)</f>
        <v>#N/A</v>
      </c>
      <c r="M82" s="51" t="e">
        <f>_xlfn.XLOOKUP($A82,Inputs!$A:$A,Inputs!M:M,,0)</f>
        <v>#N/A</v>
      </c>
    </row>
    <row r="83" spans="1:15">
      <c r="A83" s="106" t="s">
        <v>1111</v>
      </c>
      <c r="B83" s="51" t="e">
        <f>_xlfn.XLOOKUP($A83,Inputs!$A:$A,Inputs!B:B,,0)</f>
        <v>#N/A</v>
      </c>
      <c r="C83" s="51" t="e">
        <f>_xlfn.XLOOKUP($A83,Inputs!$A:$A,Inputs!C:C,,0)</f>
        <v>#N/A</v>
      </c>
      <c r="D83" s="51" t="e">
        <f>_xlfn.XLOOKUP($A83,Inputs!$A:$A,Inputs!D:D,,0)</f>
        <v>#N/A</v>
      </c>
      <c r="E83" s="51" t="e">
        <f>_xlfn.XLOOKUP($A83,Inputs!$A:$A,Inputs!E:E,,0)</f>
        <v>#N/A</v>
      </c>
      <c r="F83" s="51" t="e">
        <f>_xlfn.XLOOKUP($A83,Inputs!$A:$A,Inputs!F:F,,0)</f>
        <v>#N/A</v>
      </c>
      <c r="G83" s="51" t="e">
        <f>_xlfn.XLOOKUP($A83,Inputs!$A:$A,Inputs!G:G,,0)</f>
        <v>#N/A</v>
      </c>
      <c r="H83" s="51" t="e">
        <f>_xlfn.XLOOKUP($A83,Inputs!$A:$A,Inputs!H:H,,0)</f>
        <v>#N/A</v>
      </c>
      <c r="I83" s="51" t="e">
        <f>_xlfn.XLOOKUP($A83,Inputs!$A:$A,Inputs!I:I,,0)</f>
        <v>#N/A</v>
      </c>
      <c r="J83" s="51" t="e">
        <f>_xlfn.XLOOKUP($A83,Inputs!$A:$A,Inputs!J:J,,0)</f>
        <v>#N/A</v>
      </c>
      <c r="K83" s="51" t="e">
        <f>_xlfn.XLOOKUP($A83,Inputs!$A:$A,Inputs!K:K,,0)</f>
        <v>#N/A</v>
      </c>
      <c r="L83" s="51" t="e">
        <f>_xlfn.XLOOKUP($A83,Inputs!$A:$A,Inputs!L:L,,0)</f>
        <v>#N/A</v>
      </c>
      <c r="M83" s="51" t="e">
        <f>_xlfn.XLOOKUP($A83,Inputs!$A:$A,Inputs!M:M,,0)</f>
        <v>#N/A</v>
      </c>
    </row>
    <row r="84" spans="1:15">
      <c r="A84" s="112" t="s">
        <v>1112</v>
      </c>
      <c r="B84" s="51">
        <f ca="1">_xlfn.XLOOKUP($A84,Inputs!$A:$A,Inputs!B:B,,0)</f>
        <v>1354811</v>
      </c>
      <c r="C84" s="51" t="str">
        <f>_xlfn.XLOOKUP($A84,Inputs!$A:$A,Inputs!C:C,,0)</f>
        <v>Yahoo Finance</v>
      </c>
      <c r="D84" s="51">
        <f>_xlfn.XLOOKUP($A84,Inputs!$A:$A,Inputs!D:D,,0)</f>
        <v>0</v>
      </c>
      <c r="E84" s="51">
        <f>_xlfn.XLOOKUP($A84,Inputs!$A:$A,Inputs!E:E,,0)</f>
        <v>0</v>
      </c>
      <c r="F84" s="51">
        <f>_xlfn.XLOOKUP($A84,Inputs!$A:$A,Inputs!F:F,,0)</f>
        <v>0</v>
      </c>
      <c r="G84" s="51">
        <f>_xlfn.XLOOKUP($A84,Inputs!$A:$A,Inputs!G:G,,0)</f>
        <v>0</v>
      </c>
      <c r="H84" s="51">
        <f>_xlfn.XLOOKUP($A84,Inputs!$A:$A,Inputs!H:H,,0)</f>
        <v>0</v>
      </c>
      <c r="I84" s="51">
        <f>_xlfn.XLOOKUP($A84,Inputs!$A:$A,Inputs!I:I,,0)</f>
        <v>0</v>
      </c>
      <c r="J84" s="51">
        <f>_xlfn.XLOOKUP($A84,Inputs!$A:$A,Inputs!J:J,,0)</f>
        <v>0</v>
      </c>
      <c r="K84" s="51">
        <f>_xlfn.XLOOKUP($A84,Inputs!$A:$A,Inputs!K:K,,0)</f>
        <v>0</v>
      </c>
      <c r="L84" s="51">
        <f>_xlfn.XLOOKUP($A84,Inputs!$A:$A,Inputs!L:L,,0)</f>
        <v>0</v>
      </c>
      <c r="M84" s="51">
        <f>_xlfn.XLOOKUP($A84,Inputs!$A:$A,Inputs!M:M,,0)</f>
        <v>0</v>
      </c>
    </row>
    <row r="85" spans="1:15">
      <c r="B85" s="43"/>
      <c r="C85" s="43"/>
      <c r="D85" s="43"/>
      <c r="E85" s="43"/>
      <c r="F85" s="43"/>
      <c r="G85" s="43"/>
      <c r="H85" s="43"/>
      <c r="I85" s="43"/>
      <c r="J85" s="43"/>
      <c r="K85" s="43"/>
      <c r="L85" s="43"/>
      <c r="M85" s="43"/>
    </row>
    <row r="86" spans="1:15">
      <c r="B86" s="42">
        <v>2023</v>
      </c>
      <c r="C86" s="42">
        <v>2022</v>
      </c>
      <c r="D86" s="42">
        <v>2021</v>
      </c>
      <c r="G86" s="42"/>
      <c r="H86" s="43"/>
      <c r="I86" s="43"/>
      <c r="J86" s="43"/>
      <c r="K86" s="43"/>
      <c r="L86" s="43"/>
      <c r="M86" s="43"/>
    </row>
    <row r="87" spans="1:15">
      <c r="A87" s="106" t="s">
        <v>1113</v>
      </c>
      <c r="B87" s="706">
        <f>Inputs!B88</f>
        <v>1.6500000000000001E-2</v>
      </c>
      <c r="C87" s="706">
        <f>Inputs!C88</f>
        <v>0</v>
      </c>
      <c r="D87" s="707">
        <f>Inputs!D88</f>
        <v>0</v>
      </c>
      <c r="G87" s="43"/>
      <c r="H87" s="43"/>
      <c r="I87" s="43"/>
      <c r="J87" s="43"/>
      <c r="K87" s="43"/>
      <c r="L87" s="43"/>
      <c r="M87" s="43"/>
    </row>
    <row r="88" spans="1:15">
      <c r="A88" s="112" t="s">
        <v>81</v>
      </c>
      <c r="B88" s="706">
        <f>Inputs!B89</f>
        <v>8.76</v>
      </c>
      <c r="C88" s="706">
        <f>Inputs!C89</f>
        <v>5.75</v>
      </c>
      <c r="D88" s="707">
        <f>Inputs!D89</f>
        <v>3.54</v>
      </c>
    </row>
    <row r="90" spans="1:15">
      <c r="A90" s="13" t="s">
        <v>1114</v>
      </c>
      <c r="B90" s="42" t="s">
        <v>1115</v>
      </c>
      <c r="C90" s="42" t="s">
        <v>1116</v>
      </c>
      <c r="D90" s="42" t="s">
        <v>1117</v>
      </c>
      <c r="E90" s="42" t="s">
        <v>1118</v>
      </c>
      <c r="G90" s="42"/>
    </row>
    <row r="91" spans="1:15">
      <c r="B91" s="58" t="e">
        <f>VLOOKUP($A91,Inputs!$A$5:$M$90,MATCH(B$4,Inputs!$B$5:$M$5,0)+1,FALSE)</f>
        <v>#N/A</v>
      </c>
      <c r="C91" s="58" t="e">
        <f>VLOOKUP($A91,Inputs!$A$5:$M$90,MATCH(C$4,Inputs!$B$5:$M$5,0)+1,FALSE)</f>
        <v>#N/A</v>
      </c>
      <c r="D91" s="58" t="e">
        <f>VLOOKUP($A91,Inputs!$A$5:$M$90,MATCH(D$4,Inputs!$B$5:$M$5,0)+1,FALSE)</f>
        <v>#N/A</v>
      </c>
      <c r="E91" s="58" t="e">
        <f>VLOOKUP($A91,Inputs!$A$5:$M$90,MATCH(E$4,Inputs!$B$5:$M$5,0)+1,FALSE)</f>
        <v>#N/A</v>
      </c>
    </row>
    <row r="92" spans="1:15">
      <c r="B92" s="59"/>
      <c r="C92" s="59"/>
      <c r="D92" s="2"/>
      <c r="E92" s="59"/>
      <c r="F92" s="2"/>
    </row>
    <row r="93" spans="1:15">
      <c r="A93" s="10" t="s">
        <v>1119</v>
      </c>
      <c r="B93" s="4">
        <f>B28/B23</f>
        <v>-7.6070419474027389E-4</v>
      </c>
      <c r="C93" s="4">
        <f t="shared" ref="C93:K93" si="76">C28/C23</f>
        <v>-6.9721115537848611E-4</v>
      </c>
      <c r="D93" s="4">
        <f t="shared" si="76"/>
        <v>-8.0993520518358531E-4</v>
      </c>
      <c r="E93" s="4">
        <f t="shared" si="76"/>
        <v>-3.243451463790447E-2</v>
      </c>
      <c r="F93" s="4">
        <f t="shared" si="76"/>
        <v>-4.6147403685092125E-2</v>
      </c>
      <c r="G93" s="4">
        <f t="shared" si="76"/>
        <v>-0.16145785876993166</v>
      </c>
      <c r="H93" s="4">
        <f t="shared" si="76"/>
        <v>0</v>
      </c>
      <c r="I93" s="4">
        <f t="shared" si="76"/>
        <v>-0.13505747126436782</v>
      </c>
      <c r="J93" s="4">
        <f t="shared" si="76"/>
        <v>-0.12568578553615961</v>
      </c>
      <c r="K93" s="4">
        <f t="shared" si="76"/>
        <v>-3.1420161883738043E-2</v>
      </c>
      <c r="L93" s="568"/>
      <c r="M93" s="568"/>
      <c r="N93" s="569"/>
      <c r="O93" s="569">
        <f>AVERAGE(E93:K93)</f>
        <v>-7.6029027968170543E-2</v>
      </c>
    </row>
    <row r="94" spans="1:15">
      <c r="B94" s="59"/>
      <c r="C94" s="59"/>
      <c r="D94" s="2"/>
      <c r="E94" s="59"/>
      <c r="F94" s="2"/>
    </row>
    <row r="95" spans="1:15">
      <c r="A95" s="10" t="s">
        <v>70</v>
      </c>
      <c r="B95" s="1">
        <f t="shared" ref="B95:K95" si="77">B58/B19</f>
        <v>2.1028223722104893</v>
      </c>
      <c r="C95" s="1">
        <f t="shared" si="77"/>
        <v>2.4492017416545719</v>
      </c>
      <c r="D95" s="1">
        <f t="shared" si="77"/>
        <v>3.1196363962563165</v>
      </c>
      <c r="E95" s="1">
        <f t="shared" si="77"/>
        <v>3.8647205411178356</v>
      </c>
      <c r="F95" s="1">
        <f t="shared" si="77"/>
        <v>2.6210214137262686</v>
      </c>
      <c r="G95" s="1">
        <f t="shared" si="77"/>
        <v>2.5307087815671014</v>
      </c>
      <c r="H95" s="1">
        <f t="shared" si="77"/>
        <v>2.6118546845124282</v>
      </c>
      <c r="I95" s="1">
        <f t="shared" si="77"/>
        <v>3.7934738821001748</v>
      </c>
      <c r="J95" s="1">
        <f t="shared" si="77"/>
        <v>2.5646995612071284</v>
      </c>
      <c r="K95" s="1">
        <f t="shared" si="77"/>
        <v>2.6989539954749651</v>
      </c>
    </row>
    <row r="96" spans="1:15">
      <c r="B96" s="59"/>
      <c r="C96" s="59"/>
      <c r="D96" s="2"/>
      <c r="E96" s="59"/>
      <c r="F96" s="2"/>
    </row>
    <row r="97" spans="2:6">
      <c r="B97" s="59"/>
      <c r="C97" s="59"/>
      <c r="D97" s="2"/>
      <c r="E97" s="59"/>
      <c r="F97" s="2"/>
    </row>
    <row r="98" spans="2:6">
      <c r="B98" s="59"/>
      <c r="C98" s="59"/>
      <c r="D98" s="2"/>
      <c r="E98" s="59"/>
      <c r="F98" s="2"/>
    </row>
    <row r="99" spans="2:6">
      <c r="B99" s="59"/>
      <c r="C99" s="59"/>
      <c r="D99" s="2"/>
      <c r="E99" s="59"/>
      <c r="F99" s="2"/>
    </row>
  </sheetData>
  <mergeCells count="7">
    <mergeCell ref="A77:M77"/>
    <mergeCell ref="A1:M1"/>
    <mergeCell ref="A2:M2"/>
    <mergeCell ref="A3:M3"/>
    <mergeCell ref="A38:M38"/>
    <mergeCell ref="A47:M47"/>
    <mergeCell ref="A66:M66"/>
  </mergeCells>
  <pageMargins left="0.7" right="0.7" top="0.75" bottom="0.75" header="0.3" footer="0.3"/>
  <pageSetup paperSize="9"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BBE39-AA8C-416A-BD40-1FFD3C1649A8}">
  <dimension ref="B2:AA128"/>
  <sheetViews>
    <sheetView topLeftCell="J1" workbookViewId="0"/>
  </sheetViews>
  <sheetFormatPr defaultColWidth="8.7109375" defaultRowHeight="12.75"/>
  <cols>
    <col min="1" max="9" width="0" hidden="1" customWidth="1"/>
    <col min="11" max="11" width="21.7109375" bestFit="1" customWidth="1"/>
  </cols>
  <sheetData>
    <row r="2" spans="2:27">
      <c r="E2" s="10" t="s">
        <v>1120</v>
      </c>
      <c r="F2" s="10" t="s">
        <v>1121</v>
      </c>
      <c r="H2" s="10" t="s">
        <v>672</v>
      </c>
      <c r="K2" s="1509" t="s">
        <v>1120</v>
      </c>
      <c r="L2" s="1511" t="s">
        <v>1122</v>
      </c>
      <c r="M2" s="1512"/>
      <c r="N2" s="1512"/>
      <c r="O2" s="1512"/>
      <c r="P2" s="1513"/>
      <c r="Q2" s="1512" t="s">
        <v>618</v>
      </c>
      <c r="R2" s="1512"/>
      <c r="S2" s="1512"/>
      <c r="T2" s="1512"/>
      <c r="U2" s="1512"/>
      <c r="V2" s="1512"/>
      <c r="W2" s="1512"/>
      <c r="X2" s="1512"/>
      <c r="Y2" s="1512"/>
      <c r="Z2" s="1512"/>
      <c r="AA2" s="1513"/>
    </row>
    <row r="3" spans="2:27">
      <c r="E3" t="s">
        <v>1123</v>
      </c>
      <c r="F3" t="s">
        <v>1124</v>
      </c>
      <c r="H3" s="10" t="s">
        <v>600</v>
      </c>
      <c r="K3" s="1510"/>
      <c r="L3" s="63" t="s">
        <v>1125</v>
      </c>
      <c r="M3" s="79" t="s">
        <v>1126</v>
      </c>
      <c r="N3" s="79" t="s">
        <v>1127</v>
      </c>
      <c r="O3" s="79" t="s">
        <v>1128</v>
      </c>
      <c r="P3" s="80" t="s">
        <v>1129</v>
      </c>
      <c r="Q3" s="79" t="s">
        <v>1130</v>
      </c>
      <c r="R3" s="79" t="s">
        <v>1131</v>
      </c>
      <c r="S3" s="79" t="s">
        <v>627</v>
      </c>
      <c r="T3" s="79" t="s">
        <v>1132</v>
      </c>
      <c r="U3" s="79" t="s">
        <v>1133</v>
      </c>
      <c r="V3" s="79" t="s">
        <v>1134</v>
      </c>
      <c r="W3" s="79" t="s">
        <v>1135</v>
      </c>
      <c r="X3" s="79" t="s">
        <v>1136</v>
      </c>
      <c r="Y3" s="79" t="s">
        <v>1137</v>
      </c>
      <c r="Z3" s="79" t="s">
        <v>1138</v>
      </c>
      <c r="AA3" s="80" t="s">
        <v>661</v>
      </c>
    </row>
    <row r="4" spans="2:27">
      <c r="B4" s="64"/>
      <c r="E4" t="s">
        <v>1123</v>
      </c>
      <c r="F4" t="s">
        <v>1139</v>
      </c>
      <c r="H4" s="10" t="s">
        <v>678</v>
      </c>
      <c r="K4" s="81" t="s">
        <v>1123</v>
      </c>
      <c r="L4" s="82" t="s">
        <v>672</v>
      </c>
      <c r="M4" t="s">
        <v>672</v>
      </c>
      <c r="N4" t="s">
        <v>600</v>
      </c>
      <c r="O4" t="s">
        <v>672</v>
      </c>
      <c r="P4" s="83" t="s">
        <v>672</v>
      </c>
      <c r="Q4" t="s">
        <v>600</v>
      </c>
      <c r="R4" t="s">
        <v>600</v>
      </c>
      <c r="S4" t="s">
        <v>672</v>
      </c>
      <c r="T4" t="s">
        <v>672</v>
      </c>
      <c r="U4" t="s">
        <v>678</v>
      </c>
      <c r="V4" t="s">
        <v>672</v>
      </c>
      <c r="W4" t="s">
        <v>672</v>
      </c>
      <c r="X4" t="s">
        <v>672</v>
      </c>
      <c r="Y4" t="s">
        <v>672</v>
      </c>
      <c r="Z4" t="s">
        <v>672</v>
      </c>
      <c r="AA4" s="83" t="s">
        <v>600</v>
      </c>
    </row>
    <row r="5" spans="2:27" ht="13.5">
      <c r="B5" s="76" t="s">
        <v>591</v>
      </c>
      <c r="E5" t="s">
        <v>1123</v>
      </c>
      <c r="F5" t="s">
        <v>1140</v>
      </c>
      <c r="H5" s="10" t="s">
        <v>1141</v>
      </c>
      <c r="K5" s="81" t="s">
        <v>1142</v>
      </c>
      <c r="L5" s="82" t="s">
        <v>672</v>
      </c>
      <c r="M5" t="s">
        <v>672</v>
      </c>
      <c r="N5" t="s">
        <v>600</v>
      </c>
      <c r="O5" t="s">
        <v>600</v>
      </c>
      <c r="P5" s="83" t="s">
        <v>672</v>
      </c>
      <c r="Q5" t="s">
        <v>600</v>
      </c>
      <c r="R5" t="s">
        <v>600</v>
      </c>
      <c r="S5" t="s">
        <v>672</v>
      </c>
      <c r="T5" t="s">
        <v>672</v>
      </c>
      <c r="U5" t="s">
        <v>600</v>
      </c>
      <c r="V5" t="s">
        <v>600</v>
      </c>
      <c r="W5" t="s">
        <v>600</v>
      </c>
      <c r="X5" t="s">
        <v>678</v>
      </c>
      <c r="Y5" t="s">
        <v>672</v>
      </c>
      <c r="Z5" t="s">
        <v>678</v>
      </c>
      <c r="AA5" s="83" t="s">
        <v>672</v>
      </c>
    </row>
    <row r="6" spans="2:27">
      <c r="B6" s="78" t="s">
        <v>1143</v>
      </c>
      <c r="E6" t="s">
        <v>1123</v>
      </c>
      <c r="F6" t="s">
        <v>1144</v>
      </c>
      <c r="K6" s="81" t="s">
        <v>1145</v>
      </c>
      <c r="L6" s="82" t="s">
        <v>678</v>
      </c>
      <c r="M6" t="s">
        <v>1141</v>
      </c>
      <c r="N6" t="s">
        <v>678</v>
      </c>
      <c r="O6" t="s">
        <v>678</v>
      </c>
      <c r="P6" s="83" t="s">
        <v>678</v>
      </c>
      <c r="Q6" t="s">
        <v>600</v>
      </c>
      <c r="R6" t="s">
        <v>678</v>
      </c>
      <c r="S6" t="s">
        <v>678</v>
      </c>
      <c r="T6" t="s">
        <v>672</v>
      </c>
      <c r="U6" t="s">
        <v>600</v>
      </c>
      <c r="V6" t="s">
        <v>600</v>
      </c>
      <c r="W6" t="s">
        <v>672</v>
      </c>
      <c r="X6" t="s">
        <v>678</v>
      </c>
      <c r="Y6" t="s">
        <v>672</v>
      </c>
      <c r="Z6" t="s">
        <v>1141</v>
      </c>
      <c r="AA6" s="83" t="s">
        <v>672</v>
      </c>
    </row>
    <row r="7" spans="2:27">
      <c r="B7" s="78" t="s">
        <v>1146</v>
      </c>
      <c r="E7" t="s">
        <v>1123</v>
      </c>
      <c r="F7" t="s">
        <v>1147</v>
      </c>
      <c r="K7" s="81" t="s">
        <v>1127</v>
      </c>
      <c r="L7" s="82" t="s">
        <v>1141</v>
      </c>
      <c r="M7" t="s">
        <v>1141</v>
      </c>
      <c r="N7" t="s">
        <v>600</v>
      </c>
      <c r="O7" t="s">
        <v>1141</v>
      </c>
      <c r="P7" s="83" t="s">
        <v>678</v>
      </c>
      <c r="Q7" t="s">
        <v>678</v>
      </c>
      <c r="R7" t="s">
        <v>600</v>
      </c>
      <c r="S7" t="s">
        <v>600</v>
      </c>
      <c r="T7" t="s">
        <v>600</v>
      </c>
      <c r="U7" t="s">
        <v>600</v>
      </c>
      <c r="V7" t="s">
        <v>678</v>
      </c>
      <c r="W7" t="s">
        <v>600</v>
      </c>
      <c r="X7" t="s">
        <v>600</v>
      </c>
      <c r="Y7" t="s">
        <v>678</v>
      </c>
      <c r="Z7" t="s">
        <v>678</v>
      </c>
      <c r="AA7" s="83" t="s">
        <v>672</v>
      </c>
    </row>
    <row r="8" spans="2:27">
      <c r="B8" s="78"/>
      <c r="K8" s="81" t="s">
        <v>1148</v>
      </c>
      <c r="L8" s="82" t="s">
        <v>672</v>
      </c>
      <c r="M8" t="s">
        <v>672</v>
      </c>
      <c r="N8" t="s">
        <v>672</v>
      </c>
      <c r="O8" t="s">
        <v>600</v>
      </c>
      <c r="P8" s="83" t="s">
        <v>600</v>
      </c>
      <c r="Q8" t="s">
        <v>672</v>
      </c>
      <c r="R8" t="s">
        <v>600</v>
      </c>
      <c r="S8" t="s">
        <v>600</v>
      </c>
      <c r="T8" t="s">
        <v>678</v>
      </c>
      <c r="U8" t="s">
        <v>600</v>
      </c>
      <c r="V8" t="s">
        <v>672</v>
      </c>
      <c r="W8" t="s">
        <v>672</v>
      </c>
      <c r="X8" t="s">
        <v>600</v>
      </c>
      <c r="Y8" t="s">
        <v>600</v>
      </c>
      <c r="Z8" t="s">
        <v>678</v>
      </c>
      <c r="AA8" s="83" t="s">
        <v>672</v>
      </c>
    </row>
    <row r="9" spans="2:27">
      <c r="B9" s="78" t="s">
        <v>604</v>
      </c>
      <c r="E9" t="s">
        <v>1123</v>
      </c>
      <c r="F9" t="s">
        <v>1149</v>
      </c>
      <c r="K9" s="81" t="s">
        <v>816</v>
      </c>
      <c r="L9" s="82" t="s">
        <v>672</v>
      </c>
      <c r="M9" t="s">
        <v>672</v>
      </c>
      <c r="N9" t="s">
        <v>672</v>
      </c>
      <c r="O9" t="s">
        <v>672</v>
      </c>
      <c r="P9" s="83" t="s">
        <v>672</v>
      </c>
      <c r="Q9" t="s">
        <v>672</v>
      </c>
      <c r="R9" t="s">
        <v>672</v>
      </c>
      <c r="S9" t="s">
        <v>600</v>
      </c>
      <c r="T9" t="s">
        <v>678</v>
      </c>
      <c r="U9" t="s">
        <v>600</v>
      </c>
      <c r="V9" t="s">
        <v>672</v>
      </c>
      <c r="W9" t="s">
        <v>672</v>
      </c>
      <c r="X9" t="s">
        <v>672</v>
      </c>
      <c r="Y9" t="s">
        <v>672</v>
      </c>
      <c r="Z9" t="s">
        <v>600</v>
      </c>
      <c r="AA9" s="83" t="s">
        <v>672</v>
      </c>
    </row>
    <row r="10" spans="2:27">
      <c r="B10" s="78"/>
      <c r="K10" s="81" t="s">
        <v>1150</v>
      </c>
      <c r="L10" s="82" t="s">
        <v>672</v>
      </c>
      <c r="M10" t="s">
        <v>600</v>
      </c>
      <c r="N10" t="s">
        <v>672</v>
      </c>
      <c r="O10" t="s">
        <v>600</v>
      </c>
      <c r="P10" s="83" t="s">
        <v>678</v>
      </c>
      <c r="Q10" t="s">
        <v>672</v>
      </c>
      <c r="R10" t="s">
        <v>672</v>
      </c>
      <c r="S10" t="s">
        <v>672</v>
      </c>
      <c r="T10" t="s">
        <v>672</v>
      </c>
      <c r="U10" t="s">
        <v>672</v>
      </c>
      <c r="V10" t="s">
        <v>672</v>
      </c>
      <c r="W10" t="s">
        <v>672</v>
      </c>
      <c r="X10" t="s">
        <v>672</v>
      </c>
      <c r="Y10" t="s">
        <v>600</v>
      </c>
      <c r="Z10" t="s">
        <v>672</v>
      </c>
      <c r="AA10" s="83" t="s">
        <v>672</v>
      </c>
    </row>
    <row r="11" spans="2:27">
      <c r="B11" s="78" t="s">
        <v>608</v>
      </c>
      <c r="E11" t="s">
        <v>1123</v>
      </c>
      <c r="F11" t="s">
        <v>1151</v>
      </c>
      <c r="K11" s="81" t="s">
        <v>1152</v>
      </c>
      <c r="L11" s="82" t="s">
        <v>672</v>
      </c>
      <c r="M11" t="s">
        <v>600</v>
      </c>
      <c r="N11" t="s">
        <v>672</v>
      </c>
      <c r="O11" t="s">
        <v>672</v>
      </c>
      <c r="P11" s="83" t="s">
        <v>672</v>
      </c>
      <c r="Q11" t="s">
        <v>672</v>
      </c>
      <c r="R11" t="s">
        <v>672</v>
      </c>
      <c r="S11" t="s">
        <v>600</v>
      </c>
      <c r="T11" t="s">
        <v>672</v>
      </c>
      <c r="U11" t="s">
        <v>678</v>
      </c>
      <c r="V11" t="s">
        <v>672</v>
      </c>
      <c r="W11" t="s">
        <v>672</v>
      </c>
      <c r="X11" t="s">
        <v>672</v>
      </c>
      <c r="Y11" t="s">
        <v>672</v>
      </c>
      <c r="Z11" t="s">
        <v>672</v>
      </c>
      <c r="AA11" s="83" t="s">
        <v>672</v>
      </c>
    </row>
    <row r="12" spans="2:27">
      <c r="B12" s="77" t="s">
        <v>1153</v>
      </c>
      <c r="E12" t="s">
        <v>1123</v>
      </c>
      <c r="F12" t="s">
        <v>1154</v>
      </c>
      <c r="K12" s="81" t="s">
        <v>578</v>
      </c>
      <c r="L12" s="82" t="s">
        <v>1141</v>
      </c>
      <c r="M12" t="s">
        <v>1141</v>
      </c>
      <c r="N12" t="s">
        <v>1141</v>
      </c>
      <c r="O12" t="s">
        <v>678</v>
      </c>
      <c r="P12" s="83" t="s">
        <v>678</v>
      </c>
      <c r="Q12" t="s">
        <v>672</v>
      </c>
      <c r="R12" t="s">
        <v>600</v>
      </c>
      <c r="S12" t="s">
        <v>678</v>
      </c>
      <c r="T12" t="s">
        <v>1141</v>
      </c>
      <c r="U12" t="s">
        <v>600</v>
      </c>
      <c r="V12" t="s">
        <v>1141</v>
      </c>
      <c r="W12" t="s">
        <v>600</v>
      </c>
      <c r="X12" t="s">
        <v>1141</v>
      </c>
      <c r="Y12" t="s">
        <v>1141</v>
      </c>
      <c r="Z12" t="s">
        <v>1141</v>
      </c>
      <c r="AA12" s="83" t="s">
        <v>678</v>
      </c>
    </row>
    <row r="13" spans="2:27" ht="13.5">
      <c r="B13" s="76" t="s">
        <v>618</v>
      </c>
      <c r="E13" t="s">
        <v>1123</v>
      </c>
      <c r="F13" t="s">
        <v>1155</v>
      </c>
      <c r="K13" s="81" t="s">
        <v>1156</v>
      </c>
      <c r="L13" s="82" t="s">
        <v>600</v>
      </c>
      <c r="M13" t="s">
        <v>672</v>
      </c>
      <c r="N13" t="s">
        <v>678</v>
      </c>
      <c r="O13" t="s">
        <v>672</v>
      </c>
      <c r="P13" s="83" t="s">
        <v>672</v>
      </c>
      <c r="Q13" t="s">
        <v>672</v>
      </c>
      <c r="R13" t="s">
        <v>672</v>
      </c>
      <c r="S13" t="s">
        <v>672</v>
      </c>
      <c r="T13" t="s">
        <v>672</v>
      </c>
      <c r="U13" t="s">
        <v>678</v>
      </c>
      <c r="V13" t="s">
        <v>672</v>
      </c>
      <c r="W13" t="s">
        <v>672</v>
      </c>
      <c r="X13" t="s">
        <v>672</v>
      </c>
      <c r="Y13" t="s">
        <v>672</v>
      </c>
      <c r="Z13" t="s">
        <v>600</v>
      </c>
      <c r="AA13" s="83" t="s">
        <v>1141</v>
      </c>
    </row>
    <row r="14" spans="2:27">
      <c r="B14" s="68" t="s">
        <v>1157</v>
      </c>
      <c r="E14" t="s">
        <v>1123</v>
      </c>
      <c r="F14" t="s">
        <v>1158</v>
      </c>
      <c r="K14" s="81" t="s">
        <v>1159</v>
      </c>
      <c r="L14" s="82" t="s">
        <v>1141</v>
      </c>
      <c r="M14" t="s">
        <v>1141</v>
      </c>
      <c r="N14" t="s">
        <v>1141</v>
      </c>
      <c r="O14" t="s">
        <v>1141</v>
      </c>
      <c r="P14" s="83" t="s">
        <v>678</v>
      </c>
      <c r="Q14" t="s">
        <v>678</v>
      </c>
      <c r="R14" t="s">
        <v>678</v>
      </c>
      <c r="S14" t="s">
        <v>600</v>
      </c>
      <c r="T14" t="s">
        <v>678</v>
      </c>
      <c r="U14" t="s">
        <v>672</v>
      </c>
      <c r="V14" t="s">
        <v>1141</v>
      </c>
      <c r="W14" t="s">
        <v>600</v>
      </c>
      <c r="X14" t="s">
        <v>600</v>
      </c>
      <c r="Y14" t="s">
        <v>1141</v>
      </c>
      <c r="Z14" t="s">
        <v>678</v>
      </c>
      <c r="AA14" s="83" t="s">
        <v>600</v>
      </c>
    </row>
    <row r="15" spans="2:27">
      <c r="B15" s="68" t="s">
        <v>1160</v>
      </c>
      <c r="E15" t="s">
        <v>1142</v>
      </c>
      <c r="F15" t="s">
        <v>1161</v>
      </c>
      <c r="K15" s="81" t="s">
        <v>1162</v>
      </c>
      <c r="L15" s="82" t="s">
        <v>672</v>
      </c>
      <c r="M15" t="s">
        <v>672</v>
      </c>
      <c r="N15" t="s">
        <v>600</v>
      </c>
      <c r="O15" t="s">
        <v>672</v>
      </c>
      <c r="P15" s="83" t="s">
        <v>672</v>
      </c>
      <c r="Q15" t="s">
        <v>600</v>
      </c>
      <c r="R15" t="s">
        <v>672</v>
      </c>
      <c r="S15" t="s">
        <v>672</v>
      </c>
      <c r="T15" t="s">
        <v>672</v>
      </c>
      <c r="U15" t="s">
        <v>678</v>
      </c>
      <c r="V15" t="s">
        <v>672</v>
      </c>
      <c r="W15" t="s">
        <v>600</v>
      </c>
      <c r="X15" t="s">
        <v>672</v>
      </c>
      <c r="Y15" t="s">
        <v>600</v>
      </c>
      <c r="Z15" t="s">
        <v>672</v>
      </c>
      <c r="AA15" s="83" t="s">
        <v>672</v>
      </c>
    </row>
    <row r="16" spans="2:27">
      <c r="B16" s="71" t="s">
        <v>1163</v>
      </c>
      <c r="E16" t="s">
        <v>1142</v>
      </c>
      <c r="F16" t="s">
        <v>1164</v>
      </c>
      <c r="K16" s="84" t="s">
        <v>1165</v>
      </c>
      <c r="L16" s="85" t="s">
        <v>1141</v>
      </c>
      <c r="M16" s="86" t="s">
        <v>678</v>
      </c>
      <c r="N16" s="86" t="s">
        <v>678</v>
      </c>
      <c r="O16" s="86" t="s">
        <v>600</v>
      </c>
      <c r="P16" s="87" t="s">
        <v>678</v>
      </c>
      <c r="Q16" s="86" t="s">
        <v>672</v>
      </c>
      <c r="R16" s="86" t="s">
        <v>600</v>
      </c>
      <c r="S16" s="86" t="s">
        <v>600</v>
      </c>
      <c r="T16" s="86" t="s">
        <v>672</v>
      </c>
      <c r="U16" s="86" t="s">
        <v>600</v>
      </c>
      <c r="V16" s="86" t="s">
        <v>600</v>
      </c>
      <c r="W16" s="86" t="s">
        <v>600</v>
      </c>
      <c r="X16" s="86" t="s">
        <v>600</v>
      </c>
      <c r="Y16" s="86" t="s">
        <v>672</v>
      </c>
      <c r="Z16" s="86" t="s">
        <v>600</v>
      </c>
      <c r="AA16" s="87" t="s">
        <v>672</v>
      </c>
    </row>
    <row r="17" spans="2:22">
      <c r="B17" s="71" t="s">
        <v>1166</v>
      </c>
      <c r="E17" t="s">
        <v>1142</v>
      </c>
      <c r="F17" t="s">
        <v>1167</v>
      </c>
    </row>
    <row r="18" spans="2:22" hidden="1">
      <c r="B18" s="68" t="s">
        <v>1168</v>
      </c>
      <c r="E18" t="s">
        <v>1142</v>
      </c>
      <c r="F18" t="s">
        <v>1169</v>
      </c>
    </row>
    <row r="19" spans="2:22" hidden="1">
      <c r="B19" s="68" t="s">
        <v>1170</v>
      </c>
      <c r="E19" t="s">
        <v>1142</v>
      </c>
      <c r="F19" t="s">
        <v>1171</v>
      </c>
      <c r="L19" s="88" t="s">
        <v>1123</v>
      </c>
      <c r="M19" s="89" t="s">
        <v>1142</v>
      </c>
      <c r="N19" s="89" t="s">
        <v>1145</v>
      </c>
      <c r="O19" s="89" t="s">
        <v>1127</v>
      </c>
      <c r="P19" s="89" t="s">
        <v>816</v>
      </c>
      <c r="Q19" s="89" t="s">
        <v>1152</v>
      </c>
      <c r="R19" s="89" t="s">
        <v>578</v>
      </c>
      <c r="S19" s="89" t="s">
        <v>1156</v>
      </c>
      <c r="T19" s="89" t="s">
        <v>1159</v>
      </c>
      <c r="U19" s="89" t="s">
        <v>1162</v>
      </c>
      <c r="V19" s="90" t="s">
        <v>1165</v>
      </c>
    </row>
    <row r="20" spans="2:22" hidden="1">
      <c r="B20" s="68" t="s">
        <v>641</v>
      </c>
      <c r="E20" t="s">
        <v>1142</v>
      </c>
      <c r="F20" t="s">
        <v>1172</v>
      </c>
      <c r="L20" s="82" t="s">
        <v>1124</v>
      </c>
      <c r="M20" t="s">
        <v>1161</v>
      </c>
      <c r="N20" t="s">
        <v>1173</v>
      </c>
      <c r="O20" t="s">
        <v>1174</v>
      </c>
      <c r="P20" t="s">
        <v>1175</v>
      </c>
      <c r="Q20" t="s">
        <v>1176</v>
      </c>
      <c r="R20" t="s">
        <v>1177</v>
      </c>
      <c r="S20" t="s">
        <v>1178</v>
      </c>
      <c r="T20" t="s">
        <v>1179</v>
      </c>
      <c r="U20" t="s">
        <v>1180</v>
      </c>
      <c r="V20" s="83" t="s">
        <v>1181</v>
      </c>
    </row>
    <row r="21" spans="2:22" hidden="1">
      <c r="B21" s="68" t="s">
        <v>644</v>
      </c>
      <c r="E21" t="s">
        <v>1142</v>
      </c>
      <c r="F21" t="s">
        <v>1182</v>
      </c>
      <c r="L21" s="82" t="s">
        <v>1139</v>
      </c>
      <c r="M21" t="s">
        <v>1164</v>
      </c>
      <c r="N21" t="s">
        <v>1183</v>
      </c>
      <c r="O21" t="s">
        <v>1184</v>
      </c>
      <c r="P21" t="s">
        <v>1185</v>
      </c>
      <c r="Q21" t="s">
        <v>1186</v>
      </c>
      <c r="R21" t="s">
        <v>1187</v>
      </c>
      <c r="S21" t="s">
        <v>1188</v>
      </c>
      <c r="T21" t="s">
        <v>1189</v>
      </c>
      <c r="U21" t="s">
        <v>1190</v>
      </c>
      <c r="V21" s="83" t="s">
        <v>1191</v>
      </c>
    </row>
    <row r="22" spans="2:22" hidden="1">
      <c r="B22" s="68" t="s">
        <v>650</v>
      </c>
      <c r="E22" t="s">
        <v>1142</v>
      </c>
      <c r="F22" t="s">
        <v>1192</v>
      </c>
      <c r="L22" s="82" t="s">
        <v>1140</v>
      </c>
      <c r="M22" t="s">
        <v>1167</v>
      </c>
      <c r="N22" t="s">
        <v>1193</v>
      </c>
      <c r="O22" t="s">
        <v>1194</v>
      </c>
      <c r="P22" t="s">
        <v>1195</v>
      </c>
      <c r="Q22" t="s">
        <v>1196</v>
      </c>
      <c r="R22" t="s">
        <v>1197</v>
      </c>
      <c r="S22" t="s">
        <v>1198</v>
      </c>
      <c r="T22" t="s">
        <v>1199</v>
      </c>
      <c r="U22" t="s">
        <v>1200</v>
      </c>
      <c r="V22" s="83" t="s">
        <v>1201</v>
      </c>
    </row>
    <row r="23" spans="2:22" hidden="1">
      <c r="B23" s="68" t="s">
        <v>658</v>
      </c>
      <c r="E23" t="s">
        <v>1142</v>
      </c>
      <c r="F23" t="s">
        <v>1202</v>
      </c>
      <c r="L23" s="82" t="s">
        <v>1144</v>
      </c>
      <c r="M23" t="s">
        <v>1169</v>
      </c>
      <c r="N23" t="s">
        <v>1203</v>
      </c>
      <c r="O23" t="s">
        <v>1204</v>
      </c>
      <c r="P23" t="s">
        <v>1205</v>
      </c>
      <c r="Q23" t="s">
        <v>1206</v>
      </c>
      <c r="R23" t="s">
        <v>1207</v>
      </c>
      <c r="S23" t="s">
        <v>1208</v>
      </c>
      <c r="T23" t="s">
        <v>1209</v>
      </c>
      <c r="U23" t="s">
        <v>1210</v>
      </c>
      <c r="V23" s="83" t="s">
        <v>1211</v>
      </c>
    </row>
    <row r="24" spans="2:22" hidden="1">
      <c r="B24" s="70" t="s">
        <v>661</v>
      </c>
      <c r="E24" t="s">
        <v>1142</v>
      </c>
      <c r="F24" t="s">
        <v>1212</v>
      </c>
      <c r="L24" s="82" t="s">
        <v>1147</v>
      </c>
      <c r="M24" t="s">
        <v>1171</v>
      </c>
      <c r="N24" t="s">
        <v>1213</v>
      </c>
      <c r="O24" t="s">
        <v>1214</v>
      </c>
      <c r="P24" t="s">
        <v>1215</v>
      </c>
      <c r="Q24" t="s">
        <v>1216</v>
      </c>
      <c r="R24" t="s">
        <v>1217</v>
      </c>
      <c r="S24" t="s">
        <v>1218</v>
      </c>
      <c r="T24" t="s">
        <v>1219</v>
      </c>
      <c r="U24" t="s">
        <v>1220</v>
      </c>
      <c r="V24" s="83" t="s">
        <v>1221</v>
      </c>
    </row>
    <row r="25" spans="2:22" hidden="1">
      <c r="E25" t="s">
        <v>1142</v>
      </c>
      <c r="F25" t="s">
        <v>1222</v>
      </c>
      <c r="L25" s="82" t="s">
        <v>1149</v>
      </c>
      <c r="M25" t="s">
        <v>1172</v>
      </c>
      <c r="N25" t="s">
        <v>1223</v>
      </c>
      <c r="P25" t="s">
        <v>1224</v>
      </c>
      <c r="Q25" t="s">
        <v>1225</v>
      </c>
      <c r="R25" t="s">
        <v>1226</v>
      </c>
      <c r="S25" t="s">
        <v>1227</v>
      </c>
      <c r="T25" t="s">
        <v>1228</v>
      </c>
      <c r="U25" t="s">
        <v>1229</v>
      </c>
      <c r="V25" s="83"/>
    </row>
    <row r="26" spans="2:22" hidden="1">
      <c r="E26" t="s">
        <v>1142</v>
      </c>
      <c r="F26" t="s">
        <v>1230</v>
      </c>
      <c r="L26" s="82" t="s">
        <v>1151</v>
      </c>
      <c r="M26" t="s">
        <v>1182</v>
      </c>
      <c r="N26" t="s">
        <v>1231</v>
      </c>
      <c r="P26" t="s">
        <v>1232</v>
      </c>
      <c r="Q26" t="s">
        <v>1233</v>
      </c>
      <c r="R26" t="s">
        <v>1234</v>
      </c>
      <c r="S26" t="s">
        <v>1235</v>
      </c>
      <c r="T26" t="s">
        <v>1236</v>
      </c>
      <c r="U26" t="s">
        <v>1237</v>
      </c>
      <c r="V26" s="83"/>
    </row>
    <row r="27" spans="2:22" hidden="1">
      <c r="E27" t="s">
        <v>1142</v>
      </c>
      <c r="F27" t="s">
        <v>1238</v>
      </c>
      <c r="L27" s="82" t="s">
        <v>1154</v>
      </c>
      <c r="M27" t="s">
        <v>1192</v>
      </c>
      <c r="N27" t="s">
        <v>1239</v>
      </c>
      <c r="P27" t="s">
        <v>1240</v>
      </c>
      <c r="Q27" t="s">
        <v>1241</v>
      </c>
      <c r="R27" t="s">
        <v>1242</v>
      </c>
      <c r="S27" t="s">
        <v>1243</v>
      </c>
      <c r="T27" t="s">
        <v>1244</v>
      </c>
      <c r="U27" t="s">
        <v>1245</v>
      </c>
      <c r="V27" s="83"/>
    </row>
    <row r="28" spans="2:22" hidden="1">
      <c r="E28" t="s">
        <v>1142</v>
      </c>
      <c r="F28" t="s">
        <v>1246</v>
      </c>
      <c r="L28" s="82" t="s">
        <v>1155</v>
      </c>
      <c r="M28" t="s">
        <v>1202</v>
      </c>
      <c r="N28" t="s">
        <v>1247</v>
      </c>
      <c r="P28" t="s">
        <v>1248</v>
      </c>
      <c r="Q28" t="s">
        <v>1249</v>
      </c>
      <c r="R28" t="s">
        <v>1250</v>
      </c>
      <c r="S28" t="s">
        <v>1251</v>
      </c>
      <c r="T28" t="s">
        <v>1252</v>
      </c>
      <c r="V28" s="83"/>
    </row>
    <row r="29" spans="2:22" hidden="1">
      <c r="E29" t="s">
        <v>1142</v>
      </c>
      <c r="F29" t="s">
        <v>1253</v>
      </c>
      <c r="L29" s="85" t="s">
        <v>1158</v>
      </c>
      <c r="M29" s="86" t="s">
        <v>1212</v>
      </c>
      <c r="N29" s="86" t="s">
        <v>1254</v>
      </c>
      <c r="O29" s="86"/>
      <c r="P29" s="86" t="s">
        <v>1255</v>
      </c>
      <c r="Q29" s="86" t="s">
        <v>1256</v>
      </c>
      <c r="R29" s="86" t="s">
        <v>1257</v>
      </c>
      <c r="S29" s="86" t="s">
        <v>1258</v>
      </c>
      <c r="T29" s="86" t="s">
        <v>1259</v>
      </c>
      <c r="U29" s="86"/>
      <c r="V29" s="87"/>
    </row>
    <row r="30" spans="2:22" hidden="1">
      <c r="E30" t="s">
        <v>1142</v>
      </c>
      <c r="F30" t="s">
        <v>1260</v>
      </c>
      <c r="M30" t="s">
        <v>1222</v>
      </c>
      <c r="N30" t="s">
        <v>1261</v>
      </c>
      <c r="P30" t="s">
        <v>1262</v>
      </c>
      <c r="R30" t="s">
        <v>1263</v>
      </c>
      <c r="S30" t="s">
        <v>1264</v>
      </c>
      <c r="T30" t="s">
        <v>1265</v>
      </c>
    </row>
    <row r="31" spans="2:22" hidden="1">
      <c r="E31" t="s">
        <v>1142</v>
      </c>
      <c r="F31" t="s">
        <v>1266</v>
      </c>
      <c r="M31" t="s">
        <v>1230</v>
      </c>
      <c r="N31" t="s">
        <v>1267</v>
      </c>
      <c r="P31" t="s">
        <v>1268</v>
      </c>
      <c r="R31" t="s">
        <v>1269</v>
      </c>
      <c r="S31" t="s">
        <v>1270</v>
      </c>
    </row>
    <row r="32" spans="2:22" hidden="1">
      <c r="E32" t="s">
        <v>1142</v>
      </c>
      <c r="F32" t="s">
        <v>1271</v>
      </c>
      <c r="M32" t="s">
        <v>1238</v>
      </c>
      <c r="P32" t="s">
        <v>1272</v>
      </c>
      <c r="R32" t="s">
        <v>1273</v>
      </c>
      <c r="S32" t="s">
        <v>1274</v>
      </c>
    </row>
    <row r="33" spans="5:18" hidden="1">
      <c r="E33" t="s">
        <v>1142</v>
      </c>
      <c r="F33" t="s">
        <v>1275</v>
      </c>
      <c r="M33" t="s">
        <v>1246</v>
      </c>
      <c r="R33" t="s">
        <v>1276</v>
      </c>
    </row>
    <row r="34" spans="5:18" hidden="1">
      <c r="E34" t="s">
        <v>1142</v>
      </c>
      <c r="F34" t="s">
        <v>1277</v>
      </c>
      <c r="M34" t="s">
        <v>1253</v>
      </c>
      <c r="R34" t="s">
        <v>1278</v>
      </c>
    </row>
    <row r="35" spans="5:18" hidden="1">
      <c r="E35" t="s">
        <v>1145</v>
      </c>
      <c r="F35" t="s">
        <v>1173</v>
      </c>
      <c r="M35" t="s">
        <v>1260</v>
      </c>
      <c r="R35" t="s">
        <v>1279</v>
      </c>
    </row>
    <row r="36" spans="5:18" hidden="1">
      <c r="E36" t="s">
        <v>1145</v>
      </c>
      <c r="F36" t="s">
        <v>1183</v>
      </c>
      <c r="M36" t="s">
        <v>1266</v>
      </c>
      <c r="R36" t="s">
        <v>1280</v>
      </c>
    </row>
    <row r="37" spans="5:18" hidden="1">
      <c r="E37" t="s">
        <v>1145</v>
      </c>
      <c r="F37" t="s">
        <v>1193</v>
      </c>
      <c r="M37" t="s">
        <v>1271</v>
      </c>
    </row>
    <row r="38" spans="5:18" hidden="1">
      <c r="E38" t="s">
        <v>1145</v>
      </c>
      <c r="F38" t="s">
        <v>1203</v>
      </c>
      <c r="M38" t="s">
        <v>1275</v>
      </c>
    </row>
    <row r="39" spans="5:18" hidden="1">
      <c r="E39" t="s">
        <v>1145</v>
      </c>
      <c r="F39" t="s">
        <v>1213</v>
      </c>
      <c r="M39" t="s">
        <v>1277</v>
      </c>
    </row>
    <row r="40" spans="5:18" hidden="1">
      <c r="E40" t="s">
        <v>1145</v>
      </c>
      <c r="F40" t="s">
        <v>1223</v>
      </c>
    </row>
    <row r="41" spans="5:18" hidden="1">
      <c r="E41" t="s">
        <v>1145</v>
      </c>
      <c r="F41" t="s">
        <v>1231</v>
      </c>
    </row>
    <row r="42" spans="5:18">
      <c r="E42" t="s">
        <v>1145</v>
      </c>
      <c r="F42" t="s">
        <v>1239</v>
      </c>
    </row>
    <row r="43" spans="5:18">
      <c r="E43" t="s">
        <v>1145</v>
      </c>
      <c r="F43" t="s">
        <v>1247</v>
      </c>
    </row>
    <row r="44" spans="5:18">
      <c r="E44" t="s">
        <v>1145</v>
      </c>
      <c r="F44" t="s">
        <v>1254</v>
      </c>
    </row>
    <row r="45" spans="5:18">
      <c r="E45" t="s">
        <v>1145</v>
      </c>
      <c r="F45" t="s">
        <v>1261</v>
      </c>
    </row>
    <row r="46" spans="5:18">
      <c r="E46" t="s">
        <v>1145</v>
      </c>
      <c r="F46" t="s">
        <v>1267</v>
      </c>
    </row>
    <row r="47" spans="5:18">
      <c r="E47" t="s">
        <v>1127</v>
      </c>
      <c r="F47" t="s">
        <v>1174</v>
      </c>
    </row>
    <row r="48" spans="5:18">
      <c r="E48" t="s">
        <v>1127</v>
      </c>
      <c r="F48" t="s">
        <v>1184</v>
      </c>
    </row>
    <row r="49" spans="5:6">
      <c r="E49" t="s">
        <v>1127</v>
      </c>
      <c r="F49" t="s">
        <v>1194</v>
      </c>
    </row>
    <row r="50" spans="5:6">
      <c r="E50" t="s">
        <v>1127</v>
      </c>
      <c r="F50" t="s">
        <v>1204</v>
      </c>
    </row>
    <row r="51" spans="5:6">
      <c r="E51" t="s">
        <v>1127</v>
      </c>
      <c r="F51" t="s">
        <v>1214</v>
      </c>
    </row>
    <row r="52" spans="5:6">
      <c r="E52" t="s">
        <v>816</v>
      </c>
      <c r="F52" t="s">
        <v>1175</v>
      </c>
    </row>
    <row r="53" spans="5:6">
      <c r="E53" t="s">
        <v>816</v>
      </c>
      <c r="F53" t="s">
        <v>1185</v>
      </c>
    </row>
    <row r="54" spans="5:6">
      <c r="E54" t="s">
        <v>816</v>
      </c>
      <c r="F54" t="s">
        <v>1195</v>
      </c>
    </row>
    <row r="55" spans="5:6">
      <c r="E55" t="s">
        <v>816</v>
      </c>
      <c r="F55" t="s">
        <v>1205</v>
      </c>
    </row>
    <row r="56" spans="5:6">
      <c r="E56" t="s">
        <v>816</v>
      </c>
      <c r="F56" t="s">
        <v>1215</v>
      </c>
    </row>
    <row r="57" spans="5:6">
      <c r="E57" t="s">
        <v>816</v>
      </c>
      <c r="F57" t="s">
        <v>1224</v>
      </c>
    </row>
    <row r="58" spans="5:6">
      <c r="E58" t="s">
        <v>816</v>
      </c>
      <c r="F58" t="s">
        <v>1232</v>
      </c>
    </row>
    <row r="59" spans="5:6">
      <c r="E59" t="s">
        <v>816</v>
      </c>
      <c r="F59" t="s">
        <v>1240</v>
      </c>
    </row>
    <row r="60" spans="5:6">
      <c r="E60" t="s">
        <v>816</v>
      </c>
      <c r="F60" t="s">
        <v>1248</v>
      </c>
    </row>
    <row r="61" spans="5:6">
      <c r="E61" t="s">
        <v>816</v>
      </c>
      <c r="F61" t="s">
        <v>1255</v>
      </c>
    </row>
    <row r="62" spans="5:6">
      <c r="E62" t="s">
        <v>816</v>
      </c>
      <c r="F62" t="s">
        <v>1262</v>
      </c>
    </row>
    <row r="63" spans="5:6">
      <c r="E63" t="s">
        <v>816</v>
      </c>
      <c r="F63" t="s">
        <v>1268</v>
      </c>
    </row>
    <row r="64" spans="5:6">
      <c r="E64" t="s">
        <v>816</v>
      </c>
      <c r="F64" t="s">
        <v>1272</v>
      </c>
    </row>
    <row r="65" spans="5:6">
      <c r="E65" t="s">
        <v>1152</v>
      </c>
      <c r="F65" t="s">
        <v>1176</v>
      </c>
    </row>
    <row r="66" spans="5:6">
      <c r="E66" t="s">
        <v>1152</v>
      </c>
      <c r="F66" t="s">
        <v>1186</v>
      </c>
    </row>
    <row r="67" spans="5:6">
      <c r="E67" t="s">
        <v>1152</v>
      </c>
      <c r="F67" t="s">
        <v>1196</v>
      </c>
    </row>
    <row r="68" spans="5:6">
      <c r="E68" t="s">
        <v>1152</v>
      </c>
      <c r="F68" t="s">
        <v>1206</v>
      </c>
    </row>
    <row r="69" spans="5:6">
      <c r="E69" t="s">
        <v>1152</v>
      </c>
      <c r="F69" t="s">
        <v>1216</v>
      </c>
    </row>
    <row r="70" spans="5:6">
      <c r="E70" t="s">
        <v>1152</v>
      </c>
      <c r="F70" t="s">
        <v>1225</v>
      </c>
    </row>
    <row r="71" spans="5:6">
      <c r="E71" t="s">
        <v>1152</v>
      </c>
      <c r="F71" t="s">
        <v>1233</v>
      </c>
    </row>
    <row r="72" spans="5:6">
      <c r="E72" t="s">
        <v>1152</v>
      </c>
      <c r="F72" t="s">
        <v>1241</v>
      </c>
    </row>
    <row r="73" spans="5:6">
      <c r="E73" t="s">
        <v>1152</v>
      </c>
      <c r="F73" t="s">
        <v>1249</v>
      </c>
    </row>
    <row r="74" spans="5:6">
      <c r="E74" t="s">
        <v>1152</v>
      </c>
      <c r="F74" t="s">
        <v>1256</v>
      </c>
    </row>
    <row r="75" spans="5:6">
      <c r="E75" t="s">
        <v>578</v>
      </c>
      <c r="F75" t="s">
        <v>1177</v>
      </c>
    </row>
    <row r="76" spans="5:6">
      <c r="E76" t="s">
        <v>578</v>
      </c>
      <c r="F76" t="s">
        <v>1187</v>
      </c>
    </row>
    <row r="77" spans="5:6">
      <c r="E77" t="s">
        <v>578</v>
      </c>
      <c r="F77" t="s">
        <v>1197</v>
      </c>
    </row>
    <row r="78" spans="5:6">
      <c r="E78" t="s">
        <v>578</v>
      </c>
      <c r="F78" t="s">
        <v>1207</v>
      </c>
    </row>
    <row r="79" spans="5:6">
      <c r="E79" t="s">
        <v>578</v>
      </c>
      <c r="F79" t="s">
        <v>1217</v>
      </c>
    </row>
    <row r="80" spans="5:6">
      <c r="E80" t="s">
        <v>578</v>
      </c>
      <c r="F80" t="s">
        <v>1226</v>
      </c>
    </row>
    <row r="81" spans="5:6">
      <c r="E81" t="s">
        <v>578</v>
      </c>
      <c r="F81" t="s">
        <v>1234</v>
      </c>
    </row>
    <row r="82" spans="5:6">
      <c r="E82" t="s">
        <v>578</v>
      </c>
      <c r="F82" t="s">
        <v>1242</v>
      </c>
    </row>
    <row r="83" spans="5:6">
      <c r="E83" t="s">
        <v>578</v>
      </c>
      <c r="F83" t="s">
        <v>1250</v>
      </c>
    </row>
    <row r="84" spans="5:6">
      <c r="E84" t="s">
        <v>578</v>
      </c>
      <c r="F84" t="s">
        <v>1257</v>
      </c>
    </row>
    <row r="85" spans="5:6">
      <c r="E85" t="s">
        <v>578</v>
      </c>
      <c r="F85" t="s">
        <v>1263</v>
      </c>
    </row>
    <row r="86" spans="5:6">
      <c r="E86" t="s">
        <v>578</v>
      </c>
      <c r="F86" t="s">
        <v>1269</v>
      </c>
    </row>
    <row r="87" spans="5:6">
      <c r="E87" t="s">
        <v>578</v>
      </c>
      <c r="F87" t="s">
        <v>1273</v>
      </c>
    </row>
    <row r="88" spans="5:6">
      <c r="E88" t="s">
        <v>578</v>
      </c>
      <c r="F88" t="s">
        <v>1276</v>
      </c>
    </row>
    <row r="89" spans="5:6">
      <c r="E89" t="s">
        <v>578</v>
      </c>
      <c r="F89" t="s">
        <v>1278</v>
      </c>
    </row>
    <row r="90" spans="5:6">
      <c r="E90" t="s">
        <v>578</v>
      </c>
      <c r="F90" t="s">
        <v>1279</v>
      </c>
    </row>
    <row r="91" spans="5:6">
      <c r="E91" t="s">
        <v>578</v>
      </c>
      <c r="F91" t="s">
        <v>1280</v>
      </c>
    </row>
    <row r="92" spans="5:6">
      <c r="E92" t="s">
        <v>1156</v>
      </c>
      <c r="F92" t="s">
        <v>1178</v>
      </c>
    </row>
    <row r="93" spans="5:6">
      <c r="E93" t="s">
        <v>1156</v>
      </c>
      <c r="F93" t="s">
        <v>1188</v>
      </c>
    </row>
    <row r="94" spans="5:6">
      <c r="E94" t="s">
        <v>1156</v>
      </c>
      <c r="F94" t="s">
        <v>1198</v>
      </c>
    </row>
    <row r="95" spans="5:6">
      <c r="E95" t="s">
        <v>1156</v>
      </c>
      <c r="F95" t="s">
        <v>1208</v>
      </c>
    </row>
    <row r="96" spans="5:6">
      <c r="E96" t="s">
        <v>1156</v>
      </c>
      <c r="F96" t="s">
        <v>1218</v>
      </c>
    </row>
    <row r="97" spans="5:6">
      <c r="E97" t="s">
        <v>1156</v>
      </c>
      <c r="F97" t="s">
        <v>1227</v>
      </c>
    </row>
    <row r="98" spans="5:6">
      <c r="E98" t="s">
        <v>1156</v>
      </c>
      <c r="F98" t="s">
        <v>1235</v>
      </c>
    </row>
    <row r="99" spans="5:6">
      <c r="E99" t="s">
        <v>1156</v>
      </c>
      <c r="F99" t="s">
        <v>1243</v>
      </c>
    </row>
    <row r="100" spans="5:6">
      <c r="E100" t="s">
        <v>1156</v>
      </c>
      <c r="F100" t="s">
        <v>1251</v>
      </c>
    </row>
    <row r="101" spans="5:6">
      <c r="E101" t="s">
        <v>1156</v>
      </c>
      <c r="F101" t="s">
        <v>1258</v>
      </c>
    </row>
    <row r="102" spans="5:6">
      <c r="E102" t="s">
        <v>1156</v>
      </c>
      <c r="F102" t="s">
        <v>1264</v>
      </c>
    </row>
    <row r="103" spans="5:6">
      <c r="E103" t="s">
        <v>1156</v>
      </c>
      <c r="F103" t="s">
        <v>1270</v>
      </c>
    </row>
    <row r="104" spans="5:6">
      <c r="E104" t="s">
        <v>1156</v>
      </c>
      <c r="F104" t="s">
        <v>1274</v>
      </c>
    </row>
    <row r="105" spans="5:6">
      <c r="E105" t="s">
        <v>1159</v>
      </c>
      <c r="F105" t="s">
        <v>1179</v>
      </c>
    </row>
    <row r="106" spans="5:6">
      <c r="E106" t="s">
        <v>1159</v>
      </c>
      <c r="F106" t="s">
        <v>1189</v>
      </c>
    </row>
    <row r="107" spans="5:6">
      <c r="E107" t="s">
        <v>1159</v>
      </c>
      <c r="F107" t="s">
        <v>1199</v>
      </c>
    </row>
    <row r="108" spans="5:6">
      <c r="E108" t="s">
        <v>1159</v>
      </c>
      <c r="F108" t="s">
        <v>1209</v>
      </c>
    </row>
    <row r="109" spans="5:6">
      <c r="E109" t="s">
        <v>1159</v>
      </c>
      <c r="F109" t="s">
        <v>1219</v>
      </c>
    </row>
    <row r="110" spans="5:6">
      <c r="E110" t="s">
        <v>1159</v>
      </c>
      <c r="F110" t="s">
        <v>1228</v>
      </c>
    </row>
    <row r="111" spans="5:6">
      <c r="E111" t="s">
        <v>1159</v>
      </c>
      <c r="F111" t="s">
        <v>1236</v>
      </c>
    </row>
    <row r="112" spans="5:6">
      <c r="E112" t="s">
        <v>1159</v>
      </c>
      <c r="F112" t="s">
        <v>1244</v>
      </c>
    </row>
    <row r="113" spans="5:6">
      <c r="E113" t="s">
        <v>1159</v>
      </c>
      <c r="F113" t="s">
        <v>1252</v>
      </c>
    </row>
    <row r="114" spans="5:6">
      <c r="E114" t="s">
        <v>1159</v>
      </c>
      <c r="F114" t="s">
        <v>1259</v>
      </c>
    </row>
    <row r="115" spans="5:6">
      <c r="E115" t="s">
        <v>1159</v>
      </c>
      <c r="F115" t="s">
        <v>1265</v>
      </c>
    </row>
    <row r="116" spans="5:6">
      <c r="E116" t="s">
        <v>1162</v>
      </c>
      <c r="F116" t="s">
        <v>1180</v>
      </c>
    </row>
    <row r="117" spans="5:6">
      <c r="E117" t="s">
        <v>1162</v>
      </c>
      <c r="F117" t="s">
        <v>1190</v>
      </c>
    </row>
    <row r="118" spans="5:6">
      <c r="E118" t="s">
        <v>1162</v>
      </c>
      <c r="F118" t="s">
        <v>1200</v>
      </c>
    </row>
    <row r="119" spans="5:6">
      <c r="E119" t="s">
        <v>1162</v>
      </c>
      <c r="F119" t="s">
        <v>1210</v>
      </c>
    </row>
    <row r="120" spans="5:6">
      <c r="E120" t="s">
        <v>1162</v>
      </c>
      <c r="F120" t="s">
        <v>1220</v>
      </c>
    </row>
    <row r="121" spans="5:6">
      <c r="E121" t="s">
        <v>1162</v>
      </c>
      <c r="F121" t="s">
        <v>1229</v>
      </c>
    </row>
    <row r="122" spans="5:6">
      <c r="E122" t="s">
        <v>1162</v>
      </c>
      <c r="F122" t="s">
        <v>1237</v>
      </c>
    </row>
    <row r="123" spans="5:6">
      <c r="E123" t="s">
        <v>1162</v>
      </c>
      <c r="F123" t="s">
        <v>1245</v>
      </c>
    </row>
    <row r="124" spans="5:6">
      <c r="E124" t="s">
        <v>1165</v>
      </c>
      <c r="F124" t="s">
        <v>1181</v>
      </c>
    </row>
    <row r="125" spans="5:6">
      <c r="E125" t="s">
        <v>1165</v>
      </c>
      <c r="F125" t="s">
        <v>1191</v>
      </c>
    </row>
    <row r="126" spans="5:6">
      <c r="E126" t="s">
        <v>1165</v>
      </c>
      <c r="F126" t="s">
        <v>1201</v>
      </c>
    </row>
    <row r="127" spans="5:6">
      <c r="E127" t="s">
        <v>1165</v>
      </c>
      <c r="F127" t="s">
        <v>1211</v>
      </c>
    </row>
    <row r="128" spans="5:6">
      <c r="E128" t="s">
        <v>1165</v>
      </c>
      <c r="F128" t="s">
        <v>1221</v>
      </c>
    </row>
  </sheetData>
  <mergeCells count="3">
    <mergeCell ref="K2:K3"/>
    <mergeCell ref="L2:P2"/>
    <mergeCell ref="Q2:AA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115-0CBC-4ABB-BE5B-970F623C3B18}">
  <dimension ref="A1:EV145"/>
  <sheetViews>
    <sheetView zoomScale="86" zoomScaleNormal="100" workbookViewId="0">
      <pane ySplit="5" topLeftCell="A6" activePane="bottomLeft" state="frozen"/>
      <selection pane="bottomLeft" activeCell="B91" sqref="B91"/>
    </sheetView>
  </sheetViews>
  <sheetFormatPr defaultColWidth="10.28515625" defaultRowHeight="13.5"/>
  <cols>
    <col min="1" max="1" width="43.7109375" style="19" bestFit="1" customWidth="1"/>
    <col min="2" max="2" width="10.5703125" style="19" bestFit="1" customWidth="1"/>
    <col min="3" max="5" width="13.42578125" style="19" customWidth="1"/>
    <col min="6" max="6" width="13.140625" style="19" customWidth="1"/>
    <col min="7" max="9" width="13.7109375" style="19" customWidth="1"/>
    <col min="10" max="10" width="14.140625" style="19" customWidth="1"/>
    <col min="11" max="11" width="15.140625" style="21" customWidth="1"/>
    <col min="12" max="12" width="17" style="21" hidden="1" customWidth="1"/>
    <col min="13" max="13" width="14.140625" style="19" hidden="1" customWidth="1"/>
    <col min="14" max="14" width="21.42578125" style="19" bestFit="1" customWidth="1"/>
    <col min="15" max="15" width="32.140625" style="19" customWidth="1"/>
    <col min="16" max="16" width="42.7109375" style="19" bestFit="1" customWidth="1"/>
    <col min="17" max="23" width="0" style="19" hidden="1" customWidth="1"/>
    <col min="24" max="24" width="15.28515625" style="19" bestFit="1" customWidth="1"/>
    <col min="25" max="25" width="17.42578125" style="19" bestFit="1" customWidth="1"/>
    <col min="26" max="33" width="0" style="19" hidden="1" customWidth="1"/>
    <col min="34" max="34" width="30" style="19" customWidth="1"/>
    <col min="35" max="35" width="17.28515625" style="19" customWidth="1"/>
    <col min="36" max="36" width="17" style="19" customWidth="1"/>
    <col min="37" max="37" width="15.5703125" style="19" customWidth="1"/>
    <col min="38" max="38" width="16.28515625" style="19" customWidth="1"/>
    <col min="39" max="39" width="15.5703125" style="19" customWidth="1"/>
    <col min="40" max="40" width="17.42578125" style="19" customWidth="1"/>
    <col min="41" max="41" width="14.140625" style="19" customWidth="1"/>
    <col min="42" max="16384" width="10.28515625" style="19"/>
  </cols>
  <sheetData>
    <row r="1" spans="1:44">
      <c r="C1" s="46"/>
      <c r="D1" s="46"/>
      <c r="E1" s="46"/>
      <c r="F1" s="46"/>
      <c r="G1" s="46"/>
      <c r="H1" s="46"/>
      <c r="I1" s="46"/>
      <c r="J1" s="46"/>
      <c r="K1" s="46"/>
      <c r="L1" s="46"/>
      <c r="M1" s="46"/>
      <c r="N1"/>
      <c r="O1"/>
    </row>
    <row r="2" spans="1:44">
      <c r="G2" s="1514" t="str" cm="1">
        <f t="array" aca="1" ref="G2" ca="1">"Figures in Millions of "&amp;_FV(H3,"Moeda")</f>
        <v>Figures in Millions of USD</v>
      </c>
      <c r="H2" s="1514"/>
      <c r="I2" s="1514"/>
      <c r="J2" s="1514"/>
      <c r="K2" s="22"/>
      <c r="L2" s="22"/>
      <c r="M2" s="22"/>
      <c r="N2" s="22"/>
      <c r="O2" s="22"/>
    </row>
    <row r="3" spans="1:44">
      <c r="G3" s="19" t="s">
        <v>1281</v>
      </c>
      <c r="H3" s="19" t="e" vm="1">
        <v>#VALUE!</v>
      </c>
      <c r="M3"/>
      <c r="N3"/>
      <c r="O3"/>
    </row>
    <row r="4" spans="1:44">
      <c r="D4" s="1514" t="s">
        <v>1282</v>
      </c>
      <c r="E4" s="1514"/>
      <c r="F4" s="1514"/>
      <c r="G4" s="1514"/>
      <c r="H4" s="1514"/>
      <c r="I4" s="1514"/>
      <c r="J4" s="1514"/>
      <c r="K4" s="1514"/>
      <c r="L4" s="1514"/>
      <c r="M4" s="1514"/>
      <c r="N4"/>
      <c r="O4"/>
    </row>
    <row r="5" spans="1:44">
      <c r="A5" s="46" t="s">
        <v>1283</v>
      </c>
      <c r="B5" s="46">
        <f>OP!J19</f>
        <v>2023</v>
      </c>
      <c r="C5" s="283">
        <f>B5-1</f>
        <v>2022</v>
      </c>
      <c r="D5" s="283">
        <f t="shared" ref="D5:M5" si="0">C5-1</f>
        <v>2021</v>
      </c>
      <c r="E5" s="283">
        <f t="shared" si="0"/>
        <v>2020</v>
      </c>
      <c r="F5" s="283">
        <f t="shared" si="0"/>
        <v>2019</v>
      </c>
      <c r="G5" s="283">
        <f t="shared" si="0"/>
        <v>2018</v>
      </c>
      <c r="H5" s="283">
        <f t="shared" si="0"/>
        <v>2017</v>
      </c>
      <c r="I5" s="283">
        <f t="shared" si="0"/>
        <v>2016</v>
      </c>
      <c r="J5" s="283">
        <f t="shared" si="0"/>
        <v>2015</v>
      </c>
      <c r="K5" s="283">
        <f t="shared" si="0"/>
        <v>2014</v>
      </c>
      <c r="L5" s="283">
        <f t="shared" si="0"/>
        <v>2013</v>
      </c>
      <c r="M5" s="283">
        <f t="shared" si="0"/>
        <v>2012</v>
      </c>
      <c r="N5"/>
      <c r="O5"/>
      <c r="Q5" s="9" t="s">
        <v>1284</v>
      </c>
      <c r="R5" s="1515" t="s">
        <v>1285</v>
      </c>
      <c r="S5" s="1515"/>
      <c r="T5" s="19" t="s">
        <v>1286</v>
      </c>
      <c r="Z5" s="46">
        <v>2016</v>
      </c>
      <c r="AA5" s="46">
        <v>2015</v>
      </c>
      <c r="AB5" s="46">
        <v>2014</v>
      </c>
      <c r="AC5" s="46">
        <v>2013</v>
      </c>
      <c r="AD5" s="46">
        <v>2012</v>
      </c>
      <c r="AE5" s="46">
        <v>2011</v>
      </c>
      <c r="AF5" s="46">
        <v>2010</v>
      </c>
      <c r="AG5" s="46">
        <v>2009</v>
      </c>
    </row>
    <row r="6" spans="1:44">
      <c r="A6" s="23" t="s">
        <v>134</v>
      </c>
      <c r="B6" s="252">
        <v>35127</v>
      </c>
      <c r="C6" s="252">
        <v>28820</v>
      </c>
      <c r="D6" s="252">
        <v>23522</v>
      </c>
      <c r="E6" s="252">
        <v>18729</v>
      </c>
      <c r="F6" s="252">
        <v>25600</v>
      </c>
      <c r="G6" s="252">
        <v>23496</v>
      </c>
      <c r="H6" s="252">
        <v>19456</v>
      </c>
      <c r="I6" s="252">
        <v>17033</v>
      </c>
      <c r="J6" s="252">
        <v>19115</v>
      </c>
      <c r="K6" s="252">
        <v>18997</v>
      </c>
      <c r="L6" s="252">
        <v>4884</v>
      </c>
      <c r="M6" s="252"/>
      <c r="N6" s="25" t="s">
        <v>1287</v>
      </c>
      <c r="O6" t="s">
        <v>1288</v>
      </c>
      <c r="P6"/>
      <c r="Q6" s="19" t="s">
        <v>1289</v>
      </c>
      <c r="R6" s="19" t="s">
        <v>1289</v>
      </c>
      <c r="X6" s="26"/>
      <c r="Y6" s="26"/>
      <c r="Z6" s="24">
        <v>38537</v>
      </c>
      <c r="AA6" s="24">
        <v>47011</v>
      </c>
      <c r="AB6" s="24">
        <v>55184</v>
      </c>
      <c r="AC6" s="24">
        <v>55656</v>
      </c>
      <c r="AD6" s="24">
        <v>65875</v>
      </c>
      <c r="AE6" s="24">
        <v>60138</v>
      </c>
      <c r="AF6" s="24">
        <v>42588</v>
      </c>
      <c r="AG6" s="24">
        <v>32396</v>
      </c>
    </row>
    <row r="7" spans="1:44">
      <c r="A7" s="23" t="s">
        <v>1078</v>
      </c>
      <c r="B7" s="252">
        <v>8233</v>
      </c>
      <c r="C7" s="252">
        <v>5529</v>
      </c>
      <c r="D7" s="252">
        <v>4412</v>
      </c>
      <c r="E7" s="252">
        <v>3652</v>
      </c>
      <c r="F7" s="252">
        <v>5045</v>
      </c>
      <c r="G7" s="252">
        <v>4570</v>
      </c>
      <c r="H7" s="252">
        <v>3863</v>
      </c>
      <c r="I7" s="252">
        <v>3516</v>
      </c>
      <c r="J7" s="252">
        <v>3822</v>
      </c>
      <c r="K7" s="252">
        <v>3510</v>
      </c>
      <c r="L7" s="252">
        <v>1681</v>
      </c>
      <c r="M7" s="252"/>
      <c r="N7" s="25" t="s">
        <v>1287</v>
      </c>
      <c r="O7" t="str">
        <f>+A7</f>
        <v>Gross Profit</v>
      </c>
      <c r="P7"/>
      <c r="Q7" s="19" t="s">
        <v>1289</v>
      </c>
      <c r="R7" s="19" t="s">
        <v>1290</v>
      </c>
      <c r="Z7" s="28">
        <f>Z6-28044</f>
        <v>10493</v>
      </c>
      <c r="AA7" s="28">
        <f>AA6-33546</f>
        <v>13465</v>
      </c>
      <c r="AB7" s="28">
        <f>AB6-40718</f>
        <v>14466</v>
      </c>
      <c r="AC7" s="28">
        <f>AC6-40727</f>
        <v>14929</v>
      </c>
      <c r="AD7" s="29">
        <f>+AD6-47055</f>
        <v>18820</v>
      </c>
      <c r="AE7" s="29">
        <f>+AE6-43578</f>
        <v>16560</v>
      </c>
      <c r="AF7" s="29">
        <f>+AF6-30367</f>
        <v>12221</v>
      </c>
      <c r="AG7" s="29">
        <f>+AG6-23886</f>
        <v>8510</v>
      </c>
    </row>
    <row r="8" spans="1:44">
      <c r="A8" s="23" t="s">
        <v>294</v>
      </c>
      <c r="B8" s="252">
        <v>5847</v>
      </c>
      <c r="C8" s="252">
        <v>3895</v>
      </c>
      <c r="D8" s="252">
        <v>2441</v>
      </c>
      <c r="E8" s="252">
        <v>1760</v>
      </c>
      <c r="F8" s="252">
        <v>3206</v>
      </c>
      <c r="G8" s="252">
        <v>2877</v>
      </c>
      <c r="H8" s="252">
        <v>2294</v>
      </c>
      <c r="I8" s="252">
        <v>1243</v>
      </c>
      <c r="J8" s="252">
        <v>2443</v>
      </c>
      <c r="K8" s="252">
        <v>2134</v>
      </c>
      <c r="L8" s="284">
        <v>718</v>
      </c>
      <c r="M8" s="284"/>
      <c r="N8" s="25" t="s">
        <v>1287</v>
      </c>
      <c r="O8" t="s">
        <v>294</v>
      </c>
      <c r="P8"/>
      <c r="Q8" s="19" t="s">
        <v>1289</v>
      </c>
      <c r="R8" s="30" t="s">
        <v>1291</v>
      </c>
      <c r="Z8" s="28">
        <f>Z7-4383</f>
        <v>6110</v>
      </c>
      <c r="AA8" s="28">
        <f>AA7-4951</f>
        <v>8514</v>
      </c>
      <c r="AB8" s="28">
        <f>AB7-6529</f>
        <v>7937</v>
      </c>
      <c r="AC8" s="28">
        <f>AC7-5547</f>
        <v>9382</v>
      </c>
      <c r="AD8" s="29">
        <f>AD7-5919-2466-797-580-485</f>
        <v>8573</v>
      </c>
      <c r="AE8" s="29">
        <f>+AE7-5203-2297-826-1081</f>
        <v>7153</v>
      </c>
      <c r="AF8" s="29">
        <f>+AF7-4248-1905-914-1191</f>
        <v>3963</v>
      </c>
      <c r="AG8" s="29">
        <f>+AG7-3645-1421-1045-1822</f>
        <v>577</v>
      </c>
    </row>
    <row r="9" spans="1:44">
      <c r="A9" s="23" t="s">
        <v>1082</v>
      </c>
      <c r="B9" s="252">
        <f>B106</f>
        <v>0</v>
      </c>
      <c r="C9" s="252">
        <f t="shared" ref="C9:K9" si="1">C106</f>
        <v>0</v>
      </c>
      <c r="D9" s="252">
        <f t="shared" si="1"/>
        <v>0</v>
      </c>
      <c r="E9" s="252">
        <f t="shared" si="1"/>
        <v>0</v>
      </c>
      <c r="F9" s="252">
        <f t="shared" si="1"/>
        <v>1</v>
      </c>
      <c r="G9" s="252">
        <f t="shared" si="1"/>
        <v>-1</v>
      </c>
      <c r="H9" s="252">
        <f t="shared" si="1"/>
        <v>2</v>
      </c>
      <c r="I9" s="252">
        <f t="shared" si="1"/>
        <v>2</v>
      </c>
      <c r="J9" s="252">
        <f t="shared" si="1"/>
        <v>0</v>
      </c>
      <c r="K9" s="252">
        <f t="shared" si="1"/>
        <v>2</v>
      </c>
      <c r="L9" s="252">
        <v>0</v>
      </c>
      <c r="M9" s="252"/>
      <c r="N9" s="25" t="s">
        <v>1287</v>
      </c>
      <c r="O9" t="s">
        <v>1292</v>
      </c>
      <c r="P9"/>
      <c r="Q9" s="19" t="s">
        <v>1289</v>
      </c>
      <c r="R9" s="19" t="s">
        <v>1293</v>
      </c>
      <c r="S9" s="19" t="s">
        <v>1294</v>
      </c>
      <c r="T9" s="19" t="s">
        <v>1295</v>
      </c>
      <c r="U9" s="19" t="s">
        <v>1296</v>
      </c>
      <c r="V9" s="19" t="s">
        <v>1297</v>
      </c>
      <c r="Z9" s="28">
        <f>1853+596+595+1904+6+8</f>
        <v>4962</v>
      </c>
      <c r="AA9" s="28">
        <f>2119+587+2023+11</f>
        <v>4740</v>
      </c>
      <c r="AB9" s="28">
        <f>2380+624+1619-8+16</f>
        <v>4631</v>
      </c>
      <c r="AC9" s="28">
        <f>2046+727+981+6+14</f>
        <v>3774</v>
      </c>
      <c r="AD9" s="29">
        <f>-14+41</f>
        <v>27</v>
      </c>
      <c r="AE9" s="28">
        <v>53</v>
      </c>
      <c r="AF9" s="28">
        <f>58+24</f>
        <v>82</v>
      </c>
      <c r="AG9" s="28">
        <f>12-68</f>
        <v>-56</v>
      </c>
    </row>
    <row r="10" spans="1:44">
      <c r="A10" s="23" t="s">
        <v>295</v>
      </c>
      <c r="B10" s="252">
        <v>-129</v>
      </c>
      <c r="C10" s="252">
        <v>-46</v>
      </c>
      <c r="D10" s="252">
        <v>-63</v>
      </c>
      <c r="E10" s="252">
        <v>-102</v>
      </c>
      <c r="F10" s="252">
        <v>-107</v>
      </c>
      <c r="G10" s="252">
        <v>-67</v>
      </c>
      <c r="H10" s="252">
        <v>-121</v>
      </c>
      <c r="I10" s="252">
        <v>-113</v>
      </c>
      <c r="J10" s="252">
        <v>-106</v>
      </c>
      <c r="K10" s="252">
        <v>-117</v>
      </c>
      <c r="L10" s="252">
        <v>-67</v>
      </c>
      <c r="M10" s="252"/>
      <c r="N10" s="25" t="s">
        <v>1287</v>
      </c>
      <c r="O10" t="s">
        <v>1298</v>
      </c>
      <c r="P10"/>
      <c r="Q10" s="19" t="s">
        <v>1289</v>
      </c>
      <c r="R10" s="19" t="s">
        <v>1299</v>
      </c>
      <c r="Z10" s="28">
        <f>505+518</f>
        <v>1023</v>
      </c>
      <c r="AA10" s="28">
        <f>507-161</f>
        <v>346</v>
      </c>
      <c r="AB10" s="28">
        <f>484-322</f>
        <v>162</v>
      </c>
      <c r="AC10" s="28">
        <f>465+35</f>
        <v>500</v>
      </c>
      <c r="AD10" s="29">
        <f>467-130</f>
        <v>337</v>
      </c>
      <c r="AE10" s="28">
        <f>396+32</f>
        <v>428</v>
      </c>
      <c r="AF10" s="28">
        <f>343-130</f>
        <v>213</v>
      </c>
      <c r="AG10" s="28">
        <f>389-381</f>
        <v>8</v>
      </c>
    </row>
    <row r="11" spans="1:44">
      <c r="A11" s="23" t="s">
        <v>296</v>
      </c>
      <c r="B11" s="252">
        <v>-1117</v>
      </c>
      <c r="C11" s="252">
        <v>-837</v>
      </c>
      <c r="D11" s="252">
        <v>-527</v>
      </c>
      <c r="E11" s="252">
        <v>-360</v>
      </c>
      <c r="F11" s="252">
        <v>-711</v>
      </c>
      <c r="G11" s="252">
        <v>-615</v>
      </c>
      <c r="H11" s="252">
        <v>-672</v>
      </c>
      <c r="I11" s="252">
        <v>-609</v>
      </c>
      <c r="J11" s="252">
        <v>-733</v>
      </c>
      <c r="K11" s="252">
        <v>-659</v>
      </c>
      <c r="L11" s="252">
        <v>82</v>
      </c>
      <c r="M11" s="252"/>
      <c r="N11" s="25" t="s">
        <v>1287</v>
      </c>
      <c r="O11" t="s">
        <v>296</v>
      </c>
      <c r="P11" s="671"/>
      <c r="Q11" s="19" t="s">
        <v>1289</v>
      </c>
      <c r="R11" s="19" t="s">
        <v>1300</v>
      </c>
      <c r="Z11" s="24">
        <v>192</v>
      </c>
      <c r="AA11" s="24">
        <v>916</v>
      </c>
      <c r="AB11" s="24">
        <v>692</v>
      </c>
      <c r="AC11" s="24">
        <v>1319</v>
      </c>
      <c r="AD11" s="27">
        <f>2528</f>
        <v>2528</v>
      </c>
      <c r="AE11" s="24">
        <f>1720</f>
        <v>1720</v>
      </c>
      <c r="AF11" s="24">
        <f>968</f>
        <v>968</v>
      </c>
      <c r="AG11" s="24">
        <f>-270</f>
        <v>-270</v>
      </c>
    </row>
    <row r="12" spans="1:44">
      <c r="A12" s="23" t="s">
        <v>75</v>
      </c>
      <c r="B12" s="252">
        <v>4601</v>
      </c>
      <c r="C12" s="252">
        <v>3012</v>
      </c>
      <c r="D12" s="252">
        <v>1852</v>
      </c>
      <c r="E12" s="252">
        <v>1298</v>
      </c>
      <c r="F12" s="252">
        <v>2388</v>
      </c>
      <c r="G12" s="252">
        <v>2195</v>
      </c>
      <c r="H12" s="252">
        <v>1502</v>
      </c>
      <c r="I12" s="252">
        <v>522</v>
      </c>
      <c r="J12" s="252">
        <v>1604</v>
      </c>
      <c r="K12" s="252">
        <v>1359</v>
      </c>
      <c r="L12" s="252">
        <v>569</v>
      </c>
      <c r="M12" s="252"/>
      <c r="N12" s="25" t="s">
        <v>1287</v>
      </c>
      <c r="O12" t="s">
        <v>75</v>
      </c>
      <c r="P12"/>
      <c r="Q12" s="19" t="s">
        <v>1301</v>
      </c>
      <c r="R12" s="19" t="s">
        <v>1302</v>
      </c>
      <c r="Z12" s="24">
        <v>-67</v>
      </c>
      <c r="AA12" s="24">
        <v>2512</v>
      </c>
      <c r="AB12" s="24">
        <v>2452</v>
      </c>
      <c r="AC12" s="24">
        <v>3789</v>
      </c>
      <c r="AD12" s="24">
        <v>5681</v>
      </c>
      <c r="AE12" s="24">
        <f>4928+24</f>
        <v>4952</v>
      </c>
      <c r="AF12" s="24">
        <v>2700</v>
      </c>
      <c r="AG12" s="24">
        <v>895</v>
      </c>
    </row>
    <row r="13" spans="1:44">
      <c r="B13" s="285">
        <f>SUM(B8:B11)</f>
        <v>4601</v>
      </c>
      <c r="C13" s="285">
        <f t="shared" ref="C13:L13" si="2">SUM(C8:C11)</f>
        <v>3012</v>
      </c>
      <c r="D13" s="285">
        <f t="shared" si="2"/>
        <v>1851</v>
      </c>
      <c r="E13" s="285">
        <f t="shared" si="2"/>
        <v>1298</v>
      </c>
      <c r="F13" s="285">
        <f t="shared" si="2"/>
        <v>2389</v>
      </c>
      <c r="G13" s="285">
        <f t="shared" si="2"/>
        <v>2194</v>
      </c>
      <c r="H13" s="285">
        <f t="shared" si="2"/>
        <v>1503</v>
      </c>
      <c r="I13" s="285">
        <f t="shared" si="2"/>
        <v>523</v>
      </c>
      <c r="J13" s="285">
        <f t="shared" si="2"/>
        <v>1604</v>
      </c>
      <c r="K13" s="285">
        <f t="shared" si="2"/>
        <v>1360</v>
      </c>
      <c r="L13" s="285">
        <f t="shared" si="2"/>
        <v>733</v>
      </c>
      <c r="M13" s="285">
        <f t="shared" ref="M13" si="3">SUM(M8:M11)</f>
        <v>0</v>
      </c>
      <c r="N13"/>
      <c r="O13"/>
      <c r="P13"/>
      <c r="Z13" s="21">
        <f t="shared" ref="Z13:AG13" si="4">Z8-Z10-Z9-Z11</f>
        <v>-67</v>
      </c>
      <c r="AA13" s="21">
        <f t="shared" si="4"/>
        <v>2512</v>
      </c>
      <c r="AB13" s="21">
        <f t="shared" si="4"/>
        <v>2452</v>
      </c>
      <c r="AC13" s="21">
        <f t="shared" si="4"/>
        <v>3789</v>
      </c>
      <c r="AD13" s="21">
        <f t="shared" si="4"/>
        <v>5681</v>
      </c>
      <c r="AE13" s="21">
        <f t="shared" si="4"/>
        <v>4952</v>
      </c>
      <c r="AF13" s="21">
        <f t="shared" si="4"/>
        <v>2700</v>
      </c>
      <c r="AG13" s="21">
        <f t="shared" si="4"/>
        <v>895</v>
      </c>
    </row>
    <row r="14" spans="1:44">
      <c r="A14" s="46" t="s">
        <v>1303</v>
      </c>
      <c r="B14" s="286">
        <f>B12-B13</f>
        <v>0</v>
      </c>
      <c r="C14" s="286">
        <f t="shared" ref="C14:L14" si="5">C12-C13</f>
        <v>0</v>
      </c>
      <c r="D14" s="286">
        <f t="shared" si="5"/>
        <v>1</v>
      </c>
      <c r="E14" s="286">
        <f t="shared" si="5"/>
        <v>0</v>
      </c>
      <c r="F14" s="286">
        <f t="shared" si="5"/>
        <v>-1</v>
      </c>
      <c r="G14" s="286">
        <f t="shared" si="5"/>
        <v>1</v>
      </c>
      <c r="H14" s="286">
        <f t="shared" si="5"/>
        <v>-1</v>
      </c>
      <c r="I14" s="286">
        <f t="shared" si="5"/>
        <v>-1</v>
      </c>
      <c r="J14" s="286">
        <f t="shared" si="5"/>
        <v>0</v>
      </c>
      <c r="K14" s="286">
        <f t="shared" si="5"/>
        <v>-1</v>
      </c>
      <c r="L14" s="286">
        <f t="shared" si="5"/>
        <v>-164</v>
      </c>
      <c r="M14" s="286">
        <f t="shared" ref="M14" si="6">M12-M13</f>
        <v>0</v>
      </c>
      <c r="N14"/>
      <c r="O14"/>
      <c r="P14"/>
      <c r="Q14"/>
      <c r="R14"/>
      <c r="S14"/>
      <c r="T14"/>
      <c r="U14"/>
      <c r="V14"/>
      <c r="W14"/>
      <c r="X14"/>
      <c r="Y14"/>
      <c r="Z14"/>
      <c r="AA14"/>
      <c r="AB14"/>
      <c r="AC14"/>
      <c r="AD14"/>
      <c r="AE14"/>
      <c r="AF14"/>
      <c r="AG14"/>
      <c r="AH14"/>
      <c r="AI14"/>
      <c r="AJ14"/>
      <c r="AK14"/>
      <c r="AL14"/>
      <c r="AM14"/>
      <c r="AN14"/>
      <c r="AO14"/>
      <c r="AP14"/>
      <c r="AQ14"/>
      <c r="AR14"/>
    </row>
    <row r="15" spans="1:44">
      <c r="A15"/>
      <c r="B15" s="289"/>
      <c r="C15" s="289"/>
      <c r="D15" s="289"/>
      <c r="E15" s="289"/>
      <c r="F15" s="289"/>
      <c r="G15" s="289"/>
      <c r="H15" s="289"/>
      <c r="I15" s="289"/>
      <c r="J15" s="289"/>
      <c r="K15" s="289"/>
      <c r="L15" s="289"/>
      <c r="M15" s="289"/>
      <c r="N15"/>
      <c r="O15"/>
      <c r="P15"/>
      <c r="Q15"/>
      <c r="R15"/>
      <c r="S15"/>
      <c r="T15"/>
      <c r="U15"/>
      <c r="V15"/>
      <c r="W15"/>
      <c r="X15"/>
      <c r="Y15"/>
      <c r="Z15"/>
      <c r="AA15"/>
      <c r="AB15"/>
      <c r="AC15"/>
      <c r="AD15"/>
      <c r="AE15"/>
      <c r="AF15"/>
      <c r="AG15"/>
      <c r="AH15"/>
      <c r="AI15"/>
      <c r="AJ15"/>
      <c r="AK15"/>
      <c r="AL15"/>
      <c r="AM15"/>
      <c r="AN15"/>
      <c r="AO15"/>
      <c r="AP15"/>
      <c r="AQ15"/>
      <c r="AR15"/>
    </row>
    <row r="16" spans="1:44">
      <c r="A16" s="23" t="s">
        <v>1304</v>
      </c>
      <c r="B16" s="252">
        <v>524</v>
      </c>
      <c r="C16" s="252">
        <v>523</v>
      </c>
      <c r="D16" s="252">
        <v>522</v>
      </c>
      <c r="E16" s="252">
        <v>520</v>
      </c>
      <c r="F16" s="252">
        <v>520</v>
      </c>
      <c r="G16" s="252">
        <v>526</v>
      </c>
      <c r="H16" s="252">
        <v>528</v>
      </c>
      <c r="I16" s="252">
        <v>527</v>
      </c>
      <c r="J16" s="252">
        <v>532</v>
      </c>
      <c r="K16" s="252">
        <v>532</v>
      </c>
      <c r="L16" s="287">
        <v>1443</v>
      </c>
      <c r="M16" s="287"/>
      <c r="N16"/>
      <c r="O16"/>
      <c r="P16"/>
      <c r="Q16"/>
      <c r="R16"/>
      <c r="S16"/>
      <c r="T16"/>
      <c r="U16"/>
      <c r="V16"/>
      <c r="W16"/>
      <c r="X16"/>
      <c r="Y16"/>
      <c r="Z16"/>
      <c r="AA16"/>
      <c r="AB16"/>
      <c r="AC16"/>
      <c r="AD16"/>
      <c r="AE16"/>
      <c r="AF16"/>
      <c r="AG16"/>
      <c r="AH16"/>
      <c r="AI16"/>
      <c r="AJ16"/>
      <c r="AK16"/>
      <c r="AL16"/>
      <c r="AM16"/>
      <c r="AN16"/>
      <c r="AO16"/>
      <c r="AP16"/>
      <c r="AQ16"/>
      <c r="AR16"/>
    </row>
    <row r="17" spans="1:152">
      <c r="A17" s="23" t="s">
        <v>1305</v>
      </c>
      <c r="B17" s="252">
        <v>525</v>
      </c>
      <c r="C17" s="252">
        <v>523</v>
      </c>
      <c r="D17" s="252">
        <v>523</v>
      </c>
      <c r="E17" s="252">
        <v>521</v>
      </c>
      <c r="F17" s="252">
        <v>521</v>
      </c>
      <c r="G17" s="252">
        <v>528</v>
      </c>
      <c r="H17" s="252">
        <v>529</v>
      </c>
      <c r="I17" s="252">
        <v>528</v>
      </c>
      <c r="J17" s="252">
        <v>533</v>
      </c>
      <c r="K17" s="252">
        <v>534</v>
      </c>
      <c r="L17" s="287">
        <v>1447</v>
      </c>
      <c r="M17" s="287"/>
      <c r="N17"/>
      <c r="O17"/>
      <c r="P17"/>
      <c r="Q17"/>
      <c r="R17"/>
      <c r="S17"/>
      <c r="T17"/>
      <c r="U17"/>
      <c r="V17"/>
      <c r="W17"/>
      <c r="X17"/>
      <c r="Y17"/>
      <c r="Z17"/>
      <c r="AA17"/>
      <c r="AB17"/>
      <c r="AC17"/>
      <c r="AD17"/>
      <c r="AE17"/>
      <c r="AF17"/>
      <c r="AG17"/>
      <c r="AH17"/>
      <c r="AI17"/>
      <c r="AJ17"/>
      <c r="AK17"/>
      <c r="AL17"/>
      <c r="AM17"/>
      <c r="AN17"/>
      <c r="AO17"/>
      <c r="AP17"/>
      <c r="AQ17"/>
      <c r="AR17"/>
    </row>
    <row r="18" spans="1:152" customFormat="1" ht="12.75">
      <c r="B18" s="289"/>
      <c r="C18" s="289"/>
      <c r="D18" s="289"/>
      <c r="E18" s="289"/>
      <c r="F18" s="289"/>
      <c r="G18" s="289"/>
      <c r="H18" s="289"/>
      <c r="I18" s="289"/>
      <c r="J18" s="289"/>
      <c r="K18" s="289"/>
      <c r="L18" s="289"/>
      <c r="M18" s="289"/>
    </row>
    <row r="19" spans="1:152">
      <c r="A19" s="23" t="s">
        <v>1306</v>
      </c>
      <c r="B19" s="252">
        <v>275.3</v>
      </c>
      <c r="C19" s="252">
        <v>-197.3</v>
      </c>
      <c r="D19" s="252">
        <v>-179.1</v>
      </c>
      <c r="E19" s="252">
        <v>115.6</v>
      </c>
      <c r="F19" s="252">
        <v>47.2</v>
      </c>
      <c r="G19" s="252">
        <v>-213.3</v>
      </c>
      <c r="H19" s="252">
        <v>292</v>
      </c>
      <c r="I19" s="252">
        <v>-87.1</v>
      </c>
      <c r="J19" s="252">
        <v>-483.8</v>
      </c>
      <c r="K19" s="252">
        <v>-422.8</v>
      </c>
      <c r="L19" s="252" t="str">
        <f t="shared" ref="L19" si="7">L76</f>
        <v>--</v>
      </c>
      <c r="M19" s="252"/>
      <c r="N19"/>
      <c r="O19"/>
      <c r="P19"/>
      <c r="Q19"/>
      <c r="R19"/>
      <c r="S19"/>
      <c r="T19"/>
      <c r="U19"/>
      <c r="V19"/>
      <c r="W19"/>
      <c r="X19"/>
      <c r="Y19"/>
      <c r="Z19"/>
      <c r="AA19"/>
      <c r="AB19"/>
      <c r="AC19"/>
      <c r="AD19"/>
      <c r="AE19"/>
      <c r="AF19"/>
      <c r="AG19"/>
      <c r="AH19"/>
      <c r="AI19"/>
      <c r="AJ19"/>
      <c r="AK19"/>
      <c r="AL19"/>
      <c r="AM19"/>
      <c r="AN19"/>
      <c r="AO19"/>
      <c r="AP19"/>
      <c r="AQ19"/>
      <c r="AR19"/>
    </row>
    <row r="20" spans="1:152">
      <c r="A20" s="23" t="s">
        <v>1307</v>
      </c>
      <c r="B20" s="252">
        <v>4860.3</v>
      </c>
      <c r="C20" s="252">
        <v>2979.3</v>
      </c>
      <c r="D20" s="252">
        <v>1994.7</v>
      </c>
      <c r="E20" s="252">
        <v>1351</v>
      </c>
      <c r="F20" s="252">
        <v>2386.3000000000002</v>
      </c>
      <c r="G20" s="252">
        <v>1923.4</v>
      </c>
      <c r="H20" s="252">
        <v>2009.7</v>
      </c>
      <c r="I20" s="930">
        <v>410.6</v>
      </c>
      <c r="J20" s="252">
        <v>1166.8</v>
      </c>
      <c r="K20" s="252">
        <v>770.3</v>
      </c>
      <c r="L20" s="252"/>
      <c r="M20" s="252"/>
      <c r="N20"/>
      <c r="O20" t="s">
        <v>1308</v>
      </c>
      <c r="P20"/>
      <c r="Q20"/>
      <c r="R20"/>
      <c r="S20"/>
      <c r="T20"/>
      <c r="U20"/>
      <c r="V20"/>
      <c r="W20"/>
      <c r="X20"/>
      <c r="Y20"/>
      <c r="Z20"/>
      <c r="AA20"/>
      <c r="AB20"/>
      <c r="AC20"/>
      <c r="AD20"/>
      <c r="AE20"/>
      <c r="AF20"/>
      <c r="AG20"/>
      <c r="AH20"/>
      <c r="AI20"/>
      <c r="AJ20"/>
      <c r="AK20"/>
      <c r="AL20"/>
      <c r="AM20"/>
      <c r="AN20"/>
      <c r="AO20"/>
      <c r="AP20"/>
      <c r="AQ20"/>
      <c r="AR20"/>
    </row>
    <row r="21" spans="1:152" customFormat="1" ht="12.75">
      <c r="B21" s="289"/>
      <c r="C21" s="289"/>
      <c r="D21" s="289"/>
      <c r="E21" s="289"/>
      <c r="F21" s="289"/>
      <c r="G21" s="289"/>
      <c r="H21" s="289"/>
      <c r="I21" s="289"/>
      <c r="J21" s="289"/>
      <c r="K21" s="289"/>
      <c r="L21" s="289"/>
      <c r="M21" s="289"/>
    </row>
    <row r="22" spans="1:152">
      <c r="A22" s="19" t="s">
        <v>1083</v>
      </c>
      <c r="B22" s="285">
        <f>B23-C23</f>
        <v>-2687</v>
      </c>
      <c r="C22" s="285">
        <f t="shared" ref="C22:K22" si="8">C23-D23</f>
        <v>-728</v>
      </c>
      <c r="D22" s="285">
        <f t="shared" si="8"/>
        <v>121</v>
      </c>
      <c r="E22" s="285">
        <f>E23-F23</f>
        <v>1106</v>
      </c>
      <c r="F22" s="285">
        <f t="shared" si="8"/>
        <v>-4343</v>
      </c>
      <c r="G22" s="285">
        <f t="shared" si="8"/>
        <v>-343</v>
      </c>
      <c r="H22" s="285">
        <f t="shared" si="8"/>
        <v>-351</v>
      </c>
      <c r="I22" s="285">
        <f t="shared" si="8"/>
        <v>197</v>
      </c>
      <c r="J22" s="285">
        <f>J23-K23</f>
        <v>-181</v>
      </c>
      <c r="K22" s="285">
        <f t="shared" si="8"/>
        <v>-1062.0999999999999</v>
      </c>
      <c r="L22" s="285" t="e">
        <f>L23-#REF!</f>
        <v>#REF!</v>
      </c>
      <c r="M22" s="285">
        <f>M23-N23</f>
        <v>0</v>
      </c>
      <c r="N22" s="31" t="s">
        <v>1309</v>
      </c>
      <c r="O22" t="s">
        <v>1310</v>
      </c>
      <c r="P22"/>
      <c r="Q22"/>
      <c r="R22"/>
      <c r="S22"/>
      <c r="T22"/>
      <c r="U22"/>
      <c r="V22"/>
      <c r="W22"/>
      <c r="X22"/>
      <c r="Y22"/>
      <c r="Z22"/>
      <c r="AA22"/>
      <c r="AB22"/>
      <c r="AC22"/>
      <c r="AD22"/>
      <c r="AE22"/>
      <c r="AF22"/>
      <c r="AG22"/>
      <c r="AH22"/>
      <c r="AI22"/>
      <c r="AJ22"/>
      <c r="AK22"/>
      <c r="AL22"/>
      <c r="AM22"/>
      <c r="AN22"/>
      <c r="AO22"/>
      <c r="AP22"/>
      <c r="AQ22"/>
      <c r="AR22"/>
    </row>
    <row r="23" spans="1:152">
      <c r="A23" s="23" t="s">
        <v>1055</v>
      </c>
      <c r="B23" s="252">
        <f>B27-B42-B28</f>
        <v>-8273</v>
      </c>
      <c r="C23" s="252">
        <f t="shared" ref="C23" si="9">C27-C42-C28</f>
        <v>-5586</v>
      </c>
      <c r="D23" s="252">
        <f t="shared" ref="D23:L23" si="10">D27-D42-D28</f>
        <v>-4858</v>
      </c>
      <c r="E23" s="252">
        <f t="shared" si="10"/>
        <v>-4979</v>
      </c>
      <c r="F23" s="252">
        <f t="shared" si="10"/>
        <v>-6085</v>
      </c>
      <c r="G23" s="252">
        <f t="shared" si="10"/>
        <v>-1742</v>
      </c>
      <c r="H23" s="252">
        <f t="shared" si="10"/>
        <v>-1399</v>
      </c>
      <c r="I23" s="252">
        <f t="shared" si="10"/>
        <v>-1048</v>
      </c>
      <c r="J23" s="252">
        <f t="shared" si="10"/>
        <v>-1245</v>
      </c>
      <c r="K23" s="252">
        <f t="shared" si="10"/>
        <v>-1064</v>
      </c>
      <c r="L23" s="252">
        <f t="shared" si="10"/>
        <v>-1.9000000000000001</v>
      </c>
      <c r="M23" s="252">
        <f t="shared" ref="M23" si="11">M27-M42-M28</f>
        <v>0</v>
      </c>
      <c r="N23" s="31"/>
      <c r="O23"/>
      <c r="P23"/>
      <c r="Q23"/>
      <c r="R23"/>
      <c r="S23"/>
      <c r="T23"/>
      <c r="U23"/>
      <c r="V23"/>
      <c r="W23"/>
      <c r="X23"/>
      <c r="Y23"/>
      <c r="Z23"/>
      <c r="AA23"/>
      <c r="AB23"/>
      <c r="AC23"/>
      <c r="AD23"/>
      <c r="AE23"/>
      <c r="AF23"/>
      <c r="AG23"/>
      <c r="AH23"/>
      <c r="AI23"/>
      <c r="AJ23"/>
      <c r="AK23"/>
      <c r="AL23"/>
      <c r="AM23"/>
      <c r="AN23"/>
      <c r="AO23"/>
      <c r="AP23"/>
      <c r="AQ23"/>
      <c r="AR23"/>
    </row>
    <row r="24" spans="1:152">
      <c r="A24" s="7">
        <v>2625</v>
      </c>
      <c r="B24" s="290"/>
      <c r="C24" s="290"/>
      <c r="D24" s="290"/>
      <c r="E24" s="290"/>
      <c r="F24" s="290"/>
      <c r="G24" s="290"/>
      <c r="H24" s="290"/>
      <c r="I24" s="290"/>
      <c r="J24" s="290"/>
      <c r="K24" s="290"/>
      <c r="L24" s="290">
        <v>2625</v>
      </c>
      <c r="M24" s="290">
        <v>2625</v>
      </c>
      <c r="N24" s="7">
        <v>2625</v>
      </c>
      <c r="O24"/>
      <c r="P24"/>
      <c r="Q24"/>
      <c r="R24"/>
      <c r="S24"/>
      <c r="T24"/>
      <c r="U24"/>
      <c r="V24"/>
      <c r="W24"/>
      <c r="X24"/>
      <c r="Y24"/>
      <c r="Z24"/>
      <c r="AA24"/>
      <c r="AB24"/>
      <c r="AC24"/>
      <c r="AD24"/>
      <c r="AE24"/>
      <c r="AF24"/>
      <c r="AG24"/>
      <c r="AH24"/>
      <c r="AI24"/>
      <c r="AJ24"/>
      <c r="AK24"/>
      <c r="AL24"/>
      <c r="AM24"/>
      <c r="AN24"/>
      <c r="AO24"/>
      <c r="AP24"/>
      <c r="AQ24"/>
      <c r="AR24"/>
    </row>
    <row r="25" spans="1:152">
      <c r="A25" s="46" t="s">
        <v>735</v>
      </c>
      <c r="B25" s="290"/>
      <c r="C25" s="290"/>
      <c r="D25" s="290"/>
      <c r="E25" s="290"/>
      <c r="F25" s="290"/>
      <c r="G25" s="290"/>
      <c r="H25" s="290"/>
      <c r="I25" s="290"/>
      <c r="J25" s="290"/>
      <c r="K25" s="290"/>
      <c r="L25" s="290">
        <v>2625</v>
      </c>
      <c r="M25" s="290">
        <v>2625</v>
      </c>
      <c r="N25" s="7">
        <v>2625</v>
      </c>
      <c r="O25"/>
      <c r="P25"/>
      <c r="Q25"/>
      <c r="R25"/>
      <c r="S25"/>
      <c r="T25"/>
      <c r="U25"/>
      <c r="V25"/>
      <c r="W25"/>
      <c r="X25"/>
      <c r="Y25"/>
      <c r="Z25"/>
      <c r="AA25"/>
      <c r="AB25"/>
      <c r="AC25"/>
      <c r="AD25"/>
      <c r="AE25"/>
      <c r="AF25"/>
      <c r="AG25"/>
      <c r="AH25"/>
      <c r="AI25"/>
      <c r="AJ25"/>
      <c r="AK25"/>
      <c r="AL25"/>
      <c r="AM25"/>
      <c r="AN25"/>
      <c r="AO25"/>
      <c r="AP25"/>
      <c r="AQ25"/>
      <c r="AR25"/>
    </row>
    <row r="26" spans="1:152" ht="14.25">
      <c r="A26" s="95" t="s">
        <v>1311</v>
      </c>
      <c r="B26" s="285"/>
      <c r="C26" s="285"/>
      <c r="D26" s="285"/>
      <c r="E26" s="285"/>
      <c r="F26" s="285"/>
      <c r="G26" s="285"/>
      <c r="H26" s="285"/>
      <c r="I26" s="285"/>
      <c r="J26" s="285"/>
      <c r="K26" s="285"/>
      <c r="L26" s="664">
        <v>4.4000000000000004</v>
      </c>
      <c r="M26" s="329"/>
      <c r="N26" s="7">
        <v>1922</v>
      </c>
      <c r="O26">
        <v>2625</v>
      </c>
      <c r="P26"/>
      <c r="Q26"/>
      <c r="R26"/>
      <c r="S26"/>
      <c r="T26"/>
      <c r="U26"/>
      <c r="V26"/>
      <c r="W26"/>
      <c r="X26"/>
      <c r="Y26"/>
      <c r="Z26"/>
      <c r="AA26"/>
      <c r="AB26"/>
      <c r="AC26"/>
      <c r="AD26"/>
      <c r="AE26"/>
      <c r="AF26"/>
      <c r="AG26"/>
      <c r="AH26"/>
      <c r="AI26"/>
      <c r="AJ26"/>
      <c r="AK26"/>
      <c r="AL26"/>
      <c r="AM26"/>
      <c r="AN26"/>
      <c r="AO26"/>
      <c r="AP26"/>
      <c r="AQ26"/>
      <c r="AR26"/>
    </row>
    <row r="27" spans="1:152" ht="15" thickBot="1">
      <c r="A27" s="9" t="s">
        <v>1312</v>
      </c>
      <c r="B27" s="251">
        <f t="shared" ref="B27:K27" si="12">SUM(B28:B30)</f>
        <v>11957</v>
      </c>
      <c r="C27" s="251">
        <f t="shared" si="12"/>
        <v>8810</v>
      </c>
      <c r="D27" s="251">
        <f t="shared" si="12"/>
        <v>6771</v>
      </c>
      <c r="E27" s="251">
        <f t="shared" si="12"/>
        <v>2774</v>
      </c>
      <c r="F27" s="251">
        <f t="shared" si="12"/>
        <v>6634</v>
      </c>
      <c r="G27" s="251">
        <f t="shared" si="12"/>
        <v>5935</v>
      </c>
      <c r="H27" s="251">
        <f t="shared" si="12"/>
        <v>4421</v>
      </c>
      <c r="I27" s="251">
        <f t="shared" si="12"/>
        <v>3506</v>
      </c>
      <c r="J27" s="251">
        <f t="shared" si="12"/>
        <v>3692</v>
      </c>
      <c r="K27" s="251">
        <f t="shared" si="12"/>
        <v>3711</v>
      </c>
      <c r="L27" s="664">
        <v>1.3</v>
      </c>
      <c r="M27" s="251"/>
      <c r="N27" s="7"/>
      <c r="O27"/>
      <c r="P27"/>
      <c r="Q27"/>
      <c r="R27"/>
      <c r="S27"/>
      <c r="T27"/>
      <c r="U27"/>
      <c r="V27"/>
      <c r="W27"/>
      <c r="X27"/>
      <c r="Y27"/>
      <c r="Z27"/>
      <c r="AA27"/>
      <c r="AB27"/>
      <c r="AC27"/>
      <c r="AD27"/>
      <c r="AE27"/>
      <c r="AF27"/>
      <c r="AG27"/>
      <c r="AH27"/>
      <c r="AI27"/>
      <c r="AJ27"/>
      <c r="AK27"/>
      <c r="AL27"/>
      <c r="AM27"/>
      <c r="AN27"/>
      <c r="AO27"/>
      <c r="AP27"/>
      <c r="AQ27"/>
      <c r="AR27"/>
    </row>
    <row r="28" spans="1:152" ht="15" thickBot="1">
      <c r="A28" s="92" t="s">
        <v>299</v>
      </c>
      <c r="B28" s="252">
        <v>7182</v>
      </c>
      <c r="C28" s="252">
        <v>4691</v>
      </c>
      <c r="D28" s="252">
        <v>3428</v>
      </c>
      <c r="E28" s="252">
        <v>354</v>
      </c>
      <c r="F28" s="252">
        <v>4175</v>
      </c>
      <c r="G28" s="252">
        <v>3436</v>
      </c>
      <c r="H28" s="252">
        <v>2365</v>
      </c>
      <c r="I28" s="252">
        <v>1916</v>
      </c>
      <c r="J28" s="252">
        <v>2016</v>
      </c>
      <c r="K28" s="252">
        <v>1738</v>
      </c>
      <c r="L28" s="662">
        <v>1</v>
      </c>
      <c r="M28" s="252"/>
      <c r="N28" s="34" t="s">
        <v>1313</v>
      </c>
      <c r="O28" t="s">
        <v>299</v>
      </c>
      <c r="P28"/>
      <c r="Q28"/>
      <c r="R28"/>
      <c r="S28"/>
      <c r="T28"/>
      <c r="U28"/>
      <c r="V28"/>
      <c r="W28"/>
      <c r="X28"/>
      <c r="Y28"/>
      <c r="Z28"/>
      <c r="AA28"/>
      <c r="AB28"/>
      <c r="AC28"/>
      <c r="AD28"/>
      <c r="AE28"/>
      <c r="AF28"/>
      <c r="AG28"/>
      <c r="AH28"/>
      <c r="AI28"/>
      <c r="AJ28"/>
      <c r="AK28"/>
      <c r="AL28"/>
      <c r="AM28"/>
      <c r="AN28"/>
      <c r="AO28"/>
      <c r="AP28"/>
      <c r="AQ28"/>
      <c r="AR28"/>
    </row>
    <row r="29" spans="1:152" ht="15" thickBot="1">
      <c r="A29" s="93" t="s">
        <v>1058</v>
      </c>
      <c r="B29" s="252">
        <v>2198</v>
      </c>
      <c r="C29" s="252">
        <v>1920</v>
      </c>
      <c r="D29" s="252">
        <v>1575</v>
      </c>
      <c r="E29" s="252">
        <v>1198</v>
      </c>
      <c r="F29" s="252">
        <v>1306</v>
      </c>
      <c r="G29" s="252">
        <v>1314</v>
      </c>
      <c r="H29" s="252">
        <v>1128</v>
      </c>
      <c r="I29" s="252">
        <v>862</v>
      </c>
      <c r="J29" s="252">
        <v>879</v>
      </c>
      <c r="K29" s="252">
        <v>1047</v>
      </c>
      <c r="L29" s="663" t="s">
        <v>285</v>
      </c>
      <c r="M29" s="252"/>
      <c r="N29" s="34" t="s">
        <v>1313</v>
      </c>
      <c r="O29" t="s">
        <v>1058</v>
      </c>
      <c r="P29"/>
      <c r="Q29"/>
      <c r="R29"/>
      <c r="S29"/>
      <c r="T29"/>
      <c r="U29"/>
      <c r="V29"/>
      <c r="W29"/>
      <c r="X29"/>
      <c r="Y29"/>
      <c r="Z29"/>
      <c r="AA29"/>
      <c r="AB29"/>
      <c r="AC29"/>
      <c r="AD29"/>
      <c r="AE29"/>
      <c r="AF29"/>
      <c r="AG29"/>
      <c r="AH29"/>
      <c r="AI29"/>
      <c r="AJ29"/>
      <c r="AK29"/>
      <c r="AL29"/>
      <c r="AM29"/>
      <c r="AN29"/>
      <c r="AO29"/>
      <c r="AP29"/>
      <c r="AQ29"/>
      <c r="AR29"/>
    </row>
    <row r="30" spans="1:152" ht="15" thickBot="1">
      <c r="A30" s="92" t="s">
        <v>301</v>
      </c>
      <c r="B30" s="252">
        <v>2577</v>
      </c>
      <c r="C30" s="252">
        <v>2199</v>
      </c>
      <c r="D30" s="252">
        <v>1768</v>
      </c>
      <c r="E30" s="252">
        <v>1222</v>
      </c>
      <c r="F30" s="252">
        <v>1153</v>
      </c>
      <c r="G30" s="252">
        <v>1185</v>
      </c>
      <c r="H30" s="252">
        <v>928</v>
      </c>
      <c r="I30" s="252">
        <v>728</v>
      </c>
      <c r="J30" s="252">
        <v>797</v>
      </c>
      <c r="K30" s="252">
        <v>926</v>
      </c>
      <c r="L30" s="663" t="s">
        <v>285</v>
      </c>
      <c r="M30" s="252"/>
      <c r="N30" s="34" t="s">
        <v>1313</v>
      </c>
      <c r="O30" t="s">
        <v>301</v>
      </c>
      <c r="P30"/>
      <c r="Q30"/>
      <c r="R30"/>
      <c r="S30"/>
      <c r="T30"/>
      <c r="U30"/>
      <c r="V30"/>
      <c r="W30"/>
      <c r="X30"/>
      <c r="Y30"/>
      <c r="Z30"/>
      <c r="AA30"/>
      <c r="AB30"/>
      <c r="AC30"/>
      <c r="AD30"/>
      <c r="AE30"/>
      <c r="AF30"/>
      <c r="AG30"/>
      <c r="AH30"/>
      <c r="AI30"/>
      <c r="AJ30"/>
      <c r="AK30"/>
      <c r="AL30"/>
      <c r="AM30"/>
      <c r="AN30"/>
      <c r="AO30"/>
      <c r="AP30"/>
      <c r="AQ30"/>
      <c r="AR30"/>
    </row>
    <row r="31" spans="1:152" s="20" customFormat="1" ht="14.25">
      <c r="A31" s="92" t="s">
        <v>1314</v>
      </c>
      <c r="B31" s="252">
        <f t="shared" ref="B31:K31" si="13">B27-SUM(B28:B30)</f>
        <v>0</v>
      </c>
      <c r="C31" s="252">
        <f t="shared" si="13"/>
        <v>0</v>
      </c>
      <c r="D31" s="252">
        <f t="shared" si="13"/>
        <v>0</v>
      </c>
      <c r="E31" s="252">
        <f t="shared" si="13"/>
        <v>0</v>
      </c>
      <c r="F31" s="252">
        <f t="shared" si="13"/>
        <v>0</v>
      </c>
      <c r="G31" s="252">
        <f t="shared" si="13"/>
        <v>0</v>
      </c>
      <c r="H31" s="252">
        <f t="shared" si="13"/>
        <v>0</v>
      </c>
      <c r="I31" s="252">
        <f t="shared" si="13"/>
        <v>0</v>
      </c>
      <c r="J31" s="252">
        <f t="shared" si="13"/>
        <v>0</v>
      </c>
      <c r="K31" s="252">
        <f t="shared" si="13"/>
        <v>0</v>
      </c>
      <c r="L31" s="663">
        <v>0</v>
      </c>
      <c r="M31" s="252">
        <f t="shared" ref="M31" si="14">M27-SUM(M28:M30)</f>
        <v>0</v>
      </c>
      <c r="N31" s="34" t="s">
        <v>1313</v>
      </c>
      <c r="O31" t="s">
        <v>301</v>
      </c>
      <c r="P31"/>
      <c r="Q31"/>
      <c r="R31"/>
      <c r="S31"/>
      <c r="T31"/>
      <c r="U31"/>
      <c r="V31"/>
      <c r="W31"/>
      <c r="X31"/>
      <c r="Y31"/>
      <c r="Z31"/>
      <c r="AA31"/>
      <c r="AB31"/>
      <c r="AC31"/>
      <c r="AD31"/>
      <c r="AE31"/>
      <c r="AF31"/>
      <c r="AG31"/>
      <c r="AH31"/>
      <c r="AI31"/>
      <c r="AJ31"/>
      <c r="AK31"/>
      <c r="AL31"/>
      <c r="AM31"/>
      <c r="AN31"/>
      <c r="AO31"/>
      <c r="AP31"/>
      <c r="AQ31"/>
      <c r="AR31"/>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row>
    <row r="32" spans="1:152" s="20" customFormat="1" ht="14.25" thickBot="1">
      <c r="A32" s="9" t="s">
        <v>1315</v>
      </c>
      <c r="B32" s="251">
        <f t="shared" ref="B32" si="15">B38-B27</f>
        <v>28866</v>
      </c>
      <c r="C32" s="251">
        <f t="shared" ref="C32:K32" si="16">C38-C27</f>
        <v>24466</v>
      </c>
      <c r="D32" s="251">
        <f t="shared" si="16"/>
        <v>22531</v>
      </c>
      <c r="E32" s="251">
        <f t="shared" si="16"/>
        <v>25486</v>
      </c>
      <c r="F32" s="251">
        <f t="shared" si="16"/>
        <v>21727</v>
      </c>
      <c r="G32" s="251">
        <f t="shared" si="16"/>
        <v>19547</v>
      </c>
      <c r="H32" s="251">
        <f t="shared" si="16"/>
        <v>19019</v>
      </c>
      <c r="I32" s="251">
        <f t="shared" si="16"/>
        <v>17133</v>
      </c>
      <c r="J32" s="251">
        <f t="shared" si="16"/>
        <v>17418</v>
      </c>
      <c r="K32" s="251">
        <f t="shared" si="16"/>
        <v>16908</v>
      </c>
      <c r="L32" s="251">
        <f t="shared" ref="L32" si="17">L38-L27</f>
        <v>8941.7000000000007</v>
      </c>
      <c r="M32" s="251">
        <f t="shared" ref="M32" si="18">M38-M27</f>
        <v>0</v>
      </c>
      <c r="N32" s="34"/>
      <c r="O32"/>
      <c r="P32"/>
      <c r="Q32"/>
      <c r="R32"/>
      <c r="S32"/>
      <c r="T32"/>
      <c r="U32"/>
      <c r="V32"/>
      <c r="W32"/>
      <c r="X32"/>
      <c r="Y32"/>
      <c r="Z32"/>
      <c r="AA32"/>
      <c r="AB32"/>
      <c r="AC32"/>
      <c r="AD32"/>
      <c r="AE32"/>
      <c r="AF32"/>
      <c r="AG32"/>
      <c r="AH32"/>
      <c r="AI32"/>
      <c r="AJ32"/>
      <c r="AK32"/>
      <c r="AL32"/>
      <c r="AM32"/>
      <c r="AN32"/>
      <c r="AO32"/>
      <c r="AP32"/>
      <c r="AQ32"/>
      <c r="AR32"/>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row>
    <row r="33" spans="1:44" ht="14.25">
      <c r="A33" s="94" t="s">
        <v>1092</v>
      </c>
      <c r="B33" s="252">
        <f>SUM(B108:B113)</f>
        <v>3853.6000000000004</v>
      </c>
      <c r="C33" s="252">
        <f t="shared" ref="C33:K33" si="19">SUM(C108:C113)</f>
        <v>3515.2</v>
      </c>
      <c r="D33" s="252">
        <f t="shared" si="19"/>
        <v>3435.8</v>
      </c>
      <c r="E33" s="252">
        <f t="shared" si="19"/>
        <v>3311.4999999999995</v>
      </c>
      <c r="F33" s="252">
        <f t="shared" si="19"/>
        <v>2922.1</v>
      </c>
      <c r="G33" s="252">
        <f t="shared" si="19"/>
        <v>2480.6999999999998</v>
      </c>
      <c r="H33" s="252">
        <f t="shared" si="19"/>
        <v>2464.2000000000003</v>
      </c>
      <c r="I33" s="252">
        <f t="shared" si="19"/>
        <v>2259.8999999999996</v>
      </c>
      <c r="J33" s="252">
        <f t="shared" si="19"/>
        <v>2176.2000000000003</v>
      </c>
      <c r="K33" s="252">
        <f t="shared" si="19"/>
        <v>2313.6999999999998</v>
      </c>
      <c r="L33" s="667" t="s">
        <v>1316</v>
      </c>
      <c r="M33" s="252"/>
      <c r="N33" s="34"/>
      <c r="O33"/>
      <c r="P33"/>
      <c r="Q33"/>
      <c r="R33"/>
      <c r="S33"/>
      <c r="T33"/>
      <c r="U33"/>
      <c r="V33"/>
      <c r="W33"/>
      <c r="X33"/>
      <c r="Y33"/>
      <c r="Z33"/>
      <c r="AA33"/>
      <c r="AB33"/>
      <c r="AC33"/>
      <c r="AD33"/>
      <c r="AE33"/>
      <c r="AF33"/>
      <c r="AG33"/>
      <c r="AH33"/>
      <c r="AI33"/>
      <c r="AJ33"/>
      <c r="AK33"/>
      <c r="AL33"/>
      <c r="AM33"/>
      <c r="AN33"/>
      <c r="AO33"/>
      <c r="AP33"/>
      <c r="AQ33"/>
      <c r="AR33"/>
    </row>
    <row r="34" spans="1:44" ht="14.25" thickBot="1">
      <c r="A34" s="94" t="s">
        <v>1317</v>
      </c>
      <c r="B34" s="252">
        <v>3543</v>
      </c>
      <c r="C34" s="252">
        <v>4227</v>
      </c>
      <c r="D34" s="252">
        <v>4687</v>
      </c>
      <c r="E34" s="252">
        <v>577</v>
      </c>
      <c r="F34" s="252">
        <v>706</v>
      </c>
      <c r="G34" s="252">
        <v>948</v>
      </c>
      <c r="H34" s="252" t="s">
        <v>285</v>
      </c>
      <c r="I34" s="252" t="s">
        <v>285</v>
      </c>
      <c r="J34" s="252" t="s">
        <v>285</v>
      </c>
      <c r="K34" s="252" t="s">
        <v>285</v>
      </c>
      <c r="L34" s="252">
        <v>410</v>
      </c>
      <c r="M34" s="252"/>
      <c r="N34" s="34"/>
      <c r="O34"/>
      <c r="P34"/>
      <c r="Z34" s="24"/>
      <c r="AA34" s="24"/>
      <c r="AB34" s="24"/>
      <c r="AC34" s="24"/>
      <c r="AD34" s="24"/>
      <c r="AE34" s="24"/>
      <c r="AF34" s="24"/>
      <c r="AG34" s="24"/>
    </row>
    <row r="35" spans="1:44" ht="14.25">
      <c r="A35" s="94" t="s">
        <v>1318</v>
      </c>
      <c r="B35" s="252">
        <v>1823</v>
      </c>
      <c r="C35" s="252">
        <v>1614</v>
      </c>
      <c r="D35" s="252">
        <v>1559</v>
      </c>
      <c r="E35" s="252">
        <v>1429</v>
      </c>
      <c r="F35" s="252">
        <v>1162</v>
      </c>
      <c r="G35" s="252">
        <v>1020</v>
      </c>
      <c r="H35" s="252">
        <v>1367</v>
      </c>
      <c r="I35" s="252">
        <v>1141</v>
      </c>
      <c r="J35" s="252">
        <v>1448</v>
      </c>
      <c r="K35" s="252">
        <v>1272</v>
      </c>
      <c r="L35" s="668" t="s">
        <v>285</v>
      </c>
      <c r="M35" s="252"/>
      <c r="N35" s="34"/>
      <c r="O35"/>
      <c r="P35"/>
      <c r="Z35" s="24"/>
      <c r="AA35" s="24"/>
      <c r="AB35" s="24"/>
      <c r="AC35" s="24"/>
      <c r="AD35" s="24"/>
      <c r="AE35" s="24"/>
      <c r="AF35" s="24"/>
      <c r="AG35" s="24"/>
    </row>
    <row r="36" spans="1:44">
      <c r="A36" s="94" t="s">
        <v>1319</v>
      </c>
      <c r="B36" s="252">
        <f>B32-SUM(B33:B35)</f>
        <v>19646.400000000001</v>
      </c>
      <c r="C36" s="252">
        <f t="shared" ref="C36" si="20">C32-SUM(C33:C35)</f>
        <v>15109.8</v>
      </c>
      <c r="D36" s="252">
        <f t="shared" ref="D36" si="21">D32-SUM(D33:D35)</f>
        <v>12849.2</v>
      </c>
      <c r="E36" s="252">
        <f t="shared" ref="E36" si="22">E32-SUM(E33:E35)</f>
        <v>20168.5</v>
      </c>
      <c r="F36" s="252">
        <f>F32-SUM(F33:F35)</f>
        <v>16936.900000000001</v>
      </c>
      <c r="G36" s="252">
        <f t="shared" ref="G36" si="23">G32-SUM(G33:G35)</f>
        <v>15098.3</v>
      </c>
      <c r="H36" s="252">
        <f t="shared" ref="H36" si="24">H32-SUM(H33:H35)</f>
        <v>15187.8</v>
      </c>
      <c r="I36" s="252">
        <f t="shared" ref="I36" si="25">I32-SUM(I33:I35)</f>
        <v>13732.1</v>
      </c>
      <c r="J36" s="252">
        <f t="shared" ref="J36" si="26">J32-SUM(J33:J35)</f>
        <v>13793.8</v>
      </c>
      <c r="K36" s="252">
        <f t="shared" ref="K36" si="27">K32-SUM(K33:K35)</f>
        <v>13322.3</v>
      </c>
      <c r="L36" s="252">
        <f t="shared" ref="L36" si="28">L32-SUM(L33:L35)</f>
        <v>8531.7000000000007</v>
      </c>
      <c r="M36" s="252">
        <f t="shared" ref="M36" si="29">M32-SUM(M33:M35)</f>
        <v>0</v>
      </c>
      <c r="N36" s="34" t="s">
        <v>1313</v>
      </c>
      <c r="O36" t="s">
        <v>1092</v>
      </c>
      <c r="P36"/>
      <c r="Z36" s="24"/>
      <c r="AA36" s="24"/>
      <c r="AB36" s="24"/>
      <c r="AC36" s="24"/>
      <c r="AD36" s="24"/>
      <c r="AE36" s="24"/>
      <c r="AF36" s="24"/>
      <c r="AG36" s="24"/>
    </row>
    <row r="37" spans="1:44">
      <c r="A37" s="19" t="s">
        <v>1093</v>
      </c>
      <c r="B37" s="285">
        <f t="shared" ref="B37:K37" si="30">(B31+B36)</f>
        <v>19646.400000000001</v>
      </c>
      <c r="C37" s="285">
        <f t="shared" si="30"/>
        <v>15109.8</v>
      </c>
      <c r="D37" s="285">
        <f t="shared" si="30"/>
        <v>12849.2</v>
      </c>
      <c r="E37" s="285">
        <f t="shared" si="30"/>
        <v>20168.5</v>
      </c>
      <c r="F37" s="285">
        <f t="shared" si="30"/>
        <v>16936.900000000001</v>
      </c>
      <c r="G37" s="285">
        <f t="shared" si="30"/>
        <v>15098.3</v>
      </c>
      <c r="H37" s="285">
        <f t="shared" si="30"/>
        <v>15187.8</v>
      </c>
      <c r="I37" s="285">
        <f t="shared" si="30"/>
        <v>13732.1</v>
      </c>
      <c r="J37" s="285">
        <f t="shared" si="30"/>
        <v>13793.8</v>
      </c>
      <c r="K37" s="285">
        <f t="shared" si="30"/>
        <v>13322.3</v>
      </c>
      <c r="L37" s="500">
        <f>L31+L36</f>
        <v>8531.7000000000007</v>
      </c>
      <c r="M37" s="285">
        <f>M31+M36</f>
        <v>0</v>
      </c>
      <c r="N37" s="34" t="s">
        <v>1313</v>
      </c>
      <c r="O37"/>
      <c r="P37"/>
      <c r="Z37" s="24"/>
      <c r="AA37" s="24"/>
      <c r="AB37" s="24"/>
      <c r="AC37" s="24"/>
      <c r="AD37" s="24"/>
      <c r="AE37" s="24"/>
      <c r="AF37" s="24"/>
      <c r="AG37" s="24"/>
    </row>
    <row r="38" spans="1:44">
      <c r="A38" s="9" t="s">
        <v>52</v>
      </c>
      <c r="B38" s="251">
        <v>40823</v>
      </c>
      <c r="C38" s="251">
        <v>33276</v>
      </c>
      <c r="D38" s="251">
        <v>29302</v>
      </c>
      <c r="E38" s="251">
        <v>28260</v>
      </c>
      <c r="F38" s="251">
        <v>28361</v>
      </c>
      <c r="G38" s="251">
        <v>25482</v>
      </c>
      <c r="H38" s="251">
        <v>23440</v>
      </c>
      <c r="I38" s="251">
        <v>20639</v>
      </c>
      <c r="J38" s="251">
        <v>21110</v>
      </c>
      <c r="K38" s="251">
        <v>20619</v>
      </c>
      <c r="L38" s="251">
        <v>8943</v>
      </c>
      <c r="M38" s="251"/>
      <c r="N38" s="34" t="s">
        <v>1313</v>
      </c>
      <c r="O38" t="s">
        <v>52</v>
      </c>
      <c r="P38"/>
      <c r="Q38" s="19" t="s">
        <v>1320</v>
      </c>
      <c r="R38" s="19" t="s">
        <v>1321</v>
      </c>
      <c r="Z38" s="24">
        <v>15322</v>
      </c>
      <c r="AA38" s="24">
        <v>16090</v>
      </c>
      <c r="AB38" s="24">
        <f>16577</f>
        <v>16577</v>
      </c>
      <c r="AC38" s="24">
        <v>17075</v>
      </c>
      <c r="AD38" s="24">
        <v>16461</v>
      </c>
      <c r="AE38" s="24">
        <v>14395</v>
      </c>
      <c r="AF38" s="24">
        <v>12539</v>
      </c>
      <c r="AG38" s="24">
        <v>12386</v>
      </c>
    </row>
    <row r="39" spans="1:44">
      <c r="B39" s="680"/>
      <c r="C39" s="680"/>
      <c r="D39" s="680"/>
      <c r="E39" s="680"/>
      <c r="F39" s="680"/>
      <c r="G39" s="680"/>
      <c r="H39" s="680"/>
      <c r="I39" s="680"/>
      <c r="J39" s="680"/>
      <c r="K39" s="680"/>
      <c r="L39" s="285"/>
      <c r="M39" s="285"/>
      <c r="N39" s="34" t="s">
        <v>1313</v>
      </c>
      <c r="O39"/>
      <c r="P39"/>
      <c r="Z39" s="21">
        <f t="shared" ref="Z39:AG39" si="31">Z40-SUM(Z30:Z38)</f>
        <v>59382</v>
      </c>
      <c r="AA39" s="21">
        <f t="shared" si="31"/>
        <v>62252</v>
      </c>
      <c r="AB39" s="21">
        <f t="shared" si="31"/>
        <v>68104</v>
      </c>
      <c r="AC39" s="21">
        <f t="shared" si="31"/>
        <v>67821</v>
      </c>
      <c r="AD39" s="21">
        <f t="shared" si="31"/>
        <v>72895</v>
      </c>
      <c r="AE39" s="21">
        <f t="shared" si="31"/>
        <v>67051</v>
      </c>
      <c r="AF39" s="21">
        <f t="shared" si="31"/>
        <v>51481</v>
      </c>
      <c r="AG39" s="21">
        <f t="shared" si="31"/>
        <v>47652</v>
      </c>
    </row>
    <row r="40" spans="1:44">
      <c r="B40" s="680"/>
      <c r="C40" s="680"/>
      <c r="D40" s="680"/>
      <c r="E40" s="680"/>
      <c r="F40" s="680"/>
      <c r="G40" s="680"/>
      <c r="H40" s="680"/>
      <c r="I40" s="680"/>
      <c r="J40" s="680"/>
      <c r="K40" s="680"/>
      <c r="L40" s="285"/>
      <c r="M40" s="285"/>
      <c r="N40" s="34" t="s">
        <v>1313</v>
      </c>
      <c r="O40"/>
      <c r="P40"/>
      <c r="Q40" s="19" t="s">
        <v>1320</v>
      </c>
      <c r="R40" s="19" t="s">
        <v>1322</v>
      </c>
      <c r="Z40" s="35">
        <v>74704</v>
      </c>
      <c r="AA40" s="35">
        <v>78342</v>
      </c>
      <c r="AB40" s="35">
        <v>84681</v>
      </c>
      <c r="AC40" s="35">
        <v>84896</v>
      </c>
      <c r="AD40" s="35">
        <v>89356</v>
      </c>
      <c r="AE40" s="35">
        <v>81446</v>
      </c>
      <c r="AF40" s="35">
        <v>64020</v>
      </c>
      <c r="AG40" s="35">
        <v>60038</v>
      </c>
    </row>
    <row r="41" spans="1:44" ht="14.25" thickBot="1">
      <c r="A41" s="95" t="s">
        <v>1323</v>
      </c>
      <c r="B41" s="681"/>
      <c r="C41" s="681"/>
      <c r="D41" s="681"/>
      <c r="E41" s="681"/>
      <c r="F41" s="681"/>
      <c r="G41" s="681"/>
      <c r="H41" s="681"/>
      <c r="I41" s="681"/>
      <c r="J41" s="681"/>
      <c r="K41" s="681"/>
      <c r="M41" s="251"/>
      <c r="N41" s="34" t="s">
        <v>1313</v>
      </c>
      <c r="O41"/>
      <c r="P41"/>
      <c r="Z41" s="26"/>
      <c r="AA41" s="26"/>
      <c r="AB41" s="26"/>
      <c r="AC41" s="26"/>
      <c r="AD41" s="26"/>
      <c r="AE41" s="26"/>
      <c r="AF41" s="26"/>
      <c r="AG41" s="26"/>
    </row>
    <row r="42" spans="1:44" ht="15" thickBot="1">
      <c r="A42" s="9" t="s">
        <v>305</v>
      </c>
      <c r="B42" s="251">
        <f t="shared" ref="B42:K42" si="32">SUM(B115:B120)</f>
        <v>13048</v>
      </c>
      <c r="C42" s="251">
        <f t="shared" si="32"/>
        <v>9705</v>
      </c>
      <c r="D42" s="251">
        <f t="shared" si="32"/>
        <v>8201</v>
      </c>
      <c r="E42" s="251">
        <f t="shared" si="32"/>
        <v>7399</v>
      </c>
      <c r="F42" s="251">
        <f t="shared" si="32"/>
        <v>8544</v>
      </c>
      <c r="G42" s="251">
        <f t="shared" si="32"/>
        <v>4241</v>
      </c>
      <c r="H42" s="251">
        <f t="shared" si="32"/>
        <v>3455</v>
      </c>
      <c r="I42" s="251">
        <f t="shared" si="32"/>
        <v>2638</v>
      </c>
      <c r="J42" s="251">
        <f t="shared" si="32"/>
        <v>2921</v>
      </c>
      <c r="K42" s="251">
        <f t="shared" si="32"/>
        <v>3037</v>
      </c>
      <c r="L42" s="664">
        <v>2.2000000000000002</v>
      </c>
      <c r="M42" s="251"/>
      <c r="N42" s="34" t="s">
        <v>1313</v>
      </c>
      <c r="O42" t="s">
        <v>305</v>
      </c>
      <c r="P42"/>
      <c r="Z42" s="26"/>
      <c r="AA42" s="26"/>
      <c r="AB42" s="26"/>
      <c r="AC42" s="26"/>
      <c r="AD42" s="26"/>
      <c r="AE42" s="26"/>
      <c r="AF42" s="26"/>
      <c r="AG42" s="26"/>
    </row>
    <row r="43" spans="1:44" ht="15" thickBot="1">
      <c r="A43" s="92" t="s">
        <v>1324</v>
      </c>
      <c r="B43" s="252">
        <v>1668</v>
      </c>
      <c r="C43" s="252">
        <v>1665</v>
      </c>
      <c r="D43" s="252">
        <v>1394</v>
      </c>
      <c r="E43" s="252">
        <v>1176</v>
      </c>
      <c r="F43" s="252">
        <v>1116</v>
      </c>
      <c r="G43" s="252">
        <v>1305</v>
      </c>
      <c r="H43" s="252">
        <v>1155</v>
      </c>
      <c r="I43" s="252">
        <v>939</v>
      </c>
      <c r="J43" s="252">
        <v>930</v>
      </c>
      <c r="K43" s="252">
        <v>1168</v>
      </c>
      <c r="L43" s="664" t="s">
        <v>285</v>
      </c>
      <c r="M43" s="252"/>
      <c r="N43" s="34"/>
      <c r="O43"/>
      <c r="P43"/>
      <c r="Z43" s="33"/>
      <c r="AA43" s="33"/>
      <c r="AB43" s="33"/>
      <c r="AC43" s="33"/>
      <c r="AD43" s="33"/>
      <c r="AE43" s="32"/>
      <c r="AF43" s="32"/>
      <c r="AG43" s="32"/>
    </row>
    <row r="44" spans="1:44" s="9" customFormat="1" ht="14.25">
      <c r="A44" s="23" t="s">
        <v>1095</v>
      </c>
      <c r="B44" s="252">
        <v>5069</v>
      </c>
      <c r="C44" s="252">
        <v>3266</v>
      </c>
      <c r="D44" s="252">
        <v>3025</v>
      </c>
      <c r="E44" s="252">
        <v>3114</v>
      </c>
      <c r="F44" s="252">
        <v>3797</v>
      </c>
      <c r="G44" s="252">
        <v>0</v>
      </c>
      <c r="H44" s="252">
        <v>0</v>
      </c>
      <c r="I44" s="252">
        <v>0</v>
      </c>
      <c r="J44" s="252">
        <v>0</v>
      </c>
      <c r="K44" s="252">
        <v>0</v>
      </c>
      <c r="L44" s="664">
        <v>1.3</v>
      </c>
      <c r="M44" s="252"/>
      <c r="N44" s="34" t="s">
        <v>1313</v>
      </c>
      <c r="O44" t="s">
        <v>1325</v>
      </c>
      <c r="P44"/>
      <c r="Q44" s="19" t="s">
        <v>1320</v>
      </c>
      <c r="R44" s="9" t="s">
        <v>1326</v>
      </c>
      <c r="Z44" s="35">
        <v>26132</v>
      </c>
      <c r="AA44" s="35">
        <v>26242</v>
      </c>
      <c r="AB44" s="35">
        <v>27877</v>
      </c>
      <c r="AC44" s="35">
        <v>27297</v>
      </c>
      <c r="AD44" s="35">
        <v>29415</v>
      </c>
      <c r="AE44" s="35">
        <f>93+3895+8161+3386+2410+2691+298+1967+558+5102</f>
        <v>28561</v>
      </c>
      <c r="AF44" s="35">
        <f>204+3852+5856+2880+1670+1831+281+1521+495+3430</f>
        <v>22020</v>
      </c>
      <c r="AG44" s="35">
        <f>433+3650+2993+3351+797+1217+262+888+302+5399</f>
        <v>19292</v>
      </c>
      <c r="AO44" s="19"/>
    </row>
    <row r="45" spans="1:44" s="9" customFormat="1">
      <c r="A45" s="23" t="s">
        <v>1096</v>
      </c>
      <c r="B45" s="252">
        <v>180</v>
      </c>
      <c r="C45" s="252">
        <v>97</v>
      </c>
      <c r="D45" s="252">
        <v>78</v>
      </c>
      <c r="E45" s="252">
        <v>41</v>
      </c>
      <c r="F45" s="252">
        <v>115</v>
      </c>
      <c r="G45" s="252">
        <v>0</v>
      </c>
      <c r="H45" s="252">
        <v>0</v>
      </c>
      <c r="I45" s="252">
        <v>0</v>
      </c>
      <c r="J45" s="252">
        <v>0</v>
      </c>
      <c r="K45" s="252">
        <v>0</v>
      </c>
      <c r="L45" s="252"/>
      <c r="M45" s="252"/>
      <c r="N45" s="34"/>
      <c r="O45"/>
      <c r="P45"/>
      <c r="Q45" s="19"/>
      <c r="Z45" s="35"/>
      <c r="AA45" s="35"/>
      <c r="AB45" s="35"/>
      <c r="AC45" s="35"/>
      <c r="AD45" s="35"/>
      <c r="AE45" s="35"/>
      <c r="AF45" s="35"/>
      <c r="AG45" s="35"/>
      <c r="AO45" s="19"/>
    </row>
    <row r="46" spans="1:44">
      <c r="A46" s="92" t="s">
        <v>1097</v>
      </c>
      <c r="B46" s="252">
        <f>B42-SUM(B43:B45)</f>
        <v>6131</v>
      </c>
      <c r="C46" s="252">
        <f t="shared" ref="C46" si="33">C42-SUM(C43:C45)</f>
        <v>4677</v>
      </c>
      <c r="D46" s="252">
        <f t="shared" ref="D46:L46" si="34">D42-SUM(D43:D45)</f>
        <v>3704</v>
      </c>
      <c r="E46" s="252">
        <f t="shared" si="34"/>
        <v>3068</v>
      </c>
      <c r="F46" s="252">
        <f t="shared" si="34"/>
        <v>3516</v>
      </c>
      <c r="G46" s="252">
        <f t="shared" si="34"/>
        <v>2936</v>
      </c>
      <c r="H46" s="252">
        <f t="shared" si="34"/>
        <v>2300</v>
      </c>
      <c r="I46" s="252">
        <f t="shared" si="34"/>
        <v>1699</v>
      </c>
      <c r="J46" s="252">
        <f t="shared" si="34"/>
        <v>1991</v>
      </c>
      <c r="K46" s="252">
        <f t="shared" si="34"/>
        <v>1869</v>
      </c>
      <c r="L46" s="252">
        <f t="shared" si="34"/>
        <v>0.90000000000000013</v>
      </c>
      <c r="M46" s="252">
        <f t="shared" ref="M46" si="35">M42-SUM(M43:M45)</f>
        <v>0</v>
      </c>
      <c r="N46" s="34" t="s">
        <v>1313</v>
      </c>
      <c r="O46"/>
      <c r="P46"/>
      <c r="R46" s="19" t="s">
        <v>1327</v>
      </c>
      <c r="Z46" s="28">
        <v>7303</v>
      </c>
      <c r="AA46" s="28">
        <v>6967</v>
      </c>
      <c r="AB46" s="28">
        <v>4708</v>
      </c>
      <c r="AC46" s="28">
        <v>3679</v>
      </c>
      <c r="AD46" s="28">
        <v>5287</v>
      </c>
      <c r="AE46" s="28">
        <v>5660</v>
      </c>
      <c r="AF46" s="28">
        <v>3925</v>
      </c>
      <c r="AG46" s="28">
        <v>5701</v>
      </c>
    </row>
    <row r="47" spans="1:44" ht="14.25" thickBot="1">
      <c r="A47" s="9" t="s">
        <v>1098</v>
      </c>
      <c r="B47" s="251">
        <f>B51-B42</f>
        <v>11897</v>
      </c>
      <c r="C47" s="251">
        <f t="shared" ref="C47:L47" si="36">C51-C42</f>
        <v>10403</v>
      </c>
      <c r="D47" s="251">
        <f t="shared" si="36"/>
        <v>9663</v>
      </c>
      <c r="E47" s="251">
        <f t="shared" si="36"/>
        <v>10471</v>
      </c>
      <c r="F47" s="251">
        <f t="shared" si="36"/>
        <v>10111</v>
      </c>
      <c r="G47" s="251">
        <f t="shared" si="36"/>
        <v>12649</v>
      </c>
      <c r="H47" s="251">
        <f t="shared" si="36"/>
        <v>11935</v>
      </c>
      <c r="I47" s="251">
        <f t="shared" si="36"/>
        <v>11223</v>
      </c>
      <c r="J47" s="251">
        <f t="shared" si="36"/>
        <v>11248</v>
      </c>
      <c r="K47" s="251">
        <f t="shared" si="36"/>
        <v>10829</v>
      </c>
      <c r="L47" s="251">
        <f t="shared" si="36"/>
        <v>0</v>
      </c>
      <c r="M47" s="251">
        <f t="shared" ref="M47" si="37">M51-M42</f>
        <v>0</v>
      </c>
      <c r="N47" s="34" t="s">
        <v>1313</v>
      </c>
      <c r="O47" t="s">
        <v>1328</v>
      </c>
      <c r="P47"/>
      <c r="Z47" s="28"/>
      <c r="AA47" s="28"/>
      <c r="AB47" s="28"/>
      <c r="AC47" s="28"/>
      <c r="AD47" s="28"/>
      <c r="AE47" s="28"/>
      <c r="AF47" s="28"/>
      <c r="AG47" s="28"/>
    </row>
    <row r="48" spans="1:44" ht="14.25">
      <c r="A48" s="23" t="s">
        <v>1099</v>
      </c>
      <c r="B48" s="252">
        <v>8987</v>
      </c>
      <c r="C48" s="252">
        <v>8110</v>
      </c>
      <c r="D48" s="252">
        <v>7329</v>
      </c>
      <c r="E48" s="252">
        <v>7700</v>
      </c>
      <c r="F48" s="252">
        <v>7311</v>
      </c>
      <c r="G48" s="252">
        <v>9951</v>
      </c>
      <c r="H48" s="252">
        <v>8879</v>
      </c>
      <c r="I48" s="252">
        <v>8475</v>
      </c>
      <c r="J48" s="252">
        <v>8592</v>
      </c>
      <c r="K48" s="252">
        <v>8231</v>
      </c>
      <c r="L48" s="662" t="s">
        <v>285</v>
      </c>
      <c r="M48" s="252"/>
      <c r="N48" s="34" t="s">
        <v>1313</v>
      </c>
      <c r="O48" t="s">
        <v>1329</v>
      </c>
      <c r="P48"/>
      <c r="Z48" s="21">
        <f t="shared" ref="Z48:AG48" si="38">Z44-Z46</f>
        <v>18829</v>
      </c>
      <c r="AA48" s="21">
        <f t="shared" si="38"/>
        <v>19275</v>
      </c>
      <c r="AB48" s="21">
        <f t="shared" si="38"/>
        <v>23169</v>
      </c>
      <c r="AC48" s="21">
        <f t="shared" si="38"/>
        <v>23618</v>
      </c>
      <c r="AD48" s="21">
        <f t="shared" si="38"/>
        <v>24128</v>
      </c>
      <c r="AE48" s="21">
        <f t="shared" si="38"/>
        <v>22901</v>
      </c>
      <c r="AF48" s="21">
        <f t="shared" si="38"/>
        <v>18095</v>
      </c>
      <c r="AG48" s="21">
        <f t="shared" si="38"/>
        <v>13591</v>
      </c>
    </row>
    <row r="49" spans="1:41" s="9" customFormat="1">
      <c r="A49" s="23" t="s">
        <v>1100</v>
      </c>
      <c r="B49" s="252">
        <v>2</v>
      </c>
      <c r="C49" s="252">
        <v>2</v>
      </c>
      <c r="D49" s="252">
        <v>1</v>
      </c>
      <c r="E49" s="252">
        <v>1</v>
      </c>
      <c r="F49" s="252">
        <v>1</v>
      </c>
      <c r="G49" s="252">
        <v>0</v>
      </c>
      <c r="H49" s="252">
        <v>0</v>
      </c>
      <c r="I49" s="252">
        <v>0</v>
      </c>
      <c r="J49" s="252">
        <v>0</v>
      </c>
      <c r="K49" s="252">
        <v>0</v>
      </c>
      <c r="L49" s="252"/>
      <c r="M49" s="252"/>
      <c r="N49" s="34"/>
      <c r="O49"/>
      <c r="P49"/>
      <c r="Q49" s="19" t="s">
        <v>1320</v>
      </c>
      <c r="R49" s="9" t="s">
        <v>1330</v>
      </c>
      <c r="Z49" s="35">
        <f>61491-Z44</f>
        <v>35359</v>
      </c>
      <c r="AA49" s="35">
        <f>63457-AA44</f>
        <v>37215</v>
      </c>
      <c r="AB49" s="35">
        <f>67855-AB44</f>
        <v>39978</v>
      </c>
      <c r="AC49" s="35">
        <v>36721</v>
      </c>
      <c r="AD49" s="35">
        <v>41973</v>
      </c>
      <c r="AE49" s="35">
        <f>8415+16529+10956+3583</f>
        <v>39483</v>
      </c>
      <c r="AF49" s="35">
        <f>4505+15932+7584+2654</f>
        <v>30675</v>
      </c>
      <c r="AG49" s="35">
        <f>5652+16195+7420+2179</f>
        <v>31446</v>
      </c>
      <c r="AO49" s="19"/>
    </row>
    <row r="50" spans="1:41" ht="14.25" thickBot="1">
      <c r="A50" s="92" t="s">
        <v>1101</v>
      </c>
      <c r="B50" s="252">
        <f>B47-SUM(B48:B49)</f>
        <v>2908</v>
      </c>
      <c r="C50" s="252">
        <f t="shared" ref="C50" si="39">C47-SUM(C48:C49)</f>
        <v>2291</v>
      </c>
      <c r="D50" s="252">
        <f t="shared" ref="D50:L50" si="40">D47-SUM(D48:D49)</f>
        <v>2333</v>
      </c>
      <c r="E50" s="252">
        <f t="shared" si="40"/>
        <v>2770</v>
      </c>
      <c r="F50" s="252">
        <f t="shared" si="40"/>
        <v>2799</v>
      </c>
      <c r="G50" s="252">
        <f t="shared" si="40"/>
        <v>2698</v>
      </c>
      <c r="H50" s="252">
        <f t="shared" si="40"/>
        <v>3056</v>
      </c>
      <c r="I50" s="252">
        <f t="shared" si="40"/>
        <v>2748</v>
      </c>
      <c r="J50" s="252">
        <f t="shared" si="40"/>
        <v>2656</v>
      </c>
      <c r="K50" s="252">
        <f t="shared" si="40"/>
        <v>2598</v>
      </c>
      <c r="L50" s="252">
        <f t="shared" si="40"/>
        <v>0</v>
      </c>
      <c r="M50" s="252">
        <f t="shared" ref="M50" si="41">M47-SUM(M48:M49)</f>
        <v>0</v>
      </c>
      <c r="N50" s="34" t="s">
        <v>1313</v>
      </c>
      <c r="O50" t="s">
        <v>1331</v>
      </c>
      <c r="P50"/>
      <c r="R50" s="19" t="s">
        <v>1332</v>
      </c>
      <c r="Z50" s="24">
        <v>22818</v>
      </c>
      <c r="AA50" s="24">
        <v>25169</v>
      </c>
      <c r="AB50" s="24">
        <v>27784</v>
      </c>
      <c r="AC50" s="24">
        <v>26719</v>
      </c>
      <c r="AD50" s="24">
        <v>27752</v>
      </c>
      <c r="AE50" s="24">
        <v>24944</v>
      </c>
      <c r="AF50" s="24">
        <v>20437</v>
      </c>
      <c r="AG50" s="24">
        <v>21847</v>
      </c>
    </row>
    <row r="51" spans="1:41" ht="14.25">
      <c r="A51" s="9" t="s">
        <v>58</v>
      </c>
      <c r="B51" s="251">
        <v>24945</v>
      </c>
      <c r="C51" s="251">
        <v>20108</v>
      </c>
      <c r="D51" s="251">
        <v>17864</v>
      </c>
      <c r="E51" s="251">
        <v>17870</v>
      </c>
      <c r="F51" s="251">
        <v>18655</v>
      </c>
      <c r="G51" s="251">
        <v>16890</v>
      </c>
      <c r="H51" s="251">
        <v>15390</v>
      </c>
      <c r="I51" s="251">
        <v>13861</v>
      </c>
      <c r="J51" s="251">
        <v>14169</v>
      </c>
      <c r="K51" s="251">
        <v>13866</v>
      </c>
      <c r="L51" s="664">
        <v>2.2000000000000002</v>
      </c>
      <c r="M51" s="251"/>
      <c r="N51" s="34" t="s">
        <v>1313</v>
      </c>
      <c r="O51" t="s">
        <v>58</v>
      </c>
      <c r="P51"/>
      <c r="Z51" s="24"/>
      <c r="AA51" s="24"/>
      <c r="AB51" s="24"/>
      <c r="AC51" s="24"/>
      <c r="AD51" s="24"/>
      <c r="AE51" s="24"/>
      <c r="AF51" s="24"/>
      <c r="AG51" s="24"/>
    </row>
    <row r="52" spans="1:41">
      <c r="B52" s="286"/>
      <c r="C52" s="286"/>
      <c r="D52" s="286"/>
      <c r="E52" s="286"/>
      <c r="F52" s="286"/>
      <c r="G52" s="286"/>
      <c r="H52" s="286"/>
      <c r="I52" s="286"/>
      <c r="J52" s="286"/>
      <c r="K52" s="286"/>
      <c r="L52" s="251"/>
      <c r="M52" s="285"/>
      <c r="N52" s="34" t="s">
        <v>1313</v>
      </c>
      <c r="O52"/>
      <c r="P52"/>
      <c r="Z52" s="21">
        <f t="shared" ref="Z52:AG52" si="42">Z49-Z50</f>
        <v>12541</v>
      </c>
      <c r="AA52" s="21">
        <f t="shared" si="42"/>
        <v>12046</v>
      </c>
      <c r="AB52" s="21">
        <f t="shared" si="42"/>
        <v>12194</v>
      </c>
      <c r="AC52" s="21">
        <f t="shared" si="42"/>
        <v>10002</v>
      </c>
      <c r="AD52" s="21">
        <f t="shared" si="42"/>
        <v>14221</v>
      </c>
      <c r="AE52" s="21">
        <f t="shared" si="42"/>
        <v>14539</v>
      </c>
      <c r="AF52" s="21">
        <f t="shared" si="42"/>
        <v>10238</v>
      </c>
      <c r="AG52" s="21">
        <f t="shared" si="42"/>
        <v>9599</v>
      </c>
    </row>
    <row r="53" spans="1:41" s="9" customFormat="1">
      <c r="A53" s="19"/>
      <c r="B53" s="680"/>
      <c r="C53" s="680"/>
      <c r="D53" s="680"/>
      <c r="E53" s="680"/>
      <c r="F53" s="680"/>
      <c r="G53" s="680"/>
      <c r="H53" s="680"/>
      <c r="I53" s="680"/>
      <c r="J53" s="680"/>
      <c r="K53" s="680"/>
      <c r="L53" s="285"/>
      <c r="M53" s="285"/>
      <c r="N53" s="34" t="s">
        <v>1313</v>
      </c>
      <c r="O53"/>
      <c r="P53"/>
      <c r="Z53" s="32">
        <f>+Z49+Z44</f>
        <v>61491</v>
      </c>
      <c r="AA53" s="32">
        <f>+AA49+AA44</f>
        <v>63457</v>
      </c>
      <c r="AB53" s="32">
        <f>+AB49+AB44</f>
        <v>67855</v>
      </c>
      <c r="AC53" s="32">
        <f>AC44+AC49</f>
        <v>64018</v>
      </c>
      <c r="AD53" s="32">
        <f>AD49+AD44</f>
        <v>71388</v>
      </c>
      <c r="AE53" s="32">
        <f>AE49+AE44</f>
        <v>68044</v>
      </c>
      <c r="AF53" s="32">
        <f>AF49+AF44</f>
        <v>52695</v>
      </c>
      <c r="AG53" s="32">
        <f>AG49+AG44</f>
        <v>50738</v>
      </c>
      <c r="AO53" s="19"/>
    </row>
    <row r="54" spans="1:41">
      <c r="A54" s="36" t="s">
        <v>1103</v>
      </c>
      <c r="B54" s="682">
        <v>0</v>
      </c>
      <c r="C54" s="682">
        <v>0</v>
      </c>
      <c r="D54" s="682">
        <v>0</v>
      </c>
      <c r="E54" s="682">
        <v>0</v>
      </c>
      <c r="F54" s="682">
        <v>0</v>
      </c>
      <c r="G54" s="682">
        <v>0</v>
      </c>
      <c r="H54" s="682">
        <v>0</v>
      </c>
      <c r="I54" s="682">
        <v>0</v>
      </c>
      <c r="J54" s="682">
        <v>0</v>
      </c>
      <c r="K54" s="682">
        <v>0</v>
      </c>
      <c r="L54" s="288">
        <v>0</v>
      </c>
      <c r="M54" s="288">
        <v>0</v>
      </c>
      <c r="N54" s="34" t="s">
        <v>1313</v>
      </c>
      <c r="O54" t="s">
        <v>1103</v>
      </c>
      <c r="P54"/>
    </row>
    <row r="55" spans="1:41">
      <c r="B55" s="680"/>
      <c r="C55" s="680"/>
      <c r="D55" s="680"/>
      <c r="E55" s="680"/>
      <c r="F55" s="680"/>
      <c r="G55" s="680"/>
      <c r="H55" s="680"/>
      <c r="I55" s="680"/>
      <c r="J55" s="680"/>
      <c r="K55" s="680"/>
      <c r="L55" s="285"/>
      <c r="M55" s="285"/>
      <c r="N55" s="34" t="s">
        <v>1313</v>
      </c>
      <c r="O55"/>
      <c r="P55"/>
    </row>
    <row r="56" spans="1:41" s="9" customFormat="1">
      <c r="A56" s="9" t="s">
        <v>1104</v>
      </c>
      <c r="B56" s="251">
        <f>B38-B51-B54</f>
        <v>15878</v>
      </c>
      <c r="C56" s="251">
        <f t="shared" ref="C56:K56" si="43">C38-C51-C54</f>
        <v>13168</v>
      </c>
      <c r="D56" s="251">
        <f t="shared" si="43"/>
        <v>11438</v>
      </c>
      <c r="E56" s="251">
        <f t="shared" si="43"/>
        <v>10390</v>
      </c>
      <c r="F56" s="251">
        <f t="shared" si="43"/>
        <v>9706</v>
      </c>
      <c r="G56" s="251">
        <f t="shared" si="43"/>
        <v>8592</v>
      </c>
      <c r="H56" s="251">
        <f t="shared" si="43"/>
        <v>8050</v>
      </c>
      <c r="I56" s="251">
        <f t="shared" si="43"/>
        <v>6778</v>
      </c>
      <c r="J56" s="251">
        <f t="shared" si="43"/>
        <v>6941</v>
      </c>
      <c r="K56" s="251">
        <f t="shared" si="43"/>
        <v>6753</v>
      </c>
      <c r="L56" s="251">
        <f t="shared" ref="L56" si="44">L38-L51-L54</f>
        <v>8940.7999999999993</v>
      </c>
      <c r="M56" s="251">
        <f t="shared" ref="M56" si="45">M38-M51-M54</f>
        <v>0</v>
      </c>
      <c r="N56" s="34" t="s">
        <v>1313</v>
      </c>
      <c r="O56"/>
      <c r="P56"/>
      <c r="Q56" s="19" t="s">
        <v>1320</v>
      </c>
      <c r="R56" s="9" t="s">
        <v>1333</v>
      </c>
      <c r="AO56" s="19"/>
    </row>
    <row r="57" spans="1:41">
      <c r="A57" s="9"/>
      <c r="B57" s="286"/>
      <c r="C57" s="286"/>
      <c r="D57" s="286"/>
      <c r="E57" s="286"/>
      <c r="F57" s="286"/>
      <c r="G57" s="286"/>
      <c r="H57" s="286"/>
      <c r="I57" s="286"/>
      <c r="J57" s="286"/>
      <c r="K57" s="286"/>
      <c r="L57" s="251"/>
      <c r="M57" s="251"/>
      <c r="N57" s="34"/>
      <c r="O57"/>
      <c r="P57"/>
    </row>
    <row r="58" spans="1:41" ht="14.25" thickBot="1">
      <c r="A58" s="46" t="s">
        <v>1334</v>
      </c>
      <c r="B58" s="286"/>
      <c r="C58" s="286"/>
      <c r="D58" s="286"/>
      <c r="E58" s="286"/>
      <c r="F58" s="286"/>
      <c r="G58" s="286"/>
      <c r="H58" s="286"/>
      <c r="I58" s="286"/>
      <c r="J58" s="286"/>
      <c r="K58" s="286"/>
      <c r="L58" s="251"/>
      <c r="M58" s="251"/>
      <c r="N58" s="34"/>
      <c r="O58"/>
      <c r="P58"/>
    </row>
    <row r="59" spans="1:41" ht="14.25">
      <c r="A59" s="9" t="s">
        <v>141</v>
      </c>
      <c r="B59" s="251">
        <v>4190</v>
      </c>
      <c r="C59" s="251">
        <v>3027</v>
      </c>
      <c r="D59" s="251">
        <v>2186.6999999999998</v>
      </c>
      <c r="E59" s="251">
        <v>2987.2</v>
      </c>
      <c r="F59" s="251">
        <v>2860.3</v>
      </c>
      <c r="G59" s="251">
        <v>2992.3</v>
      </c>
      <c r="H59" s="251">
        <v>2715.8</v>
      </c>
      <c r="I59" s="251">
        <v>2300.8000000000002</v>
      </c>
      <c r="J59" s="251">
        <v>2556</v>
      </c>
      <c r="K59" s="251">
        <v>2123.6</v>
      </c>
      <c r="L59" s="666">
        <v>-0.8</v>
      </c>
      <c r="M59" s="251"/>
      <c r="N59" s="34"/>
      <c r="O59"/>
      <c r="P59"/>
    </row>
    <row r="60" spans="1:41">
      <c r="A60" s="23" t="s">
        <v>75</v>
      </c>
      <c r="B60" s="252">
        <f>B12</f>
        <v>4601</v>
      </c>
      <c r="C60" s="252">
        <f t="shared" ref="C60:K60" si="46">C12</f>
        <v>3012</v>
      </c>
      <c r="D60" s="252">
        <f t="shared" si="46"/>
        <v>1852</v>
      </c>
      <c r="E60" s="252">
        <f t="shared" si="46"/>
        <v>1298</v>
      </c>
      <c r="F60" s="252">
        <f t="shared" si="46"/>
        <v>2388</v>
      </c>
      <c r="G60" s="252">
        <f t="shared" si="46"/>
        <v>2195</v>
      </c>
      <c r="H60" s="252">
        <f t="shared" si="46"/>
        <v>1502</v>
      </c>
      <c r="I60" s="252">
        <f t="shared" si="46"/>
        <v>522</v>
      </c>
      <c r="J60" s="252">
        <f t="shared" si="46"/>
        <v>1604</v>
      </c>
      <c r="K60" s="252">
        <f t="shared" si="46"/>
        <v>1359</v>
      </c>
      <c r="L60" s="252">
        <f t="shared" ref="L60" si="47">L12</f>
        <v>569</v>
      </c>
      <c r="M60" s="252">
        <f t="shared" ref="M60" si="48">M12</f>
        <v>0</v>
      </c>
      <c r="N60" s="34"/>
      <c r="O60"/>
      <c r="P60"/>
    </row>
    <row r="61" spans="1:41" ht="14.25" thickBot="1">
      <c r="A61" s="92" t="s">
        <v>138</v>
      </c>
      <c r="B61" s="1014">
        <v>923.9</v>
      </c>
      <c r="C61" s="252">
        <v>790.2</v>
      </c>
      <c r="D61" s="252">
        <v>903.3</v>
      </c>
      <c r="E61" s="252">
        <v>1049</v>
      </c>
      <c r="F61" s="252">
        <v>1077.3</v>
      </c>
      <c r="G61" s="252">
        <v>1054.0999999999999</v>
      </c>
      <c r="H61" s="252">
        <v>1107.5</v>
      </c>
      <c r="I61" s="252">
        <v>993.1</v>
      </c>
      <c r="J61" s="252">
        <v>907.1</v>
      </c>
      <c r="K61" s="252">
        <v>917.7</v>
      </c>
      <c r="L61" s="252">
        <v>329.6</v>
      </c>
      <c r="M61" s="252"/>
      <c r="N61" s="34"/>
      <c r="O61"/>
      <c r="P61"/>
    </row>
    <row r="62" spans="1:41" ht="14.25">
      <c r="A62" s="92" t="s">
        <v>1335</v>
      </c>
      <c r="B62" s="252">
        <v>-1081.5</v>
      </c>
      <c r="C62" s="252">
        <v>-547.1</v>
      </c>
      <c r="D62" s="252">
        <v>-351.5</v>
      </c>
      <c r="E62" s="252">
        <v>776</v>
      </c>
      <c r="F62" s="252">
        <v>-682</v>
      </c>
      <c r="G62" s="252">
        <v>-237.1</v>
      </c>
      <c r="H62" s="252">
        <v>111.7</v>
      </c>
      <c r="I62" s="252">
        <v>892.1</v>
      </c>
      <c r="J62" s="252">
        <v>104</v>
      </c>
      <c r="K62" s="252">
        <v>-29.6</v>
      </c>
      <c r="L62" s="667">
        <v>0</v>
      </c>
      <c r="M62" s="252"/>
      <c r="N62" s="34"/>
      <c r="O62"/>
      <c r="P62"/>
    </row>
    <row r="63" spans="1:41" ht="14.25" thickBot="1">
      <c r="A63" s="92" t="s">
        <v>1336</v>
      </c>
      <c r="B63" s="252">
        <f>B59-B60-B61-B62</f>
        <v>-253.40000000000009</v>
      </c>
      <c r="C63" s="252">
        <f t="shared" ref="C63" si="49">C59-C60-C61-C62</f>
        <v>-228.10000000000002</v>
      </c>
      <c r="D63" s="252">
        <f t="shared" ref="D63" si="50">D59-D60-D61-D62</f>
        <v>-217.10000000000014</v>
      </c>
      <c r="E63" s="252">
        <f t="shared" ref="E63:L63" si="51">E59-E60-E61-E62</f>
        <v>-135.80000000000018</v>
      </c>
      <c r="F63" s="252">
        <f t="shared" si="51"/>
        <v>77.000000000000227</v>
      </c>
      <c r="G63" s="252">
        <f t="shared" si="51"/>
        <v>-19.699999999999733</v>
      </c>
      <c r="H63" s="252">
        <f t="shared" si="51"/>
        <v>-5.3999999999998209</v>
      </c>
      <c r="I63" s="252">
        <f t="shared" si="51"/>
        <v>-106.39999999999986</v>
      </c>
      <c r="J63" s="252">
        <f t="shared" si="51"/>
        <v>-59.100000000000023</v>
      </c>
      <c r="K63" s="252">
        <f>K59-K60-K61-K62</f>
        <v>-123.50000000000014</v>
      </c>
      <c r="L63" s="252">
        <f t="shared" si="51"/>
        <v>-899.4</v>
      </c>
      <c r="M63" s="252">
        <f t="shared" ref="M63" si="52">M59-M60-M61-M62</f>
        <v>0</v>
      </c>
      <c r="N63" s="34"/>
      <c r="O63"/>
      <c r="P63"/>
    </row>
    <row r="64" spans="1:41" ht="15" thickBot="1">
      <c r="A64" s="9" t="s">
        <v>142</v>
      </c>
      <c r="B64" s="251">
        <v>-2871</v>
      </c>
      <c r="C64" s="251">
        <v>-2033</v>
      </c>
      <c r="D64" s="251">
        <v>-1362.7</v>
      </c>
      <c r="E64" s="251">
        <v>-1875.8</v>
      </c>
      <c r="F64" s="251">
        <v>-2207.4</v>
      </c>
      <c r="G64" s="251">
        <v>-1930.7</v>
      </c>
      <c r="H64" s="251">
        <v>-1964.6</v>
      </c>
      <c r="I64" s="251">
        <v>-1564.3</v>
      </c>
      <c r="J64" s="251">
        <v>-1974.9</v>
      </c>
      <c r="K64" s="251">
        <v>-1531.9</v>
      </c>
      <c r="L64" s="666">
        <v>-1.5</v>
      </c>
      <c r="M64" s="251"/>
      <c r="N64" s="34"/>
      <c r="O64"/>
      <c r="P64"/>
    </row>
    <row r="65" spans="1:50" ht="15" thickBot="1">
      <c r="A65" s="92" t="s">
        <v>143</v>
      </c>
      <c r="B65" s="252">
        <f>B131</f>
        <v>-695</v>
      </c>
      <c r="C65" s="252">
        <f t="shared" ref="C65:K65" si="53">C131</f>
        <v>-525</v>
      </c>
      <c r="D65" s="252">
        <f t="shared" si="53"/>
        <v>-559.1</v>
      </c>
      <c r="E65" s="252">
        <f t="shared" si="53"/>
        <v>-550.4</v>
      </c>
      <c r="F65" s="252">
        <f t="shared" si="53"/>
        <v>-574</v>
      </c>
      <c r="G65" s="252">
        <f t="shared" si="53"/>
        <v>-457.6</v>
      </c>
      <c r="H65" s="252">
        <f t="shared" si="53"/>
        <v>-423.4</v>
      </c>
      <c r="I65" s="252">
        <f t="shared" si="53"/>
        <v>-375.2</v>
      </c>
      <c r="J65" s="252">
        <f t="shared" si="53"/>
        <v>-286.7</v>
      </c>
      <c r="K65" s="252">
        <f t="shared" si="53"/>
        <v>-289.2</v>
      </c>
      <c r="L65" s="672">
        <v>-1.5</v>
      </c>
      <c r="M65" s="252"/>
      <c r="N65" s="34"/>
      <c r="O65"/>
      <c r="P65"/>
    </row>
    <row r="66" spans="1:50" ht="15" thickBot="1">
      <c r="A66" s="92" t="s">
        <v>144</v>
      </c>
      <c r="B66" s="252">
        <f>SUM(B122:B123,B132)</f>
        <v>-731.1</v>
      </c>
      <c r="C66" s="252">
        <f t="shared" ref="C66:M66" si="54">SUM(C122:C123,C132)</f>
        <v>-1035.8</v>
      </c>
      <c r="D66" s="252">
        <f t="shared" si="54"/>
        <v>-1249.8000000000002</v>
      </c>
      <c r="E66" s="252">
        <f t="shared" si="54"/>
        <v>-1332.6</v>
      </c>
      <c r="F66" s="252">
        <f t="shared" si="54"/>
        <v>-1531.9</v>
      </c>
      <c r="G66" s="252">
        <f t="shared" si="54"/>
        <v>-1179.0999999999999</v>
      </c>
      <c r="H66" s="252">
        <f t="shared" si="54"/>
        <v>-1614</v>
      </c>
      <c r="I66" s="252">
        <f t="shared" si="54"/>
        <v>-1316.8000000000002</v>
      </c>
      <c r="J66" s="252">
        <f t="shared" si="54"/>
        <v>-1732.8</v>
      </c>
      <c r="K66" s="252">
        <f t="shared" si="54"/>
        <v>-1363.6999999999998</v>
      </c>
      <c r="L66" s="252">
        <f t="shared" si="54"/>
        <v>0</v>
      </c>
      <c r="M66" s="252">
        <f t="shared" si="54"/>
        <v>0</v>
      </c>
      <c r="N66" s="34"/>
      <c r="O66"/>
      <c r="P66"/>
      <c r="Y66" s="672"/>
      <c r="Z66" s="672">
        <v>-55.2</v>
      </c>
      <c r="AA66" s="672">
        <v>-156.9</v>
      </c>
      <c r="AB66" s="667">
        <v>0</v>
      </c>
      <c r="AC66" s="667">
        <v>59.9</v>
      </c>
      <c r="AH66" s="674" t="s">
        <v>1337</v>
      </c>
      <c r="AI66" s="672">
        <v>-15.1</v>
      </c>
      <c r="AJ66" s="672">
        <v>-55.2</v>
      </c>
      <c r="AK66" s="672">
        <v>-156.9</v>
      </c>
      <c r="AL66" s="667">
        <v>0</v>
      </c>
      <c r="AM66" s="667">
        <v>59.9</v>
      </c>
      <c r="AN66" s="667">
        <v>3.6</v>
      </c>
      <c r="AO66" s="667">
        <v>0.1</v>
      </c>
      <c r="AP66" s="672">
        <v>-2.2000000000000002</v>
      </c>
      <c r="AQ66" s="672">
        <v>-2.2000000000000002</v>
      </c>
      <c r="AR66" s="672">
        <v>-2.2000000000000002</v>
      </c>
      <c r="AS66" s="667">
        <v>0</v>
      </c>
      <c r="AT66" s="667"/>
      <c r="AU66" s="667"/>
      <c r="AV66" s="668"/>
      <c r="AW66" s="668"/>
      <c r="AX66" s="667"/>
    </row>
    <row r="67" spans="1:50" ht="14.25">
      <c r="A67" s="92" t="s">
        <v>1338</v>
      </c>
      <c r="B67" s="252">
        <f>B64-B65-B66</f>
        <v>-1444.9</v>
      </c>
      <c r="C67" s="252">
        <f>C64-C65-C66</f>
        <v>-472.20000000000005</v>
      </c>
      <c r="D67" s="252">
        <f>D64-D65-D66</f>
        <v>446.20000000000016</v>
      </c>
      <c r="E67" s="252">
        <f>E64-E65-E66</f>
        <v>7.1999999999998181</v>
      </c>
      <c r="F67" s="252">
        <f t="shared" ref="F67" si="55">F64-F65-F66</f>
        <v>-101.5</v>
      </c>
      <c r="G67" s="252">
        <f t="shared" ref="G67:L67" si="56">G64-G65-G66</f>
        <v>-294</v>
      </c>
      <c r="H67" s="252">
        <f t="shared" si="56"/>
        <v>72.800000000000182</v>
      </c>
      <c r="I67" s="252">
        <f t="shared" si="56"/>
        <v>127.70000000000027</v>
      </c>
      <c r="J67" s="252">
        <f t="shared" si="56"/>
        <v>44.599999999999909</v>
      </c>
      <c r="K67" s="252">
        <f t="shared" si="56"/>
        <v>120.99999999999977</v>
      </c>
      <c r="L67" s="252">
        <f t="shared" si="56"/>
        <v>0</v>
      </c>
      <c r="M67" s="252">
        <f t="shared" ref="M67" si="57">M64-M65-M66</f>
        <v>0</v>
      </c>
      <c r="N67" s="34"/>
      <c r="O67"/>
      <c r="P67"/>
      <c r="AH67" s="675" t="s">
        <v>1339</v>
      </c>
      <c r="AI67" s="670">
        <v>0</v>
      </c>
      <c r="AJ67" s="670">
        <v>0</v>
      </c>
      <c r="AK67" s="670">
        <v>0</v>
      </c>
      <c r="AL67" s="670">
        <v>0</v>
      </c>
      <c r="AM67" s="670">
        <v>0</v>
      </c>
      <c r="AN67" s="670">
        <v>0</v>
      </c>
      <c r="AO67" s="669">
        <v>0</v>
      </c>
      <c r="AP67" s="676">
        <v>-0.7</v>
      </c>
      <c r="AQ67" s="676">
        <v>-1.4</v>
      </c>
      <c r="AR67" s="676">
        <v>-1.4</v>
      </c>
      <c r="AS67" s="669">
        <v>0</v>
      </c>
      <c r="AT67" s="669"/>
      <c r="AU67" s="669"/>
      <c r="AV67" s="670"/>
      <c r="AW67" s="670"/>
      <c r="AX67" s="670" t="s">
        <v>285</v>
      </c>
    </row>
    <row r="68" spans="1:50" ht="14.25">
      <c r="A68" s="9" t="s">
        <v>145</v>
      </c>
      <c r="B68" s="251">
        <v>1102.2</v>
      </c>
      <c r="C68" s="251">
        <v>304.89999999999998</v>
      </c>
      <c r="D68" s="251">
        <v>-882.9</v>
      </c>
      <c r="E68" s="251">
        <v>-1808.5</v>
      </c>
      <c r="F68" s="251">
        <v>83.4</v>
      </c>
      <c r="G68" s="251">
        <v>71.099999999999994</v>
      </c>
      <c r="H68" s="251">
        <v>-393.8</v>
      </c>
      <c r="I68" s="251">
        <v>-823.5</v>
      </c>
      <c r="J68" s="251">
        <v>-196.5</v>
      </c>
      <c r="K68" s="251">
        <v>-520.5</v>
      </c>
      <c r="L68" s="665">
        <v>3.1</v>
      </c>
      <c r="M68" s="251"/>
      <c r="N68" s="34"/>
      <c r="O68"/>
      <c r="P68"/>
      <c r="AH68" s="19" t="s">
        <v>1340</v>
      </c>
      <c r="AI68" s="19">
        <f>AI66-AI67</f>
        <v>-15.1</v>
      </c>
      <c r="AJ68" s="19">
        <f t="shared" ref="AJ68:AS68" si="58">AJ66-AJ67</f>
        <v>-55.2</v>
      </c>
      <c r="AK68" s="19">
        <f t="shared" si="58"/>
        <v>-156.9</v>
      </c>
      <c r="AL68" s="19">
        <f t="shared" si="58"/>
        <v>0</v>
      </c>
      <c r="AM68" s="19">
        <f t="shared" si="58"/>
        <v>59.9</v>
      </c>
      <c r="AN68" s="19">
        <f t="shared" si="58"/>
        <v>3.6</v>
      </c>
      <c r="AO68" s="19">
        <f t="shared" si="58"/>
        <v>0.1</v>
      </c>
      <c r="AP68" s="19">
        <f t="shared" si="58"/>
        <v>-1.5000000000000002</v>
      </c>
      <c r="AQ68" s="19">
        <f t="shared" si="58"/>
        <v>-0.80000000000000027</v>
      </c>
      <c r="AR68" s="19">
        <f t="shared" si="58"/>
        <v>-0.80000000000000027</v>
      </c>
      <c r="AS68" s="19">
        <f t="shared" si="58"/>
        <v>0</v>
      </c>
    </row>
    <row r="69" spans="1:50" ht="14.25">
      <c r="A69" s="92" t="s">
        <v>1341</v>
      </c>
      <c r="B69" s="252">
        <f t="shared" ref="B69:K69" si="59">B126+IF(B125&gt;0,B125,0)</f>
        <v>4806</v>
      </c>
      <c r="C69" s="252">
        <f t="shared" si="59"/>
        <v>3541.7999999999997</v>
      </c>
      <c r="D69" s="252">
        <f t="shared" si="59"/>
        <v>2125.7999999999997</v>
      </c>
      <c r="E69" s="252">
        <f t="shared" si="59"/>
        <v>2150.1</v>
      </c>
      <c r="F69" s="252">
        <f t="shared" si="59"/>
        <v>3061.4</v>
      </c>
      <c r="G69" s="252">
        <f t="shared" si="59"/>
        <v>2965.8</v>
      </c>
      <c r="H69" s="252">
        <f t="shared" si="59"/>
        <v>2022.3000000000002</v>
      </c>
      <c r="I69" s="252">
        <f t="shared" si="59"/>
        <v>1994.8</v>
      </c>
      <c r="J69" s="252">
        <f t="shared" si="59"/>
        <v>2243.9</v>
      </c>
      <c r="K69" s="252">
        <f t="shared" si="59"/>
        <v>1999.9</v>
      </c>
      <c r="L69" s="669">
        <v>1.4</v>
      </c>
      <c r="M69" s="252"/>
      <c r="N69" s="34"/>
      <c r="O69"/>
      <c r="P69"/>
    </row>
    <row r="70" spans="1:50" ht="14.25">
      <c r="A70" s="92" t="s">
        <v>1342</v>
      </c>
      <c r="B70" s="252">
        <f t="shared" ref="B70:K70" si="60">B127+IF(B125&lt;0,B125,0)</f>
        <v>-2233.1999999999998</v>
      </c>
      <c r="C70" s="252">
        <f t="shared" si="60"/>
        <v>-2265.8000000000002</v>
      </c>
      <c r="D70" s="252">
        <f t="shared" si="60"/>
        <v>-2336.6999999999998</v>
      </c>
      <c r="E70" s="252">
        <f t="shared" si="60"/>
        <v>-2730.4</v>
      </c>
      <c r="F70" s="252">
        <f t="shared" si="60"/>
        <v>-1790</v>
      </c>
      <c r="G70" s="252">
        <f t="shared" si="60"/>
        <v>-1755.3</v>
      </c>
      <c r="H70" s="252">
        <f t="shared" si="60"/>
        <v>-1897.1</v>
      </c>
      <c r="I70" s="252">
        <f t="shared" si="60"/>
        <v>-1947.8999999999999</v>
      </c>
      <c r="J70" s="252">
        <f t="shared" si="60"/>
        <v>-1580.1</v>
      </c>
      <c r="K70" s="252">
        <f t="shared" si="60"/>
        <v>-1883</v>
      </c>
      <c r="L70" s="669">
        <v>0</v>
      </c>
      <c r="M70" s="252"/>
      <c r="N70" s="34"/>
      <c r="O70"/>
      <c r="P70"/>
    </row>
    <row r="71" spans="1:50">
      <c r="A71" s="92" t="s">
        <v>1343</v>
      </c>
      <c r="B71" s="252">
        <v>0</v>
      </c>
      <c r="C71" s="252">
        <v>0</v>
      </c>
      <c r="D71" s="252">
        <v>0</v>
      </c>
      <c r="E71" s="252">
        <v>0</v>
      </c>
      <c r="F71" s="252">
        <v>0</v>
      </c>
      <c r="G71" s="252">
        <v>0</v>
      </c>
      <c r="H71" s="252">
        <v>0</v>
      </c>
      <c r="I71" s="252">
        <v>0</v>
      </c>
      <c r="J71" s="252">
        <v>0</v>
      </c>
      <c r="K71" s="252">
        <v>0</v>
      </c>
      <c r="L71" s="252"/>
      <c r="M71" s="252"/>
      <c r="N71" s="34"/>
      <c r="O71"/>
      <c r="P71"/>
    </row>
    <row r="72" spans="1:50">
      <c r="A72" s="92" t="s">
        <v>1344</v>
      </c>
      <c r="B72" s="252">
        <v>0</v>
      </c>
      <c r="C72" s="252">
        <v>0</v>
      </c>
      <c r="D72" s="252">
        <v>0</v>
      </c>
      <c r="E72" s="252">
        <v>0</v>
      </c>
      <c r="F72" s="252">
        <v>0</v>
      </c>
      <c r="G72" s="252">
        <v>0</v>
      </c>
      <c r="H72" s="252">
        <v>0</v>
      </c>
      <c r="I72" s="252">
        <v>0</v>
      </c>
      <c r="J72" s="252">
        <v>0</v>
      </c>
      <c r="K72" s="252">
        <v>0</v>
      </c>
      <c r="L72" s="252"/>
      <c r="M72" s="252"/>
      <c r="N72" s="34"/>
      <c r="O72"/>
      <c r="P72"/>
    </row>
    <row r="73" spans="1:50" ht="15" thickBot="1">
      <c r="A73" s="92" t="s">
        <v>146</v>
      </c>
      <c r="B73" s="252">
        <v>-1518.6</v>
      </c>
      <c r="C73" s="252">
        <v>-1004.7</v>
      </c>
      <c r="D73" s="252">
        <v>-708</v>
      </c>
      <c r="E73" s="252">
        <v>-1239.8</v>
      </c>
      <c r="F73" s="252">
        <v>-1138.5999999999999</v>
      </c>
      <c r="G73" s="252">
        <v>-804.3</v>
      </c>
      <c r="H73" s="252">
        <v>-558.29999999999995</v>
      </c>
      <c r="I73" s="252">
        <v>-829.3</v>
      </c>
      <c r="J73" s="252">
        <v>-680.5</v>
      </c>
      <c r="K73" s="252">
        <v>-623.79999999999995</v>
      </c>
      <c r="L73" s="668" t="s">
        <v>285</v>
      </c>
      <c r="M73" s="252"/>
      <c r="N73" s="31" t="s">
        <v>1345</v>
      </c>
      <c r="O73" t="s">
        <v>1346</v>
      </c>
      <c r="P73"/>
    </row>
    <row r="74" spans="1:50" ht="14.25">
      <c r="A74" s="92" t="s">
        <v>1087</v>
      </c>
      <c r="B74" s="252">
        <v>-3.5</v>
      </c>
      <c r="C74" s="252">
        <v>-2.1</v>
      </c>
      <c r="D74" s="252">
        <v>-1.5</v>
      </c>
      <c r="E74" s="252">
        <v>-42.1</v>
      </c>
      <c r="F74" s="252">
        <v>-110.2</v>
      </c>
      <c r="G74" s="252">
        <v>-354.4</v>
      </c>
      <c r="H74" s="252">
        <v>0</v>
      </c>
      <c r="I74" s="252">
        <v>-70.5</v>
      </c>
      <c r="J74" s="252">
        <v>-201.6</v>
      </c>
      <c r="K74" s="252">
        <v>-42.7</v>
      </c>
      <c r="L74" s="667">
        <v>1.1000000000000001</v>
      </c>
      <c r="M74" s="252"/>
      <c r="N74" s="31" t="s">
        <v>1345</v>
      </c>
      <c r="O74" t="str">
        <f>+A74</f>
        <v>Share buyback</v>
      </c>
      <c r="P74"/>
    </row>
    <row r="75" spans="1:50" ht="14.25" thickBot="1">
      <c r="A75" s="92" t="s">
        <v>1338</v>
      </c>
      <c r="B75" s="252">
        <f>B68-B69-B70-B71-B72-B73-B74</f>
        <v>51.499999999999545</v>
      </c>
      <c r="C75" s="252">
        <f t="shared" ref="C75" si="61">C68-C69-C70-C71-C72-C73-C74</f>
        <v>35.700000000000593</v>
      </c>
      <c r="D75" s="252">
        <f t="shared" ref="D75:L75" si="62">D68-D69-D70-D71-D72-D73-D74</f>
        <v>37.5</v>
      </c>
      <c r="E75" s="252">
        <f t="shared" si="62"/>
        <v>53.700000000000138</v>
      </c>
      <c r="F75" s="252">
        <f>F68-F69-F70-F71-F72-F73-F74</f>
        <v>60.799999999999912</v>
      </c>
      <c r="G75" s="252">
        <f t="shared" si="62"/>
        <v>19.299999999999613</v>
      </c>
      <c r="H75" s="252">
        <f t="shared" si="62"/>
        <v>39.2999999999995</v>
      </c>
      <c r="I75" s="252">
        <f t="shared" si="62"/>
        <v>29.399999999999636</v>
      </c>
      <c r="J75" s="252">
        <f t="shared" si="62"/>
        <v>21.799999999999812</v>
      </c>
      <c r="K75" s="252">
        <f t="shared" si="62"/>
        <v>29.099999999999866</v>
      </c>
      <c r="L75" s="252" t="e">
        <f t="shared" si="62"/>
        <v>#VALUE!</v>
      </c>
      <c r="M75" s="252">
        <f t="shared" ref="M75" si="63">M68-M69-M70-M71-M72-M73-M74</f>
        <v>0</v>
      </c>
      <c r="N75" s="34"/>
      <c r="O75"/>
      <c r="P75"/>
    </row>
    <row r="76" spans="1:50" ht="14.25">
      <c r="A76" s="9" t="s">
        <v>149</v>
      </c>
      <c r="B76" s="251">
        <v>69.599999999999994</v>
      </c>
      <c r="C76" s="251">
        <v>-36.299999999999997</v>
      </c>
      <c r="D76" s="251">
        <v>-52.4</v>
      </c>
      <c r="E76" s="251">
        <v>61.6</v>
      </c>
      <c r="F76" s="251">
        <v>2.9</v>
      </c>
      <c r="G76" s="251">
        <v>-61.5</v>
      </c>
      <c r="H76" s="251">
        <v>91.6</v>
      </c>
      <c r="I76" s="251">
        <v>-13.7</v>
      </c>
      <c r="J76" s="251">
        <v>-105.8</v>
      </c>
      <c r="K76" s="251">
        <v>-83.7</v>
      </c>
      <c r="L76" s="673" t="s">
        <v>285</v>
      </c>
      <c r="M76" s="251"/>
      <c r="N76" s="34"/>
      <c r="O76"/>
      <c r="P76"/>
    </row>
    <row r="77" spans="1:50">
      <c r="A77" s="9" t="s">
        <v>1106</v>
      </c>
      <c r="B77" s="251">
        <f t="shared" ref="B77:L77" si="64">B59+B64+B68+B76</f>
        <v>2490.7999999999997</v>
      </c>
      <c r="C77" s="251">
        <f t="shared" si="64"/>
        <v>1262.6000000000001</v>
      </c>
      <c r="D77" s="251">
        <f t="shared" si="64"/>
        <v>-111.30000000000021</v>
      </c>
      <c r="E77" s="251">
        <f t="shared" si="64"/>
        <v>-635.50000000000011</v>
      </c>
      <c r="F77" s="251">
        <f t="shared" si="64"/>
        <v>739.2</v>
      </c>
      <c r="G77" s="251">
        <f t="shared" si="64"/>
        <v>1071.2</v>
      </c>
      <c r="H77" s="251">
        <f t="shared" si="64"/>
        <v>449.00000000000023</v>
      </c>
      <c r="I77" s="251">
        <f t="shared" si="64"/>
        <v>-100.69999999999978</v>
      </c>
      <c r="J77" s="251">
        <f t="shared" si="64"/>
        <v>278.7999999999999</v>
      </c>
      <c r="K77" s="251">
        <f t="shared" si="64"/>
        <v>-12.500000000000185</v>
      </c>
      <c r="L77" s="251" t="e">
        <f t="shared" si="64"/>
        <v>#VALUE!</v>
      </c>
      <c r="M77" s="251">
        <f t="shared" ref="M77" si="65">M59+M64+M68+M76</f>
        <v>0</v>
      </c>
      <c r="N77" s="34"/>
      <c r="O77"/>
      <c r="P77"/>
    </row>
    <row r="78" spans="1:50">
      <c r="B78" s="681"/>
      <c r="C78" s="681"/>
      <c r="D78" s="681"/>
      <c r="E78" s="681"/>
      <c r="F78" s="681"/>
      <c r="G78" s="681"/>
      <c r="H78" s="681"/>
      <c r="I78" s="681"/>
      <c r="J78" s="681"/>
      <c r="K78" s="38"/>
      <c r="M78" s="21"/>
      <c r="N78"/>
      <c r="O78" t="s">
        <v>1347</v>
      </c>
      <c r="P78"/>
    </row>
    <row r="79" spans="1:50">
      <c r="A79" s="46" t="s">
        <v>1348</v>
      </c>
      <c r="B79" s="683"/>
      <c r="C79" s="683"/>
      <c r="E79" s="1516" t="s">
        <v>1114</v>
      </c>
      <c r="F79" s="1516"/>
      <c r="G79" s="1516"/>
      <c r="H79" s="1516" t="s">
        <v>1349</v>
      </c>
      <c r="I79" s="1516"/>
      <c r="J79" s="683" t="s">
        <v>1116</v>
      </c>
      <c r="K79" s="683" t="s">
        <v>1117</v>
      </c>
      <c r="L79" s="46" t="s">
        <v>1118</v>
      </c>
      <c r="M79" s="32"/>
      <c r="N79"/>
      <c r="O79"/>
      <c r="P79"/>
    </row>
    <row r="80" spans="1:50">
      <c r="A80" s="23" t="s">
        <v>1350</v>
      </c>
      <c r="B80" s="684" cm="1">
        <f t="array" aca="1" ref="B80" ca="1">_FV(Inputs!H3,"Funcionários")</f>
        <v>32400</v>
      </c>
      <c r="C80" s="685" t="s">
        <v>1351</v>
      </c>
      <c r="E80" s="1517"/>
      <c r="F80" s="1517"/>
      <c r="G80" s="1517"/>
      <c r="H80" s="1517"/>
      <c r="I80" s="1517"/>
      <c r="J80" s="684"/>
      <c r="K80" s="684"/>
      <c r="L80" s="60"/>
      <c r="M80" s="21"/>
      <c r="N80" s="37" t="s">
        <v>1352</v>
      </c>
      <c r="O80"/>
      <c r="P80"/>
    </row>
    <row r="81" spans="1:24">
      <c r="A81" s="23" t="s">
        <v>1353</v>
      </c>
      <c r="B81" s="684" cm="1">
        <f t="array" aca="1" ref="B81" ca="1">_FV(H3,"Ações em circulação",TRUE)/1000</f>
        <v>524010.7</v>
      </c>
      <c r="C81" s="685" t="s">
        <v>1354</v>
      </c>
      <c r="E81" s="1517"/>
      <c r="F81" s="1517"/>
      <c r="G81" s="1517"/>
      <c r="H81" s="1517"/>
      <c r="I81" s="1517"/>
      <c r="J81" s="684"/>
      <c r="K81" s="684"/>
      <c r="L81" s="60"/>
      <c r="M81" s="21"/>
      <c r="N81" s="37" t="s">
        <v>1352</v>
      </c>
      <c r="O81"/>
      <c r="P81"/>
    </row>
    <row r="82" spans="1:24">
      <c r="A82" s="23" t="s">
        <v>56</v>
      </c>
      <c r="B82" s="708">
        <f>1-B83</f>
        <v>0.98140000000000005</v>
      </c>
      <c r="C82" s="685" t="s">
        <v>1354</v>
      </c>
      <c r="E82" s="1517"/>
      <c r="F82" s="1517"/>
      <c r="G82" s="1517"/>
      <c r="H82" s="1517"/>
      <c r="I82" s="1517"/>
      <c r="J82" s="684"/>
      <c r="K82" s="684"/>
      <c r="L82" s="60"/>
      <c r="M82" s="61"/>
      <c r="N82" s="37" t="s">
        <v>1352</v>
      </c>
      <c r="O82"/>
      <c r="P82"/>
    </row>
    <row r="83" spans="1:24">
      <c r="A83" s="23" t="s">
        <v>60</v>
      </c>
      <c r="B83" s="708">
        <v>1.8599999999999998E-2</v>
      </c>
      <c r="C83" s="685" t="s">
        <v>1354</v>
      </c>
      <c r="E83" s="1517"/>
      <c r="F83" s="1517"/>
      <c r="G83" s="1517"/>
      <c r="H83" s="1517"/>
      <c r="I83" s="1517"/>
      <c r="J83" s="684"/>
      <c r="K83" s="684"/>
      <c r="L83" s="60"/>
      <c r="M83" s="61"/>
      <c r="N83" s="37" t="s">
        <v>1352</v>
      </c>
      <c r="O83"/>
      <c r="P83"/>
    </row>
    <row r="84" spans="1:24">
      <c r="A84" s="23" t="s">
        <v>1355</v>
      </c>
      <c r="B84" s="684" t="s">
        <v>1356</v>
      </c>
      <c r="C84" s="685" t="s">
        <v>1351</v>
      </c>
      <c r="E84" s="1517"/>
      <c r="F84" s="1517"/>
      <c r="G84" s="1517"/>
      <c r="H84" s="1517"/>
      <c r="I84" s="1517"/>
      <c r="J84" s="684"/>
      <c r="K84" s="684"/>
      <c r="L84" s="60"/>
      <c r="M84" s="21"/>
      <c r="N84" s="37" t="s">
        <v>1352</v>
      </c>
      <c r="O84"/>
      <c r="P84"/>
    </row>
    <row r="85" spans="1:24">
      <c r="A85" s="23" t="s">
        <v>1357</v>
      </c>
      <c r="B85" s="709">
        <v>9.1999999999999998E-3</v>
      </c>
      <c r="C85" s="685" t="s">
        <v>1354</v>
      </c>
      <c r="E85" s="1517"/>
      <c r="F85" s="1517"/>
      <c r="G85" s="1517"/>
      <c r="H85" s="1517"/>
      <c r="I85" s="1517"/>
      <c r="J85" s="684"/>
      <c r="K85" s="684"/>
      <c r="L85" s="60"/>
      <c r="M85" s="21"/>
      <c r="N85" s="37" t="s">
        <v>1352</v>
      </c>
      <c r="O85"/>
    </row>
    <row r="86" spans="1:24">
      <c r="A86" s="23" t="s">
        <v>1112</v>
      </c>
      <c r="B86" s="24" cm="1">
        <f t="array" aca="1" ref="B86" ca="1">_FV(H3,"Volume")</f>
        <v>1354811</v>
      </c>
      <c r="C86" s="685" t="s">
        <v>1358</v>
      </c>
      <c r="E86" s="1517"/>
      <c r="F86" s="1517"/>
      <c r="G86" s="1517"/>
      <c r="H86" s="1517"/>
      <c r="I86" s="1517"/>
      <c r="J86" s="684"/>
      <c r="K86" s="684"/>
      <c r="L86" s="60"/>
      <c r="M86" s="21"/>
      <c r="N86" s="37" t="s">
        <v>1352</v>
      </c>
    </row>
    <row r="87" spans="1:24">
      <c r="B87" s="686">
        <f>B5</f>
        <v>2023</v>
      </c>
      <c r="C87" s="686">
        <f>C5</f>
        <v>2022</v>
      </c>
      <c r="D87" s="686">
        <f>D5</f>
        <v>2021</v>
      </c>
      <c r="F87" s="681"/>
      <c r="G87" s="681"/>
      <c r="H87" s="38"/>
      <c r="I87" s="38"/>
      <c r="J87" s="38"/>
      <c r="K87" s="38"/>
      <c r="L87" s="38"/>
      <c r="M87" s="38"/>
      <c r="N87"/>
    </row>
    <row r="88" spans="1:24">
      <c r="A88" s="23" t="s">
        <v>1113</v>
      </c>
      <c r="B88" s="709">
        <v>1.6500000000000001E-2</v>
      </c>
      <c r="E88" s="685" t="s">
        <v>1358</v>
      </c>
      <c r="G88" s="681"/>
      <c r="H88" s="733"/>
      <c r="I88" s="681"/>
      <c r="J88" s="681"/>
      <c r="K88" s="681"/>
      <c r="L88" s="19"/>
      <c r="N88"/>
      <c r="O88"/>
      <c r="P88"/>
      <c r="Q88"/>
      <c r="R88"/>
      <c r="S88"/>
      <c r="T88"/>
      <c r="U88"/>
      <c r="V88"/>
      <c r="W88"/>
      <c r="X88"/>
    </row>
    <row r="89" spans="1:24">
      <c r="A89" s="23" t="s">
        <v>81</v>
      </c>
      <c r="B89" s="705">
        <v>8.76</v>
      </c>
      <c r="C89" s="705">
        <v>5.75</v>
      </c>
      <c r="D89" s="705">
        <v>3.54</v>
      </c>
      <c r="E89" s="685" t="s">
        <v>1358</v>
      </c>
      <c r="G89" s="681"/>
      <c r="H89" s="681"/>
      <c r="I89" s="681"/>
      <c r="J89" s="681"/>
      <c r="K89" s="681"/>
      <c r="L89" s="19"/>
      <c r="N89"/>
      <c r="O89"/>
      <c r="P89"/>
      <c r="Q89"/>
      <c r="R89"/>
      <c r="S89"/>
      <c r="T89"/>
      <c r="U89"/>
      <c r="V89"/>
      <c r="W89"/>
      <c r="X89"/>
    </row>
    <row r="90" spans="1:24" ht="14.25" thickBot="1">
      <c r="B90" s="681"/>
      <c r="C90" s="681"/>
      <c r="D90" s="681"/>
      <c r="E90" s="681"/>
      <c r="F90" s="681"/>
      <c r="G90" s="681"/>
      <c r="H90" s="681"/>
      <c r="I90" s="681"/>
      <c r="J90" s="681"/>
      <c r="K90" s="38"/>
      <c r="M90"/>
      <c r="N90"/>
      <c r="O90"/>
      <c r="P90"/>
      <c r="Q90"/>
      <c r="R90"/>
      <c r="S90"/>
      <c r="T90"/>
      <c r="U90"/>
      <c r="V90"/>
      <c r="W90"/>
      <c r="X90"/>
    </row>
    <row r="91" spans="1:24" ht="14.25">
      <c r="A91" s="92" t="s">
        <v>1359</v>
      </c>
      <c r="B91" s="93">
        <v>107.4</v>
      </c>
      <c r="C91" s="93">
        <v>104.1</v>
      </c>
      <c r="D91" s="93">
        <v>110.6</v>
      </c>
      <c r="E91" s="93">
        <v>118.8</v>
      </c>
      <c r="F91" s="929">
        <v>109.1</v>
      </c>
      <c r="G91" s="929" t="s">
        <v>285</v>
      </c>
      <c r="H91" s="929" t="s">
        <v>285</v>
      </c>
      <c r="I91" s="929" t="s">
        <v>285</v>
      </c>
      <c r="J91" s="929" t="s">
        <v>285</v>
      </c>
      <c r="K91" s="929" t="s">
        <v>285</v>
      </c>
      <c r="L91" s="543">
        <v>47</v>
      </c>
      <c r="M91" s="543">
        <v>47</v>
      </c>
      <c r="N91"/>
      <c r="O91"/>
      <c r="P91"/>
      <c r="Q91"/>
      <c r="R91"/>
      <c r="S91"/>
      <c r="T91"/>
      <c r="U91"/>
      <c r="V91"/>
      <c r="W91"/>
      <c r="X91"/>
    </row>
    <row r="92" spans="1:24" ht="14.25" thickBot="1">
      <c r="B92" s="681"/>
      <c r="C92" s="681"/>
      <c r="D92" s="681"/>
      <c r="E92" s="681"/>
      <c r="F92" s="681"/>
      <c r="G92" s="681"/>
      <c r="H92" s="681"/>
      <c r="I92" s="681"/>
      <c r="J92" s="681"/>
      <c r="K92" s="38"/>
      <c r="N92"/>
      <c r="O92"/>
      <c r="P92"/>
      <c r="Q92"/>
      <c r="R92"/>
      <c r="S92"/>
      <c r="T92"/>
      <c r="U92"/>
      <c r="V92"/>
      <c r="W92"/>
      <c r="X92"/>
    </row>
    <row r="93" spans="1:24" ht="14.25">
      <c r="A93" s="92" t="s">
        <v>1360</v>
      </c>
      <c r="B93" s="650">
        <v>-5503</v>
      </c>
      <c r="C93" s="650">
        <v>-5344</v>
      </c>
      <c r="D93" s="650">
        <v>-5364</v>
      </c>
      <c r="E93" s="650">
        <v>-5293</v>
      </c>
      <c r="F93" s="650">
        <v>-4918</v>
      </c>
      <c r="G93" s="650">
        <v>-4712</v>
      </c>
      <c r="H93" s="650">
        <v>-4690</v>
      </c>
      <c r="I93" s="650">
        <v>-4018</v>
      </c>
      <c r="J93" s="650">
        <v>-3838</v>
      </c>
      <c r="K93" s="650">
        <v>-3752</v>
      </c>
      <c r="L93" s="670" t="s">
        <v>285</v>
      </c>
      <c r="M93" s="542">
        <v>-1334</v>
      </c>
      <c r="N93"/>
      <c r="O93"/>
      <c r="P93"/>
      <c r="Q93"/>
      <c r="R93"/>
      <c r="S93"/>
      <c r="T93"/>
      <c r="U93"/>
      <c r="V93"/>
      <c r="W93"/>
      <c r="X93"/>
    </row>
    <row r="94" spans="1:24" ht="14.25" thickBot="1">
      <c r="B94" s="681"/>
      <c r="C94" s="681"/>
      <c r="D94" s="681"/>
      <c r="E94" s="681"/>
      <c r="F94" s="681"/>
      <c r="G94" s="681"/>
      <c r="H94" s="681"/>
      <c r="I94" s="681"/>
      <c r="J94" s="681"/>
      <c r="K94" s="38"/>
      <c r="N94"/>
      <c r="O94"/>
      <c r="P94"/>
      <c r="Q94"/>
      <c r="R94"/>
      <c r="S94"/>
      <c r="T94"/>
      <c r="U94"/>
      <c r="V94"/>
      <c r="W94"/>
      <c r="X94"/>
    </row>
    <row r="95" spans="1:24" ht="14.25">
      <c r="A95" s="92" t="s">
        <v>1361</v>
      </c>
      <c r="B95" s="252">
        <v>11660</v>
      </c>
      <c r="C95" s="252">
        <v>11661</v>
      </c>
      <c r="D95" s="252">
        <v>11988</v>
      </c>
      <c r="E95" s="252">
        <v>12189</v>
      </c>
      <c r="F95" s="252">
        <v>11488</v>
      </c>
      <c r="G95" s="252">
        <v>10834</v>
      </c>
      <c r="H95" s="252">
        <v>11296</v>
      </c>
      <c r="I95" s="252">
        <v>9916</v>
      </c>
      <c r="J95" s="252">
        <v>9387</v>
      </c>
      <c r="K95" s="252">
        <v>9306</v>
      </c>
      <c r="L95" s="668" t="s">
        <v>285</v>
      </c>
      <c r="M95" s="543">
        <v>6259</v>
      </c>
      <c r="N95"/>
      <c r="O95"/>
      <c r="P95"/>
      <c r="Q95"/>
      <c r="R95"/>
      <c r="S95"/>
      <c r="T95"/>
      <c r="U95"/>
      <c r="V95"/>
      <c r="W95"/>
      <c r="X95"/>
    </row>
    <row r="96" spans="1:24">
      <c r="B96" s="26"/>
      <c r="C96" s="26"/>
      <c r="D96" s="26"/>
      <c r="E96" s="26"/>
      <c r="F96" s="26"/>
      <c r="G96" s="26"/>
      <c r="H96" s="26"/>
      <c r="I96" s="26"/>
      <c r="J96" s="26"/>
      <c r="N96"/>
      <c r="O96"/>
      <c r="P96"/>
      <c r="Q96"/>
      <c r="R96"/>
      <c r="S96"/>
      <c r="T96"/>
      <c r="U96"/>
      <c r="V96"/>
      <c r="W96"/>
      <c r="X96"/>
    </row>
    <row r="97" spans="1:16">
      <c r="A97" s="92" t="s">
        <v>1362</v>
      </c>
      <c r="B97" s="252">
        <v>-501</v>
      </c>
      <c r="C97" s="252">
        <v>-216</v>
      </c>
      <c r="D97" s="252">
        <v>-151</v>
      </c>
      <c r="E97" s="252">
        <v>-192</v>
      </c>
      <c r="F97" s="252">
        <v>-241</v>
      </c>
      <c r="G97" s="252">
        <v>-202</v>
      </c>
      <c r="H97" s="252">
        <v>-101</v>
      </c>
      <c r="I97" s="252">
        <v>-156</v>
      </c>
      <c r="J97" s="252">
        <v>-126</v>
      </c>
      <c r="K97" s="252">
        <v>-130</v>
      </c>
      <c r="L97" s="21">
        <v>-99</v>
      </c>
      <c r="M97" s="19">
        <v>-109</v>
      </c>
      <c r="N97"/>
      <c r="O97"/>
      <c r="P97"/>
    </row>
    <row r="98" spans="1:16">
      <c r="A98" s="92" t="s">
        <v>1363</v>
      </c>
      <c r="B98" s="252">
        <v>80</v>
      </c>
      <c r="C98" s="252">
        <v>109</v>
      </c>
      <c r="D98" s="252">
        <v>73</v>
      </c>
      <c r="E98" s="252">
        <v>54</v>
      </c>
      <c r="F98" s="252">
        <v>47</v>
      </c>
      <c r="G98" s="252">
        <v>68</v>
      </c>
      <c r="H98" s="252">
        <v>-4</v>
      </c>
      <c r="I98" s="252">
        <v>3</v>
      </c>
      <c r="J98" s="252">
        <v>-15</v>
      </c>
      <c r="K98" s="252">
        <v>-2</v>
      </c>
      <c r="L98" s="21">
        <v>27</v>
      </c>
      <c r="M98" s="19">
        <v>44</v>
      </c>
    </row>
    <row r="99" spans="1:16">
      <c r="B99" s="26"/>
      <c r="C99" s="26"/>
      <c r="D99" s="26"/>
      <c r="E99" s="26"/>
      <c r="F99" s="26"/>
      <c r="G99" s="26"/>
      <c r="H99" s="26"/>
      <c r="I99" s="26"/>
      <c r="J99" s="26"/>
    </row>
    <row r="100" spans="1:16">
      <c r="A100" s="92" t="s">
        <v>293</v>
      </c>
      <c r="B100" s="252">
        <f t="shared" ref="B100:M100" si="66">B6-B7</f>
        <v>26894</v>
      </c>
      <c r="C100" s="252">
        <f t="shared" si="66"/>
        <v>23291</v>
      </c>
      <c r="D100" s="252">
        <f t="shared" si="66"/>
        <v>19110</v>
      </c>
      <c r="E100" s="252">
        <f t="shared" si="66"/>
        <v>15077</v>
      </c>
      <c r="F100" s="252">
        <f t="shared" si="66"/>
        <v>20555</v>
      </c>
      <c r="G100" s="252">
        <f t="shared" si="66"/>
        <v>18926</v>
      </c>
      <c r="H100" s="252">
        <f t="shared" si="66"/>
        <v>15593</v>
      </c>
      <c r="I100" s="252">
        <f t="shared" si="66"/>
        <v>13517</v>
      </c>
      <c r="J100" s="252">
        <f t="shared" si="66"/>
        <v>15293</v>
      </c>
      <c r="K100" s="252">
        <f t="shared" si="66"/>
        <v>15487</v>
      </c>
      <c r="L100" s="26">
        <f t="shared" si="66"/>
        <v>3203</v>
      </c>
      <c r="M100" s="26">
        <f t="shared" si="66"/>
        <v>0</v>
      </c>
    </row>
    <row r="101" spans="1:16">
      <c r="A101" s="92" t="s">
        <v>1364</v>
      </c>
      <c r="B101" s="776">
        <f t="shared" ref="B101:M101" si="67">B100/B6</f>
        <v>0.76562188629828909</v>
      </c>
      <c r="C101" s="776">
        <f t="shared" si="67"/>
        <v>0.80815405968077725</v>
      </c>
      <c r="D101" s="776">
        <f t="shared" si="67"/>
        <v>0.8124309157384576</v>
      </c>
      <c r="E101" s="776">
        <f t="shared" si="67"/>
        <v>0.80500827593571467</v>
      </c>
      <c r="F101" s="776">
        <f t="shared" si="67"/>
        <v>0.80292968750000004</v>
      </c>
      <c r="G101" s="776">
        <f t="shared" si="67"/>
        <v>0.80549880830779708</v>
      </c>
      <c r="H101" s="776">
        <f t="shared" si="67"/>
        <v>0.80144942434210531</v>
      </c>
      <c r="I101" s="776">
        <f t="shared" si="67"/>
        <v>0.79357717372159919</v>
      </c>
      <c r="J101" s="776">
        <f t="shared" si="67"/>
        <v>0.80005231493591422</v>
      </c>
      <c r="K101" s="776">
        <f t="shared" si="67"/>
        <v>0.81523398431331262</v>
      </c>
      <c r="L101" s="621">
        <f t="shared" si="67"/>
        <v>0.65581490581490587</v>
      </c>
      <c r="M101" s="621" t="e">
        <f t="shared" si="67"/>
        <v>#DIV/0!</v>
      </c>
    </row>
    <row r="102" spans="1:16">
      <c r="B102" s="621"/>
      <c r="C102" s="621"/>
      <c r="D102" s="621"/>
      <c r="E102" s="621"/>
      <c r="F102" s="621"/>
      <c r="G102" s="621"/>
      <c r="H102" s="621"/>
      <c r="I102" s="621"/>
      <c r="J102" s="621"/>
      <c r="K102" s="621"/>
    </row>
    <row r="103" spans="1:16">
      <c r="A103" s="92" t="s">
        <v>1365</v>
      </c>
      <c r="B103" s="252">
        <v>21</v>
      </c>
      <c r="C103" s="252">
        <v>17</v>
      </c>
      <c r="D103" s="252">
        <v>15</v>
      </c>
      <c r="E103" s="252">
        <v>13</v>
      </c>
      <c r="F103" s="252">
        <v>15</v>
      </c>
      <c r="G103" s="252">
        <v>13</v>
      </c>
      <c r="H103" s="252">
        <v>13</v>
      </c>
      <c r="I103" s="252">
        <v>13</v>
      </c>
      <c r="J103" s="252">
        <v>15</v>
      </c>
      <c r="K103" s="252">
        <v>16</v>
      </c>
    </row>
    <row r="105" spans="1:16">
      <c r="A105" s="92" t="s">
        <v>1366</v>
      </c>
      <c r="B105" s="252">
        <v>292</v>
      </c>
      <c r="C105" s="252">
        <v>61</v>
      </c>
      <c r="D105" s="252">
        <v>16</v>
      </c>
      <c r="E105" s="252">
        <v>36</v>
      </c>
      <c r="F105" s="252">
        <v>86</v>
      </c>
      <c r="G105" s="252">
        <v>68</v>
      </c>
      <c r="H105" s="252">
        <v>-17</v>
      </c>
      <c r="I105" s="252">
        <v>39</v>
      </c>
      <c r="J105" s="252">
        <v>35</v>
      </c>
      <c r="K105" s="252">
        <v>14</v>
      </c>
    </row>
    <row r="106" spans="1:16">
      <c r="A106" s="92" t="s">
        <v>1367</v>
      </c>
      <c r="B106" s="252">
        <v>0</v>
      </c>
      <c r="C106" s="252">
        <v>0</v>
      </c>
      <c r="D106" s="252">
        <v>0</v>
      </c>
      <c r="E106" s="252">
        <v>0</v>
      </c>
      <c r="F106" s="252">
        <v>1</v>
      </c>
      <c r="G106" s="252">
        <v>-1</v>
      </c>
      <c r="H106" s="252">
        <v>2</v>
      </c>
      <c r="I106" s="252">
        <v>2</v>
      </c>
      <c r="J106" s="252">
        <v>0</v>
      </c>
      <c r="K106" s="252">
        <v>2</v>
      </c>
    </row>
    <row r="108" spans="1:16">
      <c r="A108" s="92" t="s">
        <v>1368</v>
      </c>
      <c r="B108" s="252">
        <v>1704</v>
      </c>
      <c r="C108" s="252">
        <v>1609</v>
      </c>
      <c r="D108" s="252">
        <v>1597</v>
      </c>
      <c r="E108" s="252">
        <v>1475</v>
      </c>
      <c r="F108" s="252">
        <v>1382</v>
      </c>
      <c r="G108" s="252">
        <v>1329</v>
      </c>
      <c r="H108" s="252">
        <v>1315</v>
      </c>
      <c r="I108" s="252">
        <v>1134</v>
      </c>
      <c r="J108" s="252">
        <v>1062</v>
      </c>
      <c r="K108" s="252">
        <v>1083</v>
      </c>
    </row>
    <row r="109" spans="1:16">
      <c r="A109" s="92" t="s">
        <v>1369</v>
      </c>
      <c r="B109" s="252">
        <v>326</v>
      </c>
      <c r="C109" s="252">
        <v>270</v>
      </c>
      <c r="D109" s="252">
        <v>278</v>
      </c>
      <c r="E109" s="252">
        <v>286</v>
      </c>
      <c r="F109" s="252">
        <v>272</v>
      </c>
      <c r="G109" s="252">
        <v>265</v>
      </c>
      <c r="H109" s="252">
        <v>263</v>
      </c>
      <c r="I109" s="252">
        <v>221</v>
      </c>
      <c r="J109" s="252">
        <v>222</v>
      </c>
      <c r="K109" s="252">
        <v>239</v>
      </c>
      <c r="L109" s="634"/>
      <c r="M109" s="634"/>
      <c r="N109" s="635"/>
    </row>
    <row r="110" spans="1:16">
      <c r="A110" s="92" t="s">
        <v>1370</v>
      </c>
      <c r="B110" s="252">
        <v>5338</v>
      </c>
      <c r="C110" s="252">
        <v>5087</v>
      </c>
      <c r="D110" s="252">
        <v>5076</v>
      </c>
      <c r="E110" s="1014">
        <v>4234.3999999999996</v>
      </c>
      <c r="F110" s="1014">
        <v>3998.2</v>
      </c>
      <c r="G110" s="1014">
        <v>3884.5</v>
      </c>
      <c r="H110" s="1014">
        <v>3782.1</v>
      </c>
      <c r="I110" s="1014">
        <v>3285.2</v>
      </c>
      <c r="J110" s="1014">
        <v>3237.1</v>
      </c>
      <c r="K110" s="1014">
        <v>3316.7</v>
      </c>
    </row>
    <row r="111" spans="1:16">
      <c r="A111" s="92" t="s">
        <v>1371</v>
      </c>
      <c r="B111" s="252">
        <v>676</v>
      </c>
      <c r="C111" s="252">
        <v>424</v>
      </c>
      <c r="D111" s="252">
        <v>314</v>
      </c>
      <c r="E111" s="252">
        <v>1082</v>
      </c>
      <c r="F111" s="252">
        <v>742</v>
      </c>
      <c r="G111" s="252">
        <v>309</v>
      </c>
      <c r="H111" s="252">
        <v>254</v>
      </c>
      <c r="I111" s="252">
        <v>353</v>
      </c>
      <c r="J111" s="252">
        <v>248</v>
      </c>
      <c r="K111" s="252">
        <v>176</v>
      </c>
      <c r="N111" s="922"/>
    </row>
    <row r="112" spans="1:16">
      <c r="A112" s="92" t="s">
        <v>1372</v>
      </c>
      <c r="B112" s="252">
        <v>73</v>
      </c>
      <c r="C112" s="252">
        <v>46</v>
      </c>
      <c r="D112" s="252">
        <v>37</v>
      </c>
      <c r="E112" s="252">
        <v>41</v>
      </c>
      <c r="F112" s="252">
        <v>38</v>
      </c>
      <c r="G112" s="252">
        <v>0</v>
      </c>
      <c r="H112" s="252">
        <v>0</v>
      </c>
      <c r="I112" s="252">
        <v>0</v>
      </c>
      <c r="J112" s="252">
        <v>0</v>
      </c>
      <c r="K112" s="252">
        <v>0</v>
      </c>
    </row>
    <row r="113" spans="1:11">
      <c r="A113" s="92" t="s">
        <v>1373</v>
      </c>
      <c r="B113" s="1014">
        <v>-4263.3999999999996</v>
      </c>
      <c r="C113" s="1014">
        <v>-3920.8</v>
      </c>
      <c r="D113" s="1014">
        <v>-3866.2</v>
      </c>
      <c r="E113" s="1014">
        <v>-3806.9</v>
      </c>
      <c r="F113" s="1014">
        <v>-3510.1</v>
      </c>
      <c r="G113" s="1014">
        <v>-3306.8</v>
      </c>
      <c r="H113" s="1014">
        <v>-3149.9</v>
      </c>
      <c r="I113" s="1014">
        <v>-2733.3</v>
      </c>
      <c r="J113" s="1014">
        <v>-2592.9</v>
      </c>
      <c r="K113" s="1014">
        <v>-2501</v>
      </c>
    </row>
    <row r="114" spans="1:11">
      <c r="C114" s="26"/>
    </row>
    <row r="115" spans="1:11">
      <c r="A115" s="92" t="s">
        <v>1059</v>
      </c>
      <c r="B115" s="252">
        <v>1668</v>
      </c>
      <c r="C115" s="252">
        <v>1665</v>
      </c>
      <c r="D115" s="252">
        <v>1394</v>
      </c>
      <c r="E115" s="252">
        <v>1176</v>
      </c>
      <c r="F115" s="252">
        <v>1116</v>
      </c>
      <c r="G115" s="252">
        <v>1305</v>
      </c>
      <c r="H115" s="252">
        <v>1155</v>
      </c>
      <c r="I115" s="252">
        <v>939</v>
      </c>
      <c r="J115" s="252">
        <v>930</v>
      </c>
      <c r="K115" s="252">
        <v>1168</v>
      </c>
    </row>
    <row r="116" spans="1:11">
      <c r="A116" s="92" t="s">
        <v>1374</v>
      </c>
      <c r="B116" s="252">
        <v>991</v>
      </c>
      <c r="C116" s="252">
        <v>825</v>
      </c>
      <c r="D116" s="252">
        <v>623</v>
      </c>
      <c r="E116" s="252">
        <v>898</v>
      </c>
      <c r="F116" s="252">
        <v>605</v>
      </c>
      <c r="G116" s="252">
        <v>519</v>
      </c>
      <c r="H116" s="252">
        <v>466</v>
      </c>
      <c r="I116" s="252">
        <v>393</v>
      </c>
      <c r="J116" s="252">
        <v>356</v>
      </c>
      <c r="K116" s="252">
        <v>385</v>
      </c>
    </row>
    <row r="117" spans="1:11">
      <c r="A117" s="92" t="s">
        <v>1375</v>
      </c>
      <c r="B117" s="252">
        <v>3465</v>
      </c>
      <c r="C117" s="252">
        <v>2877</v>
      </c>
      <c r="D117" s="252">
        <v>2560</v>
      </c>
      <c r="E117" s="252">
        <v>1927</v>
      </c>
      <c r="F117" s="252">
        <v>2114</v>
      </c>
      <c r="G117" s="252">
        <v>1722</v>
      </c>
      <c r="H117" s="252">
        <v>1412</v>
      </c>
      <c r="I117" s="252">
        <v>1096</v>
      </c>
      <c r="J117" s="252">
        <v>1142</v>
      </c>
      <c r="K117" s="252">
        <v>1130</v>
      </c>
    </row>
    <row r="118" spans="1:11">
      <c r="A118" s="92" t="s">
        <v>1376</v>
      </c>
      <c r="B118" s="252">
        <v>5069</v>
      </c>
      <c r="C118" s="252">
        <v>3266</v>
      </c>
      <c r="D118" s="252">
        <v>3025</v>
      </c>
      <c r="E118" s="252">
        <v>3114</v>
      </c>
      <c r="F118" s="252">
        <v>3797</v>
      </c>
      <c r="G118" s="252">
        <v>0</v>
      </c>
      <c r="H118" s="252">
        <v>0</v>
      </c>
      <c r="I118" s="252">
        <v>0</v>
      </c>
      <c r="J118" s="252">
        <v>0</v>
      </c>
      <c r="K118" s="252">
        <v>0</v>
      </c>
    </row>
    <row r="119" spans="1:11">
      <c r="A119" s="92" t="s">
        <v>1377</v>
      </c>
      <c r="B119" s="252">
        <v>180</v>
      </c>
      <c r="C119" s="252">
        <v>97</v>
      </c>
      <c r="D119" s="252">
        <v>78</v>
      </c>
      <c r="E119" s="252">
        <v>41</v>
      </c>
      <c r="F119" s="252">
        <v>115</v>
      </c>
      <c r="G119" s="252">
        <v>0</v>
      </c>
      <c r="H119" s="252">
        <v>0</v>
      </c>
      <c r="I119" s="252">
        <v>0</v>
      </c>
      <c r="J119" s="252">
        <v>0</v>
      </c>
      <c r="K119" s="252">
        <v>0</v>
      </c>
    </row>
    <row r="120" spans="1:11">
      <c r="A120" s="92" t="s">
        <v>1378</v>
      </c>
      <c r="B120" s="252">
        <v>1675</v>
      </c>
      <c r="C120" s="252">
        <v>975</v>
      </c>
      <c r="D120" s="252">
        <v>521</v>
      </c>
      <c r="E120" s="252">
        <v>243</v>
      </c>
      <c r="F120" s="252">
        <v>797</v>
      </c>
      <c r="G120" s="252">
        <v>695</v>
      </c>
      <c r="H120" s="252">
        <v>422</v>
      </c>
      <c r="I120" s="252">
        <v>210</v>
      </c>
      <c r="J120" s="252">
        <v>493</v>
      </c>
      <c r="K120" s="252">
        <v>354</v>
      </c>
    </row>
    <row r="122" spans="1:11">
      <c r="A122" s="92" t="s">
        <v>1379</v>
      </c>
      <c r="B122" s="252">
        <v>803.6</v>
      </c>
      <c r="C122" s="252">
        <v>718.1</v>
      </c>
      <c r="D122" s="252">
        <v>727</v>
      </c>
      <c r="E122" s="252">
        <v>597.79999999999995</v>
      </c>
      <c r="F122" s="252">
        <v>715.5</v>
      </c>
      <c r="G122" s="252">
        <v>931.5</v>
      </c>
      <c r="H122" s="252">
        <v>779.5</v>
      </c>
      <c r="I122" s="252">
        <v>1304.8</v>
      </c>
      <c r="J122" s="252">
        <v>1035.5</v>
      </c>
      <c r="K122" s="252">
        <v>997.9</v>
      </c>
    </row>
    <row r="123" spans="1:11">
      <c r="A123" s="92" t="s">
        <v>1380</v>
      </c>
      <c r="B123" s="252">
        <v>-967.2</v>
      </c>
      <c r="C123" s="252">
        <v>-888.4</v>
      </c>
      <c r="D123" s="252">
        <v>-903.1</v>
      </c>
      <c r="E123" s="252">
        <v>-842.4</v>
      </c>
      <c r="F123" s="252">
        <v>-850.6</v>
      </c>
      <c r="G123" s="252">
        <v>-615.9</v>
      </c>
      <c r="H123" s="252">
        <v>-970.3</v>
      </c>
      <c r="I123" s="252">
        <v>-1031.9000000000001</v>
      </c>
      <c r="J123" s="252">
        <v>-1329.8</v>
      </c>
      <c r="K123" s="252">
        <v>-1122.5</v>
      </c>
    </row>
    <row r="125" spans="1:11">
      <c r="A125" s="92" t="s">
        <v>1381</v>
      </c>
      <c r="B125" s="252">
        <v>1721</v>
      </c>
      <c r="C125" s="252">
        <v>370.1</v>
      </c>
      <c r="D125" s="252">
        <v>24.7</v>
      </c>
      <c r="E125" s="252">
        <v>-831.9</v>
      </c>
      <c r="F125" s="252">
        <v>557.1</v>
      </c>
      <c r="G125" s="252">
        <v>625.9</v>
      </c>
      <c r="H125" s="252">
        <v>352.1</v>
      </c>
      <c r="I125" s="252">
        <v>-322.8</v>
      </c>
      <c r="J125" s="252">
        <v>250.7</v>
      </c>
      <c r="K125" s="252">
        <v>349.1</v>
      </c>
    </row>
    <row r="126" spans="1:11">
      <c r="A126" s="92" t="s">
        <v>1382</v>
      </c>
      <c r="B126" s="252">
        <v>3085</v>
      </c>
      <c r="C126" s="252">
        <v>3171.7</v>
      </c>
      <c r="D126" s="252">
        <v>2101.1</v>
      </c>
      <c r="E126" s="252">
        <v>2150.1</v>
      </c>
      <c r="F126" s="252">
        <v>2504.3000000000002</v>
      </c>
      <c r="G126" s="252">
        <v>2339.9</v>
      </c>
      <c r="H126" s="252">
        <v>1670.2</v>
      </c>
      <c r="I126" s="252">
        <v>1994.8</v>
      </c>
      <c r="J126" s="252">
        <v>1993.2</v>
      </c>
      <c r="K126" s="252">
        <v>1650.8</v>
      </c>
    </row>
    <row r="127" spans="1:11">
      <c r="A127" s="92" t="s">
        <v>1383</v>
      </c>
      <c r="B127" s="252">
        <v>-2233.1999999999998</v>
      </c>
      <c r="C127" s="252">
        <v>-2265.8000000000002</v>
      </c>
      <c r="D127" s="252">
        <v>-2336.6999999999998</v>
      </c>
      <c r="E127" s="252">
        <v>-1898.5</v>
      </c>
      <c r="F127" s="252">
        <v>-1790</v>
      </c>
      <c r="G127" s="252">
        <v>-1755.3</v>
      </c>
      <c r="H127" s="252">
        <v>-1897.1</v>
      </c>
      <c r="I127" s="252">
        <v>-1625.1</v>
      </c>
      <c r="J127" s="252">
        <v>-1580.1</v>
      </c>
      <c r="K127" s="252">
        <v>-1883</v>
      </c>
    </row>
    <row r="129" spans="1:13">
      <c r="A129" s="92" t="s">
        <v>1384</v>
      </c>
      <c r="B129" s="252">
        <v>591</v>
      </c>
      <c r="C129" s="252">
        <v>561</v>
      </c>
      <c r="D129" s="252">
        <v>969</v>
      </c>
      <c r="E129" s="252">
        <v>1008</v>
      </c>
      <c r="F129" s="252">
        <v>798</v>
      </c>
      <c r="G129" s="252">
        <v>728</v>
      </c>
      <c r="H129" s="252">
        <v>728</v>
      </c>
      <c r="I129" s="252">
        <v>635</v>
      </c>
      <c r="J129" s="252">
        <v>584</v>
      </c>
      <c r="K129" s="252">
        <v>589</v>
      </c>
    </row>
    <row r="131" spans="1:13">
      <c r="A131" s="92" t="s">
        <v>1385</v>
      </c>
      <c r="B131" s="252">
        <v>-695</v>
      </c>
      <c r="C131" s="252">
        <v>-525</v>
      </c>
      <c r="D131" s="252">
        <v>-559.1</v>
      </c>
      <c r="E131" s="252">
        <v>-550.4</v>
      </c>
      <c r="F131" s="252">
        <v>-574</v>
      </c>
      <c r="G131" s="252">
        <v>-457.6</v>
      </c>
      <c r="H131" s="252">
        <v>-423.4</v>
      </c>
      <c r="I131" s="252">
        <v>-375.2</v>
      </c>
      <c r="J131" s="252">
        <v>-286.7</v>
      </c>
      <c r="K131" s="252">
        <v>-289.2</v>
      </c>
    </row>
    <row r="132" spans="1:13">
      <c r="A132" s="92" t="s">
        <v>1386</v>
      </c>
      <c r="B132" s="252">
        <v>-567.5</v>
      </c>
      <c r="C132" s="252">
        <v>-865.5</v>
      </c>
      <c r="D132" s="252">
        <v>-1073.7</v>
      </c>
      <c r="E132" s="252">
        <v>-1088</v>
      </c>
      <c r="F132" s="252">
        <v>-1396.8</v>
      </c>
      <c r="G132" s="252">
        <v>-1494.7</v>
      </c>
      <c r="H132" s="252">
        <v>-1423.2</v>
      </c>
      <c r="I132" s="252">
        <v>-1589.7</v>
      </c>
      <c r="J132" s="252">
        <v>-1438.5</v>
      </c>
      <c r="K132" s="252">
        <v>-1239.0999999999999</v>
      </c>
    </row>
    <row r="134" spans="1:13" customFormat="1">
      <c r="A134" s="92" t="s">
        <v>1366</v>
      </c>
      <c r="B134" s="252">
        <v>292</v>
      </c>
      <c r="C134" s="252">
        <v>61</v>
      </c>
      <c r="D134" s="252">
        <v>16</v>
      </c>
      <c r="E134" s="252">
        <v>36</v>
      </c>
      <c r="F134" s="252">
        <v>86</v>
      </c>
      <c r="G134" s="252">
        <v>68</v>
      </c>
      <c r="H134" s="252">
        <v>-17</v>
      </c>
      <c r="I134" s="252">
        <v>39</v>
      </c>
      <c r="J134" s="252">
        <v>35</v>
      </c>
      <c r="K134" s="252">
        <v>14</v>
      </c>
    </row>
    <row r="141" spans="1:13">
      <c r="A141" s="92" t="s">
        <v>1387</v>
      </c>
      <c r="B141" s="252">
        <v>5338</v>
      </c>
      <c r="C141" s="252">
        <v>5087</v>
      </c>
      <c r="D141" s="252">
        <v>5076</v>
      </c>
      <c r="E141" s="1014">
        <v>8728</v>
      </c>
      <c r="F141" s="1014">
        <v>8348</v>
      </c>
      <c r="G141" s="1014">
        <v>7983</v>
      </c>
      <c r="H141" s="1014">
        <v>9464</v>
      </c>
      <c r="I141" s="1014">
        <v>8208</v>
      </c>
      <c r="J141" s="1014">
        <v>7855</v>
      </c>
      <c r="K141" s="1014">
        <v>7809</v>
      </c>
    </row>
    <row r="142" spans="1:13">
      <c r="A142" s="92" t="s">
        <v>1388</v>
      </c>
      <c r="B142" s="1014">
        <v>-5503</v>
      </c>
      <c r="C142" s="1014">
        <v>-5344</v>
      </c>
      <c r="D142" s="1014">
        <v>-5364</v>
      </c>
      <c r="E142" s="1014">
        <v>-5293</v>
      </c>
      <c r="F142" s="1014">
        <v>-4918</v>
      </c>
      <c r="G142" s="1014">
        <v>-4712</v>
      </c>
      <c r="H142" s="1014">
        <v>-4690</v>
      </c>
      <c r="I142" s="1014">
        <v>-4018</v>
      </c>
      <c r="J142" s="1014">
        <v>-3838</v>
      </c>
      <c r="K142" s="1014">
        <v>-3752</v>
      </c>
    </row>
    <row r="144" spans="1:13">
      <c r="A144" s="92" t="s">
        <v>1389</v>
      </c>
      <c r="B144" s="252">
        <f>B141-B110</f>
        <v>0</v>
      </c>
      <c r="C144" s="252">
        <f t="shared" ref="C144:M144" si="68">C141-C110</f>
        <v>0</v>
      </c>
      <c r="D144" s="252">
        <f t="shared" si="68"/>
        <v>0</v>
      </c>
      <c r="E144" s="252">
        <f t="shared" si="68"/>
        <v>4493.6000000000004</v>
      </c>
      <c r="F144" s="252">
        <f t="shared" si="68"/>
        <v>4349.8</v>
      </c>
      <c r="G144" s="252">
        <f t="shared" si="68"/>
        <v>4098.5</v>
      </c>
      <c r="H144" s="252">
        <f t="shared" si="68"/>
        <v>5681.9</v>
      </c>
      <c r="I144" s="252">
        <f t="shared" si="68"/>
        <v>4922.8</v>
      </c>
      <c r="J144" s="252">
        <f t="shared" si="68"/>
        <v>4617.8999999999996</v>
      </c>
      <c r="K144" s="252">
        <f t="shared" si="68"/>
        <v>4492.3</v>
      </c>
      <c r="L144" s="252">
        <f t="shared" si="68"/>
        <v>0</v>
      </c>
      <c r="M144" s="252">
        <f t="shared" si="68"/>
        <v>0</v>
      </c>
    </row>
    <row r="145" spans="1:11">
      <c r="A145" s="92" t="s">
        <v>1390</v>
      </c>
      <c r="B145" s="252">
        <f>B142-B113</f>
        <v>-1239.6000000000004</v>
      </c>
      <c r="C145" s="252">
        <f t="shared" ref="C145:K145" si="69">C142-C113</f>
        <v>-1423.1999999999998</v>
      </c>
      <c r="D145" s="252">
        <f t="shared" si="69"/>
        <v>-1497.8000000000002</v>
      </c>
      <c r="E145" s="252">
        <f t="shared" si="69"/>
        <v>-1486.1</v>
      </c>
      <c r="F145" s="252">
        <f t="shared" si="69"/>
        <v>-1407.9</v>
      </c>
      <c r="G145" s="252">
        <f t="shared" si="69"/>
        <v>-1405.1999999999998</v>
      </c>
      <c r="H145" s="252">
        <f t="shared" si="69"/>
        <v>-1540.1</v>
      </c>
      <c r="I145" s="252">
        <f t="shared" si="69"/>
        <v>-1284.6999999999998</v>
      </c>
      <c r="J145" s="252">
        <f t="shared" si="69"/>
        <v>-1245.0999999999999</v>
      </c>
      <c r="K145" s="252">
        <f t="shared" si="69"/>
        <v>-1251</v>
      </c>
    </row>
  </sheetData>
  <mergeCells count="19">
    <mergeCell ref="E85:G85"/>
    <mergeCell ref="E86:G86"/>
    <mergeCell ref="H80:I80"/>
    <mergeCell ref="H81:I81"/>
    <mergeCell ref="H82:I82"/>
    <mergeCell ref="H83:I83"/>
    <mergeCell ref="H84:I84"/>
    <mergeCell ref="H85:I85"/>
    <mergeCell ref="H86:I86"/>
    <mergeCell ref="E80:G80"/>
    <mergeCell ref="E81:G81"/>
    <mergeCell ref="E82:G82"/>
    <mergeCell ref="E83:G83"/>
    <mergeCell ref="E84:G84"/>
    <mergeCell ref="G2:J2"/>
    <mergeCell ref="D4:M4"/>
    <mergeCell ref="R5:S5"/>
    <mergeCell ref="E79:G79"/>
    <mergeCell ref="H79:I79"/>
  </mergeCells>
  <pageMargins left="0.75" right="0.75" top="1" bottom="1" header="0" footer="0"/>
  <pageSetup orientation="portrait" horizontalDpi="4294967292"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ba73c8a-1af7-4183-b158-1cd1291da2b6">
      <Terms xmlns="http://schemas.microsoft.com/office/infopath/2007/PartnerControls"/>
    </lcf76f155ced4ddcb4097134ff3c332f>
    <TaxCatchAll xmlns="8c89d0e4-a8d9-42ba-a773-c59a56f7723e" xsi:nil="true"/>
  </documentManagement>
</p:properties>
</file>

<file path=customXml/item3.xml>��
</file>

<file path=customXml/item4.xml><?xml version="1.0" encoding="utf-8"?>
<ct:contentTypeSchema xmlns:ct="http://schemas.microsoft.com/office/2006/metadata/contentType" xmlns:ma="http://schemas.microsoft.com/office/2006/metadata/properties/metaAttributes" ct:_="" ma:_="" ma:contentTypeName="Document" ma:contentTypeID="0x010100162ABDA6886CF6498653E646AB2571ED" ma:contentTypeVersion="16" ma:contentTypeDescription="Create a new document." ma:contentTypeScope="" ma:versionID="235e0e40c567e6394453f2090fab65a6">
  <xsd:schema xmlns:xsd="http://www.w3.org/2001/XMLSchema" xmlns:xs="http://www.w3.org/2001/XMLSchema" xmlns:p="http://schemas.microsoft.com/office/2006/metadata/properties" xmlns:ns2="6ba73c8a-1af7-4183-b158-1cd1291da2b6" xmlns:ns3="8c89d0e4-a8d9-42ba-a773-c59a56f7723e" targetNamespace="http://schemas.microsoft.com/office/2006/metadata/properties" ma:root="true" ma:fieldsID="be2affa39fb2f3cdc665ba7b2e6a6e47" ns2:_="" ns3:_="">
    <xsd:import namespace="6ba73c8a-1af7-4183-b158-1cd1291da2b6"/>
    <xsd:import namespace="8c89d0e4-a8d9-42ba-a773-c59a56f7723e"/>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a73c8a-1af7-4183-b158-1cd1291da2b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Length (seconds)" ma:internalName="MediaLengthInSeconds" ma:readOnly="true">
      <xsd:simpleType>
        <xsd:restriction base="dms:Unknown"/>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a48f9566-069b-479b-843d-4f6c74a4a3f0"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c89d0e4-a8d9-42ba-a773-c59a56f7723e"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20a6b64-fbb8-4bf5-b941-ddf64427d44d}" ma:internalName="TaxCatchAll" ma:showField="CatchAllData" ma:web="8c89d0e4-a8d9-42ba-a773-c59a56f772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E33FEE-1117-4802-A5BB-FA073D1C6E04}"/>
</file>

<file path=customXml/itemProps2.xml><?xml version="1.0" encoding="utf-8"?>
<ds:datastoreItem xmlns:ds="http://schemas.openxmlformats.org/officeDocument/2006/customXml" ds:itemID="{A881089C-6E2A-4FD7-A402-55E9C86C97B5}"/>
</file>

<file path=customXml/itemProps3.xml><?xml version="1.0" encoding="utf-8"?>
<ds:datastoreItem xmlns:ds="http://schemas.openxmlformats.org/officeDocument/2006/customXml" ds:itemID="{AEB0D540-97AE-4F3D-A7EA-B9910EB3DB29}"/>
</file>

<file path=customXml/itemProps4.xml><?xml version="1.0" encoding="utf-8"?>
<ds:datastoreItem xmlns:ds="http://schemas.openxmlformats.org/officeDocument/2006/customXml" ds:itemID="{7A83E680-76FE-434E-94E0-A265C990D6DC}"/>
</file>

<file path=docProps/app.xml><?xml version="1.0" encoding="utf-8"?>
<Properties xmlns="http://schemas.openxmlformats.org/officeDocument/2006/extended-properties" xmlns:vt="http://schemas.openxmlformats.org/officeDocument/2006/docPropsVTypes">
  <Application>Microsoft Excel Online</Application>
  <Manager/>
  <Company>HIL CONSULTORES, S.C.</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ABRAHAM E. HERNANDEZ P.</dc:creator>
  <cp:keywords/>
  <dc:description/>
  <cp:lastModifiedBy>Cristina Lin</cp:lastModifiedBy>
  <cp:revision/>
  <dcterms:created xsi:type="dcterms:W3CDTF">2000-04-19T14:51:26Z</dcterms:created>
  <dcterms:modified xsi:type="dcterms:W3CDTF">2025-01-20T18:33:02Z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0x010100162ABDA6886CF6498653E646AB2571ED</vt:lpwstr>
  </property>
  <property fmtid="{D5CDD505-2E9C-101B-9397-08002B2CF9AE}" pid="3" name="Order">
    <vt:r8>7100</vt:r8>
  </property>
  <property fmtid="{D5CDD505-2E9C-101B-9397-08002B2CF9AE}" pid="4" name="xd_Signature">
    <vt:bool>false</vt:bool>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MediaServiceImageTags">
    <vt:lpwstr/>
  </property>
</Properties>
</file>