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Transportation- TL Afonso Simões/Pilbara Minerals Limited (PLS)/Refinitiv/"/>
    </mc:Choice>
  </mc:AlternateContent>
  <xr:revisionPtr revIDLastSave="10327" documentId="8_{3DCF8227-BA01-4954-9725-96A6C15D22B2}" xr6:coauthVersionLast="47" xr6:coauthVersionMax="47" xr10:uidLastSave="{516DB543-D395-47D4-AD86-FBC2E136423B}"/>
  <bookViews>
    <workbookView xWindow="0" yWindow="0" windowWidth="38400" windowHeight="24000" tabRatio="644" firstSheet="6" activeTab="6" xr2:uid="{00000000-000D-0000-FFFF-FFFF00000000}"/>
  </bookViews>
  <sheets>
    <sheet name="OP" sheetId="1" r:id="rId1"/>
    <sheet name="Acuerdo" sheetId="11" state="hidden" r:id="rId2"/>
    <sheet name="Segments" sheetId="3" r:id="rId3"/>
    <sheet name="Peers" sheetId="10" r:id="rId4"/>
    <sheet name="SARD" sheetId="23" r:id="rId5"/>
    <sheet name="ESG" sheetId="19" r:id="rId6"/>
    <sheet name="DCF" sheetId="4" r:id="rId7"/>
    <sheet name="Assumptions" sheetId="22" r:id="rId8"/>
    <sheet name="Fin. Data" sheetId="16" r:id="rId9"/>
    <sheet name="Sector Impact" sheetId="18" state="hidden" r:id="rId10"/>
    <sheet name="Inputs (AUD)" sheetId="17" r:id="rId11"/>
  </sheets>
  <externalReferences>
    <externalReference r:id="rId12"/>
    <externalReference r:id="rId13"/>
    <externalReference r:id="rId14"/>
  </externalReferences>
  <definedNames>
    <definedName name="_xlnm._FilterDatabase" localSheetId="7" hidden="1">Assumptions!$B$36:$C$1904</definedName>
    <definedName name="_xlnm.Print_Area" localSheetId="0">OP!$A$1:$M$84</definedName>
    <definedName name="_xlnm.Print_Area" localSheetId="2">Segments!#REF!</definedName>
    <definedName name="Sectors" localSheetId="7">'[1]Sector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64" i="22" l="1"/>
  <c r="W164" i="22" s="1"/>
  <c r="X164" i="22" s="1"/>
  <c r="Y164" i="22" s="1"/>
  <c r="Z164" i="22" s="1"/>
  <c r="AA164" i="22" s="1"/>
  <c r="AB164" i="22" s="1"/>
  <c r="P167" i="22"/>
  <c r="Q167" i="22"/>
  <c r="R167" i="22"/>
  <c r="S167" i="22"/>
  <c r="T167" i="22"/>
  <c r="T168" i="22" s="1"/>
  <c r="U167" i="22"/>
  <c r="V167" i="22"/>
  <c r="W167" i="22"/>
  <c r="W168" i="22" s="1"/>
  <c r="X167" i="22"/>
  <c r="Y167" i="22"/>
  <c r="Z167" i="22"/>
  <c r="AA167" i="22"/>
  <c r="AB168" i="22" s="1"/>
  <c r="AB167" i="22"/>
  <c r="AC167" i="22"/>
  <c r="AD167" i="22"/>
  <c r="AE167" i="22"/>
  <c r="AF167" i="22"/>
  <c r="AG168" i="22" s="1"/>
  <c r="AG167" i="22"/>
  <c r="AH167" i="22"/>
  <c r="AI167" i="22"/>
  <c r="AJ167" i="22"/>
  <c r="AK167" i="22"/>
  <c r="AK168" i="22" s="1"/>
  <c r="AL167" i="22"/>
  <c r="AM167" i="22"/>
  <c r="AN167" i="22"/>
  <c r="AO167" i="22"/>
  <c r="AP167" i="22"/>
  <c r="AP168" i="22" s="1"/>
  <c r="AQ167" i="22"/>
  <c r="AQ168" i="22" s="1"/>
  <c r="AR167" i="22"/>
  <c r="AS167" i="22"/>
  <c r="AT167" i="22"/>
  <c r="AU167" i="22"/>
  <c r="AV167" i="22"/>
  <c r="AW168" i="22" s="1"/>
  <c r="AW167" i="22"/>
  <c r="AX167" i="22"/>
  <c r="AY167" i="22"/>
  <c r="AZ168" i="22" s="1"/>
  <c r="AZ167" i="22"/>
  <c r="BA167" i="22"/>
  <c r="BB167" i="22"/>
  <c r="BB168" i="22" s="1"/>
  <c r="BC167" i="22"/>
  <c r="BC168" i="22" s="1"/>
  <c r="BD167" i="22"/>
  <c r="BD168" i="22" s="1"/>
  <c r="BE167" i="22"/>
  <c r="BE168" i="22" s="1"/>
  <c r="BF167" i="22"/>
  <c r="BG167" i="22"/>
  <c r="BH167" i="22"/>
  <c r="BI167" i="22"/>
  <c r="BJ168" i="22" s="1"/>
  <c r="BJ167" i="22"/>
  <c r="BK167" i="22"/>
  <c r="BL167" i="22"/>
  <c r="BM167" i="22"/>
  <c r="BN167" i="22"/>
  <c r="BN168" i="22" s="1"/>
  <c r="BO167" i="22"/>
  <c r="BP167" i="22"/>
  <c r="BQ167" i="22"/>
  <c r="BR167" i="22"/>
  <c r="BS167" i="22"/>
  <c r="BS168" i="22" s="1"/>
  <c r="BT167" i="22"/>
  <c r="BU167" i="22"/>
  <c r="BV167" i="22"/>
  <c r="BW167" i="22"/>
  <c r="BX168" i="22" s="1"/>
  <c r="BX167" i="22"/>
  <c r="BY167" i="22"/>
  <c r="BZ167" i="22"/>
  <c r="CA167" i="22"/>
  <c r="CB167" i="22"/>
  <c r="CC167" i="22"/>
  <c r="CD167" i="22"/>
  <c r="CE167" i="22"/>
  <c r="CF167" i="22"/>
  <c r="CG167" i="22"/>
  <c r="CG168" i="22" s="1"/>
  <c r="CH167" i="22"/>
  <c r="CI167" i="22"/>
  <c r="CJ167" i="22"/>
  <c r="CK167" i="22"/>
  <c r="CL167" i="22"/>
  <c r="CL168" i="22" s="1"/>
  <c r="CM167" i="22"/>
  <c r="CM168" i="22" s="1"/>
  <c r="CN167" i="22"/>
  <c r="CO167" i="22"/>
  <c r="CP167" i="22"/>
  <c r="CQ167" i="22"/>
  <c r="CQ168" i="22" s="1"/>
  <c r="CR167" i="22"/>
  <c r="CS167" i="22"/>
  <c r="CT167" i="22"/>
  <c r="CU167" i="22"/>
  <c r="CV168" i="22" s="1"/>
  <c r="CV167" i="22"/>
  <c r="CW167" i="22"/>
  <c r="CX167" i="22"/>
  <c r="CY167" i="22"/>
  <c r="CZ167" i="22"/>
  <c r="DA168" i="22" s="1"/>
  <c r="DA167" i="22"/>
  <c r="DB167" i="22"/>
  <c r="DC167" i="22"/>
  <c r="DD167" i="22"/>
  <c r="DE167" i="22"/>
  <c r="DE168" i="22" s="1"/>
  <c r="DF167" i="22"/>
  <c r="DG167" i="22"/>
  <c r="DH167" i="22"/>
  <c r="DI167" i="22"/>
  <c r="DJ167" i="22"/>
  <c r="DJ168" i="22" s="1"/>
  <c r="DK167" i="22"/>
  <c r="DL167" i="22"/>
  <c r="DM167" i="22"/>
  <c r="DN167" i="22"/>
  <c r="DO167" i="22"/>
  <c r="DP167" i="22"/>
  <c r="DQ167" i="22"/>
  <c r="DR167" i="22"/>
  <c r="D168" i="22"/>
  <c r="E168" i="22"/>
  <c r="F168" i="22"/>
  <c r="G168" i="22"/>
  <c r="H168" i="22"/>
  <c r="I168" i="22"/>
  <c r="J168" i="22"/>
  <c r="K168" i="22"/>
  <c r="L168" i="22"/>
  <c r="M168" i="22"/>
  <c r="N168" i="22"/>
  <c r="O168" i="22"/>
  <c r="AD168" i="22"/>
  <c r="AE168" i="22"/>
  <c r="AF168" i="22"/>
  <c r="AL168" i="22"/>
  <c r="AS168" i="22"/>
  <c r="AU168" i="22"/>
  <c r="BQ168" i="22"/>
  <c r="BZ168" i="22"/>
  <c r="CA168" i="22"/>
  <c r="CB168" i="22"/>
  <c r="CC168" i="22"/>
  <c r="CX168" i="22"/>
  <c r="CY168" i="22"/>
  <c r="CZ168" i="22"/>
  <c r="DM168" i="22"/>
  <c r="DO168" i="22"/>
  <c r="B169" i="22"/>
  <c r="C169" i="22"/>
  <c r="D170" i="22" s="1"/>
  <c r="D169" i="22"/>
  <c r="E169" i="22"/>
  <c r="E171" i="22" s="1"/>
  <c r="F169" i="22"/>
  <c r="G169" i="22"/>
  <c r="H169" i="22"/>
  <c r="I170" i="22" s="1"/>
  <c r="I169" i="22"/>
  <c r="I171" i="22" s="1"/>
  <c r="J169" i="22"/>
  <c r="J171" i="22" s="1"/>
  <c r="K169" i="22"/>
  <c r="K171" i="22" s="1"/>
  <c r="L169" i="22"/>
  <c r="L171" i="22" s="1"/>
  <c r="M169" i="22"/>
  <c r="M171" i="22" s="1"/>
  <c r="N169" i="22"/>
  <c r="O169" i="22"/>
  <c r="P169" i="22"/>
  <c r="Q169" i="22"/>
  <c r="R169" i="22"/>
  <c r="S169" i="22"/>
  <c r="S170" i="22" s="1"/>
  <c r="T169" i="22"/>
  <c r="U169" i="22" s="1"/>
  <c r="E170" i="22"/>
  <c r="F170" i="22"/>
  <c r="H170" i="22"/>
  <c r="Q170" i="22"/>
  <c r="R170" i="22"/>
  <c r="B172" i="22"/>
  <c r="C172" i="22"/>
  <c r="D172" i="22"/>
  <c r="E172" i="22"/>
  <c r="E173" i="22" s="1"/>
  <c r="F172" i="22"/>
  <c r="G172" i="22"/>
  <c r="H172" i="22"/>
  <c r="H173" i="22" s="1"/>
  <c r="I172" i="22"/>
  <c r="J172" i="22"/>
  <c r="K172" i="22"/>
  <c r="L172" i="22"/>
  <c r="M172" i="22"/>
  <c r="N172" i="22"/>
  <c r="O172" i="22"/>
  <c r="P172" i="22"/>
  <c r="P173" i="22" s="1"/>
  <c r="Q172" i="22"/>
  <c r="Q173" i="22" s="1"/>
  <c r="R172" i="22"/>
  <c r="F173" i="22"/>
  <c r="G173" i="22"/>
  <c r="M173" i="22"/>
  <c r="AE5" i="4"/>
  <c r="AD5" i="4"/>
  <c r="AC5" i="4"/>
  <c r="AB5" i="4"/>
  <c r="AA5" i="4"/>
  <c r="Z5" i="4"/>
  <c r="Y5" i="4"/>
  <c r="X5" i="4"/>
  <c r="W5" i="4"/>
  <c r="V5" i="4"/>
  <c r="U5" i="4"/>
  <c r="T5" i="4"/>
  <c r="S5" i="4"/>
  <c r="R5" i="4"/>
  <c r="Q5" i="4"/>
  <c r="P5" i="4"/>
  <c r="O5" i="4"/>
  <c r="N5" i="4"/>
  <c r="M5" i="4"/>
  <c r="L5" i="4"/>
  <c r="K5" i="4"/>
  <c r="J5" i="4"/>
  <c r="I5" i="4"/>
  <c r="A124" i="4"/>
  <c r="AE7" i="4"/>
  <c r="AD7" i="4" s="1"/>
  <c r="AC7" i="4" s="1"/>
  <c r="AB7" i="4" s="1"/>
  <c r="AA7" i="4" s="1"/>
  <c r="Z7" i="4" s="1"/>
  <c r="Y7" i="4" s="1"/>
  <c r="X7" i="4" s="1"/>
  <c r="W7" i="4" s="1"/>
  <c r="V7" i="4" s="1"/>
  <c r="U7" i="4" s="1"/>
  <c r="T7" i="4" s="1"/>
  <c r="S7" i="4" s="1"/>
  <c r="R7" i="4" s="1"/>
  <c r="Q7" i="4" s="1"/>
  <c r="P7" i="4" s="1"/>
  <c r="O7" i="4" s="1"/>
  <c r="N7" i="4" s="1"/>
  <c r="M7" i="4" s="1"/>
  <c r="L7" i="4" s="1"/>
  <c r="K12" i="1"/>
  <c r="I12" i="1"/>
  <c r="J12" i="1"/>
  <c r="H12" i="1"/>
  <c r="R173" i="22" l="1"/>
  <c r="DN168" i="22"/>
  <c r="CP168" i="22"/>
  <c r="BR168" i="22"/>
  <c r="AT168" i="22"/>
  <c r="V168" i="22"/>
  <c r="DL168" i="22"/>
  <c r="BP168" i="22"/>
  <c r="DS164" i="22"/>
  <c r="CF168" i="22"/>
  <c r="D173" i="22"/>
  <c r="G170" i="22"/>
  <c r="BI168" i="22"/>
  <c r="R171" i="22"/>
  <c r="DQ168" i="22"/>
  <c r="CS168" i="22"/>
  <c r="BU168" i="22"/>
  <c r="Y168" i="22"/>
  <c r="DF168" i="22"/>
  <c r="DD168" i="22"/>
  <c r="BH168" i="22"/>
  <c r="AJ168" i="22"/>
  <c r="Q171" i="22"/>
  <c r="CO168" i="22"/>
  <c r="U168" i="22"/>
  <c r="DI168" i="22"/>
  <c r="CK168" i="22"/>
  <c r="BM168" i="22"/>
  <c r="AO168" i="22"/>
  <c r="Q168" i="22"/>
  <c r="CH168" i="22"/>
  <c r="K173" i="22"/>
  <c r="H171" i="22"/>
  <c r="N171" i="22"/>
  <c r="DS167" i="22"/>
  <c r="CN168" i="22"/>
  <c r="AR168" i="22"/>
  <c r="BW168" i="22"/>
  <c r="AY168" i="22"/>
  <c r="AA168" i="22"/>
  <c r="I173" i="22"/>
  <c r="T171" i="22"/>
  <c r="O170" i="22"/>
  <c r="DK168" i="22"/>
  <c r="BO168" i="22"/>
  <c r="S168" i="22"/>
  <c r="S172" i="22" s="1"/>
  <c r="S173" i="22" s="1"/>
  <c r="DB168" i="22"/>
  <c r="CD168" i="22"/>
  <c r="BF168" i="22"/>
  <c r="AH168" i="22"/>
  <c r="L173" i="22"/>
  <c r="CU168" i="22"/>
  <c r="S171" i="22"/>
  <c r="M170" i="22"/>
  <c r="R168" i="22"/>
  <c r="C173" i="22"/>
  <c r="F171" i="22"/>
  <c r="L170" i="22"/>
  <c r="K170" i="22"/>
  <c r="DH168" i="22"/>
  <c r="CJ168" i="22"/>
  <c r="BL168" i="22"/>
  <c r="AN168" i="22"/>
  <c r="P168" i="22"/>
  <c r="DP168" i="22"/>
  <c r="CR168" i="22"/>
  <c r="BT168" i="22"/>
  <c r="AV168" i="22"/>
  <c r="X168" i="22"/>
  <c r="N173" i="22"/>
  <c r="J170" i="22"/>
  <c r="DR168" i="22"/>
  <c r="CT168" i="22"/>
  <c r="BV168" i="22"/>
  <c r="AX168" i="22"/>
  <c r="Z168" i="22"/>
  <c r="DG168" i="22"/>
  <c r="CI168" i="22"/>
  <c r="BK168" i="22"/>
  <c r="AM168" i="22"/>
  <c r="T170" i="22"/>
  <c r="P171" i="22"/>
  <c r="G171" i="22"/>
  <c r="DC168" i="22"/>
  <c r="CE168" i="22"/>
  <c r="BG168" i="22"/>
  <c r="AI168" i="22"/>
  <c r="CW168" i="22"/>
  <c r="BY168" i="22"/>
  <c r="BA168" i="22"/>
  <c r="AC168" i="22"/>
  <c r="O173" i="22"/>
  <c r="U170" i="22"/>
  <c r="V169" i="22"/>
  <c r="U171" i="22"/>
  <c r="AC164" i="22"/>
  <c r="O171" i="22"/>
  <c r="P170" i="22"/>
  <c r="N170" i="22"/>
  <c r="J173" i="22"/>
  <c r="D18" i="3"/>
  <c r="D8" i="3" s="1"/>
  <c r="D4" i="3"/>
  <c r="N119" i="22"/>
  <c r="O119" i="22"/>
  <c r="P119" i="22"/>
  <c r="Q119" i="22"/>
  <c r="R119" i="22"/>
  <c r="S119" i="22"/>
  <c r="T119" i="22"/>
  <c r="U119" i="22"/>
  <c r="V119" i="22"/>
  <c r="W119" i="22"/>
  <c r="X119" i="22"/>
  <c r="Y119" i="22"/>
  <c r="Z119" i="22"/>
  <c r="AA119" i="22"/>
  <c r="AB119" i="22"/>
  <c r="AC119" i="22"/>
  <c r="AD119" i="22"/>
  <c r="AE119" i="22"/>
  <c r="AF119" i="22"/>
  <c r="AG119" i="22"/>
  <c r="AH119" i="22"/>
  <c r="F119" i="22"/>
  <c r="G119" i="22"/>
  <c r="H119" i="22"/>
  <c r="I119" i="22"/>
  <c r="L119" i="22"/>
  <c r="M119" i="22"/>
  <c r="E119" i="22"/>
  <c r="E118" i="22"/>
  <c r="E117" i="22"/>
  <c r="T172" i="22" l="1"/>
  <c r="T173" i="22" s="1"/>
  <c r="U172" i="22"/>
  <c r="U173" i="22" s="1"/>
  <c r="AD164" i="22"/>
  <c r="V170" i="22"/>
  <c r="V172" i="22" s="1"/>
  <c r="V173" i="22" s="1"/>
  <c r="W169" i="22"/>
  <c r="V171" i="22"/>
  <c r="G174" i="22"/>
  <c r="K174" i="22"/>
  <c r="K176" i="22" s="1"/>
  <c r="Q179" i="22"/>
  <c r="B193" i="22"/>
  <c r="B192" i="22"/>
  <c r="B116" i="4"/>
  <c r="F117" i="22"/>
  <c r="G117" i="22"/>
  <c r="H117" i="22"/>
  <c r="I117" i="22"/>
  <c r="L117" i="22"/>
  <c r="M117" i="22"/>
  <c r="N117" i="22"/>
  <c r="O117" i="22"/>
  <c r="P117" i="22"/>
  <c r="Q117" i="22"/>
  <c r="R117" i="22"/>
  <c r="S117" i="22"/>
  <c r="T117" i="22"/>
  <c r="U117" i="22"/>
  <c r="V117" i="22"/>
  <c r="W117" i="22"/>
  <c r="X117" i="22"/>
  <c r="Y117" i="22"/>
  <c r="Z117" i="22"/>
  <c r="AA117" i="22"/>
  <c r="AB117" i="22"/>
  <c r="AC117" i="22"/>
  <c r="AD117" i="22"/>
  <c r="AE117" i="22"/>
  <c r="AF117" i="22"/>
  <c r="AG117" i="22"/>
  <c r="AH117" i="22"/>
  <c r="F118" i="22"/>
  <c r="G118" i="22"/>
  <c r="H118" i="22"/>
  <c r="I118" i="22"/>
  <c r="J118" i="22"/>
  <c r="K118" i="22"/>
  <c r="L118" i="22"/>
  <c r="M118" i="22"/>
  <c r="N118" i="22"/>
  <c r="O118" i="22"/>
  <c r="P118" i="22"/>
  <c r="Q118" i="22"/>
  <c r="R118" i="22"/>
  <c r="S118" i="22"/>
  <c r="T118" i="22"/>
  <c r="U118" i="22"/>
  <c r="V118" i="22"/>
  <c r="W118" i="22"/>
  <c r="X118" i="22"/>
  <c r="Y118" i="22"/>
  <c r="Z118" i="22"/>
  <c r="AA118" i="22"/>
  <c r="AB118" i="22"/>
  <c r="AC118" i="22"/>
  <c r="AD118" i="22"/>
  <c r="AE118" i="22"/>
  <c r="AF118" i="22"/>
  <c r="AG118" i="22"/>
  <c r="AH118"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I109" i="22"/>
  <c r="H109" i="22"/>
  <c r="G109" i="22"/>
  <c r="F109" i="22"/>
  <c r="E109" i="22"/>
  <c r="B163" i="22"/>
  <c r="D161" i="22" s="1"/>
  <c r="B159" i="22"/>
  <c r="C158" i="22" s="1"/>
  <c r="B5" i="16"/>
  <c r="F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E113" i="22"/>
  <c r="K156" i="22"/>
  <c r="J156" i="22"/>
  <c r="I156" i="22"/>
  <c r="H156" i="22"/>
  <c r="G156" i="22"/>
  <c r="F156" i="22"/>
  <c r="E156" i="22"/>
  <c r="W171" i="22" l="1"/>
  <c r="W170" i="22"/>
  <c r="W172" i="22" s="1"/>
  <c r="W173" i="22" s="1"/>
  <c r="X169" i="22"/>
  <c r="AE164" i="22"/>
  <c r="J126" i="22"/>
  <c r="F124" i="22"/>
  <c r="G124" i="22"/>
  <c r="H124" i="22"/>
  <c r="I124" i="22"/>
  <c r="J124" i="22"/>
  <c r="K124" i="22"/>
  <c r="L124" i="22"/>
  <c r="G126" i="22"/>
  <c r="H126" i="22"/>
  <c r="I126" i="22"/>
  <c r="K126" i="22"/>
  <c r="L126" i="22"/>
  <c r="F128" i="22"/>
  <c r="F153" i="22" s="1"/>
  <c r="G128" i="22"/>
  <c r="G153" i="22" s="1"/>
  <c r="H128" i="22"/>
  <c r="H153" i="22" s="1"/>
  <c r="I128" i="22"/>
  <c r="I153" i="22" s="1"/>
  <c r="J128" i="22"/>
  <c r="J153" i="22" s="1"/>
  <c r="K128" i="22"/>
  <c r="K153" i="22" s="1"/>
  <c r="L128" i="22"/>
  <c r="E124" i="22"/>
  <c r="L122" i="22"/>
  <c r="K122" i="22"/>
  <c r="J122" i="22"/>
  <c r="I122" i="22"/>
  <c r="I135" i="22" s="1"/>
  <c r="H122" i="22"/>
  <c r="G122" i="22"/>
  <c r="F122" i="22"/>
  <c r="E126" i="22"/>
  <c r="E127" i="22" s="1"/>
  <c r="E128" i="22"/>
  <c r="E129" i="22" s="1"/>
  <c r="E122" i="22"/>
  <c r="C141" i="22"/>
  <c r="E142" i="22"/>
  <c r="D139" i="22"/>
  <c r="E139" i="22"/>
  <c r="F139" i="22"/>
  <c r="D140" i="22"/>
  <c r="E140" i="22"/>
  <c r="F140" i="22"/>
  <c r="D141" i="22"/>
  <c r="E141" i="22"/>
  <c r="F141" i="22"/>
  <c r="D142" i="22"/>
  <c r="F142" i="22"/>
  <c r="D143" i="22"/>
  <c r="E143" i="22"/>
  <c r="F143" i="22"/>
  <c r="D144" i="22"/>
  <c r="E144" i="22"/>
  <c r="F144" i="22"/>
  <c r="D145" i="22"/>
  <c r="C145" i="22"/>
  <c r="C144" i="22"/>
  <c r="C143" i="22"/>
  <c r="C142" i="22"/>
  <c r="C140" i="22"/>
  <c r="C139" i="22"/>
  <c r="K108" i="22"/>
  <c r="K119" i="22" s="1"/>
  <c r="J108" i="22"/>
  <c r="J119" i="22" s="1"/>
  <c r="AI106" i="22"/>
  <c r="AI110" i="22"/>
  <c r="AI104" i="22"/>
  <c r="F111" i="22"/>
  <c r="G111" i="22"/>
  <c r="H111" i="22"/>
  <c r="I111" i="22"/>
  <c r="J111" i="22"/>
  <c r="K111" i="22"/>
  <c r="L111" i="22"/>
  <c r="M111" i="22"/>
  <c r="N111" i="22"/>
  <c r="O111" i="22"/>
  <c r="P111" i="22"/>
  <c r="Q111" i="22"/>
  <c r="R111" i="22"/>
  <c r="S111" i="22"/>
  <c r="T111" i="22"/>
  <c r="U111" i="22"/>
  <c r="V111" i="22"/>
  <c r="W111" i="22"/>
  <c r="X111" i="22"/>
  <c r="Y111" i="22"/>
  <c r="Z111" i="22"/>
  <c r="AA111" i="22"/>
  <c r="AB111" i="22"/>
  <c r="AC111" i="22"/>
  <c r="AD111" i="22"/>
  <c r="AE111" i="22"/>
  <c r="AF111" i="22"/>
  <c r="AG111" i="22"/>
  <c r="AH111" i="22"/>
  <c r="E111" i="22"/>
  <c r="B7" i="16"/>
  <c r="AB99" i="22"/>
  <c r="AB100" i="22"/>
  <c r="AB101" i="22"/>
  <c r="AB98" i="22"/>
  <c r="AF164" i="22" l="1"/>
  <c r="X171" i="22"/>
  <c r="X170" i="22"/>
  <c r="X172" i="22" s="1"/>
  <c r="X173" i="22" s="1"/>
  <c r="Y169" i="22"/>
  <c r="H175" i="22"/>
  <c r="K177" i="22"/>
  <c r="G135" i="22"/>
  <c r="H135" i="22"/>
  <c r="N128" i="22"/>
  <c r="N129" i="22" s="1"/>
  <c r="J135" i="22"/>
  <c r="K135" i="22"/>
  <c r="L135" i="22"/>
  <c r="M135" i="22" s="1"/>
  <c r="N135" i="22" s="1"/>
  <c r="O135" i="22" s="1"/>
  <c r="P135" i="22" s="1"/>
  <c r="Q135" i="22" s="1"/>
  <c r="R135" i="22" s="1"/>
  <c r="S135" i="22" s="1"/>
  <c r="T135" i="22" s="1"/>
  <c r="U135" i="22" s="1"/>
  <c r="V135" i="22" s="1"/>
  <c r="W135" i="22" s="1"/>
  <c r="X135" i="22" s="1"/>
  <c r="Y135" i="22" s="1"/>
  <c r="Z135" i="22" s="1"/>
  <c r="AA135" i="22" s="1"/>
  <c r="AB135" i="22" s="1"/>
  <c r="AC135" i="22" s="1"/>
  <c r="AD135" i="22" s="1"/>
  <c r="AE135" i="22" s="1"/>
  <c r="AF135" i="22" s="1"/>
  <c r="AG135" i="22" s="1"/>
  <c r="AH135" i="22" s="1"/>
  <c r="AI135" i="22" s="1"/>
  <c r="AJ135" i="22" s="1"/>
  <c r="AK135" i="22" s="1"/>
  <c r="AL135" i="22" s="1"/>
  <c r="L134" i="22"/>
  <c r="M134" i="22" s="1"/>
  <c r="L133" i="22"/>
  <c r="M133" i="22" s="1"/>
  <c r="E123" i="22"/>
  <c r="E135" i="22"/>
  <c r="E133" i="22"/>
  <c r="J109" i="22"/>
  <c r="J117" i="22"/>
  <c r="E125" i="22"/>
  <c r="K109" i="22"/>
  <c r="K117" i="22"/>
  <c r="L109" i="22"/>
  <c r="Q190" i="22"/>
  <c r="H134" i="22"/>
  <c r="J133" i="22"/>
  <c r="I134" i="22"/>
  <c r="I133" i="22"/>
  <c r="H133" i="22"/>
  <c r="J134" i="22"/>
  <c r="G134" i="22"/>
  <c r="F134" i="22"/>
  <c r="G133" i="22"/>
  <c r="K133" i="22"/>
  <c r="K134" i="22"/>
  <c r="E134" i="22"/>
  <c r="H127" i="22"/>
  <c r="J129" i="22"/>
  <c r="K125" i="22"/>
  <c r="H129" i="22"/>
  <c r="G125" i="22"/>
  <c r="I125" i="22"/>
  <c r="G129" i="22"/>
  <c r="H125" i="22"/>
  <c r="J127" i="22"/>
  <c r="I129" i="22"/>
  <c r="J125" i="22"/>
  <c r="K129" i="22"/>
  <c r="L125" i="22"/>
  <c r="L127" i="22"/>
  <c r="F125" i="22"/>
  <c r="K127" i="22"/>
  <c r="J123" i="22"/>
  <c r="I127" i="22"/>
  <c r="L129" i="22"/>
  <c r="F129" i="22"/>
  <c r="G123" i="22"/>
  <c r="L123" i="22"/>
  <c r="K123" i="22"/>
  <c r="F123" i="22"/>
  <c r="H123" i="22"/>
  <c r="I123" i="22"/>
  <c r="M124" i="22"/>
  <c r="F126" i="22"/>
  <c r="M128" i="22"/>
  <c r="M122" i="22"/>
  <c r="AI108" i="22"/>
  <c r="D94" i="10"/>
  <c r="E94" i="10"/>
  <c r="F94" i="10"/>
  <c r="G94" i="10"/>
  <c r="D93" i="10"/>
  <c r="E93" i="10"/>
  <c r="F93" i="10"/>
  <c r="G93" i="10"/>
  <c r="Y171" i="22" l="1"/>
  <c r="Y170" i="22"/>
  <c r="Y172" i="22" s="1"/>
  <c r="Y173" i="22" s="1"/>
  <c r="Z169" i="22"/>
  <c r="AG164" i="22"/>
  <c r="K178" i="22"/>
  <c r="L178" i="22" s="1"/>
  <c r="S177" i="22"/>
  <c r="C126" i="4" s="1"/>
  <c r="S178" i="22"/>
  <c r="N134" i="22"/>
  <c r="N122" i="22"/>
  <c r="N126" i="22" s="1"/>
  <c r="N124" i="22" s="1"/>
  <c r="N133" i="22" s="1"/>
  <c r="F133" i="22"/>
  <c r="F135" i="22"/>
  <c r="M129" i="22"/>
  <c r="M125" i="22"/>
  <c r="M123" i="22"/>
  <c r="M126" i="22"/>
  <c r="M127" i="22" s="1"/>
  <c r="G127" i="22"/>
  <c r="F127" i="22"/>
  <c r="C73" i="16"/>
  <c r="E52" i="10"/>
  <c r="D52" i="10"/>
  <c r="L64" i="10" a="1"/>
  <c r="L64" i="10" s="1"/>
  <c r="AH164" i="22" l="1"/>
  <c r="Z171" i="22"/>
  <c r="Z170" i="22"/>
  <c r="Z172" i="22" s="1"/>
  <c r="Z173" i="22" s="1"/>
  <c r="AA169" i="22"/>
  <c r="S179" i="22"/>
  <c r="C125" i="4"/>
  <c r="C127" i="4"/>
  <c r="O134" i="22"/>
  <c r="M109" i="1"/>
  <c r="F32" i="1"/>
  <c r="F30" i="1"/>
  <c r="F31" i="1"/>
  <c r="AA171" i="22" l="1"/>
  <c r="AA170" i="22"/>
  <c r="AA172" i="22" s="1"/>
  <c r="AA173" i="22" s="1"/>
  <c r="AB169" i="22"/>
  <c r="AI164" i="22"/>
  <c r="P134" i="22"/>
  <c r="N123" i="22"/>
  <c r="L50" i="22"/>
  <c r="L51" i="22"/>
  <c r="L52" i="22"/>
  <c r="J50" i="22"/>
  <c r="J51" i="22"/>
  <c r="J52" i="22"/>
  <c r="J53" i="22"/>
  <c r="J54" i="22"/>
  <c r="J55" i="22"/>
  <c r="J56" i="22"/>
  <c r="J57" i="22"/>
  <c r="J58" i="22"/>
  <c r="J59" i="22"/>
  <c r="J60" i="22"/>
  <c r="J61" i="22"/>
  <c r="J62" i="22"/>
  <c r="J63" i="22"/>
  <c r="J64" i="22"/>
  <c r="M6" i="3"/>
  <c r="N6" i="3"/>
  <c r="O6" i="3"/>
  <c r="P6" i="3"/>
  <c r="I19" i="3"/>
  <c r="I9" i="3" s="1"/>
  <c r="P9" i="3" s="1"/>
  <c r="H19" i="3"/>
  <c r="H9" i="3" s="1"/>
  <c r="G19" i="3"/>
  <c r="G9" i="3" s="1"/>
  <c r="G18" i="3"/>
  <c r="G8" i="3" s="1"/>
  <c r="D19" i="3"/>
  <c r="F18" i="3"/>
  <c r="E18" i="3"/>
  <c r="H16" i="3"/>
  <c r="O16" i="3" s="1"/>
  <c r="G16" i="3"/>
  <c r="F16" i="3"/>
  <c r="F17" i="3" s="1"/>
  <c r="E16" i="3"/>
  <c r="I15" i="3"/>
  <c r="H15" i="3"/>
  <c r="G15" i="3"/>
  <c r="F15" i="3"/>
  <c r="E15" i="3"/>
  <c r="E5" i="3" s="1"/>
  <c r="D16" i="3"/>
  <c r="D15" i="3"/>
  <c r="P16" i="3"/>
  <c r="P17" i="3"/>
  <c r="O18" i="3"/>
  <c r="P18" i="3"/>
  <c r="L19" i="3"/>
  <c r="I7" i="3"/>
  <c r="H8" i="3"/>
  <c r="I8" i="3"/>
  <c r="P8" i="3" s="1"/>
  <c r="E9" i="3"/>
  <c r="F9" i="3"/>
  <c r="C8" i="3"/>
  <c r="F25" i="1" s="1"/>
  <c r="C9" i="3"/>
  <c r="F26" i="1" s="1"/>
  <c r="C7" i="3"/>
  <c r="F24" i="1" s="1"/>
  <c r="G52" i="10"/>
  <c r="F52" i="10"/>
  <c r="C52" i="10"/>
  <c r="D67" i="4"/>
  <c r="W44" i="23"/>
  <c r="W45" i="23"/>
  <c r="W46" i="23"/>
  <c r="W58" i="23"/>
  <c r="W59" i="23"/>
  <c r="W61" i="23"/>
  <c r="W63" i="23"/>
  <c r="AN9" i="23"/>
  <c r="AM9" i="23"/>
  <c r="AL9" i="23"/>
  <c r="AK9" i="23"/>
  <c r="AJ9" i="23"/>
  <c r="G92" i="10"/>
  <c r="D92" i="10"/>
  <c r="E92" i="10"/>
  <c r="F92" i="10"/>
  <c r="I31" i="23"/>
  <c r="C23" i="22"/>
  <c r="D53" i="10"/>
  <c r="E53" i="10"/>
  <c r="F53" i="10"/>
  <c r="G53" i="10"/>
  <c r="E49" i="10" a="1"/>
  <c r="E49" i="10" s="1"/>
  <c r="D49" i="10" a="1"/>
  <c r="D49" i="10" s="1"/>
  <c r="E14" i="10"/>
  <c r="E34" i="10"/>
  <c r="D34" i="10"/>
  <c r="E27" i="10"/>
  <c r="H46" i="10"/>
  <c r="I46" i="10" s="1"/>
  <c r="G42" i="10"/>
  <c r="F42" i="10"/>
  <c r="E42" i="10"/>
  <c r="D42" i="10"/>
  <c r="D31" i="10"/>
  <c r="E31" i="10"/>
  <c r="F31" i="10"/>
  <c r="G31" i="10"/>
  <c r="D30" i="10"/>
  <c r="E30" i="10"/>
  <c r="F30" i="10"/>
  <c r="G30" i="10"/>
  <c r="D15" i="10"/>
  <c r="E15" i="10"/>
  <c r="F15" i="10"/>
  <c r="G15" i="10"/>
  <c r="F75" i="17"/>
  <c r="M83" i="1"/>
  <c r="D22" i="10"/>
  <c r="D20" i="10"/>
  <c r="G64" i="10"/>
  <c r="G25" i="10" s="1"/>
  <c r="F64" i="10"/>
  <c r="F25" i="10" s="1"/>
  <c r="E64" i="10"/>
  <c r="E25" i="10" s="1"/>
  <c r="B82" i="17"/>
  <c r="M21" i="1" s="1"/>
  <c r="C42" i="10" s="1"/>
  <c r="C87" i="16"/>
  <c r="D87" i="16"/>
  <c r="B87" i="16"/>
  <c r="D88" i="16"/>
  <c r="C88" i="16"/>
  <c r="B88" i="16"/>
  <c r="F38" i="4"/>
  <c r="G10" i="4" s="1"/>
  <c r="I21" i="23"/>
  <c r="I22" i="23"/>
  <c r="I23" i="23"/>
  <c r="I24" i="23"/>
  <c r="I25" i="23"/>
  <c r="I26" i="23"/>
  <c r="I27" i="23"/>
  <c r="I28" i="23"/>
  <c r="I29" i="23"/>
  <c r="I30"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19" i="23"/>
  <c r="I20" i="23"/>
  <c r="I18" i="23"/>
  <c r="O9" i="19"/>
  <c r="P9" i="19"/>
  <c r="O8" i="19"/>
  <c r="P8" i="19"/>
  <c r="O7" i="19"/>
  <c r="P7" i="19"/>
  <c r="O6" i="19"/>
  <c r="P6" i="19"/>
  <c r="Q6" i="19"/>
  <c r="Q4" i="19"/>
  <c r="G8" i="10"/>
  <c r="P4" i="19" s="1"/>
  <c r="G3" i="10" a="1"/>
  <c r="G3" i="10" s="1"/>
  <c r="G4" i="10" a="1"/>
  <c r="G4" i="10" s="1"/>
  <c r="G5" i="10" a="1"/>
  <c r="G5" i="10" s="1"/>
  <c r="G6" i="10" a="1"/>
  <c r="G6" i="10" s="1"/>
  <c r="G2" i="10" a="1"/>
  <c r="G2" i="10" s="1"/>
  <c r="G34" i="10"/>
  <c r="G33" i="10"/>
  <c r="G32" i="10"/>
  <c r="G28" i="10"/>
  <c r="G27" i="10"/>
  <c r="G24" i="10"/>
  <c r="G23" i="10"/>
  <c r="G22" i="10"/>
  <c r="G21" i="10"/>
  <c r="G20" i="10"/>
  <c r="G18" i="10"/>
  <c r="G17" i="10"/>
  <c r="G16" i="10"/>
  <c r="G14" i="10"/>
  <c r="G13" i="10"/>
  <c r="G11" i="10"/>
  <c r="D6" i="10" a="1"/>
  <c r="D6" i="10" s="1"/>
  <c r="D11" i="10"/>
  <c r="I4" i="23"/>
  <c r="I5" i="23"/>
  <c r="I6" i="23"/>
  <c r="I7" i="23"/>
  <c r="I8" i="23"/>
  <c r="I9" i="23"/>
  <c r="I10" i="23"/>
  <c r="I11" i="23"/>
  <c r="I12" i="23"/>
  <c r="I13" i="23"/>
  <c r="I14" i="23"/>
  <c r="I15" i="23"/>
  <c r="I16" i="23"/>
  <c r="I17" i="23"/>
  <c r="I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3" i="23"/>
  <c r="F3" i="23"/>
  <c r="G3" i="23"/>
  <c r="J3" i="23"/>
  <c r="F4" i="23"/>
  <c r="G4" i="23"/>
  <c r="J4" i="23"/>
  <c r="F5" i="23"/>
  <c r="G5" i="23"/>
  <c r="J5" i="23"/>
  <c r="F6" i="23"/>
  <c r="G6" i="23"/>
  <c r="J6" i="23"/>
  <c r="F7" i="23"/>
  <c r="G7" i="23"/>
  <c r="J7" i="23"/>
  <c r="F8" i="23"/>
  <c r="G8" i="23"/>
  <c r="J8" i="23"/>
  <c r="F9" i="23"/>
  <c r="G9" i="23"/>
  <c r="J9" i="23"/>
  <c r="F10" i="23"/>
  <c r="G10" i="23"/>
  <c r="J10" i="23"/>
  <c r="F11" i="23"/>
  <c r="G11" i="23"/>
  <c r="J11" i="23"/>
  <c r="F12" i="23"/>
  <c r="G12" i="23"/>
  <c r="J12" i="23"/>
  <c r="F13" i="23"/>
  <c r="G13" i="23"/>
  <c r="J13" i="23"/>
  <c r="F14" i="23"/>
  <c r="G14" i="23"/>
  <c r="J14" i="23"/>
  <c r="F15" i="23"/>
  <c r="G15" i="23"/>
  <c r="J15" i="23"/>
  <c r="F16" i="23"/>
  <c r="G16" i="23"/>
  <c r="J16" i="23"/>
  <c r="F17" i="23"/>
  <c r="G17" i="23"/>
  <c r="J17" i="23"/>
  <c r="F18" i="23"/>
  <c r="G18" i="23"/>
  <c r="J18" i="23"/>
  <c r="F19" i="23"/>
  <c r="G19" i="23"/>
  <c r="J19" i="23"/>
  <c r="F20" i="23"/>
  <c r="G20" i="23"/>
  <c r="J20" i="23"/>
  <c r="F21" i="23"/>
  <c r="G21" i="23"/>
  <c r="J21" i="23"/>
  <c r="F22" i="23"/>
  <c r="G22" i="23"/>
  <c r="J22" i="23"/>
  <c r="F23" i="23"/>
  <c r="G23" i="23"/>
  <c r="J23" i="23"/>
  <c r="F24" i="23"/>
  <c r="G24" i="23"/>
  <c r="J24" i="23"/>
  <c r="F25" i="23"/>
  <c r="G25" i="23"/>
  <c r="J25" i="23"/>
  <c r="F26" i="23"/>
  <c r="G26" i="23"/>
  <c r="J26" i="23"/>
  <c r="F27" i="23"/>
  <c r="G27" i="23"/>
  <c r="J27" i="23"/>
  <c r="F28" i="23"/>
  <c r="G28" i="23"/>
  <c r="J28" i="23"/>
  <c r="F29" i="23"/>
  <c r="G29" i="23"/>
  <c r="J29" i="23"/>
  <c r="F30" i="23"/>
  <c r="G30" i="23"/>
  <c r="J30" i="23"/>
  <c r="F31" i="23"/>
  <c r="G31" i="23"/>
  <c r="J31" i="23"/>
  <c r="F32" i="23"/>
  <c r="G32" i="23"/>
  <c r="J32" i="23"/>
  <c r="F33" i="23"/>
  <c r="G33" i="23"/>
  <c r="J33" i="23"/>
  <c r="F34" i="23"/>
  <c r="G34" i="23"/>
  <c r="J34" i="23"/>
  <c r="F35" i="23"/>
  <c r="G35" i="23"/>
  <c r="J35" i="23"/>
  <c r="F36" i="23"/>
  <c r="G36" i="23"/>
  <c r="J36" i="23"/>
  <c r="F37" i="23"/>
  <c r="G37" i="23"/>
  <c r="J37" i="23"/>
  <c r="F38" i="23"/>
  <c r="G38" i="23"/>
  <c r="J38" i="23"/>
  <c r="F39" i="23"/>
  <c r="G39" i="23"/>
  <c r="J39" i="23"/>
  <c r="F40" i="23"/>
  <c r="G40" i="23"/>
  <c r="J40" i="23"/>
  <c r="F41" i="23"/>
  <c r="G41" i="23"/>
  <c r="J41" i="23"/>
  <c r="F42" i="23"/>
  <c r="G42" i="23"/>
  <c r="J42" i="23"/>
  <c r="F43" i="23"/>
  <c r="G43" i="23"/>
  <c r="J43" i="23"/>
  <c r="F44" i="23"/>
  <c r="G44" i="23"/>
  <c r="J44" i="23"/>
  <c r="F45" i="23"/>
  <c r="G45" i="23"/>
  <c r="J45" i="23"/>
  <c r="F46" i="23"/>
  <c r="G46" i="23"/>
  <c r="J46" i="23"/>
  <c r="F47" i="23"/>
  <c r="G47" i="23"/>
  <c r="J47" i="23"/>
  <c r="F48" i="23"/>
  <c r="G48" i="23"/>
  <c r="J48" i="23"/>
  <c r="F49" i="23"/>
  <c r="G49" i="23"/>
  <c r="J49" i="23"/>
  <c r="F50" i="23"/>
  <c r="G50" i="23"/>
  <c r="J50" i="23"/>
  <c r="F51" i="23"/>
  <c r="G51" i="23"/>
  <c r="J51" i="23"/>
  <c r="F52" i="23"/>
  <c r="G52" i="23"/>
  <c r="J52" i="23"/>
  <c r="F53" i="23"/>
  <c r="G53" i="23"/>
  <c r="J53" i="23"/>
  <c r="F54" i="23"/>
  <c r="G54" i="23"/>
  <c r="J54" i="23"/>
  <c r="F55" i="23"/>
  <c r="G55" i="23"/>
  <c r="J55" i="23"/>
  <c r="F56" i="23"/>
  <c r="G56" i="23"/>
  <c r="J56" i="23"/>
  <c r="F57" i="23"/>
  <c r="G57" i="23"/>
  <c r="J57" i="23"/>
  <c r="F58" i="23"/>
  <c r="G58" i="23"/>
  <c r="J58" i="23"/>
  <c r="F59" i="23"/>
  <c r="G59" i="23"/>
  <c r="J59" i="23"/>
  <c r="F60" i="23"/>
  <c r="G60" i="23"/>
  <c r="J60" i="23"/>
  <c r="F61" i="23"/>
  <c r="G61" i="23"/>
  <c r="J61" i="23"/>
  <c r="F62" i="23"/>
  <c r="G62" i="23"/>
  <c r="J62" i="23"/>
  <c r="F63" i="23"/>
  <c r="G63" i="23"/>
  <c r="J63" i="23"/>
  <c r="F64" i="23"/>
  <c r="G64" i="23"/>
  <c r="J64" i="23"/>
  <c r="I9" i="22"/>
  <c r="D19" i="4"/>
  <c r="E19" i="4"/>
  <c r="F19" i="4"/>
  <c r="B86" i="17" a="1"/>
  <c r="B86" i="17" s="1"/>
  <c r="B84" i="16" s="1"/>
  <c r="C66" i="17"/>
  <c r="C70" i="16" s="1"/>
  <c r="D66" i="17"/>
  <c r="D70" i="16" s="1"/>
  <c r="E66" i="17"/>
  <c r="E67" i="17" s="1"/>
  <c r="F66" i="17"/>
  <c r="F70" i="16" s="1"/>
  <c r="G66" i="17"/>
  <c r="G67" i="17" s="1"/>
  <c r="H66" i="17"/>
  <c r="H70" i="16" s="1"/>
  <c r="I66" i="17"/>
  <c r="I70" i="16" s="1"/>
  <c r="J66" i="17"/>
  <c r="J67" i="17" s="1"/>
  <c r="K66" i="17"/>
  <c r="K67" i="17" s="1"/>
  <c r="B66" i="17"/>
  <c r="B70" i="16" s="1"/>
  <c r="C60" i="17"/>
  <c r="C63" i="17" s="1"/>
  <c r="D60" i="17"/>
  <c r="D63" i="17" s="1"/>
  <c r="E60" i="17"/>
  <c r="E63" i="17" s="1"/>
  <c r="F60" i="17"/>
  <c r="F63" i="17" s="1"/>
  <c r="G60" i="17"/>
  <c r="G63" i="17" s="1"/>
  <c r="H60" i="17"/>
  <c r="H63" i="17" s="1"/>
  <c r="I60" i="17"/>
  <c r="I63" i="17" s="1"/>
  <c r="J60" i="17"/>
  <c r="J63" i="17" s="1"/>
  <c r="K60" i="17"/>
  <c r="K63" i="17" s="1"/>
  <c r="B60" i="17"/>
  <c r="B63" i="17" s="1"/>
  <c r="C43" i="17"/>
  <c r="C75" i="10" s="1"/>
  <c r="D43" i="17"/>
  <c r="E43" i="17"/>
  <c r="F43" i="17"/>
  <c r="G43" i="17"/>
  <c r="G46" i="17" s="1"/>
  <c r="G51" i="16" s="1"/>
  <c r="H43" i="17"/>
  <c r="I43" i="17"/>
  <c r="J43" i="17"/>
  <c r="K43" i="17"/>
  <c r="B43" i="17"/>
  <c r="B46" i="17" s="1"/>
  <c r="B51" i="16" s="1"/>
  <c r="C9" i="17"/>
  <c r="D9" i="17"/>
  <c r="E9" i="17"/>
  <c r="F9" i="17"/>
  <c r="F15" i="16" s="1"/>
  <c r="G9" i="17"/>
  <c r="H9" i="17"/>
  <c r="I9" i="17"/>
  <c r="J9" i="17"/>
  <c r="K9" i="17"/>
  <c r="B9" i="17"/>
  <c r="D53" i="4"/>
  <c r="L66" i="17"/>
  <c r="L67" i="17" s="1"/>
  <c r="AJ68" i="17"/>
  <c r="AK68" i="17"/>
  <c r="AL68" i="17"/>
  <c r="AM68" i="17"/>
  <c r="AN68" i="17"/>
  <c r="AO68" i="17"/>
  <c r="AP68" i="17"/>
  <c r="AQ68" i="17"/>
  <c r="AR68" i="17"/>
  <c r="AS68" i="17"/>
  <c r="AI68" i="17"/>
  <c r="C31" i="17"/>
  <c r="D31" i="17"/>
  <c r="E31" i="17"/>
  <c r="F31" i="17"/>
  <c r="G31" i="17"/>
  <c r="H31" i="17"/>
  <c r="I31" i="17"/>
  <c r="J31" i="17"/>
  <c r="K31" i="17"/>
  <c r="B31" i="17"/>
  <c r="B32" i="17"/>
  <c r="B36" i="17" s="1"/>
  <c r="D39" i="3"/>
  <c r="AD1" i="23"/>
  <c r="E58" i="4"/>
  <c r="D58" i="4"/>
  <c r="D59" i="4"/>
  <c r="E65" i="4"/>
  <c r="B100" i="17"/>
  <c r="B101" i="17" s="1"/>
  <c r="C100" i="17"/>
  <c r="C101" i="17" s="1"/>
  <c r="D100" i="17"/>
  <c r="D101" i="17" s="1"/>
  <c r="E100" i="17"/>
  <c r="E101" i="17" s="1"/>
  <c r="F100" i="17"/>
  <c r="F101" i="17" s="1"/>
  <c r="G100" i="17"/>
  <c r="G101" i="17" s="1"/>
  <c r="H100" i="17"/>
  <c r="H101" i="17" s="1"/>
  <c r="I100" i="17"/>
  <c r="I101" i="17" s="1"/>
  <c r="J100" i="17"/>
  <c r="J101" i="17" s="1"/>
  <c r="K100" i="17"/>
  <c r="K101" i="17" s="1"/>
  <c r="B10" i="17"/>
  <c r="B14" i="16" s="1"/>
  <c r="F13" i="4" s="1"/>
  <c r="C10" i="17"/>
  <c r="D10" i="17"/>
  <c r="E10" i="17"/>
  <c r="F10" i="17"/>
  <c r="G10" i="17"/>
  <c r="H10" i="17"/>
  <c r="I10" i="17"/>
  <c r="J10" i="17"/>
  <c r="K10" i="17"/>
  <c r="B23" i="17"/>
  <c r="C23" i="17"/>
  <c r="D23" i="17"/>
  <c r="E23" i="17"/>
  <c r="F23" i="17"/>
  <c r="G23" i="17"/>
  <c r="H23" i="17"/>
  <c r="I23" i="17"/>
  <c r="J23" i="17"/>
  <c r="K23" i="17"/>
  <c r="C32" i="17"/>
  <c r="C36" i="17" s="1"/>
  <c r="D32" i="17"/>
  <c r="D36" i="17" s="1"/>
  <c r="E32" i="17"/>
  <c r="E36" i="17" s="1"/>
  <c r="F32" i="17"/>
  <c r="F36" i="17" s="1"/>
  <c r="G32" i="17"/>
  <c r="G36" i="17" s="1"/>
  <c r="H32" i="17"/>
  <c r="H36" i="17" s="1"/>
  <c r="I32" i="17"/>
  <c r="I36" i="17" s="1"/>
  <c r="J32" i="17"/>
  <c r="J36" i="17" s="1"/>
  <c r="K32" i="17"/>
  <c r="K36" i="17" s="1"/>
  <c r="D24" i="10"/>
  <c r="F24" i="10"/>
  <c r="F20" i="4"/>
  <c r="F11" i="4" s="1"/>
  <c r="E20" i="4"/>
  <c r="E11" i="4" s="1"/>
  <c r="D20" i="4"/>
  <c r="D11" i="4" s="1"/>
  <c r="E53" i="4"/>
  <c r="E62" i="4"/>
  <c r="D65" i="4"/>
  <c r="E67" i="4"/>
  <c r="L100" i="17"/>
  <c r="L101" i="17" s="1"/>
  <c r="M100" i="17"/>
  <c r="M101" i="17" s="1"/>
  <c r="Q17" i="22"/>
  <c r="Q24" i="22"/>
  <c r="Q30" i="22"/>
  <c r="Q10" i="22"/>
  <c r="H16" i="22"/>
  <c r="I16" i="22"/>
  <c r="J16" i="22"/>
  <c r="K16" i="22"/>
  <c r="L16" i="22"/>
  <c r="H22" i="22"/>
  <c r="I22" i="22"/>
  <c r="J22" i="22"/>
  <c r="K22" i="22"/>
  <c r="L22" i="22"/>
  <c r="H23" i="22"/>
  <c r="I23" i="22"/>
  <c r="J23" i="22"/>
  <c r="K23" i="22"/>
  <c r="L23" i="22"/>
  <c r="P17" i="22"/>
  <c r="P24" i="22"/>
  <c r="P30" i="22"/>
  <c r="N17" i="22"/>
  <c r="N24" i="22"/>
  <c r="N30" i="22"/>
  <c r="H9" i="22"/>
  <c r="J9" i="22"/>
  <c r="K9" i="22"/>
  <c r="L9" i="22"/>
  <c r="H8" i="22"/>
  <c r="I8" i="22"/>
  <c r="J8" i="22"/>
  <c r="K8" i="22"/>
  <c r="L8" i="22"/>
  <c r="D17" i="10"/>
  <c r="D23" i="10"/>
  <c r="F23" i="10"/>
  <c r="F22" i="10"/>
  <c r="D21" i="10"/>
  <c r="E60" i="4"/>
  <c r="D28" i="4"/>
  <c r="E55" i="4"/>
  <c r="C16" i="22"/>
  <c r="D62" i="4"/>
  <c r="D66" i="4"/>
  <c r="E56" i="4"/>
  <c r="D60" i="4"/>
  <c r="D16" i="22"/>
  <c r="E16" i="22"/>
  <c r="F16" i="22"/>
  <c r="D23" i="22"/>
  <c r="E23" i="22"/>
  <c r="F23" i="22"/>
  <c r="G23" i="22"/>
  <c r="E63" i="4"/>
  <c r="D63" i="4"/>
  <c r="E54" i="4"/>
  <c r="D54" i="4"/>
  <c r="D9" i="22"/>
  <c r="E9" i="22"/>
  <c r="F9" i="22"/>
  <c r="G9" i="22"/>
  <c r="C9" i="22"/>
  <c r="D8" i="22"/>
  <c r="M51" i="22" s="1"/>
  <c r="E8" i="22"/>
  <c r="M50" i="22" s="1"/>
  <c r="F8" i="22"/>
  <c r="M49" i="22" s="1"/>
  <c r="G8" i="22"/>
  <c r="C8" i="22"/>
  <c r="M52" i="22" s="1"/>
  <c r="E38" i="4"/>
  <c r="D38" i="4"/>
  <c r="D40" i="4"/>
  <c r="F29" i="1"/>
  <c r="L6" i="19"/>
  <c r="M6" i="19"/>
  <c r="N6" i="19"/>
  <c r="L8" i="19"/>
  <c r="M8" i="19"/>
  <c r="N8" i="19"/>
  <c r="Q8" i="19"/>
  <c r="L9" i="19"/>
  <c r="M9" i="19"/>
  <c r="N9" i="19"/>
  <c r="Q9" i="19"/>
  <c r="M7" i="19"/>
  <c r="N7" i="19"/>
  <c r="Q7" i="19"/>
  <c r="L7" i="19"/>
  <c r="D22" i="22"/>
  <c r="E22" i="22"/>
  <c r="F22" i="22"/>
  <c r="G22" i="22"/>
  <c r="C22" i="22"/>
  <c r="C21" i="22"/>
  <c r="P21" i="22" s="1"/>
  <c r="D55" i="4"/>
  <c r="F40" i="4"/>
  <c r="E40" i="4"/>
  <c r="F41" i="4"/>
  <c r="E41" i="4"/>
  <c r="D41" i="4"/>
  <c r="F50" i="4"/>
  <c r="J41" i="1" s="1"/>
  <c r="D18" i="10"/>
  <c r="F18" i="10"/>
  <c r="Y60" i="23"/>
  <c r="Y62" i="23"/>
  <c r="E2" i="1"/>
  <c r="E24" i="10"/>
  <c r="E28" i="4"/>
  <c r="F28" i="4"/>
  <c r="D27" i="4"/>
  <c r="E27" i="4"/>
  <c r="F27" i="4"/>
  <c r="D21" i="4"/>
  <c r="E21" i="4"/>
  <c r="F21" i="4"/>
  <c r="D6" i="4"/>
  <c r="E6" i="4"/>
  <c r="F6" i="4"/>
  <c r="E22" i="10"/>
  <c r="E23" i="10"/>
  <c r="D56" i="4"/>
  <c r="E59" i="4"/>
  <c r="D61" i="4"/>
  <c r="E61" i="4"/>
  <c r="D4" i="4"/>
  <c r="E4" i="4"/>
  <c r="G4" i="4"/>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F4" i="4"/>
  <c r="C7" i="22"/>
  <c r="D7" i="22" s="1"/>
  <c r="E7" i="22" s="1"/>
  <c r="C15" i="22"/>
  <c r="B81" i="17" a="1"/>
  <c r="B81" i="17" s="1"/>
  <c r="B80" i="17" a="1"/>
  <c r="B80" i="17" s="1"/>
  <c r="B5" i="17"/>
  <c r="B87" i="17" s="1"/>
  <c r="B75" i="17"/>
  <c r="F31" i="4" s="1"/>
  <c r="B77" i="17"/>
  <c r="B56" i="17"/>
  <c r="B47" i="17"/>
  <c r="B50" i="17" s="1"/>
  <c r="B55" i="16" s="1"/>
  <c r="C77" i="17"/>
  <c r="F55" i="1" s="1"/>
  <c r="B4" i="16"/>
  <c r="L19" i="17"/>
  <c r="E18" i="10"/>
  <c r="E17" i="10"/>
  <c r="E16" i="10"/>
  <c r="D13" i="10"/>
  <c r="D8" i="10"/>
  <c r="D10" i="10" s="1" a="1"/>
  <c r="D10" i="10" s="1"/>
  <c r="E13" i="10"/>
  <c r="M24" i="1"/>
  <c r="M22" i="1"/>
  <c r="L109" i="1"/>
  <c r="J109" i="1"/>
  <c r="I109" i="1"/>
  <c r="G109" i="1"/>
  <c r="H51" i="10"/>
  <c r="F8" i="10"/>
  <c r="O4" i="19" s="1"/>
  <c r="E8" i="10"/>
  <c r="E10" i="10" s="1" a="1"/>
  <c r="E10" i="10" s="1"/>
  <c r="L60" i="17"/>
  <c r="M60" i="17"/>
  <c r="M63" i="17" s="1"/>
  <c r="M67" i="17"/>
  <c r="F47" i="17"/>
  <c r="G47" i="17"/>
  <c r="G50" i="17" s="1"/>
  <c r="G55" i="16" s="1"/>
  <c r="H47" i="17"/>
  <c r="I47" i="17"/>
  <c r="I52" i="16" s="1"/>
  <c r="J47" i="17"/>
  <c r="K47" i="17"/>
  <c r="K52" i="16" s="1"/>
  <c r="L47" i="17"/>
  <c r="L50" i="17" s="1"/>
  <c r="L55" i="16" s="1"/>
  <c r="M47" i="17"/>
  <c r="E47" i="17"/>
  <c r="L32" i="17"/>
  <c r="M32" i="17"/>
  <c r="F23" i="1"/>
  <c r="AE12" i="23"/>
  <c r="C75" i="17"/>
  <c r="E31" i="4" s="1"/>
  <c r="C56" i="17"/>
  <c r="C47" i="17"/>
  <c r="C50" i="17" s="1"/>
  <c r="S4" i="19"/>
  <c r="R4" i="19"/>
  <c r="D25" i="10"/>
  <c r="D77" i="17"/>
  <c r="F54" i="1" s="1"/>
  <c r="E77" i="17"/>
  <c r="F53" i="1" s="1"/>
  <c r="F77" i="17"/>
  <c r="F52" i="1" s="1"/>
  <c r="G77" i="17"/>
  <c r="F51" i="1" s="1"/>
  <c r="H77" i="17"/>
  <c r="F50" i="1" s="1"/>
  <c r="I77" i="17"/>
  <c r="F49" i="1" s="1"/>
  <c r="J77" i="17"/>
  <c r="F48" i="1" s="1"/>
  <c r="K77" i="17"/>
  <c r="F47" i="1" s="1"/>
  <c r="L77" i="17"/>
  <c r="M77" i="17"/>
  <c r="R9" i="19"/>
  <c r="R8" i="19"/>
  <c r="R7" i="19"/>
  <c r="R6" i="19"/>
  <c r="L23" i="17"/>
  <c r="L22" i="17" s="1"/>
  <c r="L18" i="16" s="1"/>
  <c r="M23" i="17"/>
  <c r="L75" i="17"/>
  <c r="M75" i="17"/>
  <c r="K75" i="17"/>
  <c r="F28" i="1"/>
  <c r="F22" i="1"/>
  <c r="G75" i="17"/>
  <c r="H75" i="17"/>
  <c r="I75" i="17"/>
  <c r="J75" i="17"/>
  <c r="E75" i="17"/>
  <c r="D75" i="17"/>
  <c r="D31" i="4" s="1"/>
  <c r="C8" i="19"/>
  <c r="S6" i="19"/>
  <c r="S7" i="19"/>
  <c r="S8" i="19"/>
  <c r="S9" i="19"/>
  <c r="C6" i="19"/>
  <c r="E11" i="10"/>
  <c r="F11" i="10"/>
  <c r="F13" i="10"/>
  <c r="D14" i="10"/>
  <c r="F14" i="10"/>
  <c r="D16" i="10"/>
  <c r="F16" i="10"/>
  <c r="F17" i="10"/>
  <c r="E20" i="10"/>
  <c r="F20" i="10"/>
  <c r="E21" i="10"/>
  <c r="F21" i="10"/>
  <c r="D27" i="10"/>
  <c r="F27" i="10"/>
  <c r="D28" i="10"/>
  <c r="E28" i="10"/>
  <c r="F28" i="10"/>
  <c r="D32" i="10"/>
  <c r="E32" i="10"/>
  <c r="F32" i="10"/>
  <c r="D33" i="10"/>
  <c r="E33" i="10"/>
  <c r="F33" i="10"/>
  <c r="F34" i="10"/>
  <c r="H9" i="10"/>
  <c r="H41" i="10"/>
  <c r="C76" i="10"/>
  <c r="C72" i="10"/>
  <c r="B12" i="3"/>
  <c r="K14" i="3"/>
  <c r="L14" i="3" s="1"/>
  <c r="M14" i="3" s="1"/>
  <c r="N14" i="3" s="1"/>
  <c r="O14" i="3" s="1"/>
  <c r="P14" i="3" s="1"/>
  <c r="K4" i="3"/>
  <c r="L4" i="3" s="1"/>
  <c r="M4" i="3" s="1"/>
  <c r="N4" i="3" s="1"/>
  <c r="O4" i="3" s="1"/>
  <c r="P4" i="3" s="1"/>
  <c r="D14" i="3"/>
  <c r="E14" i="3" s="1"/>
  <c r="F14" i="3" s="1"/>
  <c r="G14" i="3" s="1"/>
  <c r="H14" i="3" s="1"/>
  <c r="I14" i="3" s="1"/>
  <c r="E4" i="3"/>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B73" i="16"/>
  <c r="M72" i="16"/>
  <c r="L72" i="16"/>
  <c r="K72" i="16"/>
  <c r="J72" i="16"/>
  <c r="I72" i="16"/>
  <c r="H72" i="16"/>
  <c r="G72" i="16"/>
  <c r="F72" i="16"/>
  <c r="E72" i="16"/>
  <c r="D72" i="16"/>
  <c r="C72" i="16"/>
  <c r="B72" i="16"/>
  <c r="M70" i="16"/>
  <c r="M69" i="16"/>
  <c r="L69" i="16"/>
  <c r="K69" i="16"/>
  <c r="J69" i="16"/>
  <c r="I69" i="16"/>
  <c r="H69" i="16"/>
  <c r="G69" i="16"/>
  <c r="F69" i="16"/>
  <c r="E69" i="16"/>
  <c r="D69" i="16"/>
  <c r="C69" i="16"/>
  <c r="B69" i="16"/>
  <c r="B23" i="16"/>
  <c r="C66" i="10" s="1"/>
  <c r="M62" i="16"/>
  <c r="L62" i="16"/>
  <c r="K62" i="16"/>
  <c r="J62" i="16"/>
  <c r="I62" i="16"/>
  <c r="H62" i="16"/>
  <c r="G62" i="16"/>
  <c r="F62" i="16"/>
  <c r="E62" i="16"/>
  <c r="D62" i="16"/>
  <c r="C62" i="16"/>
  <c r="B62" i="16"/>
  <c r="M84" i="16"/>
  <c r="L84" i="16"/>
  <c r="K84" i="16"/>
  <c r="J84" i="16"/>
  <c r="I84" i="16"/>
  <c r="H84" i="16"/>
  <c r="G84" i="16"/>
  <c r="F84" i="16"/>
  <c r="E84" i="16"/>
  <c r="D84" i="16"/>
  <c r="C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H52" i="16"/>
  <c r="G52" i="16"/>
  <c r="F52" i="16"/>
  <c r="E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74" i="10" s="1"/>
  <c r="M42" i="16"/>
  <c r="L42" i="16"/>
  <c r="K42" i="16"/>
  <c r="J42" i="16"/>
  <c r="I42" i="16"/>
  <c r="H42" i="16"/>
  <c r="G42" i="16"/>
  <c r="F42" i="16"/>
  <c r="E42" i="16"/>
  <c r="D42" i="16"/>
  <c r="C42" i="16"/>
  <c r="B42" i="16"/>
  <c r="C73" i="10" s="1"/>
  <c r="M41" i="16"/>
  <c r="L41" i="16"/>
  <c r="K41" i="16"/>
  <c r="J41" i="16"/>
  <c r="I41" i="16"/>
  <c r="H41" i="16"/>
  <c r="G41" i="16"/>
  <c r="F41" i="16"/>
  <c r="E41" i="16"/>
  <c r="D41" i="16"/>
  <c r="C41" i="16"/>
  <c r="B41" i="16"/>
  <c r="C71" i="10" s="1"/>
  <c r="M40" i="16"/>
  <c r="L40" i="16"/>
  <c r="K40" i="16"/>
  <c r="J40" i="16"/>
  <c r="I40" i="16"/>
  <c r="H40" i="16"/>
  <c r="G40" i="16"/>
  <c r="F40" i="16"/>
  <c r="E40" i="16"/>
  <c r="D40" i="16"/>
  <c r="C40" i="16"/>
  <c r="B40" i="16"/>
  <c r="C70" i="10" s="1"/>
  <c r="M39" i="16"/>
  <c r="M26" i="16" s="1"/>
  <c r="L39" i="16"/>
  <c r="K39" i="16"/>
  <c r="J39" i="16"/>
  <c r="I39" i="16"/>
  <c r="H39" i="16"/>
  <c r="G39" i="16"/>
  <c r="F39" i="16"/>
  <c r="E39" i="16"/>
  <c r="D39" i="16"/>
  <c r="D43" i="4" s="1"/>
  <c r="C39" i="16"/>
  <c r="B39" i="16"/>
  <c r="M33" i="16"/>
  <c r="L33" i="16"/>
  <c r="K33" i="16"/>
  <c r="J33" i="16"/>
  <c r="I33" i="16"/>
  <c r="H33" i="16"/>
  <c r="G33" i="16"/>
  <c r="F33" i="16"/>
  <c r="E33" i="16"/>
  <c r="D33" i="16"/>
  <c r="D24" i="4" s="1"/>
  <c r="C33" i="16"/>
  <c r="M32" i="16"/>
  <c r="L32" i="16"/>
  <c r="K32" i="16"/>
  <c r="J32" i="16"/>
  <c r="I32" i="16"/>
  <c r="H32" i="16"/>
  <c r="G32" i="16"/>
  <c r="F32" i="16"/>
  <c r="E32" i="16"/>
  <c r="D32" i="16"/>
  <c r="C32" i="16"/>
  <c r="E23" i="4" s="1"/>
  <c r="B32" i="16"/>
  <c r="F23" i="4" s="1"/>
  <c r="M28" i="16"/>
  <c r="L28" i="16"/>
  <c r="K28" i="16"/>
  <c r="J28" i="16"/>
  <c r="I28" i="16"/>
  <c r="H28" i="16"/>
  <c r="G28" i="16"/>
  <c r="F28" i="16"/>
  <c r="E28" i="16"/>
  <c r="D28" i="16"/>
  <c r="D29" i="4" s="1"/>
  <c r="C28" i="16"/>
  <c r="B28" i="16"/>
  <c r="F29" i="4" s="1"/>
  <c r="M27" i="16"/>
  <c r="L27" i="16"/>
  <c r="K27" i="16"/>
  <c r="J27" i="16"/>
  <c r="I27" i="16"/>
  <c r="H27" i="16"/>
  <c r="G27" i="16"/>
  <c r="F27" i="16"/>
  <c r="E27" i="16"/>
  <c r="D27" i="16"/>
  <c r="C27" i="16"/>
  <c r="E30" i="4" s="1"/>
  <c r="B27" i="16"/>
  <c r="M23" i="16"/>
  <c r="L23" i="16"/>
  <c r="K23" i="16"/>
  <c r="J23" i="16"/>
  <c r="I23" i="16"/>
  <c r="H23" i="16"/>
  <c r="G23" i="16"/>
  <c r="F23" i="16"/>
  <c r="E23" i="16"/>
  <c r="D23" i="16"/>
  <c r="D17" i="4" s="1"/>
  <c r="C23" i="16"/>
  <c r="E17" i="4" s="1"/>
  <c r="M21" i="16"/>
  <c r="L21" i="16"/>
  <c r="K21" i="16"/>
  <c r="J21" i="16"/>
  <c r="I21" i="16"/>
  <c r="H21" i="16"/>
  <c r="G21" i="16"/>
  <c r="F21" i="16"/>
  <c r="E21" i="16"/>
  <c r="D21" i="16"/>
  <c r="D16" i="4" s="1"/>
  <c r="C21" i="16"/>
  <c r="E16" i="4" s="1"/>
  <c r="B21" i="16"/>
  <c r="F16" i="4" s="1"/>
  <c r="M17" i="16"/>
  <c r="L17" i="16"/>
  <c r="K17" i="16"/>
  <c r="J17" i="16"/>
  <c r="I17" i="16"/>
  <c r="H17" i="16"/>
  <c r="G17" i="16"/>
  <c r="F17" i="16"/>
  <c r="E17" i="16"/>
  <c r="D17" i="16"/>
  <c r="D9" i="4" s="1"/>
  <c r="C17" i="16"/>
  <c r="E9" i="4" s="1"/>
  <c r="B17" i="16"/>
  <c r="F9" i="4" s="1"/>
  <c r="M15" i="16"/>
  <c r="L15" i="16"/>
  <c r="K15" i="16"/>
  <c r="J15" i="16"/>
  <c r="I15" i="16"/>
  <c r="H15" i="16"/>
  <c r="G15" i="16"/>
  <c r="E15" i="16"/>
  <c r="D15" i="16"/>
  <c r="D14" i="4" s="1"/>
  <c r="C15" i="16"/>
  <c r="E14" i="4" s="1"/>
  <c r="B15" i="16"/>
  <c r="M14" i="16"/>
  <c r="L14" i="16"/>
  <c r="K14" i="16"/>
  <c r="J14" i="16"/>
  <c r="I14" i="16"/>
  <c r="H14" i="16"/>
  <c r="G14" i="16"/>
  <c r="F14" i="16"/>
  <c r="E14" i="16"/>
  <c r="D14" i="16"/>
  <c r="D13" i="4" s="1"/>
  <c r="C14" i="16"/>
  <c r="E13" i="4" s="1"/>
  <c r="C11" i="16"/>
  <c r="D11" i="16"/>
  <c r="E11" i="16"/>
  <c r="F11" i="16"/>
  <c r="G11" i="16"/>
  <c r="H11" i="16"/>
  <c r="I11" i="16"/>
  <c r="J11" i="16"/>
  <c r="K11" i="16"/>
  <c r="L11" i="16"/>
  <c r="M11" i="16"/>
  <c r="B11" i="16"/>
  <c r="C63" i="10" s="1"/>
  <c r="C7" i="16"/>
  <c r="D7" i="16"/>
  <c r="E7" i="16"/>
  <c r="F7" i="16"/>
  <c r="G7" i="16"/>
  <c r="H7" i="16"/>
  <c r="I7" i="16"/>
  <c r="J7" i="16"/>
  <c r="K7" i="16"/>
  <c r="L7" i="16"/>
  <c r="M7" i="16"/>
  <c r="M5" i="16"/>
  <c r="M6" i="16" s="1"/>
  <c r="L5" i="16"/>
  <c r="K5" i="16"/>
  <c r="J5" i="16"/>
  <c r="I5" i="16"/>
  <c r="H5" i="16"/>
  <c r="E152" i="22" s="1"/>
  <c r="G5" i="16"/>
  <c r="F5" i="16"/>
  <c r="G152" i="22" s="1"/>
  <c r="E5" i="16"/>
  <c r="D5" i="16"/>
  <c r="C5" i="16"/>
  <c r="M13" i="17"/>
  <c r="M14" i="17" s="1"/>
  <c r="L13" i="17"/>
  <c r="L14" i="17" s="1"/>
  <c r="K13" i="17"/>
  <c r="K14" i="17" s="1"/>
  <c r="J13" i="17"/>
  <c r="J14" i="17" s="1"/>
  <c r="H13" i="17"/>
  <c r="H14" i="17" s="1"/>
  <c r="G13" i="17"/>
  <c r="G14" i="17" s="1"/>
  <c r="F13" i="17"/>
  <c r="F14" i="17" s="1"/>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M31" i="17"/>
  <c r="C44" i="16"/>
  <c r="B56" i="16"/>
  <c r="E50" i="17"/>
  <c r="E55" i="16" s="1"/>
  <c r="F50" i="17"/>
  <c r="F55" i="16" s="1"/>
  <c r="H50" i="17"/>
  <c r="H55" i="16" s="1"/>
  <c r="I50" i="17"/>
  <c r="I55" i="16" s="1"/>
  <c r="J50" i="17"/>
  <c r="J55" i="16" s="1"/>
  <c r="K50" i="17"/>
  <c r="K55" i="16" s="1"/>
  <c r="M50" i="17"/>
  <c r="M55" i="16" s="1"/>
  <c r="D46" i="17"/>
  <c r="D51" i="16" s="1"/>
  <c r="E46" i="17"/>
  <c r="E51" i="16" s="1"/>
  <c r="F46" i="17"/>
  <c r="F51" i="16" s="1"/>
  <c r="H46" i="17"/>
  <c r="H51" i="16" s="1"/>
  <c r="I46" i="17"/>
  <c r="I51" i="16" s="1"/>
  <c r="J46" i="17"/>
  <c r="J51" i="16" s="1"/>
  <c r="K46" i="17"/>
  <c r="K51" i="16" s="1"/>
  <c r="L46" i="17"/>
  <c r="L51" i="16" s="1"/>
  <c r="M46" i="17"/>
  <c r="M51" i="16" s="1"/>
  <c r="AB38" i="17"/>
  <c r="AB39" i="17" s="1"/>
  <c r="E13" i="17"/>
  <c r="E14" i="17" s="1"/>
  <c r="D13" i="17"/>
  <c r="D14" i="17" s="1"/>
  <c r="B2" i="3"/>
  <c r="C5" i="17"/>
  <c r="D5" i="17" s="1"/>
  <c r="L47" i="1"/>
  <c r="M47" i="1" s="1"/>
  <c r="B55" i="1"/>
  <c r="B54" i="1" s="1"/>
  <c r="B53" i="1" s="1"/>
  <c r="B52" i="1" s="1"/>
  <c r="B51" i="1" s="1"/>
  <c r="B50" i="1" s="1"/>
  <c r="B49" i="1" s="1"/>
  <c r="B48" i="1" s="1"/>
  <c r="B47" i="1" s="1"/>
  <c r="H29" i="10"/>
  <c r="C12" i="19"/>
  <c r="C13" i="19"/>
  <c r="C14" i="19"/>
  <c r="C15" i="19"/>
  <c r="C16" i="19"/>
  <c r="C17" i="19"/>
  <c r="C18" i="19"/>
  <c r="C19" i="19"/>
  <c r="C20" i="19"/>
  <c r="C21" i="19"/>
  <c r="C22" i="19"/>
  <c r="C7" i="19"/>
  <c r="C9" i="19"/>
  <c r="C10" i="19"/>
  <c r="H12" i="10"/>
  <c r="M22" i="17"/>
  <c r="M18" i="16" s="1"/>
  <c r="AD53" i="17"/>
  <c r="AC53" i="17"/>
  <c r="AD52" i="17"/>
  <c r="AC52" i="17"/>
  <c r="AG49" i="17"/>
  <c r="AG52" i="17" s="1"/>
  <c r="AF49" i="17"/>
  <c r="AE49" i="17"/>
  <c r="AE52" i="17" s="1"/>
  <c r="AB49" i="17"/>
  <c r="AB53" i="17" s="1"/>
  <c r="AA49" i="17"/>
  <c r="AA52" i="17" s="1"/>
  <c r="Z49" i="17"/>
  <c r="Z52" i="17" s="1"/>
  <c r="F56" i="17"/>
  <c r="F64" i="16" s="1"/>
  <c r="AD48" i="17"/>
  <c r="AC48" i="17"/>
  <c r="AB48" i="17"/>
  <c r="AA48" i="17"/>
  <c r="Z48" i="17"/>
  <c r="AG44" i="17"/>
  <c r="AG48" i="17" s="1"/>
  <c r="AF44" i="17"/>
  <c r="AF48" i="17" s="1"/>
  <c r="AE44" i="17"/>
  <c r="AG39" i="17"/>
  <c r="AF39" i="17"/>
  <c r="AE39" i="17"/>
  <c r="AD39" i="17"/>
  <c r="AC39" i="17"/>
  <c r="AA39" i="17"/>
  <c r="Z39" i="17"/>
  <c r="O74" i="17"/>
  <c r="AE12" i="17"/>
  <c r="AG11" i="17"/>
  <c r="AF11" i="17"/>
  <c r="AE11" i="17"/>
  <c r="AD11"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O7" i="17"/>
  <c r="A2" i="16"/>
  <c r="A1" i="16"/>
  <c r="D56" i="16"/>
  <c r="G56" i="16"/>
  <c r="J56" i="16"/>
  <c r="E56" i="16"/>
  <c r="B80" i="16"/>
  <c r="B64" i="16"/>
  <c r="H56" i="16"/>
  <c r="B82" i="16"/>
  <c r="B81" i="16"/>
  <c r="L56" i="16"/>
  <c r="M56" i="16"/>
  <c r="F56" i="16"/>
  <c r="I56" i="16"/>
  <c r="C4" i="16"/>
  <c r="D4" i="16" s="1"/>
  <c r="E4" i="16" s="1"/>
  <c r="F4" i="16" s="1"/>
  <c r="G4" i="16" s="1"/>
  <c r="H4" i="16" s="1"/>
  <c r="I4" i="16" s="1"/>
  <c r="J4" i="16" s="1"/>
  <c r="K4" i="16" s="1"/>
  <c r="L4" i="16" s="1"/>
  <c r="M4" i="16" s="1"/>
  <c r="H19" i="10"/>
  <c r="H35" i="10"/>
  <c r="K56" i="17"/>
  <c r="K64" i="16" s="1"/>
  <c r="M44" i="16"/>
  <c r="M36" i="17"/>
  <c r="I44" i="16"/>
  <c r="E44" i="16"/>
  <c r="L36" i="17"/>
  <c r="L37" i="17" s="1"/>
  <c r="L43" i="16" s="1"/>
  <c r="I56" i="17"/>
  <c r="I64" i="16" s="1"/>
  <c r="L44" i="16"/>
  <c r="H56" i="17"/>
  <c r="H64" i="16" s="1"/>
  <c r="J44" i="16"/>
  <c r="M56" i="17"/>
  <c r="M64" i="16" s="1"/>
  <c r="G56" i="17"/>
  <c r="G64" i="16" s="1"/>
  <c r="K44" i="16"/>
  <c r="F44" i="16"/>
  <c r="G44" i="16"/>
  <c r="H44" i="16"/>
  <c r="J56" i="17"/>
  <c r="J64" i="16" s="1"/>
  <c r="E56" i="17"/>
  <c r="E64" i="16" s="1"/>
  <c r="D56" i="17"/>
  <c r="D64" i="16" s="1"/>
  <c r="C64" i="16"/>
  <c r="C56" i="16"/>
  <c r="D47" i="17"/>
  <c r="D50" i="17" s="1"/>
  <c r="D55" i="16" s="1"/>
  <c r="D44" i="16"/>
  <c r="C55" i="16"/>
  <c r="C52" i="16"/>
  <c r="B68" i="16"/>
  <c r="B75" i="16"/>
  <c r="C68" i="16"/>
  <c r="D67" i="17"/>
  <c r="D25" i="4" s="1"/>
  <c r="L56" i="17"/>
  <c r="L64" i="16" s="1"/>
  <c r="K56" i="16"/>
  <c r="L63" i="17"/>
  <c r="K67" i="16"/>
  <c r="L67" i="16"/>
  <c r="J68" i="16"/>
  <c r="L68" i="16"/>
  <c r="M68" i="16"/>
  <c r="AJ164" i="22" l="1"/>
  <c r="AB171" i="22"/>
  <c r="AB170" i="22"/>
  <c r="AB172" i="22" s="1"/>
  <c r="AB173" i="22" s="1"/>
  <c r="AC169" i="22"/>
  <c r="P19" i="3"/>
  <c r="D5" i="3"/>
  <c r="D6" i="3"/>
  <c r="S180" i="22"/>
  <c r="C131" i="4" s="1"/>
  <c r="B8" i="10" a="1"/>
  <c r="B8" i="10" s="1"/>
  <c r="B18" i="1" a="1"/>
  <c r="B18" i="1" s="1"/>
  <c r="Q134" i="22"/>
  <c r="N125" i="22"/>
  <c r="N127" i="22"/>
  <c r="H45" i="4"/>
  <c r="O45" i="4"/>
  <c r="J45" i="4"/>
  <c r="F46" i="4"/>
  <c r="Y45" i="4"/>
  <c r="V47" i="4"/>
  <c r="L45" i="4"/>
  <c r="R45" i="4"/>
  <c r="Y47" i="4"/>
  <c r="S47" i="4"/>
  <c r="Q45" i="4"/>
  <c r="AE46" i="4"/>
  <c r="AC46" i="4"/>
  <c r="K45" i="4"/>
  <c r="F45" i="4"/>
  <c r="L46" i="4"/>
  <c r="O46" i="4"/>
  <c r="J47" i="4"/>
  <c r="G47" i="4"/>
  <c r="G46" i="4"/>
  <c r="AC47" i="4"/>
  <c r="K46" i="4"/>
  <c r="AC45" i="4"/>
  <c r="AD46" i="4"/>
  <c r="AD45" i="4"/>
  <c r="U47" i="4"/>
  <c r="X47" i="4"/>
  <c r="U45" i="4"/>
  <c r="Z46" i="4"/>
  <c r="V45" i="4"/>
  <c r="Q47" i="4"/>
  <c r="H47" i="4"/>
  <c r="P46" i="4"/>
  <c r="J46" i="4"/>
  <c r="N45" i="4"/>
  <c r="P45" i="4"/>
  <c r="Z45" i="4"/>
  <c r="H46" i="4"/>
  <c r="W47" i="4"/>
  <c r="H18" i="22"/>
  <c r="F152" i="22"/>
  <c r="C58" i="10"/>
  <c r="H152" i="22"/>
  <c r="E18" i="22"/>
  <c r="I152" i="22"/>
  <c r="D18" i="22"/>
  <c r="J152" i="22"/>
  <c r="C18" i="22"/>
  <c r="K152" i="22"/>
  <c r="J18" i="22"/>
  <c r="D152" i="22"/>
  <c r="K18" i="22"/>
  <c r="C152" i="22"/>
  <c r="L9" i="16"/>
  <c r="L10" i="16" s="1"/>
  <c r="E5" i="4"/>
  <c r="D22" i="4"/>
  <c r="N47" i="4"/>
  <c r="I47" i="4"/>
  <c r="AF47" i="4"/>
  <c r="Z47" i="4"/>
  <c r="M47" i="4"/>
  <c r="AE47" i="4"/>
  <c r="B91" i="16"/>
  <c r="F5" i="4"/>
  <c r="G45" i="4"/>
  <c r="T45" i="4"/>
  <c r="AB47" i="4"/>
  <c r="R47" i="4"/>
  <c r="AE45" i="4"/>
  <c r="AA47" i="4"/>
  <c r="C26" i="16"/>
  <c r="C29" i="16" s="1"/>
  <c r="J26" i="16"/>
  <c r="J29" i="16" s="1"/>
  <c r="M16" i="3"/>
  <c r="M19" i="3"/>
  <c r="N16" i="3"/>
  <c r="C27" i="10"/>
  <c r="G70" i="16"/>
  <c r="I37" i="17"/>
  <c r="I43" i="16" s="1"/>
  <c r="I13" i="17"/>
  <c r="I14" i="17" s="1"/>
  <c r="C46" i="17"/>
  <c r="C51" i="16" s="1"/>
  <c r="AB52" i="17"/>
  <c r="F67" i="17"/>
  <c r="K93" i="16"/>
  <c r="E70" i="16"/>
  <c r="AB13" i="17"/>
  <c r="H17" i="3"/>
  <c r="O17" i="3" s="1"/>
  <c r="F8" i="16"/>
  <c r="Q51" i="1"/>
  <c r="H37" i="17"/>
  <c r="H43" i="16" s="1"/>
  <c r="L16" i="16"/>
  <c r="D16" i="16"/>
  <c r="D8" i="4" s="1"/>
  <c r="D7" i="4" s="1"/>
  <c r="J93" i="16"/>
  <c r="K9" i="16"/>
  <c r="K10" i="16" s="1"/>
  <c r="D26" i="16"/>
  <c r="D29" i="16" s="1"/>
  <c r="L26" i="16"/>
  <c r="L29" i="16" s="1"/>
  <c r="L18" i="3"/>
  <c r="E22" i="17"/>
  <c r="E18" i="16" s="1"/>
  <c r="Y46" i="4"/>
  <c r="I45" i="4"/>
  <c r="AF45" i="4"/>
  <c r="AA46" i="4"/>
  <c r="T47" i="4"/>
  <c r="U46" i="4"/>
  <c r="M45" i="4"/>
  <c r="AA45" i="4"/>
  <c r="V46" i="4"/>
  <c r="O47" i="4"/>
  <c r="Q46" i="4"/>
  <c r="AB46" i="4"/>
  <c r="AB45" i="4"/>
  <c r="W46" i="4"/>
  <c r="P47" i="4"/>
  <c r="M46" i="4"/>
  <c r="AF46" i="4"/>
  <c r="W45" i="4"/>
  <c r="R46" i="4"/>
  <c r="K47" i="4"/>
  <c r="B33" i="16"/>
  <c r="F24" i="4" s="1"/>
  <c r="I46" i="4"/>
  <c r="T46" i="4"/>
  <c r="X45" i="4"/>
  <c r="S46" i="4"/>
  <c r="L47" i="4"/>
  <c r="AD47" i="4"/>
  <c r="X46" i="4"/>
  <c r="S45" i="4"/>
  <c r="N46" i="4"/>
  <c r="F47" i="4"/>
  <c r="B67" i="17"/>
  <c r="F25" i="4" s="1"/>
  <c r="G9" i="4"/>
  <c r="G41" i="4" s="1"/>
  <c r="Q50" i="1"/>
  <c r="J70" i="16"/>
  <c r="Q23" i="22"/>
  <c r="C22" i="17"/>
  <c r="C18" i="16" s="1"/>
  <c r="L63" i="23"/>
  <c r="M60" i="23"/>
  <c r="J37" i="17"/>
  <c r="J43" i="16" s="1"/>
  <c r="D91" i="16"/>
  <c r="J8" i="16"/>
  <c r="AE13" i="17"/>
  <c r="AF53" i="17"/>
  <c r="U34" i="16"/>
  <c r="Q53" i="1"/>
  <c r="Q16" i="22"/>
  <c r="K37" i="17"/>
  <c r="K43" i="16" s="1"/>
  <c r="F37" i="17"/>
  <c r="F43" i="16" s="1"/>
  <c r="N18" i="3"/>
  <c r="L15" i="3"/>
  <c r="O53" i="23"/>
  <c r="E22" i="4"/>
  <c r="M37" i="17"/>
  <c r="M43" i="16" s="1"/>
  <c r="AA53" i="17"/>
  <c r="Z13" i="17"/>
  <c r="F26" i="16"/>
  <c r="F29" i="16" s="1"/>
  <c r="J29" i="22"/>
  <c r="N21" i="22"/>
  <c r="K44" i="23"/>
  <c r="F5" i="3"/>
  <c r="L16" i="3"/>
  <c r="Q21" i="22"/>
  <c r="N21" i="23"/>
  <c r="H67" i="17"/>
  <c r="Q54" i="1"/>
  <c r="T7" i="19"/>
  <c r="B22" i="17"/>
  <c r="B18" i="16" s="1"/>
  <c r="K32" i="23"/>
  <c r="M32" i="23"/>
  <c r="K18" i="3"/>
  <c r="G39" i="4"/>
  <c r="G38" i="4"/>
  <c r="H10" i="4" s="1"/>
  <c r="Q8" i="22"/>
  <c r="E8" i="3"/>
  <c r="K8" i="3" s="1"/>
  <c r="K22" i="17"/>
  <c r="K18" i="16" s="1"/>
  <c r="F22" i="4"/>
  <c r="K42" i="23"/>
  <c r="K34" i="23"/>
  <c r="N23" i="23"/>
  <c r="C67" i="17"/>
  <c r="E25" i="4" s="1"/>
  <c r="T9" i="19"/>
  <c r="T6" i="19"/>
  <c r="L52" i="23"/>
  <c r="K31" i="23"/>
  <c r="O9" i="23"/>
  <c r="L61" i="23"/>
  <c r="L70" i="16"/>
  <c r="G37" i="17"/>
  <c r="G43" i="16" s="1"/>
  <c r="I22" i="17"/>
  <c r="I18" i="16" s="1"/>
  <c r="C37" i="17"/>
  <c r="C43" i="16" s="1"/>
  <c r="C13" i="17"/>
  <c r="C14" i="17" s="1"/>
  <c r="L33" i="23"/>
  <c r="L59" i="23"/>
  <c r="O19" i="23"/>
  <c r="K38" i="23"/>
  <c r="M61" i="23"/>
  <c r="M29" i="23"/>
  <c r="M47" i="23"/>
  <c r="N12" i="23"/>
  <c r="N43" i="23"/>
  <c r="E17" i="3"/>
  <c r="E7" i="3" s="1"/>
  <c r="M15" i="3"/>
  <c r="F93" i="16"/>
  <c r="AC13" i="17"/>
  <c r="G28" i="22"/>
  <c r="AD13" i="17"/>
  <c r="G16" i="16"/>
  <c r="F28" i="22"/>
  <c r="K33" i="23"/>
  <c r="L40" i="23"/>
  <c r="O48" i="23"/>
  <c r="M57" i="23"/>
  <c r="O16" i="22"/>
  <c r="E37" i="17"/>
  <c r="E43" i="16" s="1"/>
  <c r="P9" i="22"/>
  <c r="B37" i="17"/>
  <c r="B43" i="16" s="1"/>
  <c r="E26" i="1" s="1"/>
  <c r="Q55" i="1"/>
  <c r="F58" i="1"/>
  <c r="F59" i="1"/>
  <c r="P22" i="22"/>
  <c r="M25" i="23"/>
  <c r="K11" i="23"/>
  <c r="N30" i="23"/>
  <c r="L47" i="23"/>
  <c r="K10" i="23"/>
  <c r="L54" i="23"/>
  <c r="O22" i="23"/>
  <c r="M55" i="23"/>
  <c r="M39" i="23"/>
  <c r="M30" i="23"/>
  <c r="N54" i="23"/>
  <c r="N56" i="23"/>
  <c r="K70" i="16"/>
  <c r="I67" i="17"/>
  <c r="O23" i="22"/>
  <c r="T8" i="19"/>
  <c r="J22" i="17"/>
  <c r="J18" i="16" s="1"/>
  <c r="B13" i="17"/>
  <c r="B14" i="17" s="1"/>
  <c r="N49" i="23"/>
  <c r="H22" i="17"/>
  <c r="H18" i="16" s="1"/>
  <c r="O15" i="23"/>
  <c r="O42" i="23"/>
  <c r="N18" i="23"/>
  <c r="O59" i="23"/>
  <c r="K57" i="23"/>
  <c r="K49" i="23"/>
  <c r="L46" i="23"/>
  <c r="L38" i="23"/>
  <c r="O35" i="23"/>
  <c r="O27" i="23"/>
  <c r="K25" i="23"/>
  <c r="K17" i="23"/>
  <c r="L14" i="23"/>
  <c r="L6" i="23"/>
  <c r="O49" i="23"/>
  <c r="M44" i="23"/>
  <c r="M36" i="23"/>
  <c r="M12" i="23"/>
  <c r="M14" i="23"/>
  <c r="D35" i="16"/>
  <c r="D36" i="16" s="1"/>
  <c r="L34" i="16"/>
  <c r="I58" i="16"/>
  <c r="I59" i="16" s="1"/>
  <c r="E35" i="16"/>
  <c r="E36" i="16" s="1"/>
  <c r="M34" i="16"/>
  <c r="J58" i="16"/>
  <c r="J60" i="16" s="1"/>
  <c r="AE53" i="17"/>
  <c r="M8" i="16"/>
  <c r="K27" i="22"/>
  <c r="D37" i="17"/>
  <c r="D43" i="16" s="1"/>
  <c r="G22" i="17"/>
  <c r="G18" i="16" s="1"/>
  <c r="L34" i="23"/>
  <c r="N3" i="23"/>
  <c r="AA13" i="17"/>
  <c r="L35" i="16"/>
  <c r="L36" i="16" s="1"/>
  <c r="D34" i="16"/>
  <c r="AF13" i="17"/>
  <c r="J16" i="16"/>
  <c r="M35" i="16"/>
  <c r="M36" i="16" s="1"/>
  <c r="E34" i="16"/>
  <c r="AF52" i="17"/>
  <c r="K19" i="16"/>
  <c r="K20" i="16" s="1"/>
  <c r="Q52" i="1"/>
  <c r="P16" i="22"/>
  <c r="O47" i="23"/>
  <c r="N9" i="23"/>
  <c r="N34" i="23"/>
  <c r="M43" i="23"/>
  <c r="N4" i="23"/>
  <c r="K16" i="3"/>
  <c r="G5" i="3"/>
  <c r="P23" i="22"/>
  <c r="D22" i="17"/>
  <c r="D18" i="16" s="1"/>
  <c r="M26" i="23"/>
  <c r="N35" i="23"/>
  <c r="K6" i="23"/>
  <c r="K15" i="3"/>
  <c r="N8" i="23"/>
  <c r="M50" i="23"/>
  <c r="O63" i="23"/>
  <c r="K61" i="23"/>
  <c r="L58" i="23"/>
  <c r="O55" i="23"/>
  <c r="K37" i="23"/>
  <c r="L26" i="23"/>
  <c r="K40" i="23"/>
  <c r="K20" i="23"/>
  <c r="M64" i="23"/>
  <c r="M40" i="23"/>
  <c r="M8" i="23"/>
  <c r="N15" i="23"/>
  <c r="N33" i="23"/>
  <c r="N24" i="23"/>
  <c r="G9" i="16"/>
  <c r="G10" i="16" s="1"/>
  <c r="G22" i="16"/>
  <c r="Z53" i="17"/>
  <c r="AE48" i="17"/>
  <c r="F9" i="16"/>
  <c r="F10" i="16" s="1"/>
  <c r="L27" i="22"/>
  <c r="G35" i="16"/>
  <c r="G36" i="16" s="1"/>
  <c r="E26" i="16"/>
  <c r="E29" i="16" s="1"/>
  <c r="K58" i="16"/>
  <c r="K60" i="16" s="1"/>
  <c r="C91" i="16"/>
  <c r="F24" i="16"/>
  <c r="G18" i="22"/>
  <c r="H28" i="22"/>
  <c r="H26" i="22"/>
  <c r="F29" i="22"/>
  <c r="D52" i="16"/>
  <c r="AG53" i="17"/>
  <c r="AG13" i="17"/>
  <c r="G93" i="16"/>
  <c r="M16" i="16"/>
  <c r="E16" i="16"/>
  <c r="E6" i="16"/>
  <c r="C87" i="17"/>
  <c r="F18" i="22"/>
  <c r="I35" i="16"/>
  <c r="I36" i="16" s="1"/>
  <c r="E93" i="16"/>
  <c r="F56" i="1"/>
  <c r="O22" i="22"/>
  <c r="Q22" i="22"/>
  <c r="N23" i="22"/>
  <c r="I5" i="3"/>
  <c r="P5" i="3" s="1"/>
  <c r="P15" i="3"/>
  <c r="I20" i="3"/>
  <c r="K19" i="3"/>
  <c r="D9" i="3"/>
  <c r="K9" i="3" s="1"/>
  <c r="G8" i="16"/>
  <c r="K16" i="16"/>
  <c r="K29" i="22"/>
  <c r="N22" i="22"/>
  <c r="H27" i="10"/>
  <c r="I27" i="10" s="1"/>
  <c r="P8" i="22"/>
  <c r="N9" i="22"/>
  <c r="S9" i="22" s="1"/>
  <c r="O9" i="22"/>
  <c r="Q9" i="22"/>
  <c r="F22" i="17"/>
  <c r="F18" i="16" s="1"/>
  <c r="N8" i="22"/>
  <c r="S8" i="22" s="1"/>
  <c r="N16" i="22"/>
  <c r="O8" i="22"/>
  <c r="T8" i="22" s="1"/>
  <c r="M49" i="23"/>
  <c r="L53" i="23"/>
  <c r="M58" i="23"/>
  <c r="O61" i="23"/>
  <c r="N38" i="23"/>
  <c r="L3" i="23"/>
  <c r="L57" i="23"/>
  <c r="L22" i="23"/>
  <c r="M53" i="23"/>
  <c r="O54" i="23"/>
  <c r="O33" i="23"/>
  <c r="H5" i="3"/>
  <c r="N15" i="3"/>
  <c r="O15" i="3"/>
  <c r="F8" i="3"/>
  <c r="M8" i="3" s="1"/>
  <c r="M18" i="3"/>
  <c r="O10" i="23"/>
  <c r="K64" i="23"/>
  <c r="K19" i="23"/>
  <c r="N60" i="23"/>
  <c r="O16" i="23"/>
  <c r="N11" i="23"/>
  <c r="K41" i="23"/>
  <c r="K12" i="23"/>
  <c r="L7" i="23"/>
  <c r="K55" i="23"/>
  <c r="K62" i="23"/>
  <c r="O56" i="23"/>
  <c r="K54" i="23"/>
  <c r="L51" i="23"/>
  <c r="L43" i="23"/>
  <c r="O40" i="23"/>
  <c r="L35" i="23"/>
  <c r="O32" i="23"/>
  <c r="K30" i="23"/>
  <c r="K22" i="23"/>
  <c r="L19" i="23"/>
  <c r="K14" i="23"/>
  <c r="L11" i="23"/>
  <c r="O8" i="23"/>
  <c r="L28" i="23"/>
  <c r="M59" i="23"/>
  <c r="M51" i="23"/>
  <c r="M27" i="23"/>
  <c r="M19" i="23"/>
  <c r="N46" i="23"/>
  <c r="K5" i="23"/>
  <c r="O18" i="23"/>
  <c r="O4" i="23"/>
  <c r="O21" i="23"/>
  <c r="N10" i="23"/>
  <c r="N62" i="23"/>
  <c r="O24" i="23"/>
  <c r="M28" i="23"/>
  <c r="O43" i="23"/>
  <c r="M22" i="23"/>
  <c r="K13" i="23"/>
  <c r="L62" i="23"/>
  <c r="L21" i="23"/>
  <c r="L32" i="23"/>
  <c r="N26" i="23"/>
  <c r="N53" i="23"/>
  <c r="L27" i="23"/>
  <c r="M52" i="23"/>
  <c r="K53" i="23"/>
  <c r="L50" i="23"/>
  <c r="K45" i="23"/>
  <c r="L42" i="23"/>
  <c r="O39" i="23"/>
  <c r="O31" i="23"/>
  <c r="K29" i="23"/>
  <c r="O23" i="23"/>
  <c r="K21" i="23"/>
  <c r="L18" i="23"/>
  <c r="L10" i="23"/>
  <c r="O7" i="23"/>
  <c r="K7" i="23"/>
  <c r="K59" i="23"/>
  <c r="K16" i="23"/>
  <c r="K47" i="23"/>
  <c r="K60" i="23"/>
  <c r="K36" i="23"/>
  <c r="K35" i="23"/>
  <c r="K56" i="23"/>
  <c r="K63" i="23"/>
  <c r="K23" i="23"/>
  <c r="K52" i="23"/>
  <c r="K9" i="23"/>
  <c r="K51" i="23"/>
  <c r="K8" i="23"/>
  <c r="K39" i="23"/>
  <c r="K28" i="23"/>
  <c r="K27" i="23"/>
  <c r="K48" i="23"/>
  <c r="K15" i="23"/>
  <c r="K4" i="23"/>
  <c r="K3" i="23"/>
  <c r="K24" i="23"/>
  <c r="M56" i="23"/>
  <c r="M48" i="23"/>
  <c r="M24" i="23"/>
  <c r="M16" i="23"/>
  <c r="N7" i="23"/>
  <c r="N19" i="23"/>
  <c r="N57" i="23"/>
  <c r="N41" i="23"/>
  <c r="N31" i="23"/>
  <c r="K43" i="23"/>
  <c r="M11" i="23"/>
  <c r="K46" i="23"/>
  <c r="O11" i="23"/>
  <c r="L41" i="23"/>
  <c r="L12" i="23"/>
  <c r="O60" i="23"/>
  <c r="K58" i="23"/>
  <c r="L55" i="23"/>
  <c r="O52" i="23"/>
  <c r="K50" i="23"/>
  <c r="O44" i="23"/>
  <c r="L39" i="23"/>
  <c r="O36" i="23"/>
  <c r="L31" i="23"/>
  <c r="O28" i="23"/>
  <c r="K26" i="23"/>
  <c r="L23" i="23"/>
  <c r="O20" i="23"/>
  <c r="K18" i="23"/>
  <c r="L15" i="23"/>
  <c r="O12" i="23"/>
  <c r="L44" i="23"/>
  <c r="L8" i="23"/>
  <c r="L29" i="23"/>
  <c r="O37" i="23"/>
  <c r="O58" i="23"/>
  <c r="O41" i="23"/>
  <c r="O30" i="23"/>
  <c r="O51" i="23"/>
  <c r="O29" i="23"/>
  <c r="O50" i="23"/>
  <c r="O64" i="23"/>
  <c r="O26" i="23"/>
  <c r="M63" i="23"/>
  <c r="M31" i="23"/>
  <c r="M23" i="23"/>
  <c r="M15" i="23"/>
  <c r="M42" i="23"/>
  <c r="M41" i="23"/>
  <c r="M7" i="23"/>
  <c r="M33" i="23"/>
  <c r="M62" i="23"/>
  <c r="M54" i="23"/>
  <c r="M21" i="23"/>
  <c r="M20" i="23"/>
  <c r="M35" i="23"/>
  <c r="M18" i="23"/>
  <c r="M17" i="23"/>
  <c r="M10" i="23"/>
  <c r="M9" i="23"/>
  <c r="M3" i="23"/>
  <c r="N14" i="23"/>
  <c r="N6" i="23"/>
  <c r="N13" i="23"/>
  <c r="N37" i="23"/>
  <c r="N20" i="23"/>
  <c r="N61" i="23"/>
  <c r="N64" i="23"/>
  <c r="N48" i="23"/>
  <c r="N40" i="23"/>
  <c r="N32" i="23"/>
  <c r="N16" i="23"/>
  <c r="L45" i="23"/>
  <c r="L64" i="23"/>
  <c r="N17" i="23"/>
  <c r="L24" i="23"/>
  <c r="O45" i="23"/>
  <c r="N27" i="23"/>
  <c r="N52" i="23"/>
  <c r="N22" i="23"/>
  <c r="N47" i="23"/>
  <c r="N63" i="23"/>
  <c r="N25" i="23"/>
  <c r="M4" i="23"/>
  <c r="O3" i="23"/>
  <c r="M5" i="23"/>
  <c r="L25" i="23"/>
  <c r="O46" i="23"/>
  <c r="M38" i="23"/>
  <c r="L36" i="23"/>
  <c r="O57" i="23"/>
  <c r="O19" i="3"/>
  <c r="L5" i="23"/>
  <c r="O5" i="23"/>
  <c r="L48" i="23"/>
  <c r="O62" i="23"/>
  <c r="N44" i="23"/>
  <c r="N55" i="23"/>
  <c r="N39" i="23"/>
  <c r="N28" i="23"/>
  <c r="M13" i="23"/>
  <c r="O6" i="23"/>
  <c r="L49" i="23"/>
  <c r="M46" i="23"/>
  <c r="O17" i="23"/>
  <c r="L60" i="23"/>
  <c r="N19" i="3"/>
  <c r="L30" i="23"/>
  <c r="L9" i="23"/>
  <c r="N5" i="23"/>
  <c r="L20" i="23"/>
  <c r="L13" i="23"/>
  <c r="O34" i="23"/>
  <c r="M34" i="23"/>
  <c r="O13" i="23"/>
  <c r="L56" i="23"/>
  <c r="N45" i="23"/>
  <c r="N50" i="23"/>
  <c r="N58" i="23"/>
  <c r="N29" i="23"/>
  <c r="M37" i="23"/>
  <c r="O14" i="23"/>
  <c r="M6" i="23"/>
  <c r="L4" i="23"/>
  <c r="O25" i="23"/>
  <c r="G17" i="3"/>
  <c r="G20" i="3" s="1"/>
  <c r="L37" i="23"/>
  <c r="L16" i="23"/>
  <c r="N36" i="23"/>
  <c r="N42" i="23"/>
  <c r="N51" i="23"/>
  <c r="N59" i="23"/>
  <c r="M45" i="23"/>
  <c r="L17" i="23"/>
  <c r="O38" i="23"/>
  <c r="H52" i="10"/>
  <c r="I52" i="10" s="1"/>
  <c r="C8" i="16"/>
  <c r="D27" i="22"/>
  <c r="C93" i="16"/>
  <c r="C58" i="16"/>
  <c r="E44" i="4" s="1"/>
  <c r="D19" i="22"/>
  <c r="E29" i="4"/>
  <c r="E32" i="4" s="1"/>
  <c r="C22" i="16"/>
  <c r="I9" i="16"/>
  <c r="I10" i="16" s="1"/>
  <c r="W34" i="16"/>
  <c r="I12" i="16"/>
  <c r="J25" i="22"/>
  <c r="M12" i="16"/>
  <c r="M13" i="16" s="1"/>
  <c r="D29" i="22"/>
  <c r="G34" i="16"/>
  <c r="D19" i="16"/>
  <c r="D20" i="16" s="1"/>
  <c r="I22" i="16"/>
  <c r="C59" i="10"/>
  <c r="E26" i="22"/>
  <c r="D58" i="16"/>
  <c r="D44" i="4" s="1"/>
  <c r="G65" i="4" s="1"/>
  <c r="C9" i="16"/>
  <c r="C10" i="16" s="1"/>
  <c r="D12" i="16"/>
  <c r="C24" i="16"/>
  <c r="E25" i="22"/>
  <c r="E8" i="16"/>
  <c r="D23" i="4"/>
  <c r="D26" i="4" s="1"/>
  <c r="D25" i="22"/>
  <c r="G12" i="16"/>
  <c r="E27" i="22"/>
  <c r="C34" i="16"/>
  <c r="I6" i="16"/>
  <c r="I8" i="16"/>
  <c r="F12" i="16"/>
  <c r="G19" i="16"/>
  <c r="G20" i="16" s="1"/>
  <c r="J19" i="22"/>
  <c r="E22" i="16"/>
  <c r="H19" i="22"/>
  <c r="M22" i="16"/>
  <c r="D24" i="16"/>
  <c r="I24" i="16"/>
  <c r="F27" i="22"/>
  <c r="G27" i="22"/>
  <c r="H27" i="22"/>
  <c r="I93" i="16"/>
  <c r="K28" i="22"/>
  <c r="K35" i="16"/>
  <c r="K36" i="16" s="1"/>
  <c r="J26" i="22"/>
  <c r="J34" i="16"/>
  <c r="K34" i="16"/>
  <c r="X34" i="16"/>
  <c r="Y34" i="16"/>
  <c r="E29" i="22"/>
  <c r="E58" i="16"/>
  <c r="S38" i="16" s="1"/>
  <c r="F58" i="16"/>
  <c r="T38" i="16" s="1"/>
  <c r="H29" i="22"/>
  <c r="L58" i="16"/>
  <c r="L59" i="16" s="1"/>
  <c r="M58" i="16"/>
  <c r="M59" i="16" s="1"/>
  <c r="Q49" i="1"/>
  <c r="L2" i="1" a="1"/>
  <c r="L2" i="1" s="1"/>
  <c r="B35" i="16"/>
  <c r="B36" i="16" s="1"/>
  <c r="E38" i="10"/>
  <c r="C77" i="10"/>
  <c r="O9" i="3"/>
  <c r="N9" i="3"/>
  <c r="L9" i="3"/>
  <c r="M9" i="3"/>
  <c r="P7" i="3"/>
  <c r="N8" i="3"/>
  <c r="O8" i="3"/>
  <c r="F7" i="3"/>
  <c r="J22" i="16"/>
  <c r="F19" i="22"/>
  <c r="L19" i="16"/>
  <c r="L20" i="16" s="1"/>
  <c r="L12" i="16"/>
  <c r="J6" i="16"/>
  <c r="M9" i="16"/>
  <c r="M10" i="16" s="1"/>
  <c r="K26" i="16"/>
  <c r="K29" i="16" s="1"/>
  <c r="D30" i="4"/>
  <c r="E24" i="4"/>
  <c r="D26" i="22"/>
  <c r="J9" i="16"/>
  <c r="J10" i="16" s="1"/>
  <c r="D6" i="16"/>
  <c r="D5" i="4" s="1"/>
  <c r="F35" i="16"/>
  <c r="F36" i="16" s="1"/>
  <c r="L6" i="16"/>
  <c r="D22" i="16"/>
  <c r="G58" i="16"/>
  <c r="G29" i="22"/>
  <c r="J19" i="16"/>
  <c r="J20" i="16" s="1"/>
  <c r="K19" i="22"/>
  <c r="F6" i="16"/>
  <c r="E9" i="16"/>
  <c r="E10" i="16" s="1"/>
  <c r="J35" i="16"/>
  <c r="J36" i="16" s="1"/>
  <c r="M19" i="16"/>
  <c r="M20" i="16" s="1"/>
  <c r="E12" i="16"/>
  <c r="J12" i="16"/>
  <c r="L8" i="16"/>
  <c r="L28" i="22"/>
  <c r="J27" i="22"/>
  <c r="D8" i="16"/>
  <c r="G19" i="22"/>
  <c r="J28" i="22"/>
  <c r="C19" i="16"/>
  <c r="C6" i="16"/>
  <c r="G25" i="22"/>
  <c r="F34" i="16"/>
  <c r="H42" i="10"/>
  <c r="I42" i="10" s="1"/>
  <c r="D9" i="16"/>
  <c r="D10" i="16" s="1"/>
  <c r="E5" i="17"/>
  <c r="D87" i="17"/>
  <c r="K12" i="16"/>
  <c r="L24" i="16"/>
  <c r="K8" i="16"/>
  <c r="F26" i="22"/>
  <c r="E19" i="22"/>
  <c r="K26" i="22"/>
  <c r="L18" i="22"/>
  <c r="C12" i="16"/>
  <c r="C16" i="16"/>
  <c r="E8" i="4" s="1"/>
  <c r="D28" i="22"/>
  <c r="M29" i="16"/>
  <c r="L22" i="16"/>
  <c r="F25" i="22"/>
  <c r="H25" i="22"/>
  <c r="D93" i="16"/>
  <c r="E28" i="22"/>
  <c r="L26" i="22"/>
  <c r="F19" i="16"/>
  <c r="I34" i="16"/>
  <c r="F16" i="16"/>
  <c r="K22" i="16"/>
  <c r="E24" i="16"/>
  <c r="J24" i="16"/>
  <c r="K25" i="22"/>
  <c r="I19" i="16"/>
  <c r="I20" i="16" s="1"/>
  <c r="M24" i="16"/>
  <c r="M25" i="16" s="1"/>
  <c r="F7" i="22"/>
  <c r="E15" i="22"/>
  <c r="I16" i="16"/>
  <c r="L19" i="22"/>
  <c r="G24" i="16"/>
  <c r="C35" i="16"/>
  <c r="C36" i="16" s="1"/>
  <c r="L25" i="22"/>
  <c r="G26" i="22"/>
  <c r="I26" i="16"/>
  <c r="I29" i="16" s="1"/>
  <c r="K6" i="16"/>
  <c r="E19" i="16"/>
  <c r="F22" i="16"/>
  <c r="K24" i="16"/>
  <c r="L29" i="22"/>
  <c r="D15" i="22"/>
  <c r="G26" i="16"/>
  <c r="G29" i="16" s="1"/>
  <c r="H9" i="16"/>
  <c r="H10" i="16" s="1"/>
  <c r="D17" i="3"/>
  <c r="E6" i="3"/>
  <c r="F20" i="3"/>
  <c r="P34" i="16"/>
  <c r="B6" i="16"/>
  <c r="L48" i="1"/>
  <c r="C21" i="1" a="1"/>
  <c r="C21" i="1" s="1"/>
  <c r="C48" i="10" s="1"/>
  <c r="C47" i="10" s="1"/>
  <c r="G56" i="10"/>
  <c r="G10" i="10" a="1"/>
  <c r="G10" i="10" s="1"/>
  <c r="G39" i="10" s="1"/>
  <c r="G48" i="10" a="1"/>
  <c r="G48" i="10" s="1"/>
  <c r="G47" i="10" s="1"/>
  <c r="C65" i="10"/>
  <c r="H19" i="16"/>
  <c r="C64" i="10"/>
  <c r="C56" i="10"/>
  <c r="H34" i="16"/>
  <c r="E56" i="10"/>
  <c r="F56" i="10"/>
  <c r="F10" i="10" a="1"/>
  <c r="F10" i="10" s="1"/>
  <c r="F37" i="10" s="1"/>
  <c r="M23" i="1" a="1"/>
  <c r="M23" i="1" s="1"/>
  <c r="C43" i="10" s="1"/>
  <c r="H43" i="10" s="1"/>
  <c r="I43" i="10" s="1"/>
  <c r="N4" i="19"/>
  <c r="C47" i="1" a="1"/>
  <c r="N53" i="1" s="1"/>
  <c r="K26" i="1"/>
  <c r="L54" i="1"/>
  <c r="M50" i="1"/>
  <c r="K31" i="1"/>
  <c r="B22" i="16"/>
  <c r="C28" i="22"/>
  <c r="M55" i="1"/>
  <c r="H58" i="16"/>
  <c r="H59" i="16" s="1"/>
  <c r="M49" i="1"/>
  <c r="B93" i="16"/>
  <c r="F48" i="10" a="1"/>
  <c r="F48" i="10" s="1"/>
  <c r="F50" i="10" s="1"/>
  <c r="E48" i="10" a="1"/>
  <c r="E48" i="10" s="1"/>
  <c r="E47" i="10" s="1"/>
  <c r="L51" i="1"/>
  <c r="C25" i="22"/>
  <c r="C27" i="22"/>
  <c r="B9" i="16"/>
  <c r="B10" i="16" s="1"/>
  <c r="B12" i="16"/>
  <c r="C60" i="10"/>
  <c r="C34" i="10" s="1"/>
  <c r="H34" i="10" s="1"/>
  <c r="I34" i="10" s="1"/>
  <c r="B24" i="16"/>
  <c r="C8" i="10"/>
  <c r="C10" i="10" s="1" a="1"/>
  <c r="C10" i="10" s="1"/>
  <c r="C36" i="10" s="1"/>
  <c r="C22" i="1" a="1"/>
  <c r="C22" i="1" s="1"/>
  <c r="E23" i="1" s="1"/>
  <c r="H6" i="16"/>
  <c r="H8" i="16"/>
  <c r="G6" i="16"/>
  <c r="C79" i="10"/>
  <c r="F14" i="4"/>
  <c r="C19" i="22"/>
  <c r="B16" i="16"/>
  <c r="F8" i="4" s="1"/>
  <c r="B19" i="16"/>
  <c r="H24" i="16"/>
  <c r="H35" i="16"/>
  <c r="H36" i="16" s="1"/>
  <c r="I28" i="22"/>
  <c r="H93" i="16"/>
  <c r="V34" i="16"/>
  <c r="H26" i="16"/>
  <c r="H29" i="16" s="1"/>
  <c r="I29" i="22"/>
  <c r="C61" i="10"/>
  <c r="B8" i="16"/>
  <c r="C69" i="10"/>
  <c r="C28" i="10" s="1"/>
  <c r="C25" i="1"/>
  <c r="B26" i="16"/>
  <c r="B29" i="16" s="1"/>
  <c r="C29" i="22"/>
  <c r="B58" i="16"/>
  <c r="AH12" i="23" s="1"/>
  <c r="I18" i="22"/>
  <c r="I26" i="22"/>
  <c r="I19" i="22"/>
  <c r="H22" i="16"/>
  <c r="L50" i="1"/>
  <c r="H16" i="16"/>
  <c r="H12" i="16"/>
  <c r="I27" i="22"/>
  <c r="I25" i="22"/>
  <c r="L55" i="1"/>
  <c r="L53" i="1"/>
  <c r="H47" i="1" a="1"/>
  <c r="M52" i="1"/>
  <c r="L49" i="1"/>
  <c r="M48" i="1"/>
  <c r="L56" i="1"/>
  <c r="M56" i="1"/>
  <c r="M53" i="1"/>
  <c r="E21" i="1"/>
  <c r="E36" i="10"/>
  <c r="E40" i="10"/>
  <c r="E22" i="1"/>
  <c r="M54" i="1"/>
  <c r="K24" i="1"/>
  <c r="M51" i="1"/>
  <c r="F17" i="4"/>
  <c r="E37" i="10"/>
  <c r="E39" i="10"/>
  <c r="D48" i="10" a="1"/>
  <c r="D48" i="10" s="1"/>
  <c r="D47" i="10" s="1"/>
  <c r="D56" i="10"/>
  <c r="M4" i="19"/>
  <c r="F30" i="4"/>
  <c r="F35" i="4" s="1"/>
  <c r="AC170" i="22" l="1"/>
  <c r="AC172" i="22" s="1"/>
  <c r="AC173" i="22" s="1"/>
  <c r="AC171" i="22"/>
  <c r="AD169" i="22"/>
  <c r="AK164" i="22"/>
  <c r="C132" i="4"/>
  <c r="C137" i="4" s="1"/>
  <c r="C130" i="4"/>
  <c r="C135" i="4" s="1"/>
  <c r="C136" i="4"/>
  <c r="S181" i="22"/>
  <c r="S182" i="22"/>
  <c r="T178" i="22"/>
  <c r="O128" i="22" s="1"/>
  <c r="R134" i="22"/>
  <c r="N18" i="22"/>
  <c r="D34" i="4"/>
  <c r="H20" i="3"/>
  <c r="N20" i="3" s="1"/>
  <c r="H7" i="3"/>
  <c r="H10" i="3" s="1"/>
  <c r="K5" i="3"/>
  <c r="Z5" i="23"/>
  <c r="Y5" i="23" s="1"/>
  <c r="E20" i="3"/>
  <c r="L20" i="3" s="1"/>
  <c r="Z56" i="23"/>
  <c r="Y56" i="23" s="1"/>
  <c r="Z48" i="23"/>
  <c r="Y48" i="23" s="1"/>
  <c r="L17" i="3"/>
  <c r="O5" i="3"/>
  <c r="E26" i="4"/>
  <c r="E34" i="4" s="1"/>
  <c r="D15" i="4"/>
  <c r="D12" i="4"/>
  <c r="H53" i="4" s="1"/>
  <c r="H38" i="4"/>
  <c r="I10" i="4" s="1"/>
  <c r="S60" i="23"/>
  <c r="Z23" i="23"/>
  <c r="Y23" i="23" s="1"/>
  <c r="Z18" i="23"/>
  <c r="Y18" i="23" s="1"/>
  <c r="Z31" i="23"/>
  <c r="Y31" i="23" s="1"/>
  <c r="D59" i="16"/>
  <c r="Z22" i="23"/>
  <c r="Y22" i="23" s="1"/>
  <c r="Z21" i="23"/>
  <c r="Y21" i="23" s="1"/>
  <c r="M60" i="16"/>
  <c r="B34" i="16"/>
  <c r="I47" i="1" s="1" a="1"/>
  <c r="S53" i="1" s="1"/>
  <c r="H39" i="4"/>
  <c r="M30" i="16"/>
  <c r="M31" i="16" s="1"/>
  <c r="Z53" i="23"/>
  <c r="Y53" i="23" s="1"/>
  <c r="Z52" i="23"/>
  <c r="Y52" i="23" s="1"/>
  <c r="Z32" i="23"/>
  <c r="Y32" i="23" s="1"/>
  <c r="Z12" i="23"/>
  <c r="Y12" i="23" s="1"/>
  <c r="Z54" i="23"/>
  <c r="Y54" i="23" s="1"/>
  <c r="W38" i="16"/>
  <c r="Z64" i="23"/>
  <c r="Y64" i="23" s="1"/>
  <c r="S18" i="23"/>
  <c r="M5" i="3"/>
  <c r="F26" i="4"/>
  <c r="F34" i="4" s="1"/>
  <c r="F36" i="4" s="1"/>
  <c r="C26" i="22"/>
  <c r="N26" i="22" s="1"/>
  <c r="L52" i="1"/>
  <c r="I60" i="16"/>
  <c r="S30" i="23"/>
  <c r="Z19" i="23"/>
  <c r="Y19" i="23" s="1"/>
  <c r="L5" i="3"/>
  <c r="S45" i="23"/>
  <c r="Z30" i="23"/>
  <c r="Y30" i="23" s="1"/>
  <c r="Z24" i="23"/>
  <c r="Y24" i="23" s="1"/>
  <c r="S8" i="23"/>
  <c r="J59" i="16"/>
  <c r="Y38" i="16"/>
  <c r="L31" i="22"/>
  <c r="Z27" i="23"/>
  <c r="Y27" i="23" s="1"/>
  <c r="X38" i="16"/>
  <c r="Z28" i="23"/>
  <c r="Y28" i="23" s="1"/>
  <c r="Z4" i="23"/>
  <c r="Y4" i="23" s="1"/>
  <c r="Z9" i="23"/>
  <c r="Y9" i="23" s="1"/>
  <c r="K95" i="16"/>
  <c r="Z42" i="23"/>
  <c r="Y42" i="23" s="1"/>
  <c r="Z55" i="23"/>
  <c r="Y55" i="23" s="1"/>
  <c r="B25" i="16"/>
  <c r="Z8" i="23"/>
  <c r="Y8" i="23" s="1"/>
  <c r="K59" i="16"/>
  <c r="K25" i="16"/>
  <c r="E60" i="16"/>
  <c r="S24" i="23"/>
  <c r="Z3" i="23"/>
  <c r="Y3" i="23" s="1"/>
  <c r="O18" i="22"/>
  <c r="Z16" i="23"/>
  <c r="Y16" i="23" s="1"/>
  <c r="S6" i="23"/>
  <c r="S35" i="23"/>
  <c r="S11" i="23"/>
  <c r="I30" i="16"/>
  <c r="I31" i="16" s="1"/>
  <c r="Z40" i="23"/>
  <c r="Y40" i="23" s="1"/>
  <c r="S46" i="23"/>
  <c r="K13" i="16"/>
  <c r="Z34" i="23"/>
  <c r="Y34" i="23" s="1"/>
  <c r="S15" i="23"/>
  <c r="N5" i="3"/>
  <c r="I10" i="3"/>
  <c r="S59" i="23"/>
  <c r="S14" i="23"/>
  <c r="Z35" i="23"/>
  <c r="Y35" i="23" s="1"/>
  <c r="S43" i="23"/>
  <c r="L13" i="16"/>
  <c r="S34" i="23"/>
  <c r="Z49" i="23"/>
  <c r="Y49" i="23" s="1"/>
  <c r="M17" i="3"/>
  <c r="L8" i="3"/>
  <c r="S44" i="23"/>
  <c r="S25" i="23"/>
  <c r="S17" i="23"/>
  <c r="S61" i="23"/>
  <c r="S62" i="23"/>
  <c r="S49" i="23"/>
  <c r="Z33" i="23"/>
  <c r="Y33" i="23" s="1"/>
  <c r="G7" i="3"/>
  <c r="G10" i="3" s="1"/>
  <c r="F57" i="1"/>
  <c r="Z29" i="23"/>
  <c r="Y29" i="23" s="1"/>
  <c r="S63" i="23"/>
  <c r="S20" i="23"/>
  <c r="S23" i="23"/>
  <c r="E35" i="4"/>
  <c r="L60" i="16"/>
  <c r="N17" i="3"/>
  <c r="S58" i="23"/>
  <c r="Z47" i="23"/>
  <c r="Y47" i="23" s="1"/>
  <c r="S9" i="23"/>
  <c r="S33" i="23"/>
  <c r="Z43" i="23"/>
  <c r="Y43" i="23" s="1"/>
  <c r="S54" i="23"/>
  <c r="S56" i="23"/>
  <c r="Z51" i="23"/>
  <c r="Y51" i="23" s="1"/>
  <c r="F30" i="16"/>
  <c r="F31" i="16" s="1"/>
  <c r="O27" i="22"/>
  <c r="S27" i="23"/>
  <c r="F25" i="16"/>
  <c r="E13" i="16"/>
  <c r="Q38" i="16"/>
  <c r="S4" i="23"/>
  <c r="S12" i="23"/>
  <c r="Z15" i="23"/>
  <c r="Y15" i="23" s="1"/>
  <c r="C59" i="16"/>
  <c r="E59" i="16"/>
  <c r="C60" i="16"/>
  <c r="Z37" i="23"/>
  <c r="Y37" i="23" s="1"/>
  <c r="S19" i="23"/>
  <c r="Z10" i="23"/>
  <c r="Y10" i="23" s="1"/>
  <c r="S21" i="23"/>
  <c r="S64" i="23"/>
  <c r="Z25" i="23"/>
  <c r="Y25" i="23" s="1"/>
  <c r="Z17" i="23"/>
  <c r="Y17" i="23" s="1"/>
  <c r="S32" i="23"/>
  <c r="Z26" i="23"/>
  <c r="Y26" i="23" s="1"/>
  <c r="S47" i="23"/>
  <c r="S37" i="23"/>
  <c r="S28" i="23"/>
  <c r="Z20" i="23"/>
  <c r="Y20" i="23" s="1"/>
  <c r="Z41" i="23"/>
  <c r="Y41" i="23" s="1"/>
  <c r="S53" i="23"/>
  <c r="S42" i="23"/>
  <c r="Z50" i="23"/>
  <c r="Y50" i="23" s="1"/>
  <c r="S50" i="23"/>
  <c r="S29" i="23"/>
  <c r="Z57" i="23"/>
  <c r="Y57" i="23" s="1"/>
  <c r="P64" i="23"/>
  <c r="P34" i="23"/>
  <c r="P24" i="23"/>
  <c r="P31" i="23"/>
  <c r="P32" i="23"/>
  <c r="P49" i="23"/>
  <c r="P5" i="23"/>
  <c r="P35" i="23"/>
  <c r="P28" i="23"/>
  <c r="P59" i="23"/>
  <c r="P25" i="23"/>
  <c r="P4" i="23"/>
  <c r="P45" i="23"/>
  <c r="P44" i="23"/>
  <c r="P60" i="23"/>
  <c r="P53" i="23"/>
  <c r="P46" i="23"/>
  <c r="P48" i="23"/>
  <c r="P11" i="23"/>
  <c r="P18" i="23"/>
  <c r="P57" i="23"/>
  <c r="P21" i="23"/>
  <c r="P63" i="23"/>
  <c r="P6" i="23"/>
  <c r="P50" i="23"/>
  <c r="P62" i="23"/>
  <c r="P30" i="23"/>
  <c r="P38" i="23"/>
  <c r="P39" i="23"/>
  <c r="P15" i="23"/>
  <c r="P17" i="23"/>
  <c r="P58" i="23"/>
  <c r="P47" i="23"/>
  <c r="P37" i="23"/>
  <c r="P26" i="23"/>
  <c r="P12" i="23"/>
  <c r="P22" i="23"/>
  <c r="P55" i="23"/>
  <c r="P29" i="23"/>
  <c r="P33" i="23"/>
  <c r="P13" i="23"/>
  <c r="P23" i="23"/>
  <c r="P43" i="23"/>
  <c r="P52" i="23"/>
  <c r="P9" i="23"/>
  <c r="P36" i="23"/>
  <c r="P61" i="23"/>
  <c r="P14" i="23"/>
  <c r="P20" i="23"/>
  <c r="P42" i="23"/>
  <c r="P7" i="23"/>
  <c r="P51" i="23"/>
  <c r="P8" i="23"/>
  <c r="P40" i="23"/>
  <c r="P54" i="23"/>
  <c r="P16" i="23"/>
  <c r="P19" i="23"/>
  <c r="P56" i="23"/>
  <c r="P10" i="23"/>
  <c r="P27" i="23"/>
  <c r="P41" i="23"/>
  <c r="S51" i="23"/>
  <c r="S48" i="23"/>
  <c r="Q18" i="22"/>
  <c r="Z13" i="23"/>
  <c r="Y13" i="23" s="1"/>
  <c r="S13" i="23"/>
  <c r="S10" i="23"/>
  <c r="S31" i="23"/>
  <c r="S5" i="23"/>
  <c r="S55" i="23"/>
  <c r="Q58" i="23"/>
  <c r="Q26" i="23"/>
  <c r="Q36" i="23"/>
  <c r="Q54" i="23"/>
  <c r="Q25" i="23"/>
  <c r="Q61" i="23"/>
  <c r="Q62" i="23"/>
  <c r="Q4" i="23"/>
  <c r="Q52" i="23"/>
  <c r="Q29" i="23"/>
  <c r="Q59" i="23"/>
  <c r="Q56" i="23"/>
  <c r="Q21" i="23"/>
  <c r="Q14" i="23"/>
  <c r="Q6" i="23"/>
  <c r="Q57" i="23"/>
  <c r="Q37" i="23"/>
  <c r="Q22" i="23"/>
  <c r="Q43" i="23"/>
  <c r="Q48" i="23"/>
  <c r="Q45" i="23"/>
  <c r="Q11" i="23"/>
  <c r="Q44" i="23"/>
  <c r="Q42" i="23"/>
  <c r="Q20" i="23"/>
  <c r="Q50" i="23"/>
  <c r="Q31" i="23"/>
  <c r="Q32" i="23"/>
  <c r="Q53" i="23"/>
  <c r="Q55" i="23"/>
  <c r="Q46" i="23"/>
  <c r="Q38" i="23"/>
  <c r="Q41" i="23"/>
  <c r="Q19" i="23"/>
  <c r="Q33" i="23"/>
  <c r="Q51" i="23"/>
  <c r="Q39" i="23"/>
  <c r="Q28" i="23"/>
  <c r="Q17" i="23"/>
  <c r="Q63" i="23"/>
  <c r="Q60" i="23"/>
  <c r="Q47" i="23"/>
  <c r="Q24" i="23"/>
  <c r="Q9" i="23"/>
  <c r="Q5" i="23"/>
  <c r="Q16" i="23"/>
  <c r="Q8" i="23"/>
  <c r="Q7" i="23"/>
  <c r="Q15" i="23"/>
  <c r="Q64" i="23"/>
  <c r="Q40" i="23"/>
  <c r="Q27" i="23"/>
  <c r="Q23" i="23"/>
  <c r="Q12" i="23"/>
  <c r="Q13" i="23"/>
  <c r="Q30" i="23"/>
  <c r="Q10" i="23"/>
  <c r="Q49" i="23"/>
  <c r="Q35" i="23"/>
  <c r="Q34" i="23"/>
  <c r="Q18" i="23"/>
  <c r="E30" i="16"/>
  <c r="E31" i="16" s="1"/>
  <c r="Z6" i="23"/>
  <c r="Y6" i="23" s="1"/>
  <c r="S41" i="23"/>
  <c r="Z7" i="23"/>
  <c r="Y7" i="23" s="1"/>
  <c r="S7" i="23"/>
  <c r="S22" i="23"/>
  <c r="S52" i="23"/>
  <c r="Z11" i="23"/>
  <c r="Y11" i="23" s="1"/>
  <c r="S16" i="23"/>
  <c r="Z38" i="23"/>
  <c r="Y38" i="23" s="1"/>
  <c r="S38" i="23"/>
  <c r="S26" i="23"/>
  <c r="O93" i="16"/>
  <c r="S39" i="23"/>
  <c r="Z39" i="23"/>
  <c r="Y39" i="23" s="1"/>
  <c r="Z14" i="23"/>
  <c r="Y14" i="23" s="1"/>
  <c r="S40" i="23"/>
  <c r="S57" i="23"/>
  <c r="Z36" i="23"/>
  <c r="Y36" i="23" s="1"/>
  <c r="S36" i="23"/>
  <c r="T42" i="23"/>
  <c r="T8" i="23"/>
  <c r="T38" i="23"/>
  <c r="T54" i="23"/>
  <c r="T64" i="23"/>
  <c r="T44" i="23"/>
  <c r="T61" i="23"/>
  <c r="T53" i="23"/>
  <c r="T7" i="23"/>
  <c r="T60" i="23"/>
  <c r="T15" i="23"/>
  <c r="T28" i="23"/>
  <c r="T20" i="23"/>
  <c r="T29" i="23"/>
  <c r="T56" i="23"/>
  <c r="T36" i="23"/>
  <c r="T46" i="23"/>
  <c r="T47" i="23"/>
  <c r="T22" i="23"/>
  <c r="T18" i="23"/>
  <c r="T21" i="23"/>
  <c r="T9" i="23"/>
  <c r="T45" i="23"/>
  <c r="T43" i="23"/>
  <c r="T62" i="23"/>
  <c r="T26" i="23"/>
  <c r="T37" i="23"/>
  <c r="T13" i="23"/>
  <c r="T5" i="23"/>
  <c r="T12" i="23"/>
  <c r="T31" i="23"/>
  <c r="T40" i="23"/>
  <c r="T59" i="23"/>
  <c r="T25" i="23"/>
  <c r="T34" i="23"/>
  <c r="T63" i="23"/>
  <c r="T23" i="23"/>
  <c r="T32" i="23"/>
  <c r="T51" i="23"/>
  <c r="T19" i="23"/>
  <c r="T48" i="23"/>
  <c r="T11" i="23"/>
  <c r="T10" i="23"/>
  <c r="T24" i="23"/>
  <c r="T4" i="23"/>
  <c r="T6" i="23"/>
  <c r="T55" i="23"/>
  <c r="T30" i="23"/>
  <c r="T58" i="23"/>
  <c r="T41" i="23"/>
  <c r="T17" i="23"/>
  <c r="T57" i="23"/>
  <c r="T39" i="23"/>
  <c r="T27" i="23"/>
  <c r="T50" i="23"/>
  <c r="T49" i="23"/>
  <c r="T16" i="23"/>
  <c r="T52" i="23"/>
  <c r="T35" i="23"/>
  <c r="T33" i="23"/>
  <c r="T14" i="23"/>
  <c r="R42" i="23"/>
  <c r="R22" i="23"/>
  <c r="R7" i="23"/>
  <c r="R31" i="23"/>
  <c r="R62" i="23"/>
  <c r="R15" i="23"/>
  <c r="R35" i="23"/>
  <c r="R6" i="23"/>
  <c r="R12" i="23"/>
  <c r="R32" i="23"/>
  <c r="R24" i="23"/>
  <c r="R52" i="23"/>
  <c r="R43" i="23"/>
  <c r="R4" i="23"/>
  <c r="R8" i="23"/>
  <c r="R55" i="23"/>
  <c r="R51" i="23"/>
  <c r="R48" i="23"/>
  <c r="R18" i="23"/>
  <c r="R30" i="23"/>
  <c r="R36" i="23"/>
  <c r="R45" i="23"/>
  <c r="R17" i="23"/>
  <c r="R53" i="23"/>
  <c r="R11" i="23"/>
  <c r="R57" i="23"/>
  <c r="R9" i="23"/>
  <c r="R5" i="23"/>
  <c r="R54" i="23"/>
  <c r="R21" i="23"/>
  <c r="R58" i="23"/>
  <c r="R44" i="23"/>
  <c r="R37" i="23"/>
  <c r="R60" i="23"/>
  <c r="R34" i="23"/>
  <c r="R63" i="23"/>
  <c r="R61" i="23"/>
  <c r="R14" i="23"/>
  <c r="R64" i="23"/>
  <c r="R26" i="23"/>
  <c r="R38" i="23"/>
  <c r="R23" i="23"/>
  <c r="R59" i="23"/>
  <c r="R19" i="23"/>
  <c r="R29" i="23"/>
  <c r="R25" i="23"/>
  <c r="R16" i="23"/>
  <c r="R47" i="23"/>
  <c r="R10" i="23"/>
  <c r="R40" i="23"/>
  <c r="R41" i="23"/>
  <c r="R39" i="23"/>
  <c r="R13" i="23"/>
  <c r="R50" i="23"/>
  <c r="R46" i="23"/>
  <c r="R20" i="23"/>
  <c r="R27" i="23"/>
  <c r="R28" i="23"/>
  <c r="R49" i="23"/>
  <c r="R33" i="23"/>
  <c r="R56" i="23"/>
  <c r="D95" i="16"/>
  <c r="K32" i="1"/>
  <c r="M26" i="1" s="1"/>
  <c r="C13" i="16"/>
  <c r="C30" i="16"/>
  <c r="C31" i="16" s="1"/>
  <c r="D60" i="16"/>
  <c r="D30" i="16"/>
  <c r="D31" i="16" s="1"/>
  <c r="E31" i="22"/>
  <c r="R38" i="16"/>
  <c r="F13" i="16"/>
  <c r="K31" i="22"/>
  <c r="C25" i="16"/>
  <c r="I25" i="16"/>
  <c r="F60" i="16"/>
  <c r="F59" i="16"/>
  <c r="E20" i="16"/>
  <c r="F31" i="22"/>
  <c r="E95" i="16"/>
  <c r="E25" i="16"/>
  <c r="D25" i="16"/>
  <c r="F20" i="16"/>
  <c r="F95" i="16"/>
  <c r="C20" i="16"/>
  <c r="C95" i="16"/>
  <c r="D31" i="22"/>
  <c r="D32" i="4"/>
  <c r="D35" i="4"/>
  <c r="K30" i="16"/>
  <c r="K31" i="16" s="1"/>
  <c r="J30" i="16"/>
  <c r="J31" i="16" s="1"/>
  <c r="F10" i="3"/>
  <c r="L7" i="3"/>
  <c r="L6" i="3"/>
  <c r="K6" i="3"/>
  <c r="K17" i="3"/>
  <c r="D7" i="3"/>
  <c r="K7" i="3" s="1"/>
  <c r="G7" i="22"/>
  <c r="F15" i="22"/>
  <c r="G31" i="22"/>
  <c r="O28" i="22"/>
  <c r="E15" i="4"/>
  <c r="E7" i="4"/>
  <c r="E12" i="4"/>
  <c r="I53" i="4" s="1"/>
  <c r="J25" i="16"/>
  <c r="J13" i="16"/>
  <c r="D13" i="16"/>
  <c r="L25" i="16"/>
  <c r="E91" i="16"/>
  <c r="F5" i="17"/>
  <c r="G5" i="17" s="1"/>
  <c r="H5" i="17" s="1"/>
  <c r="I5" i="17" s="1"/>
  <c r="J5" i="17" s="1"/>
  <c r="K5" i="17" s="1"/>
  <c r="L5" i="17" s="1"/>
  <c r="M5" i="17" s="1"/>
  <c r="I13" i="16"/>
  <c r="I95" i="16"/>
  <c r="B13" i="16"/>
  <c r="G60" i="16"/>
  <c r="U38" i="16"/>
  <c r="G95" i="16"/>
  <c r="G59" i="16"/>
  <c r="H31" i="22"/>
  <c r="J95" i="16"/>
  <c r="J31" i="22"/>
  <c r="L30" i="16"/>
  <c r="L31" i="16" s="1"/>
  <c r="G37" i="10"/>
  <c r="E10" i="3"/>
  <c r="Z34" i="16"/>
  <c r="M20" i="3"/>
  <c r="G38" i="10"/>
  <c r="N27" i="22"/>
  <c r="G50" i="10"/>
  <c r="G40" i="10"/>
  <c r="D74" i="4"/>
  <c r="G36" i="10"/>
  <c r="F47" i="10"/>
  <c r="V38" i="16"/>
  <c r="K27" i="1"/>
  <c r="H60" i="16"/>
  <c r="P27" i="22"/>
  <c r="P28" i="22"/>
  <c r="N28" i="22"/>
  <c r="H95" i="16"/>
  <c r="H20" i="16"/>
  <c r="Q25" i="22"/>
  <c r="I31" i="22"/>
  <c r="M57" i="1"/>
  <c r="E47" i="1" a="1"/>
  <c r="E47" i="1" s="1"/>
  <c r="P18" i="22"/>
  <c r="C15" i="10"/>
  <c r="H15" i="10" s="1"/>
  <c r="I15" i="10" s="1"/>
  <c r="N49" i="1"/>
  <c r="E29" i="1"/>
  <c r="C16" i="10"/>
  <c r="H16" i="10" s="1"/>
  <c r="I16" i="10" s="1"/>
  <c r="N51" i="1"/>
  <c r="F36" i="10"/>
  <c r="F39" i="10"/>
  <c r="F40" i="10"/>
  <c r="F38" i="10"/>
  <c r="N52" i="1"/>
  <c r="C47" i="1"/>
  <c r="N48" i="1" s="1"/>
  <c r="E30" i="1"/>
  <c r="N50" i="1"/>
  <c r="N54" i="1"/>
  <c r="C59" i="1"/>
  <c r="N55" i="1"/>
  <c r="E50" i="10"/>
  <c r="C58" i="1"/>
  <c r="Q28" i="22"/>
  <c r="O25" i="22"/>
  <c r="N25" i="22"/>
  <c r="P25" i="22"/>
  <c r="AG12" i="23"/>
  <c r="AK12" i="23" s="1"/>
  <c r="C31" i="10"/>
  <c r="C11" i="10"/>
  <c r="C14" i="10"/>
  <c r="H14" i="10" s="1"/>
  <c r="I14" i="10" s="1"/>
  <c r="C13" i="10"/>
  <c r="C53" i="10"/>
  <c r="H53" i="10" s="1"/>
  <c r="I53" i="10" s="1"/>
  <c r="C33" i="10"/>
  <c r="C23" i="1"/>
  <c r="L4" i="19"/>
  <c r="H10" i="10"/>
  <c r="I10" i="10" s="1"/>
  <c r="Q27" i="22"/>
  <c r="H30" i="16"/>
  <c r="H31" i="16" s="1"/>
  <c r="G30" i="16"/>
  <c r="G31" i="16" s="1"/>
  <c r="N19" i="22"/>
  <c r="O19" i="22"/>
  <c r="P19" i="22"/>
  <c r="Q19" i="22"/>
  <c r="B20" i="16"/>
  <c r="C62" i="10"/>
  <c r="K30" i="1"/>
  <c r="C50" i="10"/>
  <c r="D37" i="10"/>
  <c r="D39" i="10"/>
  <c r="D38" i="10"/>
  <c r="D36" i="10"/>
  <c r="D40" i="10"/>
  <c r="M25" i="1"/>
  <c r="H13" i="16"/>
  <c r="G13" i="16"/>
  <c r="K25" i="1"/>
  <c r="N29" i="22"/>
  <c r="O29" i="22"/>
  <c r="Q29" i="22"/>
  <c r="P29" i="22"/>
  <c r="C32" i="10"/>
  <c r="C30" i="10"/>
  <c r="R51" i="1"/>
  <c r="R49" i="1"/>
  <c r="H47" i="1"/>
  <c r="H58" i="1" s="1"/>
  <c r="R55" i="1"/>
  <c r="R53" i="1"/>
  <c r="R50" i="1"/>
  <c r="R52" i="1"/>
  <c r="H59" i="1"/>
  <c r="R54" i="1"/>
  <c r="D47" i="1" a="1"/>
  <c r="D50" i="10"/>
  <c r="B30" i="16"/>
  <c r="B31" i="16" s="1"/>
  <c r="F32" i="4"/>
  <c r="K28" i="1"/>
  <c r="F12" i="4"/>
  <c r="F15" i="4"/>
  <c r="F7" i="4"/>
  <c r="C17" i="10"/>
  <c r="K23" i="1"/>
  <c r="B59" i="16"/>
  <c r="E27" i="1" s="1"/>
  <c r="F44" i="4"/>
  <c r="C31" i="22"/>
  <c r="C24" i="1"/>
  <c r="B60" i="16"/>
  <c r="B95" i="16"/>
  <c r="P38" i="16"/>
  <c r="C78" i="10"/>
  <c r="E25" i="1"/>
  <c r="C20" i="22"/>
  <c r="E24" i="1"/>
  <c r="L57" i="1"/>
  <c r="H28" i="10"/>
  <c r="I28" i="10" s="1"/>
  <c r="G25" i="16"/>
  <c r="H25" i="16"/>
  <c r="G5" i="4" l="1"/>
  <c r="G6" i="4" s="1"/>
  <c r="G25" i="4"/>
  <c r="AL164" i="22"/>
  <c r="AD171" i="22"/>
  <c r="AD170" i="22"/>
  <c r="AD172" i="22" s="1"/>
  <c r="AD173" i="22" s="1"/>
  <c r="AE169" i="22"/>
  <c r="G14" i="4"/>
  <c r="G31" i="4"/>
  <c r="C138" i="4"/>
  <c r="O129" i="22"/>
  <c r="O122" i="22"/>
  <c r="T177" i="22"/>
  <c r="D126" i="4" s="1"/>
  <c r="S134" i="22"/>
  <c r="D36" i="4"/>
  <c r="O20" i="3"/>
  <c r="O7" i="3"/>
  <c r="E28" i="1"/>
  <c r="M10" i="3"/>
  <c r="C21" i="10"/>
  <c r="C93" i="10"/>
  <c r="H93" i="10" s="1"/>
  <c r="C94" i="10"/>
  <c r="H94" i="10" s="1"/>
  <c r="P26" i="22"/>
  <c r="E36" i="4"/>
  <c r="E43" i="4" s="1"/>
  <c r="H65" i="4" s="1"/>
  <c r="N7" i="3"/>
  <c r="I39" i="4"/>
  <c r="O26" i="22"/>
  <c r="Q26" i="22"/>
  <c r="E32" i="1"/>
  <c r="M7" i="3"/>
  <c r="L10" i="3"/>
  <c r="U19" i="23"/>
  <c r="U20" i="23"/>
  <c r="U13" i="23"/>
  <c r="U47" i="23"/>
  <c r="U46" i="23"/>
  <c r="U28" i="23"/>
  <c r="U64" i="23"/>
  <c r="I38" i="4"/>
  <c r="U16" i="23"/>
  <c r="U14" i="23"/>
  <c r="U33" i="23"/>
  <c r="U58" i="23"/>
  <c r="U6" i="23"/>
  <c r="U53" i="23"/>
  <c r="U35" i="23"/>
  <c r="U54" i="23"/>
  <c r="U61" i="23"/>
  <c r="U29" i="23"/>
  <c r="U17" i="23"/>
  <c r="U63" i="23"/>
  <c r="U60" i="23"/>
  <c r="U5" i="23"/>
  <c r="U40" i="23"/>
  <c r="U36" i="23"/>
  <c r="U55" i="23"/>
  <c r="U15" i="23"/>
  <c r="U21" i="23"/>
  <c r="U44" i="23"/>
  <c r="U49" i="23"/>
  <c r="U50" i="23"/>
  <c r="U41" i="23"/>
  <c r="U8" i="23"/>
  <c r="U9" i="23"/>
  <c r="U22" i="23"/>
  <c r="U39" i="23"/>
  <c r="U57" i="23"/>
  <c r="U45" i="23"/>
  <c r="U32" i="23"/>
  <c r="U27" i="23"/>
  <c r="U51" i="23"/>
  <c r="U52" i="23"/>
  <c r="U12" i="23"/>
  <c r="U38" i="23"/>
  <c r="U18" i="23"/>
  <c r="U4" i="23"/>
  <c r="U31" i="23"/>
  <c r="U10" i="23"/>
  <c r="U7" i="23"/>
  <c r="U43" i="23"/>
  <c r="U26" i="23"/>
  <c r="U30" i="23"/>
  <c r="U11" i="23"/>
  <c r="U25" i="23"/>
  <c r="U24" i="23"/>
  <c r="U56" i="23"/>
  <c r="U42" i="23"/>
  <c r="U23" i="23"/>
  <c r="U37" i="23"/>
  <c r="U62" i="23"/>
  <c r="U48" i="23"/>
  <c r="U59" i="23"/>
  <c r="U34" i="23"/>
  <c r="C57" i="1"/>
  <c r="O10" i="3"/>
  <c r="N10" i="3"/>
  <c r="D10" i="3"/>
  <c r="K10" i="3" s="1"/>
  <c r="G15" i="22"/>
  <c r="H7" i="22"/>
  <c r="S52" i="1"/>
  <c r="S54" i="1"/>
  <c r="S49" i="1"/>
  <c r="S50" i="1"/>
  <c r="I47" i="1"/>
  <c r="S51" i="1"/>
  <c r="L58" i="1"/>
  <c r="M58" i="1"/>
  <c r="Z38" i="16"/>
  <c r="S55" i="1"/>
  <c r="M32" i="1"/>
  <c r="C26" i="1"/>
  <c r="M28" i="1" s="1"/>
  <c r="AM12" i="23"/>
  <c r="C56" i="1"/>
  <c r="N56" i="1" s="1"/>
  <c r="H33" i="10"/>
  <c r="I33" i="10" s="1"/>
  <c r="H13" i="10"/>
  <c r="I13" i="10" s="1"/>
  <c r="H56" i="1"/>
  <c r="H11" i="10"/>
  <c r="I11" i="10" s="1"/>
  <c r="H36" i="10"/>
  <c r="I36" i="10" s="1"/>
  <c r="C37" i="10"/>
  <c r="H37" i="10" s="1"/>
  <c r="I37" i="10" s="1"/>
  <c r="H31" i="10"/>
  <c r="I31" i="10" s="1"/>
  <c r="C38" i="10"/>
  <c r="H38" i="10" s="1"/>
  <c r="I38" i="10" s="1"/>
  <c r="AL12" i="23"/>
  <c r="AJ12" i="23"/>
  <c r="M30" i="1"/>
  <c r="M33" i="1"/>
  <c r="C44" i="10" s="1"/>
  <c r="M27" i="1"/>
  <c r="H32" i="10"/>
  <c r="I32" i="10" s="1"/>
  <c r="H47" i="10"/>
  <c r="I47" i="10" s="1"/>
  <c r="H50" i="10"/>
  <c r="I50" i="10" s="1"/>
  <c r="H17" i="10"/>
  <c r="I17" i="10" s="1"/>
  <c r="K29" i="1"/>
  <c r="O51" i="1"/>
  <c r="O54" i="1"/>
  <c r="D47" i="1"/>
  <c r="D58" i="1" s="1"/>
  <c r="O52" i="1"/>
  <c r="D59" i="1"/>
  <c r="O49" i="1"/>
  <c r="O50" i="1"/>
  <c r="O53" i="1"/>
  <c r="O55" i="1"/>
  <c r="C25" i="10"/>
  <c r="C92" i="10"/>
  <c r="H92" i="10" s="1"/>
  <c r="Q20" i="22"/>
  <c r="P20" i="22"/>
  <c r="N20" i="22"/>
  <c r="P31" i="22"/>
  <c r="O31" i="22"/>
  <c r="N31" i="22"/>
  <c r="Q31" i="22"/>
  <c r="AN12" i="23"/>
  <c r="J53" i="4"/>
  <c r="C23" i="10"/>
  <c r="C39" i="10"/>
  <c r="C20" i="10"/>
  <c r="C22" i="10"/>
  <c r="C40" i="10"/>
  <c r="C18" i="10"/>
  <c r="C24" i="10"/>
  <c r="H30" i="10"/>
  <c r="I30" i="10" s="1"/>
  <c r="G47" i="1" a="1"/>
  <c r="G47" i="1" s="1"/>
  <c r="G21" i="4" l="1"/>
  <c r="G23" i="4"/>
  <c r="G40" i="4" s="1"/>
  <c r="H9" i="4" s="1"/>
  <c r="H41" i="4" s="1"/>
  <c r="G24" i="4"/>
  <c r="G11" i="4"/>
  <c r="G20" i="4" s="1"/>
  <c r="G8" i="4"/>
  <c r="G12" i="4" s="1"/>
  <c r="G44" i="4" s="1"/>
  <c r="G28" i="4" s="1"/>
  <c r="AE171" i="22"/>
  <c r="AE170" i="22"/>
  <c r="AE172" i="22" s="1"/>
  <c r="AE173" i="22" s="1"/>
  <c r="AF169" i="22"/>
  <c r="AM164" i="22"/>
  <c r="T179" i="22"/>
  <c r="D127" i="4"/>
  <c r="D125" i="4"/>
  <c r="O126" i="22"/>
  <c r="O123" i="22"/>
  <c r="G26" i="4"/>
  <c r="T134" i="22"/>
  <c r="F43" i="4"/>
  <c r="I65" i="4" s="1"/>
  <c r="M59" i="1"/>
  <c r="L59" i="1"/>
  <c r="V34" i="23"/>
  <c r="W34" i="23" s="1"/>
  <c r="V20" i="23"/>
  <c r="W20" i="23" s="1"/>
  <c r="V10" i="23"/>
  <c r="W10" i="23" s="1"/>
  <c r="V51" i="23"/>
  <c r="W51" i="23" s="1"/>
  <c r="V59" i="23"/>
  <c r="V24" i="23"/>
  <c r="W24" i="23" s="1"/>
  <c r="V27" i="23"/>
  <c r="W27" i="23" s="1"/>
  <c r="V9" i="23"/>
  <c r="W9" i="23" s="1"/>
  <c r="V49" i="23"/>
  <c r="W49" i="23" s="1"/>
  <c r="V46" i="23"/>
  <c r="V61" i="23"/>
  <c r="V53" i="23"/>
  <c r="W53" i="23" s="1"/>
  <c r="V22" i="23"/>
  <c r="W22" i="23" s="1"/>
  <c r="V29" i="23"/>
  <c r="W29" i="23" s="1"/>
  <c r="V48" i="23"/>
  <c r="W48" i="23" s="1"/>
  <c r="V25" i="23"/>
  <c r="W25" i="23" s="1"/>
  <c r="V31" i="23"/>
  <c r="W31" i="23" s="1"/>
  <c r="V8" i="23"/>
  <c r="W8" i="23" s="1"/>
  <c r="V44" i="23"/>
  <c r="V54" i="23"/>
  <c r="W54" i="23" s="1"/>
  <c r="V6" i="23"/>
  <c r="W6" i="23" s="1"/>
  <c r="J10" i="4"/>
  <c r="J39" i="4" s="1"/>
  <c r="V35" i="23"/>
  <c r="W35" i="23" s="1"/>
  <c r="V62" i="23"/>
  <c r="W62" i="23" s="1"/>
  <c r="V11" i="23"/>
  <c r="W11" i="23" s="1"/>
  <c r="V4" i="23"/>
  <c r="W4" i="23" s="1"/>
  <c r="V41" i="23"/>
  <c r="W41" i="23" s="1"/>
  <c r="V21" i="23"/>
  <c r="W21" i="23" s="1"/>
  <c r="V58" i="23"/>
  <c r="V64" i="23"/>
  <c r="W64" i="23" s="1"/>
  <c r="V37" i="23"/>
  <c r="W37" i="23" s="1"/>
  <c r="V30" i="23"/>
  <c r="W30" i="23" s="1"/>
  <c r="V18" i="23"/>
  <c r="W18" i="23" s="1"/>
  <c r="V32" i="23"/>
  <c r="W32" i="23" s="1"/>
  <c r="V15" i="23"/>
  <c r="W15" i="23" s="1"/>
  <c r="V5" i="23"/>
  <c r="W5" i="23" s="1"/>
  <c r="V28" i="23"/>
  <c r="W28" i="23" s="1"/>
  <c r="V33" i="23"/>
  <c r="W33" i="23" s="1"/>
  <c r="V47" i="23"/>
  <c r="W47" i="23" s="1"/>
  <c r="V23" i="23"/>
  <c r="W23" i="23" s="1"/>
  <c r="V26" i="23"/>
  <c r="W26" i="23" s="1"/>
  <c r="V38" i="23"/>
  <c r="W38" i="23" s="1"/>
  <c r="V45" i="23"/>
  <c r="V50" i="23"/>
  <c r="W50" i="23" s="1"/>
  <c r="V55" i="23"/>
  <c r="W55" i="23" s="1"/>
  <c r="V60" i="23"/>
  <c r="W60" i="23" s="1"/>
  <c r="V13" i="23"/>
  <c r="W13" i="23" s="1"/>
  <c r="V14" i="23"/>
  <c r="W14" i="23" s="1"/>
  <c r="V42" i="23"/>
  <c r="W42" i="23" s="1"/>
  <c r="V43" i="23"/>
  <c r="W43" i="23" s="1"/>
  <c r="V12" i="23"/>
  <c r="W12" i="23" s="1"/>
  <c r="V57" i="23"/>
  <c r="W57" i="23" s="1"/>
  <c r="V19" i="23"/>
  <c r="W19" i="23" s="1"/>
  <c r="V36" i="23"/>
  <c r="W36" i="23" s="1"/>
  <c r="V63" i="23"/>
  <c r="V16" i="23"/>
  <c r="W16" i="23" s="1"/>
  <c r="V56" i="23"/>
  <c r="W56" i="23" s="1"/>
  <c r="V7" i="23"/>
  <c r="W7" i="23" s="1"/>
  <c r="V52" i="23"/>
  <c r="W52" i="23" s="1"/>
  <c r="V39" i="23"/>
  <c r="W39" i="23" s="1"/>
  <c r="V40" i="23"/>
  <c r="W40" i="23" s="1"/>
  <c r="V17" i="23"/>
  <c r="W17" i="23" s="1"/>
  <c r="B8" i="3"/>
  <c r="H25" i="1" s="1"/>
  <c r="B9" i="3"/>
  <c r="H26" i="1" s="1"/>
  <c r="B6" i="3"/>
  <c r="H23" i="1" s="1"/>
  <c r="B5" i="3"/>
  <c r="B7" i="3"/>
  <c r="H24" i="1" s="1"/>
  <c r="I7" i="22"/>
  <c r="H15" i="22"/>
  <c r="H57" i="1"/>
  <c r="AM13" i="23"/>
  <c r="AM14" i="23" s="1"/>
  <c r="M43" i="1" s="1"/>
  <c r="M29" i="1"/>
  <c r="O48" i="1"/>
  <c r="D57" i="1" s="1"/>
  <c r="AJ13" i="23"/>
  <c r="AJ14" i="23" s="1"/>
  <c r="M41" i="1" s="1"/>
  <c r="H44" i="10"/>
  <c r="I44" i="10" s="1"/>
  <c r="H39" i="10"/>
  <c r="I39" i="10" s="1"/>
  <c r="H21" i="10"/>
  <c r="I21" i="10" s="1"/>
  <c r="H40" i="10"/>
  <c r="I40" i="10" s="1"/>
  <c r="H23" i="10"/>
  <c r="I23" i="10" s="1"/>
  <c r="H24" i="10"/>
  <c r="I24" i="10" s="1"/>
  <c r="H18" i="10"/>
  <c r="I18" i="10" s="1"/>
  <c r="H22" i="10"/>
  <c r="I22" i="10" s="1"/>
  <c r="H25" i="10"/>
  <c r="I25" i="10" s="1"/>
  <c r="D56" i="1"/>
  <c r="O56" i="1" s="1"/>
  <c r="H20" i="10"/>
  <c r="I20" i="10" s="1"/>
  <c r="AN164" i="22" l="1"/>
  <c r="AF171" i="22"/>
  <c r="AF170" i="22"/>
  <c r="AF172" i="22" s="1"/>
  <c r="AF173" i="22" s="1"/>
  <c r="AG169" i="22"/>
  <c r="T180" i="22"/>
  <c r="D131" i="4" s="1"/>
  <c r="O124" i="22"/>
  <c r="O127" i="22"/>
  <c r="U134" i="22"/>
  <c r="AI3" i="23"/>
  <c r="G13" i="4"/>
  <c r="G15" i="4" s="1"/>
  <c r="G16" i="4" s="1"/>
  <c r="G17" i="4" s="1"/>
  <c r="G51" i="4" s="1"/>
  <c r="J38" i="4"/>
  <c r="K10" i="4" s="1"/>
  <c r="K39" i="4" s="1"/>
  <c r="AH5" i="23"/>
  <c r="AF3" i="23"/>
  <c r="AF6" i="23"/>
  <c r="AI4" i="23"/>
  <c r="AI6" i="23"/>
  <c r="AH3" i="23"/>
  <c r="AG5" i="23"/>
  <c r="AH7" i="23"/>
  <c r="AF4" i="23"/>
  <c r="AI5" i="23"/>
  <c r="AI7" i="23"/>
  <c r="AG6" i="23"/>
  <c r="AF5" i="23"/>
  <c r="AH4" i="23"/>
  <c r="AF7" i="23"/>
  <c r="AG7" i="23"/>
  <c r="AG3" i="23"/>
  <c r="AH6" i="23"/>
  <c r="AG4" i="23"/>
  <c r="H22" i="1"/>
  <c r="B10" i="3"/>
  <c r="J7" i="22"/>
  <c r="I15" i="22"/>
  <c r="AG170" i="22" l="1"/>
  <c r="AG172" i="22" s="1"/>
  <c r="AG173" i="22" s="1"/>
  <c r="AG171" i="22"/>
  <c r="AH169" i="22"/>
  <c r="AO164" i="22"/>
  <c r="D130" i="4"/>
  <c r="D135" i="4" s="1"/>
  <c r="D132" i="4"/>
  <c r="D137" i="4" s="1"/>
  <c r="D136" i="4"/>
  <c r="H5" i="4" s="1"/>
  <c r="T181" i="22"/>
  <c r="T182" i="22"/>
  <c r="O125" i="22"/>
  <c r="O133" i="22"/>
  <c r="U178" i="22"/>
  <c r="P128" i="22" s="1"/>
  <c r="V134" i="22"/>
  <c r="G19" i="4"/>
  <c r="G22" i="4" s="1"/>
  <c r="G34" i="4" s="1"/>
  <c r="G29" i="4"/>
  <c r="G30" i="4"/>
  <c r="K38" i="4"/>
  <c r="L10" i="4" s="1"/>
  <c r="L39" i="4" s="1"/>
  <c r="K7" i="22"/>
  <c r="J15" i="22"/>
  <c r="AP164" i="22" l="1"/>
  <c r="AH170" i="22"/>
  <c r="AH172" i="22" s="1"/>
  <c r="AH173" i="22" s="1"/>
  <c r="AH171" i="22"/>
  <c r="AI169" i="22"/>
  <c r="D138" i="4"/>
  <c r="H14" i="4"/>
  <c r="H31" i="4"/>
  <c r="H25" i="4"/>
  <c r="H6" i="4"/>
  <c r="P129" i="22"/>
  <c r="P122" i="22"/>
  <c r="U179" i="22"/>
  <c r="U177" i="22"/>
  <c r="E126" i="4" s="1"/>
  <c r="W134" i="22"/>
  <c r="G32" i="4"/>
  <c r="G35" i="4"/>
  <c r="G36" i="4" s="1"/>
  <c r="G43" i="4" s="1"/>
  <c r="H13" i="4" s="1"/>
  <c r="L38" i="4"/>
  <c r="K15" i="22"/>
  <c r="L7" i="22"/>
  <c r="L15" i="22" s="1"/>
  <c r="AI171" i="22" l="1"/>
  <c r="AI170" i="22"/>
  <c r="AI172" i="22" s="1"/>
  <c r="AI173" i="22" s="1"/>
  <c r="AJ169" i="22"/>
  <c r="AQ164" i="22"/>
  <c r="H8" i="4"/>
  <c r="H12" i="4" s="1"/>
  <c r="H44" i="4" s="1"/>
  <c r="H28" i="4" s="1"/>
  <c r="H11" i="4"/>
  <c r="H20" i="4" s="1"/>
  <c r="H24" i="4"/>
  <c r="H21" i="4"/>
  <c r="H23" i="4"/>
  <c r="H40" i="4" s="1"/>
  <c r="I9" i="4" s="1"/>
  <c r="I41" i="4" s="1"/>
  <c r="E125" i="4"/>
  <c r="E127" i="4"/>
  <c r="P123" i="22"/>
  <c r="P126" i="22"/>
  <c r="U180" i="22"/>
  <c r="E131" i="4" s="1"/>
  <c r="X134" i="22"/>
  <c r="G56" i="4"/>
  <c r="M10" i="4"/>
  <c r="M39" i="4" s="1"/>
  <c r="AR164" i="22" l="1"/>
  <c r="AJ171" i="22"/>
  <c r="AJ170" i="22"/>
  <c r="AJ172" i="22" s="1"/>
  <c r="AJ173" i="22" s="1"/>
  <c r="AK169" i="22"/>
  <c r="E130" i="4"/>
  <c r="E135" i="4" s="1"/>
  <c r="I25" i="4" s="1"/>
  <c r="E132" i="4"/>
  <c r="E137" i="4" s="1"/>
  <c r="E136" i="4"/>
  <c r="U181" i="22"/>
  <c r="U182" i="22"/>
  <c r="H15" i="4"/>
  <c r="H16" i="4" s="1"/>
  <c r="H17" i="4" s="1"/>
  <c r="H26" i="4"/>
  <c r="P124" i="22"/>
  <c r="P127" i="22"/>
  <c r="Y134" i="22"/>
  <c r="M38" i="4"/>
  <c r="AK171" i="22" l="1"/>
  <c r="AK170" i="22"/>
  <c r="AK172" i="22" s="1"/>
  <c r="AK173" i="22" s="1"/>
  <c r="AL169" i="22"/>
  <c r="AS164" i="22"/>
  <c r="E138" i="4"/>
  <c r="H30" i="4"/>
  <c r="H51" i="4"/>
  <c r="H29" i="4"/>
  <c r="H19" i="4"/>
  <c r="H22" i="4" s="1"/>
  <c r="H34" i="4" s="1"/>
  <c r="P133" i="22"/>
  <c r="P125" i="22"/>
  <c r="V178" i="22"/>
  <c r="Q128" i="22" s="1"/>
  <c r="I31" i="4"/>
  <c r="I6" i="4"/>
  <c r="I24" i="4" s="1"/>
  <c r="I14" i="4"/>
  <c r="Z134" i="22"/>
  <c r="N10" i="4"/>
  <c r="N39" i="4" s="1"/>
  <c r="AT164" i="22" l="1"/>
  <c r="AL171" i="22"/>
  <c r="AL170" i="22"/>
  <c r="AL172" i="22" s="1"/>
  <c r="AL173" i="22" s="1"/>
  <c r="AM169" i="22"/>
  <c r="H32" i="4"/>
  <c r="H35" i="4"/>
  <c r="H36" i="4" s="1"/>
  <c r="H43" i="4" s="1"/>
  <c r="V179" i="22"/>
  <c r="V177" i="22"/>
  <c r="F126" i="4" s="1"/>
  <c r="Q122" i="22"/>
  <c r="Q129" i="22"/>
  <c r="I8" i="4"/>
  <c r="I12" i="4" s="1"/>
  <c r="I44" i="4" s="1"/>
  <c r="I28" i="4" s="1"/>
  <c r="I23" i="4"/>
  <c r="I26" i="4" s="1"/>
  <c r="I21" i="4"/>
  <c r="I11" i="4"/>
  <c r="I20" i="4" s="1"/>
  <c r="AA134" i="22"/>
  <c r="N38" i="4"/>
  <c r="AM171" i="22" l="1"/>
  <c r="AM170" i="22"/>
  <c r="AM172" i="22" s="1"/>
  <c r="AM173" i="22" s="1"/>
  <c r="AN169" i="22"/>
  <c r="AU164" i="22"/>
  <c r="I13" i="4"/>
  <c r="I15" i="4" s="1"/>
  <c r="I16" i="4" s="1"/>
  <c r="I17" i="4" s="1"/>
  <c r="I30" i="4" s="1"/>
  <c r="H56" i="4"/>
  <c r="F127" i="4"/>
  <c r="F125" i="4"/>
  <c r="Q126" i="22"/>
  <c r="Q123" i="22"/>
  <c r="I40" i="4"/>
  <c r="J9" i="4" s="1"/>
  <c r="J41" i="4" s="1"/>
  <c r="V180" i="22"/>
  <c r="F131" i="4" s="1"/>
  <c r="AB134" i="22"/>
  <c r="O10" i="4"/>
  <c r="AV164" i="22" l="1"/>
  <c r="AN171" i="22"/>
  <c r="AN170" i="22"/>
  <c r="AN172" i="22" s="1"/>
  <c r="AN173" i="22" s="1"/>
  <c r="AO169" i="22"/>
  <c r="F130" i="4"/>
  <c r="F135" i="4" s="1"/>
  <c r="J14" i="4" s="1"/>
  <c r="F132" i="4"/>
  <c r="F137" i="4" s="1"/>
  <c r="F136" i="4"/>
  <c r="V181" i="22"/>
  <c r="V182" i="22"/>
  <c r="Q124" i="22"/>
  <c r="Q127" i="22"/>
  <c r="I29" i="4"/>
  <c r="I32" i="4" s="1"/>
  <c r="I19" i="4"/>
  <c r="I22" i="4" s="1"/>
  <c r="I34" i="4" s="1"/>
  <c r="I51" i="4"/>
  <c r="AC134" i="22"/>
  <c r="O39" i="4"/>
  <c r="O38" i="4"/>
  <c r="AO170" i="22" l="1"/>
  <c r="AO172" i="22" s="1"/>
  <c r="AO173" i="22" s="1"/>
  <c r="AO171" i="22"/>
  <c r="AP169" i="22"/>
  <c r="AW164" i="22"/>
  <c r="F138" i="4"/>
  <c r="Q133" i="22"/>
  <c r="Q125" i="22"/>
  <c r="W178" i="22"/>
  <c r="R128" i="22" s="1"/>
  <c r="I35" i="4"/>
  <c r="I36" i="4" s="1"/>
  <c r="I43" i="4" s="1"/>
  <c r="J13" i="4" s="1"/>
  <c r="J6" i="4"/>
  <c r="J24" i="4" s="1"/>
  <c r="J31" i="4"/>
  <c r="J25" i="4"/>
  <c r="AD134" i="22"/>
  <c r="P10" i="4"/>
  <c r="AP171" i="22" l="1"/>
  <c r="AP170" i="22"/>
  <c r="AP172" i="22" s="1"/>
  <c r="AP173" i="22" s="1"/>
  <c r="AQ169" i="22"/>
  <c r="AX164" i="22"/>
  <c r="W179" i="22"/>
  <c r="R122" i="22"/>
  <c r="R129" i="22"/>
  <c r="W177" i="22"/>
  <c r="G126" i="4" s="1"/>
  <c r="J8" i="4"/>
  <c r="J12" i="4" s="1"/>
  <c r="J44" i="4" s="1"/>
  <c r="J28" i="4" s="1"/>
  <c r="J11" i="4"/>
  <c r="J20" i="4" s="1"/>
  <c r="J21" i="4"/>
  <c r="I56" i="4"/>
  <c r="J23" i="4"/>
  <c r="J40" i="4" s="1"/>
  <c r="K9" i="4" s="1"/>
  <c r="AE134" i="22"/>
  <c r="P38" i="4"/>
  <c r="Q10" i="4" s="1"/>
  <c r="P39" i="4"/>
  <c r="AY164" i="22" l="1"/>
  <c r="AQ171" i="22"/>
  <c r="AQ170" i="22"/>
  <c r="AQ172" i="22" s="1"/>
  <c r="AQ173" i="22" s="1"/>
  <c r="AR169" i="22"/>
  <c r="G127" i="4"/>
  <c r="G125" i="4"/>
  <c r="R126" i="22"/>
  <c r="R123" i="22"/>
  <c r="J15" i="4"/>
  <c r="J16" i="4" s="1"/>
  <c r="J17" i="4" s="1"/>
  <c r="J29" i="4" s="1"/>
  <c r="J26" i="4"/>
  <c r="W180" i="22"/>
  <c r="G131" i="4" s="1"/>
  <c r="AF134" i="22"/>
  <c r="K41" i="4"/>
  <c r="Q39" i="4"/>
  <c r="Q38" i="4"/>
  <c r="AR171" i="22" l="1"/>
  <c r="AR170" i="22"/>
  <c r="AR172" i="22" s="1"/>
  <c r="AR173" i="22" s="1"/>
  <c r="AS169" i="22"/>
  <c r="AZ164" i="22"/>
  <c r="G130" i="4"/>
  <c r="G135" i="4" s="1"/>
  <c r="G132" i="4"/>
  <c r="G137" i="4" s="1"/>
  <c r="G136" i="4"/>
  <c r="W181" i="22"/>
  <c r="W182" i="22"/>
  <c r="R124" i="22"/>
  <c r="R127" i="22"/>
  <c r="X178" i="22"/>
  <c r="S128" i="22" s="1"/>
  <c r="J51" i="4"/>
  <c r="J30" i="4"/>
  <c r="J35" i="4" s="1"/>
  <c r="J19" i="4"/>
  <c r="J22" i="4" s="1"/>
  <c r="J34" i="4" s="1"/>
  <c r="AG134" i="22"/>
  <c r="R10" i="4"/>
  <c r="BA164" i="22" l="1"/>
  <c r="AS170" i="22"/>
  <c r="AS172" i="22" s="1"/>
  <c r="AS173" i="22" s="1"/>
  <c r="AS171" i="22"/>
  <c r="AT169" i="22"/>
  <c r="G138" i="4"/>
  <c r="S129" i="22"/>
  <c r="S122" i="22"/>
  <c r="R133" i="22"/>
  <c r="R125" i="22"/>
  <c r="J36" i="4"/>
  <c r="J43" i="4" s="1"/>
  <c r="J56" i="4" s="1"/>
  <c r="J32" i="4"/>
  <c r="K25" i="4"/>
  <c r="K31" i="4"/>
  <c r="K14" i="4"/>
  <c r="K6" i="4"/>
  <c r="AH134" i="22"/>
  <c r="R39" i="4"/>
  <c r="R38" i="4"/>
  <c r="AT170" i="22" l="1"/>
  <c r="AT172" i="22" s="1"/>
  <c r="AT173" i="22" s="1"/>
  <c r="AT171" i="22"/>
  <c r="AU169" i="22"/>
  <c r="BB164" i="22"/>
  <c r="X177" i="22"/>
  <c r="H126" i="4" s="1"/>
  <c r="X179" i="22"/>
  <c r="S126" i="22"/>
  <c r="S123" i="22"/>
  <c r="K13" i="4"/>
  <c r="K23" i="4"/>
  <c r="K24" i="4"/>
  <c r="K11" i="4"/>
  <c r="K20" i="4" s="1"/>
  <c r="K8" i="4"/>
  <c r="K21" i="4"/>
  <c r="AI134" i="22"/>
  <c r="S10" i="4"/>
  <c r="BC164" i="22" l="1"/>
  <c r="AU171" i="22"/>
  <c r="AU170" i="22"/>
  <c r="AU172" i="22" s="1"/>
  <c r="AU173" i="22" s="1"/>
  <c r="AV169" i="22"/>
  <c r="H125" i="4"/>
  <c r="H127" i="4"/>
  <c r="S124" i="22"/>
  <c r="S127" i="22"/>
  <c r="K12" i="4"/>
  <c r="K44" i="4" s="1"/>
  <c r="K28" i="4" s="1"/>
  <c r="K15" i="4"/>
  <c r="K16" i="4" s="1"/>
  <c r="K17" i="4" s="1"/>
  <c r="K26" i="4"/>
  <c r="K40" i="4"/>
  <c r="L9" i="4" s="1"/>
  <c r="L41" i="4" s="1"/>
  <c r="X180" i="22"/>
  <c r="H131" i="4" s="1"/>
  <c r="AJ134" i="22"/>
  <c r="S39" i="4"/>
  <c r="S38" i="4"/>
  <c r="AV171" i="22" l="1"/>
  <c r="AV170" i="22"/>
  <c r="AV172" i="22" s="1"/>
  <c r="AV173" i="22" s="1"/>
  <c r="AW169" i="22"/>
  <c r="BD164" i="22"/>
  <c r="H130" i="4"/>
  <c r="H135" i="4" s="1"/>
  <c r="H132" i="4"/>
  <c r="H137" i="4" s="1"/>
  <c r="H136" i="4"/>
  <c r="X181" i="22"/>
  <c r="X182" i="22"/>
  <c r="L31" i="4"/>
  <c r="S125" i="22"/>
  <c r="S133" i="22"/>
  <c r="K19" i="4"/>
  <c r="K22" i="4" s="1"/>
  <c r="K34" i="4" s="1"/>
  <c r="K30" i="4"/>
  <c r="K51" i="4"/>
  <c r="K29" i="4"/>
  <c r="AK134" i="22"/>
  <c r="T10" i="4"/>
  <c r="T38" i="4" s="1"/>
  <c r="BE164" i="22" l="1"/>
  <c r="AW171" i="22"/>
  <c r="AW170" i="22"/>
  <c r="AW172" i="22" s="1"/>
  <c r="AW173" i="22" s="1"/>
  <c r="AX169" i="22"/>
  <c r="H138" i="4"/>
  <c r="Y178" i="22"/>
  <c r="T128" i="22" s="1"/>
  <c r="L25" i="4"/>
  <c r="L14" i="4"/>
  <c r="L6" i="4"/>
  <c r="L21" i="4" s="1"/>
  <c r="K32" i="4"/>
  <c r="K35" i="4"/>
  <c r="K36" i="4" s="1"/>
  <c r="K43" i="4" s="1"/>
  <c r="AL134" i="22"/>
  <c r="U10" i="4"/>
  <c r="T39" i="4"/>
  <c r="AX171" i="22" l="1"/>
  <c r="AX170" i="22"/>
  <c r="AX172" i="22" s="1"/>
  <c r="AX173" i="22" s="1"/>
  <c r="AY169" i="22"/>
  <c r="BF164" i="22"/>
  <c r="T129" i="22"/>
  <c r="T122" i="22"/>
  <c r="Y177" i="22"/>
  <c r="I126" i="4" s="1"/>
  <c r="Y179" i="22"/>
  <c r="L8" i="4"/>
  <c r="L12" i="4" s="1"/>
  <c r="L44" i="4" s="1"/>
  <c r="L28" i="4" s="1"/>
  <c r="K56" i="4"/>
  <c r="L13" i="4"/>
  <c r="L24" i="4"/>
  <c r="L23" i="4"/>
  <c r="L11" i="4"/>
  <c r="L20" i="4" s="1"/>
  <c r="U39" i="4"/>
  <c r="U38" i="4"/>
  <c r="BG164" i="22" l="1"/>
  <c r="AY171" i="22"/>
  <c r="AY170" i="22"/>
  <c r="AY172" i="22" s="1"/>
  <c r="AY173" i="22" s="1"/>
  <c r="AZ169" i="22"/>
  <c r="I125" i="4"/>
  <c r="I127" i="4"/>
  <c r="T123" i="22"/>
  <c r="T126" i="22"/>
  <c r="L15" i="4"/>
  <c r="L16" i="4" s="1"/>
  <c r="L17" i="4" s="1"/>
  <c r="L19" i="4" s="1"/>
  <c r="L22" i="4" s="1"/>
  <c r="L26" i="4"/>
  <c r="L40" i="4"/>
  <c r="M9" i="4" s="1"/>
  <c r="M41" i="4" s="1"/>
  <c r="Y180" i="22"/>
  <c r="I131" i="4" s="1"/>
  <c r="V10" i="4"/>
  <c r="AZ171" i="22" l="1"/>
  <c r="AZ170" i="22"/>
  <c r="AZ172" i="22" s="1"/>
  <c r="AZ173" i="22" s="1"/>
  <c r="BA169" i="22"/>
  <c r="BH164" i="22"/>
  <c r="I130" i="4"/>
  <c r="I135" i="4" s="1"/>
  <c r="I132" i="4"/>
  <c r="I137" i="4" s="1"/>
  <c r="I136" i="4"/>
  <c r="Y181" i="22"/>
  <c r="Y182" i="22"/>
  <c r="M25" i="4"/>
  <c r="L51" i="4"/>
  <c r="L29" i="4"/>
  <c r="T124" i="22"/>
  <c r="T127" i="22"/>
  <c r="L30" i="4"/>
  <c r="Z178" i="22"/>
  <c r="U128" i="22" s="1"/>
  <c r="L34" i="4"/>
  <c r="V39" i="4"/>
  <c r="V38" i="4"/>
  <c r="BI164" i="22" l="1"/>
  <c r="BA170" i="22"/>
  <c r="BA172" i="22" s="1"/>
  <c r="BA173" i="22" s="1"/>
  <c r="BA171" i="22"/>
  <c r="BB169" i="22"/>
  <c r="I138" i="4"/>
  <c r="L35" i="4"/>
  <c r="L36" i="4" s="1"/>
  <c r="L43" i="4" s="1"/>
  <c r="M13" i="4" s="1"/>
  <c r="L32" i="4"/>
  <c r="U129" i="22"/>
  <c r="U122" i="22"/>
  <c r="T133" i="22"/>
  <c r="T125" i="22"/>
  <c r="M6" i="4"/>
  <c r="M23" i="4" s="1"/>
  <c r="M40" i="4" s="1"/>
  <c r="M14" i="4"/>
  <c r="M31" i="4"/>
  <c r="W10" i="4"/>
  <c r="BB171" i="22" l="1"/>
  <c r="BB170" i="22"/>
  <c r="BB172" i="22" s="1"/>
  <c r="BB173" i="22" s="1"/>
  <c r="BC169" i="22"/>
  <c r="BJ164" i="22"/>
  <c r="Z177" i="22"/>
  <c r="J126" i="4" s="1"/>
  <c r="Z179" i="22"/>
  <c r="U126" i="22"/>
  <c r="U123" i="22"/>
  <c r="L56" i="4"/>
  <c r="M24" i="4"/>
  <c r="M26" i="4" s="1"/>
  <c r="M21" i="4"/>
  <c r="M11" i="4"/>
  <c r="M20" i="4" s="1"/>
  <c r="M8" i="4"/>
  <c r="N9" i="4"/>
  <c r="N41" i="4" s="1"/>
  <c r="W39" i="4"/>
  <c r="W38" i="4"/>
  <c r="BK164" i="22" l="1"/>
  <c r="BC171" i="22"/>
  <c r="BC170" i="22"/>
  <c r="BC172" i="22" s="1"/>
  <c r="BC173" i="22" s="1"/>
  <c r="BD169" i="22"/>
  <c r="J127" i="4"/>
  <c r="J125" i="4"/>
  <c r="U124" i="22"/>
  <c r="U127" i="22"/>
  <c r="M12" i="4"/>
  <c r="M44" i="4" s="1"/>
  <c r="M28" i="4" s="1"/>
  <c r="M15" i="4"/>
  <c r="M16" i="4" s="1"/>
  <c r="M17" i="4" s="1"/>
  <c r="Z180" i="22"/>
  <c r="J131" i="4" s="1"/>
  <c r="X10" i="4"/>
  <c r="BD171" i="22" l="1"/>
  <c r="BD170" i="22"/>
  <c r="BD172" i="22" s="1"/>
  <c r="BD173" i="22" s="1"/>
  <c r="BE169" i="22"/>
  <c r="BL164" i="22"/>
  <c r="J132" i="4"/>
  <c r="J137" i="4" s="1"/>
  <c r="J130" i="4"/>
  <c r="J135" i="4" s="1"/>
  <c r="J136" i="4"/>
  <c r="Z181" i="22"/>
  <c r="N14" i="4" s="1"/>
  <c r="Z182" i="22"/>
  <c r="U125" i="22"/>
  <c r="U133" i="22"/>
  <c r="AA178" i="22"/>
  <c r="V128" i="22" s="1"/>
  <c r="M30" i="4"/>
  <c r="M51" i="4"/>
  <c r="M19" i="4"/>
  <c r="M22" i="4" s="1"/>
  <c r="M34" i="4" s="1"/>
  <c r="M29" i="4"/>
  <c r="X38" i="4"/>
  <c r="Y10" i="4" s="1"/>
  <c r="X39" i="4"/>
  <c r="BM164" i="22" l="1"/>
  <c r="BE170" i="22"/>
  <c r="BE172" i="22" s="1"/>
  <c r="BE173" i="22" s="1"/>
  <c r="BE171" i="22"/>
  <c r="BF169" i="22"/>
  <c r="J138" i="4"/>
  <c r="V129" i="22"/>
  <c r="V122" i="22"/>
  <c r="M32" i="4"/>
  <c r="M35" i="4"/>
  <c r="M36" i="4" s="1"/>
  <c r="M43" i="4" s="1"/>
  <c r="N25" i="4"/>
  <c r="N6" i="4"/>
  <c r="N31" i="4"/>
  <c r="Y38" i="4"/>
  <c r="Y39" i="4"/>
  <c r="BF170" i="22" l="1"/>
  <c r="BF172" i="22" s="1"/>
  <c r="BF173" i="22" s="1"/>
  <c r="BF171" i="22"/>
  <c r="BG169" i="22"/>
  <c r="BN164" i="22"/>
  <c r="V126" i="22"/>
  <c r="V123" i="22"/>
  <c r="AA177" i="22"/>
  <c r="K126" i="4" s="1"/>
  <c r="N13" i="4"/>
  <c r="M56" i="4"/>
  <c r="N23" i="4"/>
  <c r="N8" i="4"/>
  <c r="N24" i="4"/>
  <c r="N11" i="4"/>
  <c r="N20" i="4" s="1"/>
  <c r="N21" i="4"/>
  <c r="AA179" i="22"/>
  <c r="Z10" i="4"/>
  <c r="BO164" i="22" l="1"/>
  <c r="BG171" i="22"/>
  <c r="BG170" i="22"/>
  <c r="BG172" i="22" s="1"/>
  <c r="BG173" i="22" s="1"/>
  <c r="BH169" i="22"/>
  <c r="K127" i="4"/>
  <c r="K125" i="4"/>
  <c r="V124" i="22"/>
  <c r="V127" i="22"/>
  <c r="N12" i="4"/>
  <c r="N44" i="4" s="1"/>
  <c r="N28" i="4" s="1"/>
  <c r="N15" i="4"/>
  <c r="N16" i="4" s="1"/>
  <c r="N17" i="4" s="1"/>
  <c r="N26" i="4"/>
  <c r="N40" i="4"/>
  <c r="O9" i="4" s="1"/>
  <c r="O41" i="4" s="1"/>
  <c r="AA180" i="22"/>
  <c r="K131" i="4" s="1"/>
  <c r="Z38" i="4"/>
  <c r="AA10" i="4" s="1"/>
  <c r="Z39" i="4"/>
  <c r="BH171" i="22" l="1"/>
  <c r="BH170" i="22"/>
  <c r="BH172" i="22" s="1"/>
  <c r="BH173" i="22" s="1"/>
  <c r="BI169" i="22"/>
  <c r="BP164" i="22"/>
  <c r="K130" i="4"/>
  <c r="K135" i="4" s="1"/>
  <c r="K132" i="4"/>
  <c r="K137" i="4" s="1"/>
  <c r="K136" i="4"/>
  <c r="AA181" i="22"/>
  <c r="O6" i="4" s="1"/>
  <c r="O21" i="4" s="1"/>
  <c r="AA182" i="22"/>
  <c r="V125" i="22"/>
  <c r="V133" i="22"/>
  <c r="N30" i="4"/>
  <c r="N51" i="4"/>
  <c r="N19" i="4"/>
  <c r="N22" i="4" s="1"/>
  <c r="N34" i="4" s="1"/>
  <c r="N29" i="4"/>
  <c r="AA39" i="4"/>
  <c r="AA38" i="4"/>
  <c r="BQ164" i="22" l="1"/>
  <c r="BI171" i="22"/>
  <c r="BI170" i="22"/>
  <c r="BI172" i="22" s="1"/>
  <c r="BI173" i="22" s="1"/>
  <c r="BJ169" i="22"/>
  <c r="K138" i="4"/>
  <c r="AB178" i="22"/>
  <c r="W128" i="22" s="1"/>
  <c r="O23" i="4"/>
  <c r="O40" i="4" s="1"/>
  <c r="O11" i="4"/>
  <c r="O20" i="4" s="1"/>
  <c r="O8" i="4"/>
  <c r="O12" i="4" s="1"/>
  <c r="O44" i="4" s="1"/>
  <c r="O28" i="4" s="1"/>
  <c r="N32" i="4"/>
  <c r="N35" i="4"/>
  <c r="N36" i="4" s="1"/>
  <c r="N43" i="4" s="1"/>
  <c r="O14" i="4"/>
  <c r="O31" i="4"/>
  <c r="O25" i="4"/>
  <c r="O24" i="4"/>
  <c r="AB10" i="4"/>
  <c r="AB38" i="4" s="1"/>
  <c r="BJ171" i="22" l="1"/>
  <c r="BJ170" i="22"/>
  <c r="BJ172" i="22" s="1"/>
  <c r="BJ173" i="22" s="1"/>
  <c r="BK169" i="22"/>
  <c r="BR164" i="22"/>
  <c r="AB179" i="22"/>
  <c r="AB177" i="22"/>
  <c r="L126" i="4" s="1"/>
  <c r="W129" i="22"/>
  <c r="W122" i="22"/>
  <c r="O26" i="4"/>
  <c r="N56" i="4"/>
  <c r="O13" i="4"/>
  <c r="O15" i="4" s="1"/>
  <c r="O16" i="4" s="1"/>
  <c r="O17" i="4" s="1"/>
  <c r="O29" i="4" s="1"/>
  <c r="P9" i="4"/>
  <c r="AC10" i="4"/>
  <c r="AB39" i="4"/>
  <c r="BK171" i="22" l="1"/>
  <c r="BK170" i="22"/>
  <c r="BK172" i="22" s="1"/>
  <c r="BK173" i="22" s="1"/>
  <c r="BL169" i="22"/>
  <c r="BS164" i="22"/>
  <c r="L125" i="4"/>
  <c r="L127" i="4"/>
  <c r="W123" i="22"/>
  <c r="W126" i="22"/>
  <c r="O30" i="4"/>
  <c r="O32" i="4" s="1"/>
  <c r="O19" i="4"/>
  <c r="O22" i="4" s="1"/>
  <c r="O34" i="4" s="1"/>
  <c r="O51" i="4"/>
  <c r="AB180" i="22"/>
  <c r="L131" i="4" s="1"/>
  <c r="P41" i="4"/>
  <c r="AC39" i="4"/>
  <c r="AC38" i="4"/>
  <c r="BT164" i="22" l="1"/>
  <c r="BL171" i="22"/>
  <c r="BL170" i="22"/>
  <c r="BL172" i="22" s="1"/>
  <c r="BL173" i="22" s="1"/>
  <c r="BM169" i="22"/>
  <c r="L130" i="4"/>
  <c r="L135" i="4" s="1"/>
  <c r="L132" i="4"/>
  <c r="L137" i="4" s="1"/>
  <c r="L136" i="4"/>
  <c r="AB181" i="22"/>
  <c r="AB182" i="22"/>
  <c r="W124" i="22"/>
  <c r="W127" i="22"/>
  <c r="O35" i="4"/>
  <c r="O36" i="4" s="1"/>
  <c r="O43" i="4" s="1"/>
  <c r="O56" i="4" s="1"/>
  <c r="AD10" i="4"/>
  <c r="BM170" i="22" l="1"/>
  <c r="BM172" i="22" s="1"/>
  <c r="BM173" i="22" s="1"/>
  <c r="BM171" i="22"/>
  <c r="BN169" i="22"/>
  <c r="BU164" i="22"/>
  <c r="L138" i="4"/>
  <c r="W125" i="22"/>
  <c r="W133" i="22"/>
  <c r="AC178" i="22"/>
  <c r="X128" i="22" s="1"/>
  <c r="P13" i="4"/>
  <c r="P25" i="4"/>
  <c r="P6" i="4"/>
  <c r="P31" i="4"/>
  <c r="P14" i="4"/>
  <c r="AD39" i="4"/>
  <c r="AD38" i="4"/>
  <c r="BV164" i="22" l="1"/>
  <c r="BN171" i="22"/>
  <c r="BN170" i="22"/>
  <c r="BN172" i="22" s="1"/>
  <c r="BN173" i="22" s="1"/>
  <c r="BO169" i="22"/>
  <c r="X122" i="22"/>
  <c r="X129" i="22"/>
  <c r="AC177" i="22"/>
  <c r="M126" i="4" s="1"/>
  <c r="P11" i="4"/>
  <c r="P20" i="4" s="1"/>
  <c r="P23" i="4"/>
  <c r="P21" i="4"/>
  <c r="P24" i="4"/>
  <c r="P8" i="4"/>
  <c r="AC179" i="22"/>
  <c r="AE10" i="4"/>
  <c r="BO171" i="22" l="1"/>
  <c r="BO170" i="22"/>
  <c r="BO172" i="22" s="1"/>
  <c r="BO173" i="22" s="1"/>
  <c r="BP169" i="22"/>
  <c r="BW164" i="22"/>
  <c r="M127" i="4"/>
  <c r="M125" i="4"/>
  <c r="X123" i="22"/>
  <c r="X126" i="22"/>
  <c r="P40" i="4"/>
  <c r="Q9" i="4" s="1"/>
  <c r="Q41" i="4" s="1"/>
  <c r="P26" i="4"/>
  <c r="P12" i="4"/>
  <c r="P44" i="4" s="1"/>
  <c r="P28" i="4" s="1"/>
  <c r="P15" i="4"/>
  <c r="P16" i="4" s="1"/>
  <c r="P17" i="4" s="1"/>
  <c r="AC180" i="22"/>
  <c r="M131" i="4" s="1"/>
  <c r="AE39" i="4"/>
  <c r="AE38" i="4"/>
  <c r="BX164" i="22" l="1"/>
  <c r="BP171" i="22"/>
  <c r="BP170" i="22"/>
  <c r="BP172" i="22" s="1"/>
  <c r="BP173" i="22" s="1"/>
  <c r="BQ169" i="22"/>
  <c r="M130" i="4"/>
  <c r="M135" i="4" s="1"/>
  <c r="M132" i="4"/>
  <c r="M137" i="4" s="1"/>
  <c r="M136" i="4"/>
  <c r="AC181" i="22"/>
  <c r="AC182" i="22"/>
  <c r="X127" i="22"/>
  <c r="X124" i="22"/>
  <c r="AD178" i="22"/>
  <c r="Y128" i="22" s="1"/>
  <c r="P30" i="4"/>
  <c r="P19" i="4"/>
  <c r="P22" i="4" s="1"/>
  <c r="P34" i="4" s="1"/>
  <c r="P29" i="4"/>
  <c r="P51" i="4"/>
  <c r="AF10" i="4"/>
  <c r="AF38" i="4" s="1"/>
  <c r="AG38" i="4" s="1"/>
  <c r="BQ170" i="22" l="1"/>
  <c r="BQ172" i="22" s="1"/>
  <c r="BQ173" i="22" s="1"/>
  <c r="BQ171" i="22"/>
  <c r="BR169" i="22"/>
  <c r="BY164" i="22"/>
  <c r="M138" i="4"/>
  <c r="X125" i="22"/>
  <c r="X133" i="22"/>
  <c r="Y122" i="22"/>
  <c r="Y129" i="22"/>
  <c r="Q31" i="4"/>
  <c r="Q6" i="4"/>
  <c r="Q25" i="4"/>
  <c r="Q14" i="4"/>
  <c r="P35" i="4"/>
  <c r="P36" i="4" s="1"/>
  <c r="P43" i="4" s="1"/>
  <c r="P32" i="4"/>
  <c r="AF39" i="4"/>
  <c r="AG39" i="4" s="1"/>
  <c r="BZ164" i="22" l="1"/>
  <c r="BR170" i="22"/>
  <c r="BR172" i="22" s="1"/>
  <c r="BR173" i="22" s="1"/>
  <c r="BR171" i="22"/>
  <c r="BS169" i="22"/>
  <c r="Y123" i="22"/>
  <c r="Y126" i="22"/>
  <c r="AD177" i="22"/>
  <c r="N126" i="4" s="1"/>
  <c r="AD179" i="22"/>
  <c r="Q11" i="4"/>
  <c r="Q20" i="4" s="1"/>
  <c r="Q21" i="4"/>
  <c r="Q24" i="4"/>
  <c r="Q23" i="4"/>
  <c r="Q8" i="4"/>
  <c r="P56" i="4"/>
  <c r="Q13" i="4"/>
  <c r="BS171" i="22" l="1"/>
  <c r="BS170" i="22"/>
  <c r="BS172" i="22" s="1"/>
  <c r="BS173" i="22" s="1"/>
  <c r="BT169" i="22"/>
  <c r="CA164" i="22"/>
  <c r="N125" i="4"/>
  <c r="N127" i="4"/>
  <c r="Y124" i="22"/>
  <c r="Y127" i="22"/>
  <c r="Q12" i="4"/>
  <c r="Q44" i="4" s="1"/>
  <c r="Q28" i="4" s="1"/>
  <c r="Q15" i="4"/>
  <c r="Q16" i="4" s="1"/>
  <c r="Q17" i="4" s="1"/>
  <c r="Q40" i="4"/>
  <c r="R9" i="4" s="1"/>
  <c r="R41" i="4" s="1"/>
  <c r="Q26" i="4"/>
  <c r="AD180" i="22"/>
  <c r="CB164" i="22" l="1"/>
  <c r="BT171" i="22"/>
  <c r="BT170" i="22"/>
  <c r="BT172" i="22" s="1"/>
  <c r="BT173" i="22" s="1"/>
  <c r="BU169" i="22"/>
  <c r="AD181" i="22"/>
  <c r="N131" i="4"/>
  <c r="Y125" i="22"/>
  <c r="Y133" i="22"/>
  <c r="AE178" i="22"/>
  <c r="Z128" i="22" s="1"/>
  <c r="Q30" i="4"/>
  <c r="Q19" i="4"/>
  <c r="Q22" i="4" s="1"/>
  <c r="Q34" i="4" s="1"/>
  <c r="Q29" i="4"/>
  <c r="Q51" i="4"/>
  <c r="R6" i="4"/>
  <c r="BU171" i="22" l="1"/>
  <c r="BU170" i="22"/>
  <c r="BU172" i="22" s="1"/>
  <c r="BU173" i="22" s="1"/>
  <c r="BV169" i="22"/>
  <c r="CC164" i="22"/>
  <c r="N130" i="4"/>
  <c r="N135" i="4" s="1"/>
  <c r="N132" i="4"/>
  <c r="N137" i="4" s="1"/>
  <c r="N136" i="4"/>
  <c r="Z129" i="22"/>
  <c r="Z122" i="22"/>
  <c r="AE177" i="22"/>
  <c r="O126" i="4" s="1"/>
  <c r="R11" i="4"/>
  <c r="R20" i="4" s="1"/>
  <c r="R24" i="4"/>
  <c r="R23" i="4"/>
  <c r="R21" i="4"/>
  <c r="R8" i="4"/>
  <c r="R12" i="4" s="1"/>
  <c r="R44" i="4" s="1"/>
  <c r="R28" i="4" s="1"/>
  <c r="R31" i="4"/>
  <c r="R14" i="4"/>
  <c r="R25" i="4"/>
  <c r="Q35" i="4"/>
  <c r="Q36" i="4" s="1"/>
  <c r="Q43" i="4" s="1"/>
  <c r="Q32" i="4"/>
  <c r="CD164" i="22" l="1"/>
  <c r="BV171" i="22"/>
  <c r="BV170" i="22"/>
  <c r="BV172" i="22" s="1"/>
  <c r="BV173" i="22" s="1"/>
  <c r="BW169" i="22"/>
  <c r="N138" i="4"/>
  <c r="O127" i="4"/>
  <c r="O125" i="4"/>
  <c r="Z123" i="22"/>
  <c r="Z126" i="22"/>
  <c r="AE179" i="22"/>
  <c r="R26" i="4"/>
  <c r="R13" i="4"/>
  <c r="R15" i="4" s="1"/>
  <c r="R16" i="4" s="1"/>
  <c r="R17" i="4" s="1"/>
  <c r="Q56" i="4"/>
  <c r="R40" i="4"/>
  <c r="S9" i="4" s="1"/>
  <c r="BW171" i="22" l="1"/>
  <c r="BW170" i="22"/>
  <c r="BW172" i="22" s="1"/>
  <c r="BW173" i="22" s="1"/>
  <c r="BX169" i="22"/>
  <c r="CE164" i="22"/>
  <c r="Z127" i="22"/>
  <c r="Z124" i="22"/>
  <c r="R19" i="4"/>
  <c r="R22" i="4" s="1"/>
  <c r="R34" i="4" s="1"/>
  <c r="R30" i="4"/>
  <c r="R51" i="4"/>
  <c r="R29" i="4"/>
  <c r="AE180" i="22"/>
  <c r="S41" i="4"/>
  <c r="BX171" i="22" l="1"/>
  <c r="BX170" i="22"/>
  <c r="BX172" i="22" s="1"/>
  <c r="BX173" i="22" s="1"/>
  <c r="BY169" i="22"/>
  <c r="CF164" i="22"/>
  <c r="AE181" i="22"/>
  <c r="O131" i="4"/>
  <c r="Z133" i="22"/>
  <c r="Z125" i="22"/>
  <c r="R35" i="4"/>
  <c r="R36" i="4" s="1"/>
  <c r="R43" i="4" s="1"/>
  <c r="R32" i="4"/>
  <c r="CG164" i="22" l="1"/>
  <c r="BY170" i="22"/>
  <c r="BY172" i="22" s="1"/>
  <c r="BY173" i="22" s="1"/>
  <c r="BY171" i="22"/>
  <c r="BZ169" i="22"/>
  <c r="O130" i="4"/>
  <c r="O135" i="4" s="1"/>
  <c r="O132" i="4"/>
  <c r="O137" i="4" s="1"/>
  <c r="O136" i="4"/>
  <c r="AF178" i="22"/>
  <c r="AA128" i="22" s="1"/>
  <c r="S31" i="4"/>
  <c r="S14" i="4"/>
  <c r="S6" i="4"/>
  <c r="S25" i="4"/>
  <c r="S13" i="4"/>
  <c r="R56" i="4"/>
  <c r="BZ171" i="22" l="1"/>
  <c r="BZ170" i="22"/>
  <c r="BZ172" i="22" s="1"/>
  <c r="BZ173" i="22" s="1"/>
  <c r="CA169" i="22"/>
  <c r="CH164" i="22"/>
  <c r="O138" i="4"/>
  <c r="AF179" i="22"/>
  <c r="AA122" i="22"/>
  <c r="AA129" i="22"/>
  <c r="AF177" i="22"/>
  <c r="P126" i="4" s="1"/>
  <c r="S24" i="4"/>
  <c r="S23" i="4"/>
  <c r="S8" i="4"/>
  <c r="S21" i="4"/>
  <c r="S11" i="4"/>
  <c r="S20" i="4" s="1"/>
  <c r="CI164" i="22" l="1"/>
  <c r="CA171" i="22"/>
  <c r="CA170" i="22"/>
  <c r="CA172" i="22" s="1"/>
  <c r="CA173" i="22" s="1"/>
  <c r="CB169" i="22"/>
  <c r="P127" i="4"/>
  <c r="P125" i="4"/>
  <c r="AA123" i="22"/>
  <c r="AA126" i="22"/>
  <c r="S15" i="4"/>
  <c r="S16" i="4" s="1"/>
  <c r="S17" i="4" s="1"/>
  <c r="S12" i="4"/>
  <c r="S44" i="4" s="1"/>
  <c r="S28" i="4" s="1"/>
  <c r="S40" i="4"/>
  <c r="T9" i="4" s="1"/>
  <c r="T41" i="4" s="1"/>
  <c r="S26" i="4"/>
  <c r="AF180" i="22"/>
  <c r="CB171" i="22" l="1"/>
  <c r="CB170" i="22"/>
  <c r="CB172" i="22" s="1"/>
  <c r="CB173" i="22" s="1"/>
  <c r="CC169" i="22"/>
  <c r="CJ164" i="22"/>
  <c r="AF181" i="22"/>
  <c r="P131" i="4"/>
  <c r="AG178" i="22"/>
  <c r="AB128" i="22" s="1"/>
  <c r="AA127" i="22"/>
  <c r="AA124" i="22"/>
  <c r="S29" i="4"/>
  <c r="S19" i="4"/>
  <c r="S22" i="4" s="1"/>
  <c r="S34" i="4" s="1"/>
  <c r="S30" i="4"/>
  <c r="S51" i="4"/>
  <c r="CK164" i="22" l="1"/>
  <c r="CC170" i="22"/>
  <c r="CC172" i="22" s="1"/>
  <c r="CC173" i="22" s="1"/>
  <c r="CC171" i="22"/>
  <c r="CD169" i="22"/>
  <c r="P130" i="4"/>
  <c r="P135" i="4" s="1"/>
  <c r="P132" i="4"/>
  <c r="P137" i="4" s="1"/>
  <c r="P136" i="4"/>
  <c r="AA125" i="22"/>
  <c r="AA133" i="22"/>
  <c r="AB122" i="22"/>
  <c r="AB129" i="22"/>
  <c r="T31" i="4"/>
  <c r="T14" i="4"/>
  <c r="T6" i="4"/>
  <c r="S35" i="4"/>
  <c r="S36" i="4" s="1"/>
  <c r="S43" i="4" s="1"/>
  <c r="S32" i="4"/>
  <c r="T25" i="4"/>
  <c r="CD170" i="22" l="1"/>
  <c r="CD172" i="22" s="1"/>
  <c r="CD173" i="22" s="1"/>
  <c r="CD171" i="22"/>
  <c r="CE169" i="22"/>
  <c r="CL164" i="22"/>
  <c r="P138" i="4"/>
  <c r="AG179" i="22"/>
  <c r="AG177" i="22"/>
  <c r="Q126" i="4" s="1"/>
  <c r="AB123" i="22"/>
  <c r="AB126" i="22"/>
  <c r="T21" i="4"/>
  <c r="T8" i="4"/>
  <c r="T23" i="4"/>
  <c r="T11" i="4"/>
  <c r="T20" i="4" s="1"/>
  <c r="T24" i="4"/>
  <c r="S56" i="4"/>
  <c r="T13" i="4"/>
  <c r="CM164" i="22" l="1"/>
  <c r="CE171" i="22"/>
  <c r="CE170" i="22"/>
  <c r="CE172" i="22" s="1"/>
  <c r="CE173" i="22" s="1"/>
  <c r="CF169" i="22"/>
  <c r="Q127" i="4"/>
  <c r="Q125" i="4"/>
  <c r="AB124" i="22"/>
  <c r="AB127" i="22"/>
  <c r="T26" i="4"/>
  <c r="T40" i="4"/>
  <c r="U9" i="4" s="1"/>
  <c r="U41" i="4" s="1"/>
  <c r="T12" i="4"/>
  <c r="T44" i="4" s="1"/>
  <c r="T28" i="4" s="1"/>
  <c r="T15" i="4"/>
  <c r="T16" i="4" s="1"/>
  <c r="T17" i="4" s="1"/>
  <c r="AG180" i="22"/>
  <c r="CF171" i="22" l="1"/>
  <c r="CF170" i="22"/>
  <c r="CF172" i="22" s="1"/>
  <c r="CF173" i="22" s="1"/>
  <c r="CG169" i="22"/>
  <c r="CN164" i="22"/>
  <c r="AG181" i="22"/>
  <c r="Q131" i="4"/>
  <c r="AB133" i="22"/>
  <c r="AB125" i="22"/>
  <c r="AH178" i="22"/>
  <c r="AC128" i="22" s="1"/>
  <c r="T29" i="4"/>
  <c r="T30" i="4"/>
  <c r="T19" i="4"/>
  <c r="T22" i="4" s="1"/>
  <c r="T34" i="4" s="1"/>
  <c r="T51" i="4"/>
  <c r="CG171" i="22" l="1"/>
  <c r="CG170" i="22"/>
  <c r="CG172" i="22" s="1"/>
  <c r="CG173" i="22" s="1"/>
  <c r="CH169" i="22"/>
  <c r="CO164" i="22"/>
  <c r="Q130" i="4"/>
  <c r="Q135" i="4" s="1"/>
  <c r="Q132" i="4"/>
  <c r="Q137" i="4" s="1"/>
  <c r="Q136" i="4"/>
  <c r="AC122" i="22"/>
  <c r="AC129" i="22"/>
  <c r="U14" i="4"/>
  <c r="U31" i="4"/>
  <c r="U6" i="4"/>
  <c r="U25" i="4"/>
  <c r="T35" i="4"/>
  <c r="T36" i="4" s="1"/>
  <c r="T43" i="4" s="1"/>
  <c r="T32" i="4"/>
  <c r="CP164" i="22" l="1"/>
  <c r="CH171" i="22"/>
  <c r="CH170" i="22"/>
  <c r="CH172" i="22" s="1"/>
  <c r="CH173" i="22" s="1"/>
  <c r="CI169" i="22"/>
  <c r="Q138" i="4"/>
  <c r="AH177" i="22"/>
  <c r="R126" i="4" s="1"/>
  <c r="AH179" i="22"/>
  <c r="AC126" i="22"/>
  <c r="AC123" i="22"/>
  <c r="U13" i="4"/>
  <c r="T56" i="4"/>
  <c r="U8" i="4"/>
  <c r="U11" i="4"/>
  <c r="U20" i="4" s="1"/>
  <c r="U24" i="4"/>
  <c r="U21" i="4"/>
  <c r="U23" i="4"/>
  <c r="CI171" i="22" l="1"/>
  <c r="CI170" i="22"/>
  <c r="CI172" i="22" s="1"/>
  <c r="CI173" i="22" s="1"/>
  <c r="CJ169" i="22"/>
  <c r="CQ164" i="22"/>
  <c r="R125" i="4"/>
  <c r="R127" i="4"/>
  <c r="AC124" i="22"/>
  <c r="AC127" i="22"/>
  <c r="U40" i="4"/>
  <c r="V9" i="4" s="1"/>
  <c r="V41" i="4" s="1"/>
  <c r="U26" i="4"/>
  <c r="U12" i="4"/>
  <c r="U44" i="4" s="1"/>
  <c r="U28" i="4" s="1"/>
  <c r="U15" i="4"/>
  <c r="U16" i="4" s="1"/>
  <c r="U17" i="4" s="1"/>
  <c r="AH180" i="22"/>
  <c r="CR164" i="22" l="1"/>
  <c r="CJ171" i="22"/>
  <c r="CJ170" i="22"/>
  <c r="CJ172" i="22" s="1"/>
  <c r="CJ173" i="22" s="1"/>
  <c r="CK169" i="22"/>
  <c r="AH181" i="22"/>
  <c r="R131" i="4"/>
  <c r="AI178" i="22"/>
  <c r="AD128" i="22" s="1"/>
  <c r="AC125" i="22"/>
  <c r="AC133" i="22"/>
  <c r="U29" i="4"/>
  <c r="U19" i="4"/>
  <c r="U22" i="4" s="1"/>
  <c r="U34" i="4" s="1"/>
  <c r="U51" i="4"/>
  <c r="U30" i="4"/>
  <c r="V14" i="4"/>
  <c r="CK170" i="22" l="1"/>
  <c r="CK172" i="22" s="1"/>
  <c r="CK173" i="22" s="1"/>
  <c r="CK171" i="22"/>
  <c r="CL169" i="22"/>
  <c r="CS164" i="22"/>
  <c r="R132" i="4"/>
  <c r="R137" i="4" s="1"/>
  <c r="R130" i="4"/>
  <c r="R135" i="4" s="1"/>
  <c r="R136" i="4"/>
  <c r="AD122" i="22"/>
  <c r="AD129" i="22"/>
  <c r="V25" i="4"/>
  <c r="V6" i="4"/>
  <c r="V23" i="4" s="1"/>
  <c r="V40" i="4" s="1"/>
  <c r="V31" i="4"/>
  <c r="U35" i="4"/>
  <c r="U36" i="4" s="1"/>
  <c r="U43" i="4" s="1"/>
  <c r="U32" i="4"/>
  <c r="CL171" i="22" l="1"/>
  <c r="CL170" i="22"/>
  <c r="CL172" i="22" s="1"/>
  <c r="CL173" i="22" s="1"/>
  <c r="CM169" i="22"/>
  <c r="CT164" i="22"/>
  <c r="R138" i="4"/>
  <c r="AI177" i="22"/>
  <c r="S126" i="4" s="1"/>
  <c r="AI179" i="22"/>
  <c r="AD123" i="22"/>
  <c r="AD126" i="22"/>
  <c r="V11" i="4"/>
  <c r="V20" i="4" s="1"/>
  <c r="V8" i="4"/>
  <c r="V12" i="4" s="1"/>
  <c r="V44" i="4" s="1"/>
  <c r="V28" i="4" s="1"/>
  <c r="V21" i="4"/>
  <c r="V24" i="4"/>
  <c r="V26" i="4" s="1"/>
  <c r="V13" i="4"/>
  <c r="U56" i="4"/>
  <c r="W9" i="4"/>
  <c r="W41" i="4" s="1"/>
  <c r="CU164" i="22" l="1"/>
  <c r="CM171" i="22"/>
  <c r="CM170" i="22"/>
  <c r="CM172" i="22" s="1"/>
  <c r="CM173" i="22" s="1"/>
  <c r="CN169" i="22"/>
  <c r="S125" i="4"/>
  <c r="S127" i="4"/>
  <c r="AD124" i="22"/>
  <c r="AD127" i="22"/>
  <c r="V15" i="4"/>
  <c r="V16" i="4" s="1"/>
  <c r="V17" i="4" s="1"/>
  <c r="V30" i="4" s="1"/>
  <c r="AI180" i="22"/>
  <c r="CN171" i="22" l="1"/>
  <c r="CN170" i="22"/>
  <c r="CN172" i="22" s="1"/>
  <c r="CN173" i="22" s="1"/>
  <c r="CO169" i="22"/>
  <c r="CV164" i="22"/>
  <c r="AI181" i="22"/>
  <c r="S131" i="4"/>
  <c r="AJ178" i="22"/>
  <c r="AE128" i="22" s="1"/>
  <c r="AD133" i="22"/>
  <c r="AD125" i="22"/>
  <c r="V29" i="4"/>
  <c r="V32" i="4" s="1"/>
  <c r="V19" i="4"/>
  <c r="V22" i="4" s="1"/>
  <c r="V34" i="4" s="1"/>
  <c r="V51" i="4"/>
  <c r="W25" i="4"/>
  <c r="CW164" i="22" l="1"/>
  <c r="CO170" i="22"/>
  <c r="CO172" i="22" s="1"/>
  <c r="CO173" i="22" s="1"/>
  <c r="CO171" i="22"/>
  <c r="CP169" i="22"/>
  <c r="S130" i="4"/>
  <c r="S135" i="4" s="1"/>
  <c r="S132" i="4"/>
  <c r="S137" i="4" s="1"/>
  <c r="S136" i="4"/>
  <c r="V35" i="4"/>
  <c r="V36" i="4" s="1"/>
  <c r="V43" i="4" s="1"/>
  <c r="V56" i="4" s="1"/>
  <c r="AE122" i="22"/>
  <c r="AE129" i="22"/>
  <c r="W14" i="4"/>
  <c r="W6" i="4"/>
  <c r="W31" i="4"/>
  <c r="CP170" i="22" l="1"/>
  <c r="CP172" i="22" s="1"/>
  <c r="CP173" i="22" s="1"/>
  <c r="CP171" i="22"/>
  <c r="CQ169" i="22"/>
  <c r="CX164" i="22"/>
  <c r="S138" i="4"/>
  <c r="W13" i="4"/>
  <c r="AE126" i="22"/>
  <c r="AE123" i="22"/>
  <c r="AJ177" i="22"/>
  <c r="T126" i="4" s="1"/>
  <c r="AJ179" i="22"/>
  <c r="W21" i="4"/>
  <c r="W8" i="4"/>
  <c r="W11" i="4"/>
  <c r="W20" i="4" s="1"/>
  <c r="W24" i="4"/>
  <c r="W23" i="4"/>
  <c r="CY164" i="22" l="1"/>
  <c r="CQ171" i="22"/>
  <c r="CQ170" i="22"/>
  <c r="CQ172" i="22" s="1"/>
  <c r="CQ173" i="22" s="1"/>
  <c r="CR169" i="22"/>
  <c r="T125" i="4"/>
  <c r="T127" i="4"/>
  <c r="AE124" i="22"/>
  <c r="AE127" i="22"/>
  <c r="W40" i="4"/>
  <c r="X9" i="4" s="1"/>
  <c r="X41" i="4" s="1"/>
  <c r="W26" i="4"/>
  <c r="W12" i="4"/>
  <c r="W44" i="4" s="1"/>
  <c r="W28" i="4" s="1"/>
  <c r="W15" i="4"/>
  <c r="W16" i="4" s="1"/>
  <c r="W17" i="4" s="1"/>
  <c r="AJ180" i="22"/>
  <c r="CR171" i="22" l="1"/>
  <c r="CR170" i="22"/>
  <c r="CR172" i="22" s="1"/>
  <c r="CR173" i="22" s="1"/>
  <c r="CS169" i="22"/>
  <c r="CZ164" i="22"/>
  <c r="AJ181" i="22"/>
  <c r="T131" i="4"/>
  <c r="AE125" i="22"/>
  <c r="AE133" i="22"/>
  <c r="AK178" i="22"/>
  <c r="AF128" i="22" s="1"/>
  <c r="W19" i="4"/>
  <c r="W22" i="4" s="1"/>
  <c r="W34" i="4" s="1"/>
  <c r="W30" i="4"/>
  <c r="W29" i="4"/>
  <c r="W51" i="4"/>
  <c r="CS171" i="22" l="1"/>
  <c r="CS170" i="22"/>
  <c r="CS172" i="22" s="1"/>
  <c r="CS173" i="22" s="1"/>
  <c r="CT169" i="22"/>
  <c r="DA164" i="22"/>
  <c r="T130" i="4"/>
  <c r="T135" i="4" s="1"/>
  <c r="T132" i="4"/>
  <c r="T137" i="4" s="1"/>
  <c r="T136" i="4"/>
  <c r="AF122" i="22"/>
  <c r="AF129" i="22"/>
  <c r="W35" i="4"/>
  <c r="W36" i="4" s="1"/>
  <c r="W43" i="4" s="1"/>
  <c r="X31" i="4"/>
  <c r="X14" i="4"/>
  <c r="X25" i="4"/>
  <c r="X6" i="4"/>
  <c r="W32" i="4"/>
  <c r="DB164" i="22" l="1"/>
  <c r="CT171" i="22"/>
  <c r="CT170" i="22"/>
  <c r="CT172" i="22" s="1"/>
  <c r="CT173" i="22" s="1"/>
  <c r="CU169" i="22"/>
  <c r="T138" i="4"/>
  <c r="AK177" i="22"/>
  <c r="U126" i="4" s="1"/>
  <c r="AK179" i="22"/>
  <c r="AF123" i="22"/>
  <c r="AF126" i="22"/>
  <c r="W56" i="4"/>
  <c r="X13" i="4"/>
  <c r="X8" i="4"/>
  <c r="X23" i="4"/>
  <c r="X11" i="4"/>
  <c r="X20" i="4" s="1"/>
  <c r="X24" i="4"/>
  <c r="X21" i="4"/>
  <c r="CU171" i="22" l="1"/>
  <c r="CU170" i="22"/>
  <c r="CU172" i="22" s="1"/>
  <c r="CU173" i="22" s="1"/>
  <c r="CV169" i="22"/>
  <c r="DC164" i="22"/>
  <c r="U127" i="4"/>
  <c r="U125" i="4"/>
  <c r="AF127" i="22"/>
  <c r="AF124" i="22"/>
  <c r="X40" i="4"/>
  <c r="Y9" i="4" s="1"/>
  <c r="Y41" i="4" s="1"/>
  <c r="X26" i="4"/>
  <c r="X12" i="4"/>
  <c r="X44" i="4" s="1"/>
  <c r="X28" i="4" s="1"/>
  <c r="X15" i="4"/>
  <c r="X16" i="4" s="1"/>
  <c r="X17" i="4" s="1"/>
  <c r="AK180" i="22"/>
  <c r="DD164" i="22" l="1"/>
  <c r="CV171" i="22"/>
  <c r="CV170" i="22"/>
  <c r="CV172" i="22" s="1"/>
  <c r="CV173" i="22" s="1"/>
  <c r="CW169" i="22"/>
  <c r="AK181" i="22"/>
  <c r="U131" i="4"/>
  <c r="AF125" i="22"/>
  <c r="AF133" i="22"/>
  <c r="X29" i="4"/>
  <c r="X51" i="4"/>
  <c r="X19" i="4"/>
  <c r="X22" i="4" s="1"/>
  <c r="X34" i="4" s="1"/>
  <c r="X30" i="4"/>
  <c r="Y31" i="4"/>
  <c r="CW170" i="22" l="1"/>
  <c r="CW172" i="22" s="1"/>
  <c r="CW173" i="22" s="1"/>
  <c r="CW171" i="22"/>
  <c r="CX169" i="22"/>
  <c r="DE164" i="22"/>
  <c r="U130" i="4"/>
  <c r="U135" i="4" s="1"/>
  <c r="U132" i="4"/>
  <c r="U137" i="4" s="1"/>
  <c r="U136" i="4"/>
  <c r="AL177" i="22"/>
  <c r="V126" i="4" s="1"/>
  <c r="AL178" i="22"/>
  <c r="AG128" i="22" s="1"/>
  <c r="Y14" i="4"/>
  <c r="Y6" i="4"/>
  <c r="Y21" i="4" s="1"/>
  <c r="Y25" i="4"/>
  <c r="X35" i="4"/>
  <c r="X36" i="4" s="1"/>
  <c r="X43" i="4" s="1"/>
  <c r="X32" i="4"/>
  <c r="DF164" i="22" l="1"/>
  <c r="CX171" i="22"/>
  <c r="CX170" i="22"/>
  <c r="CX172" i="22" s="1"/>
  <c r="CX173" i="22" s="1"/>
  <c r="CY169" i="22"/>
  <c r="U138" i="4"/>
  <c r="V127" i="4"/>
  <c r="V125" i="4"/>
  <c r="AL179" i="22"/>
  <c r="AG129" i="22"/>
  <c r="AG122" i="22"/>
  <c r="Y11" i="4"/>
  <c r="Y20" i="4" s="1"/>
  <c r="Y23" i="4"/>
  <c r="Y24" i="4"/>
  <c r="Y8" i="4"/>
  <c r="Y13" i="4"/>
  <c r="X56" i="4"/>
  <c r="CY171" i="22" l="1"/>
  <c r="CY170" i="22"/>
  <c r="CY172" i="22" s="1"/>
  <c r="CY173" i="22" s="1"/>
  <c r="CZ169" i="22"/>
  <c r="DG164" i="22"/>
  <c r="AG126" i="22"/>
  <c r="AG123" i="22"/>
  <c r="Y12" i="4"/>
  <c r="Y44" i="4" s="1"/>
  <c r="Y28" i="4" s="1"/>
  <c r="Y15" i="4"/>
  <c r="Y16" i="4" s="1"/>
  <c r="Y17" i="4" s="1"/>
  <c r="Y26" i="4"/>
  <c r="Y40" i="4"/>
  <c r="Z9" i="4" s="1"/>
  <c r="Z41" i="4" s="1"/>
  <c r="AL180" i="22"/>
  <c r="CZ171" i="22" l="1"/>
  <c r="CZ170" i="22"/>
  <c r="CZ172" i="22" s="1"/>
  <c r="CZ173" i="22" s="1"/>
  <c r="DA169" i="22"/>
  <c r="DH164" i="22"/>
  <c r="AL181" i="22"/>
  <c r="Z25" i="4" s="1"/>
  <c r="V131" i="4"/>
  <c r="AG127" i="22"/>
  <c r="AG124" i="22"/>
  <c r="AM178" i="22"/>
  <c r="AH128" i="22" s="1"/>
  <c r="Y19" i="4"/>
  <c r="Y22" i="4" s="1"/>
  <c r="Y34" i="4" s="1"/>
  <c r="Y29" i="4"/>
  <c r="Y51" i="4"/>
  <c r="Y30" i="4"/>
  <c r="DI164" i="22" l="1"/>
  <c r="DA170" i="22"/>
  <c r="DA172" i="22" s="1"/>
  <c r="DA173" i="22" s="1"/>
  <c r="DA171" i="22"/>
  <c r="DB169" i="22"/>
  <c r="V130" i="4"/>
  <c r="V135" i="4" s="1"/>
  <c r="V132" i="4"/>
  <c r="V137" i="4" s="1"/>
  <c r="V136" i="4"/>
  <c r="AG133" i="22"/>
  <c r="AG125" i="22"/>
  <c r="AH122" i="22"/>
  <c r="AH129" i="22"/>
  <c r="Y35" i="4"/>
  <c r="Y36" i="4" s="1"/>
  <c r="Y43" i="4" s="1"/>
  <c r="Y32" i="4"/>
  <c r="Z14" i="4"/>
  <c r="Z6" i="4"/>
  <c r="Z21" i="4" s="1"/>
  <c r="Z31" i="4"/>
  <c r="DB170" i="22" l="1"/>
  <c r="DB172" i="22" s="1"/>
  <c r="DB173" i="22" s="1"/>
  <c r="DB171" i="22"/>
  <c r="DC169" i="22"/>
  <c r="DJ164" i="22"/>
  <c r="V138" i="4"/>
  <c r="AM179" i="22"/>
  <c r="AH126" i="22"/>
  <c r="AH123" i="22"/>
  <c r="AM177" i="22"/>
  <c r="W126" i="4" s="1"/>
  <c r="Z11" i="4"/>
  <c r="Z20" i="4" s="1"/>
  <c r="Z24" i="4"/>
  <c r="Z23" i="4"/>
  <c r="Z40" i="4" s="1"/>
  <c r="AA9" i="4" s="1"/>
  <c r="AA41" i="4" s="1"/>
  <c r="Z8" i="4"/>
  <c r="Z12" i="4" s="1"/>
  <c r="Z44" i="4" s="1"/>
  <c r="Z28" i="4" s="1"/>
  <c r="Z13" i="4"/>
  <c r="Y56" i="4"/>
  <c r="DK164" i="22" l="1"/>
  <c r="DC171" i="22"/>
  <c r="DC170" i="22"/>
  <c r="DC172" i="22" s="1"/>
  <c r="DC173" i="22" s="1"/>
  <c r="DD169" i="22"/>
  <c r="W127" i="4"/>
  <c r="W125" i="4"/>
  <c r="AH127" i="22"/>
  <c r="AH124" i="22"/>
  <c r="Z26" i="4"/>
  <c r="Z15" i="4"/>
  <c r="Z16" i="4" s="1"/>
  <c r="Z17" i="4" s="1"/>
  <c r="AM180" i="22"/>
  <c r="DD171" i="22" l="1"/>
  <c r="DD170" i="22"/>
  <c r="DD172" i="22" s="1"/>
  <c r="DD173" i="22" s="1"/>
  <c r="DE169" i="22"/>
  <c r="DL164" i="22"/>
  <c r="AM181" i="22"/>
  <c r="AA14" i="4" s="1"/>
  <c r="W131" i="4"/>
  <c r="AH133" i="22"/>
  <c r="AH125" i="22"/>
  <c r="AN178" i="22"/>
  <c r="AI128" i="22" s="1"/>
  <c r="Z29" i="4"/>
  <c r="Z19" i="4"/>
  <c r="Z22" i="4" s="1"/>
  <c r="Z34" i="4" s="1"/>
  <c r="Z30" i="4"/>
  <c r="Z51" i="4"/>
  <c r="DE171" i="22" l="1"/>
  <c r="DE170" i="22"/>
  <c r="DE172" i="22" s="1"/>
  <c r="DE173" i="22" s="1"/>
  <c r="DF169" i="22"/>
  <c r="DM164" i="22"/>
  <c r="W130" i="4"/>
  <c r="W135" i="4" s="1"/>
  <c r="W132" i="4"/>
  <c r="W137" i="4" s="1"/>
  <c r="W136" i="4"/>
  <c r="AI129" i="22"/>
  <c r="AI122" i="22"/>
  <c r="AN177" i="22"/>
  <c r="X126" i="4" s="1"/>
  <c r="Z32" i="4"/>
  <c r="Z35" i="4"/>
  <c r="Z36" i="4" s="1"/>
  <c r="Z43" i="4" s="1"/>
  <c r="AA6" i="4"/>
  <c r="AA31" i="4"/>
  <c r="AA25" i="4"/>
  <c r="DN164" i="22" l="1"/>
  <c r="DF171" i="22"/>
  <c r="DF170" i="22"/>
  <c r="DF172" i="22" s="1"/>
  <c r="DF173" i="22" s="1"/>
  <c r="DG169" i="22"/>
  <c r="W138" i="4"/>
  <c r="X127" i="4"/>
  <c r="X125" i="4"/>
  <c r="AI126" i="22"/>
  <c r="AI123" i="22"/>
  <c r="AN179" i="22"/>
  <c r="Z56" i="4"/>
  <c r="AA13" i="4"/>
  <c r="AA8" i="4"/>
  <c r="AA23" i="4"/>
  <c r="AA21" i="4"/>
  <c r="AA11" i="4"/>
  <c r="AA20" i="4" s="1"/>
  <c r="AA24" i="4"/>
  <c r="DG170" i="22" l="1"/>
  <c r="DG172" i="22" s="1"/>
  <c r="DG173" i="22" s="1"/>
  <c r="DG171" i="22"/>
  <c r="DH169" i="22"/>
  <c r="DO164" i="22"/>
  <c r="AI127" i="22"/>
  <c r="AI124" i="22"/>
  <c r="AA26" i="4"/>
  <c r="AA40" i="4"/>
  <c r="AB9" i="4" s="1"/>
  <c r="AB41" i="4" s="1"/>
  <c r="AA12" i="4"/>
  <c r="AA44" i="4" s="1"/>
  <c r="AA28" i="4" s="1"/>
  <c r="AA15" i="4"/>
  <c r="AA16" i="4" s="1"/>
  <c r="AA17" i="4" s="1"/>
  <c r="AN180" i="22"/>
  <c r="DH171" i="22" l="1"/>
  <c r="DH170" i="22"/>
  <c r="DH172" i="22" s="1"/>
  <c r="DH173" i="22" s="1"/>
  <c r="DI169" i="22"/>
  <c r="DP164" i="22"/>
  <c r="AN181" i="22"/>
  <c r="X131" i="4"/>
  <c r="AI133" i="22"/>
  <c r="AI125" i="22"/>
  <c r="AA29" i="4"/>
  <c r="AA30" i="4"/>
  <c r="AA51" i="4"/>
  <c r="AA19" i="4"/>
  <c r="AA22" i="4" s="1"/>
  <c r="AA34" i="4" s="1"/>
  <c r="D20" i="3"/>
  <c r="DI170" i="22" l="1"/>
  <c r="DI172" i="22" s="1"/>
  <c r="DI173" i="22" s="1"/>
  <c r="DI171" i="22"/>
  <c r="DJ169" i="22"/>
  <c r="DQ164" i="22"/>
  <c r="X130" i="4"/>
  <c r="X135" i="4" s="1"/>
  <c r="X132" i="4"/>
  <c r="X137" i="4" s="1"/>
  <c r="X136" i="4"/>
  <c r="AO177" i="22"/>
  <c r="Y126" i="4" s="1"/>
  <c r="AO178" i="22"/>
  <c r="AJ128" i="22" s="1"/>
  <c r="AB6" i="4"/>
  <c r="AB31" i="4"/>
  <c r="AB25" i="4"/>
  <c r="AB14" i="4"/>
  <c r="AA35" i="4"/>
  <c r="AA36" i="4" s="1"/>
  <c r="AA43" i="4" s="1"/>
  <c r="AB13" i="4" s="1"/>
  <c r="AA32" i="4"/>
  <c r="B15" i="3"/>
  <c r="H28" i="1" s="1"/>
  <c r="B18" i="3"/>
  <c r="H31" i="1" s="1"/>
  <c r="B16" i="3"/>
  <c r="B19" i="3"/>
  <c r="H32" i="1" s="1"/>
  <c r="K20" i="3"/>
  <c r="B17" i="3"/>
  <c r="H30" i="1" s="1"/>
  <c r="DR164" i="22" l="1"/>
  <c r="DJ171" i="22"/>
  <c r="DJ170" i="22"/>
  <c r="DJ172" i="22" s="1"/>
  <c r="DJ173" i="22" s="1"/>
  <c r="DK169" i="22"/>
  <c r="X138" i="4"/>
  <c r="Y127" i="4"/>
  <c r="Y125" i="4"/>
  <c r="AJ129" i="22"/>
  <c r="AJ122" i="22"/>
  <c r="AO179" i="22"/>
  <c r="AA56" i="4"/>
  <c r="AB24" i="4"/>
  <c r="AB23" i="4"/>
  <c r="AB21" i="4"/>
  <c r="AB11" i="4"/>
  <c r="AB20" i="4" s="1"/>
  <c r="AB8" i="4"/>
  <c r="AB12" i="4" s="1"/>
  <c r="AB44" i="4" s="1"/>
  <c r="AB28" i="4" s="1"/>
  <c r="H29" i="1"/>
  <c r="B20" i="3"/>
  <c r="DK170" i="22" l="1"/>
  <c r="DK172" i="22" s="1"/>
  <c r="DK173" i="22" s="1"/>
  <c r="DK171" i="22"/>
  <c r="DL169" i="22"/>
  <c r="AJ126" i="22"/>
  <c r="AJ123" i="22"/>
  <c r="AB26" i="4"/>
  <c r="AB40" i="4"/>
  <c r="AC9" i="4" s="1"/>
  <c r="AC41" i="4" s="1"/>
  <c r="AB15" i="4"/>
  <c r="AB16" i="4" s="1"/>
  <c r="AB17" i="4" s="1"/>
  <c r="AO180" i="22"/>
  <c r="DL170" i="22" l="1"/>
  <c r="DL172" i="22" s="1"/>
  <c r="DL173" i="22" s="1"/>
  <c r="DL171" i="22"/>
  <c r="DM169" i="22"/>
  <c r="AO181" i="22"/>
  <c r="AC25" i="4" s="1"/>
  <c r="Y131" i="4"/>
  <c r="AJ127" i="22"/>
  <c r="AJ124" i="22"/>
  <c r="AP178" i="22"/>
  <c r="AK128" i="22" s="1"/>
  <c r="AB29" i="4"/>
  <c r="AB19" i="4"/>
  <c r="AB22" i="4" s="1"/>
  <c r="AB34" i="4" s="1"/>
  <c r="AB30" i="4"/>
  <c r="AB51" i="4"/>
  <c r="DM170" i="22" l="1"/>
  <c r="DM172" i="22" s="1"/>
  <c r="DM173" i="22" s="1"/>
  <c r="DM171" i="22"/>
  <c r="DN169" i="22"/>
  <c r="Y130" i="4"/>
  <c r="Y135" i="4" s="1"/>
  <c r="Y132" i="4"/>
  <c r="Y137" i="4" s="1"/>
  <c r="Y136" i="4"/>
  <c r="AJ133" i="22"/>
  <c r="AJ125" i="22"/>
  <c r="AK129" i="22"/>
  <c r="AK122" i="22"/>
  <c r="AC14" i="4"/>
  <c r="AC31" i="4"/>
  <c r="AC6" i="4"/>
  <c r="AB32" i="4"/>
  <c r="AB35" i="4"/>
  <c r="AB36" i="4" s="1"/>
  <c r="AB43" i="4" s="1"/>
  <c r="AC13" i="4" s="1"/>
  <c r="DN170" i="22" l="1"/>
  <c r="DN172" i="22" s="1"/>
  <c r="DN173" i="22" s="1"/>
  <c r="DN171" i="22"/>
  <c r="DO169" i="22"/>
  <c r="Y138" i="4"/>
  <c r="AP179" i="22"/>
  <c r="AK126" i="22"/>
  <c r="AK123" i="22"/>
  <c r="AP177" i="22"/>
  <c r="Z126" i="4" s="1"/>
  <c r="AB56" i="4"/>
  <c r="AC23" i="4"/>
  <c r="AC8" i="4"/>
  <c r="AC12" i="4" s="1"/>
  <c r="AC44" i="4" s="1"/>
  <c r="AC28" i="4" s="1"/>
  <c r="AC11" i="4"/>
  <c r="AC20" i="4" s="1"/>
  <c r="AC21" i="4"/>
  <c r="AC24" i="4"/>
  <c r="DO171" i="22" l="1"/>
  <c r="DO170" i="22"/>
  <c r="DO172" i="22" s="1"/>
  <c r="DO173" i="22" s="1"/>
  <c r="DP169" i="22"/>
  <c r="Z127" i="4"/>
  <c r="Z125" i="4"/>
  <c r="AK124" i="22"/>
  <c r="AK127" i="22"/>
  <c r="AC26" i="4"/>
  <c r="AC40" i="4"/>
  <c r="AD9" i="4" s="1"/>
  <c r="AD41" i="4" s="1"/>
  <c r="AC15" i="4"/>
  <c r="AC16" i="4" s="1"/>
  <c r="AC17" i="4" s="1"/>
  <c r="AP180" i="22"/>
  <c r="DP171" i="22" l="1"/>
  <c r="DP170" i="22"/>
  <c r="DP172" i="22" s="1"/>
  <c r="DP173" i="22" s="1"/>
  <c r="DQ169" i="22"/>
  <c r="AP181" i="22"/>
  <c r="Z131" i="4"/>
  <c r="AK133" i="22"/>
  <c r="AK125" i="22"/>
  <c r="AQ178" i="22"/>
  <c r="AL128" i="22" s="1"/>
  <c r="AC19" i="4"/>
  <c r="AC22" i="4" s="1"/>
  <c r="AC34" i="4" s="1"/>
  <c r="AC51" i="4"/>
  <c r="AC30" i="4"/>
  <c r="AC29" i="4"/>
  <c r="DQ171" i="22" l="1"/>
  <c r="DQ170" i="22"/>
  <c r="DQ172" i="22" s="1"/>
  <c r="DQ173" i="22" s="1"/>
  <c r="DR169" i="22"/>
  <c r="Z132" i="4"/>
  <c r="Z137" i="4" s="1"/>
  <c r="Z130" i="4"/>
  <c r="Z135" i="4" s="1"/>
  <c r="Z136" i="4"/>
  <c r="AL129" i="22"/>
  <c r="AL122" i="22"/>
  <c r="AC32" i="4"/>
  <c r="AC35" i="4"/>
  <c r="AC36" i="4" s="1"/>
  <c r="AC43" i="4" s="1"/>
  <c r="AC56" i="4" s="1"/>
  <c r="AD31" i="4"/>
  <c r="AD6" i="4"/>
  <c r="AD25" i="4"/>
  <c r="AD14" i="4"/>
  <c r="DR171" i="22" l="1"/>
  <c r="DR170" i="22"/>
  <c r="DR172" i="22" s="1"/>
  <c r="DS169" i="22"/>
  <c r="Z138" i="4"/>
  <c r="AQ179" i="22"/>
  <c r="AL123" i="22"/>
  <c r="AL126" i="22"/>
  <c r="AQ177" i="22"/>
  <c r="AA126" i="4" s="1"/>
  <c r="AD13" i="4"/>
  <c r="AD21" i="4"/>
  <c r="AD23" i="4"/>
  <c r="AD11" i="4"/>
  <c r="AD20" i="4" s="1"/>
  <c r="AD24" i="4"/>
  <c r="AD8" i="4"/>
  <c r="AD12" i="4" s="1"/>
  <c r="AD44" i="4" s="1"/>
  <c r="AD28" i="4" s="1"/>
  <c r="DS172" i="22" l="1"/>
  <c r="DR173" i="22"/>
  <c r="AA127" i="4"/>
  <c r="AA125" i="4"/>
  <c r="AL124" i="22"/>
  <c r="AL127" i="22"/>
  <c r="AD26" i="4"/>
  <c r="AD40" i="4"/>
  <c r="AE9" i="4" s="1"/>
  <c r="AE41" i="4" s="1"/>
  <c r="AD15" i="4"/>
  <c r="AD16" i="4" s="1"/>
  <c r="AD17" i="4" s="1"/>
  <c r="AQ180" i="22"/>
  <c r="AQ181" i="22" l="1"/>
  <c r="AA131" i="4"/>
  <c r="AR178" i="22"/>
  <c r="AM128" i="22" s="1"/>
  <c r="AL125" i="22"/>
  <c r="AL133" i="22"/>
  <c r="AD51" i="4"/>
  <c r="AD30" i="4"/>
  <c r="AD19" i="4"/>
  <c r="AD22" i="4" s="1"/>
  <c r="AD34" i="4" s="1"/>
  <c r="AD29" i="4"/>
  <c r="AA132" i="4" l="1"/>
  <c r="AA137" i="4" s="1"/>
  <c r="AA130" i="4"/>
  <c r="AA135" i="4" s="1"/>
  <c r="AA136" i="4"/>
  <c r="AM129" i="22"/>
  <c r="AM122" i="22"/>
  <c r="AN128" i="22"/>
  <c r="Q189" i="22"/>
  <c r="P189" i="22"/>
  <c r="AD35" i="4"/>
  <c r="AD36" i="4" s="1"/>
  <c r="AD43" i="4" s="1"/>
  <c r="AD56" i="4" s="1"/>
  <c r="AD32" i="4"/>
  <c r="AE6" i="4"/>
  <c r="AE31" i="4"/>
  <c r="AE25" i="4"/>
  <c r="AE14" i="4"/>
  <c r="AA138" i="4" l="1"/>
  <c r="AR179" i="22"/>
  <c r="AR177" i="22"/>
  <c r="AB126" i="4" s="1"/>
  <c r="AM126" i="22"/>
  <c r="AM123" i="22"/>
  <c r="AN122" i="22"/>
  <c r="AE13" i="4"/>
  <c r="AE24" i="4"/>
  <c r="AE23" i="4"/>
  <c r="AE11" i="4"/>
  <c r="AE20" i="4" s="1"/>
  <c r="AE8" i="4"/>
  <c r="AE12" i="4" s="1"/>
  <c r="AE44" i="4" s="1"/>
  <c r="AE28" i="4" s="1"/>
  <c r="AE21" i="4"/>
  <c r="AB127" i="4" l="1"/>
  <c r="AB125" i="4"/>
  <c r="AM127" i="22"/>
  <c r="AN126" i="22"/>
  <c r="AM124" i="22"/>
  <c r="AE26" i="4"/>
  <c r="AE40" i="4"/>
  <c r="AF9" i="4" s="1"/>
  <c r="AG9" i="4" s="1"/>
  <c r="AE15" i="4"/>
  <c r="AE16" i="4" s="1"/>
  <c r="AE17" i="4" s="1"/>
  <c r="AR180" i="22"/>
  <c r="AR181" i="22" l="1"/>
  <c r="AB131" i="4"/>
  <c r="AN124" i="22"/>
  <c r="AM125" i="22"/>
  <c r="AF41" i="4"/>
  <c r="AG41" i="4" s="1"/>
  <c r="AE29" i="4"/>
  <c r="AE19" i="4"/>
  <c r="AE22" i="4" s="1"/>
  <c r="AE34" i="4" s="1"/>
  <c r="AE51" i="4"/>
  <c r="AE30" i="4"/>
  <c r="AB130" i="4" l="1"/>
  <c r="AB135" i="4" s="1"/>
  <c r="AB132" i="4"/>
  <c r="AB137" i="4" s="1"/>
  <c r="AB136" i="4"/>
  <c r="AF25" i="4"/>
  <c r="AF6" i="4"/>
  <c r="AF14" i="4"/>
  <c r="AF31" i="4"/>
  <c r="AE35" i="4"/>
  <c r="AE36" i="4" s="1"/>
  <c r="AE43" i="4" s="1"/>
  <c r="AE56" i="4" s="1"/>
  <c r="AE32" i="4"/>
  <c r="AB138" i="4" l="1"/>
  <c r="AF13" i="4"/>
  <c r="AF11" i="4"/>
  <c r="AF20" i="4" s="1"/>
  <c r="AF24" i="4"/>
  <c r="AF23" i="4"/>
  <c r="AF21" i="4"/>
  <c r="AF8" i="4"/>
  <c r="AF12" i="4" s="1"/>
  <c r="AF44" i="4" s="1"/>
  <c r="AF28" i="4" s="1"/>
  <c r="AG23" i="4" l="1"/>
  <c r="AH24" i="4" s="1"/>
  <c r="AF40" i="4"/>
  <c r="AG40" i="4" s="1"/>
  <c r="AF26" i="4"/>
  <c r="AF15" i="4"/>
  <c r="AF16" i="4" s="1"/>
  <c r="AF17" i="4" s="1"/>
  <c r="AF51" i="4" l="1"/>
  <c r="AF19" i="4"/>
  <c r="AF22" i="4" s="1"/>
  <c r="AF34" i="4" s="1"/>
  <c r="D72" i="4" s="1"/>
  <c r="AF29" i="4"/>
  <c r="AF30" i="4"/>
  <c r="AF32" i="4" l="1"/>
  <c r="AF35" i="4"/>
  <c r="AF36" i="4" s="1"/>
  <c r="AF43" i="4" s="1"/>
  <c r="AF56" i="4" s="1"/>
  <c r="D79" i="4" l="1"/>
  <c r="D78" i="4"/>
  <c r="D71" i="4"/>
  <c r="D73" i="4" s="1"/>
  <c r="E71" i="4" s="1"/>
  <c r="E72" i="4" l="1"/>
  <c r="D76" i="4"/>
  <c r="D75" i="4" s="1"/>
  <c r="H41" i="1"/>
  <c r="E79" i="4" l="1"/>
  <c r="E78" i="4"/>
  <c r="J43" i="1"/>
  <c r="D8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Beatriz Filipa Cardoso Lagadoiro</author>
    <author>Damião Carvalho Perdigão Gonçalves Ribeiro</author>
    <author>tc={F2F4E2E4-3A3A-4B47-8880-B593D8A97CA7}</author>
    <author>tc={910EDA9F-A006-4908-880D-7AB146FB4D6F}</author>
    <author>tc={5F50AE39-2E14-44AE-8E87-EED1‷47B275F}</author>
    <author>tc={09A8A31E-8D47-8C45-A833-79089C2EDE8A}</author>
    <author>Eduardo Ferreira</author>
    <author>tc={7444AB9C-2329-4F49-A9C5-8ABB5BF68676}</author>
    <author>tc={477D8F2E-2AFE-4D66-B0A6-F51B466FA634}</author>
    <author>tc={665EDD97-46DA-4F30-8CF6-11C2B5FF8A72}</author>
    <author>tc={D6629377-BD9E-4BAE-8494-AB42E2D7F546}</author>
    <author>tc={FB23E616-09F3-4BF0-AD2C-CBA0C410E552}</author>
    <author>tc={5F5FE2F1-C1FA-4F7B-96F2-B21F2147FEC7}</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K5" authorId="3" shapeId="0" xr:uid="{BBFBF726-B3ED-4C15-93C5-78992BC26C71}">
      <text>
        <r>
          <rPr>
            <sz val="10"/>
            <rFont val="Arial"/>
            <family val="2"/>
          </rPr>
          <t xml:space="preserve">Beatriz Filipa Cardoso Lagadoiro:
worked for major resources operators including Fortescue Metals Group, Chevron and Occidental Petroleum.
</t>
        </r>
      </text>
    </comment>
    <comment ref="K12" authorId="3" shapeId="0" xr:uid="{6AC6DB58-E8E7-47CE-86AA-5FD40C08489B}">
      <text>
        <r>
          <rPr>
            <sz val="10"/>
            <rFont val="Arial"/>
            <family val="2"/>
          </rPr>
          <t xml:space="preserve">Beatriz Filipa Cardoso Lagadoiro:
worked for major resources operators including Fortescue Metals Group, Chevron and Occidental Petroleum.
</t>
        </r>
      </text>
    </comment>
    <comment ref="N18" authorId="3" shapeId="0" xr:uid="{46EB20C9-F640-4C65-942C-3D43FBDCAB04}">
      <text>
        <r>
          <rPr>
            <sz val="10"/>
            <rFont val="Arial"/>
            <family val="2"/>
          </rPr>
          <t xml:space="preserve">Beatriz Filipa Cardoso Lagadoiro:
there was another executive but he steped down in nov 2023 
https://www.capitalbrief.com/briefing/pilbara-exec-alex-eastwood-steps-down-after-seven-years-cf99e99d-36db-46dd-b703-2b14f656a76c/
</t>
        </r>
      </text>
    </comment>
    <comment ref="E24" authorId="4" shapeId="0" xr:uid="{9F842E85-8F6C-4244-9B7B-9317819F0E04}">
      <text>
        <r>
          <rPr>
            <sz val="10"/>
            <rFont val="Arial"/>
            <family val="2"/>
          </rPr>
          <t>Beatriz Lagadoiro: High EBITDA and low NFC</t>
        </r>
      </text>
    </comment>
    <comment ref="E25" authorId="3" shapeId="0" xr:uid="{76A9D7BE-E779-4E4E-B0AF-6F7C06ED18F9}">
      <text>
        <r>
          <rPr>
            <sz val="10"/>
            <rFont val="Arial"/>
            <family val="2"/>
          </rPr>
          <t xml:space="preserve">Beatriz Filipa Cardoso Lagadoiro:
bellow industry (peers)
average (1.67)
</t>
        </r>
      </text>
    </comment>
    <comment ref="E27" authorId="3" shapeId="0" xr:uid="{C27226CD-0BEE-44BB-8DCF-AD35355477B4}">
      <text>
        <r>
          <rPr>
            <sz val="10"/>
            <rFont val="Arial"/>
            <family val="2"/>
          </rPr>
          <t>Beatriz Filipa Cardoso Lagadoiro:
bellow industry (peers) average (0,23)</t>
        </r>
      </text>
    </comment>
    <comment ref="E28" authorId="5" shapeId="0" xr:uid="{F2F4E2E4-3A3A-4B47-8880-B593D8A97CA7}">
      <text>
        <t>[Threaded comment]
Your version of Excel allows you to read this threaded comment; however, any edits to it will get removed if the file is opened in a newer version of Excel. Learn more: https://go.microsoft.com/fwlink/?linkid=870924
Comment:
    above US industry average (32.28%)</t>
      </text>
    </comment>
    <comment ref="E29" authorId="6" shapeId="0" xr:uid="{910EDA9F-A006-4908-880D-7AB146FB4D6F}">
      <text>
        <t>[Threaded comment]
Your version of Excel allows you to read this threaded comment; however, any edits to it will get removed if the file is opened in a newer version of Excel. Learn more: https://go.microsoft.com/fwlink/?linkid=870924
Comment:
    well above US industry average (19.23%)</t>
      </text>
    </comment>
    <comment ref="E30" authorId="7" shapeId="0" xr:uid="{5F50AE39-2E14-44AE-8E87-EED1747B275F}">
      <text>
        <r>
          <rPr>
            <sz val="10"/>
            <rFont val="Arial"/>
            <family val="2"/>
          </rPr>
          <t xml:space="preserve">
Comment:
    well above US industry average (7.23%)</t>
        </r>
      </text>
    </comment>
    <comment ref="E32" authorId="3" shapeId="0" xr:uid="{1C725FFC-5EC7-4DEE-B2A0-3FE9E0F82383}">
      <text>
        <r>
          <rPr>
            <sz val="10"/>
            <rFont val="Arial"/>
            <family val="2"/>
          </rPr>
          <t>Beatriz Filipa Cardoso Lagadoiro:
possible proxy for interest rate on debt (dcf)</t>
        </r>
      </text>
    </comment>
    <comment ref="C43" authorId="8" shapeId="0" xr:uid="{09A8A31E-8D47-8C45-A833-79089C2EDE8A}">
      <text>
        <t>[Threaded comment]
Your version of Excel allows you to read this threaded comment; however, any edits to it will get removed if the file is opened in a newer version of Excel. Learn more: https://go.microsoft.com/fwlink/?linkid=870924
Comment:
    https://www.theverge.com/2023/10/26/23934172/ford-12-billion-ev-investment-postpone-q3-earnings</t>
      </text>
    </comment>
    <comment ref="D46" authorId="9"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D47" authorId="10" shapeId="0" xr:uid="{7444AB9C-2329-4F49-A9C5-8ABB5BF68676}">
      <text>
        <t>[Threaded comment]
Your version of Excel allows you to read this threaded comment; however, any edits to it will get removed if the file is opened in a newer version of Excel. Learn more: https://go.microsoft.com/fwlink/?linkid=870924
Comment:
    Acquisition of their biggest operation (Pilgangoora Op.) and start of the company as a lithium explorer</t>
      </text>
    </comment>
    <comment ref="C54" authorId="11" shapeId="0" xr:uid="{477D8F2E-2AFE-4D66-B0A6-F51B466FA634}">
      <text>
        <t>[Threaded comment]
Your version of Excel allows you to read this threaded comment; however, any edits to it will get removed if the file is opened in a newer version of Excel. Learn more: https://go.microsoft.com/fwlink/?linkid=870924
Comment:
    Sales growth due to increase of the lithium price and demand</t>
      </text>
    </comment>
    <comment ref="C55" authorId="12" shapeId="0" xr:uid="{665EDD97-46DA-4F30-8CF6-11C2B5FF8A72}">
      <text>
        <t xml:space="preserve">[Threaded comment]
Your version of Excel allows you to read this threaded comment; however, any edits to it will get removed if the file is opened in a newer version of Excel. Learn more: https://go.microsoft.com/fwlink/?linkid=870924
Comment:
    Sales growth due to mostly the increase of the lithium price but also due to the increase in production </t>
      </text>
    </comment>
    <comment ref="E55" authorId="13" shapeId="0" xr:uid="{D6629377-BD9E-4BAE-8494-AB42E2D7F546}">
      <text>
        <t>[Threaded comment]
Your version of Excel allows you to read this threaded comment; however, any edits to it will get removed if the file is opened in a newer version of Excel. Learn more: https://go.microsoft.com/fwlink/?linkid=870924
Comment:
    in the previous years they issued shares and payed no dividends 
2023 they did not issue any shares and payed dividends</t>
      </text>
    </comment>
    <comment ref="F55" authorId="4" shapeId="0" xr:uid="{D96CE596-6DEA-4CEC-BACF-BA35E006D8B4}">
      <text>
        <r>
          <rPr>
            <sz val="10"/>
            <rFont val="Arial"/>
            <family val="2"/>
          </rPr>
          <t xml:space="preserve">Beatriz Lagadoiro: High Net Income
</t>
        </r>
      </text>
    </comment>
    <comment ref="G55" authorId="14" shapeId="0" xr:uid="{FB23E616-09F3-4BF0-AD2C-CBA0C410E552}">
      <text>
        <t>[Threaded comment]
Your version of Excel allows you to read this threaded comment; however, any edits to it will get removed if the file is opened in a newer version of Excel. Learn more: https://go.microsoft.com/fwlink/?linkid=870924
Comment:
    High increase in assets</t>
      </text>
    </comment>
    <comment ref="I55" authorId="15" shapeId="0" xr:uid="{5F5FE2F1-C1FA-4F7B-96F2-B21F2147FEC7}">
      <text>
        <t>[Threaded comment]
Your version of Excel allows you to read this threaded comment; however, any edits to it will get removed if the file is opened in a newer version of Excel. Learn more: https://go.microsoft.com/fwlink/?linkid=870924
Comment:
    investment in capital expenditure in order to grow - increase of capacity operarions, eg.: the "P1000" expansion</t>
      </text>
    </comment>
    <comment ref="J63" authorId="3" shapeId="0" xr:uid="{66080D87-5027-46E5-93C6-602B5E574DFB}">
      <text>
        <r>
          <rPr>
            <sz val="10"/>
            <rFont val="Arial"/>
            <family val="2"/>
          </rPr>
          <t>Beatriz Filipa Cardoso Lagadoiro:
HSBC Custody Nominees (Australia) Limited operates as a bank. The Bank offers commercial, private, and retail banking, as well as wealth management, investment, and advisory services, HSBC Custody Nominees serves customers worldwide.</t>
        </r>
      </text>
    </comment>
    <comment ref="J64" authorId="3" shapeId="0" xr:uid="{CD08847D-E789-44F9-901D-FCCDCE7E072C}">
      <text>
        <r>
          <rPr>
            <sz val="10"/>
            <rFont val="Arial"/>
            <family val="2"/>
          </rPr>
          <t>Beatriz Filipa Cardoso Lagadoiro:
Global leader in financial services, offering solutions to the world's most important corporations, governments and institutions in more than 100 countries.</t>
        </r>
      </text>
    </comment>
    <comment ref="J65" authorId="3" shapeId="0" xr:uid="{5B558698-21EC-4C0B-97B7-3D8548BE3B54}">
      <text>
        <r>
          <rPr>
            <sz val="10"/>
            <rFont val="Arial"/>
            <family val="2"/>
          </rPr>
          <t xml:space="preserve">Beatriz Filipa Cardoso Lagadoiro:
Citicorp Nominees Pty Ltd operates as an investment company. It is part of Citigroup: the third-largest banking institution in the United States by assets
</t>
        </r>
      </text>
    </comment>
    <comment ref="J66" authorId="3" shapeId="0" xr:uid="{4191BBBA-1472-4BE8-9859-EF6C33E763DD}">
      <text>
        <r>
          <rPr>
            <sz val="10"/>
            <rFont val="Arial"/>
            <family val="2"/>
          </rPr>
          <t xml:space="preserve">Beatriz Filipa Cardoso Lagadoiro:
GFL International Co Ltd manufactures lithium products. The Company offers organic and non-organic lithium chemicals, metals, and alloys.
</t>
        </r>
      </text>
    </comment>
    <comment ref="J67" authorId="3" shapeId="0" xr:uid="{FB330A47-C3DA-49D7-BC5B-A7A2C7350286}">
      <text>
        <r>
          <rPr>
            <sz val="10"/>
            <rFont val="Arial"/>
            <family val="2"/>
          </rPr>
          <t>Beatriz Filipa Cardoso Lagadoiro:
Private company. POSCO’s wholly owned subsidiary -&gt; ASX/MEDIA ANNOUNCEMENT Wednesday 13 April, 2022</t>
        </r>
      </text>
    </comment>
    <comment ref="J68" authorId="3" shapeId="0" xr:uid="{FD12315B-B6EB-4386-B35F-3069F01DCC29}">
      <text>
        <r>
          <rPr>
            <sz val="10"/>
            <rFont val="Arial"/>
            <family val="2"/>
          </rPr>
          <t xml:space="preserve">Beatriz Filipa Cardoso Lagadoiro:
National Nominees Limited operates as a brokerage company. The Company serves customers in Australia.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tc={9FEAFEE5-C28A-4B91-A37D-17F8AABC322E}</author>
    <author>tc={0706D5EB-C771-45C4-9BA6-F72AA504616B}</author>
    <author>tc={E758E1E0-FB5D-4B1C-910F-2DEDA9692D50}</author>
    <author>tc={EA4EBF37-B958-4A52-9E05-7DF38326D799}</author>
    <author>tc={C5485CFD-9B98-4CCB-9838-58860A861AA3}</author>
    <author>tc={B074A748-C219-4CF8-BD22-67CFF44A36F3}</author>
    <author>tc={ABAC8D56-453A-48F8-AB5E-D026F87EBE21}</author>
    <author>tc={6C8B54F1-DE04-44C8-8530-9246F0C108E5}</author>
    <author>tc={3EC785AD-B17D-47BD-9CA8-A765F5CE7464}</author>
    <author>tc={AD4A0F99-86A8-46AC-9838-4C2407680A53}</author>
    <author>tc={F9D3EFBE-A790-4650-A729-BA5DE6083378}</author>
  </authors>
  <commentList>
    <comment ref="C5" authorId="0" shapeId="0" xr:uid="{9FEAFEE5-C28A-4B91-A37D-17F8AABC322E}">
      <text>
        <t>[Threaded comment]
Your version of Excel allows you to read this threaded comment; however, any edits to it will get removed if the file is opened in a newer version of Excel. Learn more: https://go.microsoft.com/fwlink/?linkid=870924
Comment:
    The Pilgan plant is the main and first plant of the Pilgangoora operation.</t>
      </text>
    </comment>
    <comment ref="L5" authorId="1" shapeId="0" xr:uid="{0706D5EB-C771-45C4-9BA6-F72AA504616B}">
      <text>
        <t>[Threaded comment]
Your version of Excel allows you to read this threaded comment; however, any edits to it will get removed if the file is opened in a newer version of Excel. Learn more: https://go.microsoft.com/fwlink/?linkid=870924
Comment:
    Increase in lithium prices and production.</t>
      </text>
    </comment>
    <comment ref="O5" authorId="2" shapeId="0" xr:uid="{E758E1E0-FB5D-4B1C-910F-2DEDA9692D50}">
      <text>
        <t>[Threaded comment]
Your version of Excel allows you to read this threaded comment; however, any edits to it will get removed if the file is opened in a newer version of Excel. Learn more: https://go.microsoft.com/fwlink/?linkid=870924
Comment:
    Commercial production at Pilgangoora declared</t>
      </text>
    </comment>
    <comment ref="C6" authorId="3" shapeId="0" xr:uid="{EA4EBF37-B958-4A52-9E05-7DF38326D799}">
      <text>
        <t>[Threaded comment]
Your version of Excel allows you to read this threaded comment; however, any edits to it will get removed if the file is opened in a newer version of Excel. Learn more: https://go.microsoft.com/fwlink/?linkid=870924
Comment:
    This is the second plant of the Pilgangoora Operation, that started its operation in 2022, after being bought in 2021. Before being named Ngungaju this plant belonged to Altura Lithium Operations Pty Ltd.</t>
      </text>
    </comment>
    <comment ref="K8" authorId="4" shapeId="0" xr:uid="{C5485CFD-9B98-4CCB-9838-58860A861AA3}">
      <text>
        <t>[Threaded comment]
Your version of Excel allows you to read this threaded comment; however, any edits to it will get removed if the file is opened in a newer version of Excel. Learn more: https://go.microsoft.com/fwlink/?linkid=870924
Comment:
    Changes in lithium prices between loading and delivery.</t>
      </text>
    </comment>
    <comment ref="M8" authorId="5" shapeId="0" xr:uid="{B074A748-C219-4CF8-BD22-67CFF44A36F3}">
      <text>
        <t>[Threaded comment]
Your version of Excel allows you to read this threaded comment; however, any edits to it will get removed if the file is opened in a newer version of Excel. Learn more: https://go.microsoft.com/fwlink/?linkid=870924
Comment:
    Changes in lithium prices between loading and delivery.</t>
      </text>
    </comment>
    <comment ref="L15" authorId="6" shapeId="0" xr:uid="{ABAC8D56-453A-48F8-AB5E-D026F87EBE21}">
      <text>
        <t>[Threaded comment]
Your version of Excel allows you to read this threaded comment; however, any edits to it will get removed if the file is opened in a newer version of Excel. Learn more: https://go.microsoft.com/fwlink/?linkid=870924
Comment:
    Increase in lithium prices and production.</t>
      </text>
    </comment>
    <comment ref="O15" authorId="7" shapeId="0" xr:uid="{6C8B54F1-DE04-44C8-8530-9246F0C108E5}">
      <text>
        <t>[Threaded comment]
Your version of Excel allows you to read this threaded comment; however, any edits to it will get removed if the file is opened in a newer version of Excel. Learn more: https://go.microsoft.com/fwlink/?linkid=870924
Comment:
    Commercial production at Pilgangoora declared </t>
      </text>
    </comment>
    <comment ref="C17" authorId="8" shapeId="0" xr:uid="{3EC785AD-B17D-47BD-9CA8-A765F5CE7464}">
      <text>
        <t>[Threaded comment]
Your version of Excel allows you to read this threaded comment; however, any edits to it will get removed if the file is opened in a newer version of Excel. Learn more: https://go.microsoft.com/fwlink/?linkid=870924
Comment:
    This category exists because the sales of the by-product are credited to the costs of producing spodumene concentrate.</t>
      </text>
    </comment>
    <comment ref="C18" authorId="9" shapeId="0" xr:uid="{AD4A0F99-86A8-46AC-9838-4C2407680A53}">
      <text>
        <t>[Threaded comment]
Your version of Excel allows you to read this threaded comment; however, any edits to it will get removed if the file is opened in a newer version of Excel. Learn more: https://go.microsoft.com/fwlink/?linkid=870924
Comment:
    This category exists because costumer sales contracts can contain provisional pricing at the time the product is delivered to the vessel, with the final pricing determined at a later time when the relevant pricing information is available.</t>
      </text>
    </comment>
    <comment ref="C19" authorId="10" shapeId="0" xr:uid="{F9D3EFBE-A790-4650-A729-BA5DE6083378}">
      <text>
        <t>[Threaded comment]
Your version of Excel allows you to read this threaded comment; however, any edits to it will get removed if the file is opened in a newer version of Excel. Learn more: https://go.microsoft.com/fwlink/?linkid=870924
Comment:
    This category exists because the group holds derivative financial instruments to hedge its foreign currency risk exposure.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tc={F2EBB7DA-A7F9-45CA-893F-BDB994819B23}</author>
    <author>Beatriz Filipa Cardoso Lagadoiro</author>
    <author>Afonso Simões</author>
  </authors>
  <commentList>
    <comment ref="I3" authorId="0" shapeId="0" xr:uid="{F2EBB7DA-A7F9-45CA-893F-BDB994819B23}">
      <text>
        <t>[Threaded comment]
Your version of Excel allows you to read this threaded comment; however, any edits to it will get removed if the file is opened in a newer version of Excel. Learn more: https://go.microsoft.com/fwlink/?linkid=870924
Comment:
    The company has not disclosed its annual report yet nor mentions when will it do so, although it has already disclosed the Q4 Report.</t>
      </text>
    </comment>
    <comment ref="E25" authorId="1" shapeId="0" xr:uid="{4BB7DD77-0D6B-4A8C-8BF2-22262B4DBE7B}">
      <text>
        <r>
          <rPr>
            <sz val="10"/>
            <rFont val="Arial"/>
            <family val="2"/>
          </rPr>
          <t xml:space="preserve">Beatriz Filipa Cardoso Lagadoiro:
below peers average ( </t>
        </r>
      </text>
    </comment>
    <comment ref="B40" authorId="2" shapeId="0" xr:uid="{AE1227F2-183E-4F43-B73F-56DA9635EEBD}">
      <text>
        <r>
          <rPr>
            <b/>
            <sz val="9"/>
            <color indexed="81"/>
            <rFont val="Tahoma"/>
            <family val="2"/>
          </rPr>
          <t>Afonso Simões:</t>
        </r>
        <r>
          <rPr>
            <sz val="9"/>
            <color indexed="81"/>
            <rFont val="Tahoma"/>
            <family val="2"/>
          </rPr>
          <t xml:space="preserve">
See EV/EBITDA</t>
        </r>
      </text>
    </comment>
    <comment ref="G47" authorId="2" shapeId="0" xr:uid="{34AF1962-2928-413E-93A6-7F82EE2298C7}">
      <text>
        <r>
          <rPr>
            <b/>
            <sz val="9"/>
            <color indexed="81"/>
            <rFont val="Tahoma"/>
            <family val="2"/>
          </rPr>
          <t>Afonso Simões:</t>
        </r>
        <r>
          <rPr>
            <sz val="9"/>
            <color indexed="81"/>
            <rFont val="Tahoma"/>
            <family val="2"/>
          </rPr>
          <t xml:space="preserve">
Earliest date available is December 21, 2023</t>
        </r>
      </text>
    </comment>
    <comment ref="B49" authorId="2" shapeId="0" xr:uid="{08A4033F-6D02-44FC-B9AB-7AFF333E667A}">
      <text>
        <r>
          <rPr>
            <b/>
            <sz val="9"/>
            <color indexed="81"/>
            <rFont val="Tahoma"/>
            <family val="2"/>
          </rPr>
          <t>Afonso Simões:</t>
        </r>
        <r>
          <rPr>
            <sz val="9"/>
            <color indexed="81"/>
            <rFont val="Tahoma"/>
            <family val="2"/>
          </rPr>
          <t xml:space="preserve">
1Y estimate</t>
        </r>
      </text>
    </comment>
    <comment ref="B52" authorId="2" shapeId="0" xr:uid="{8EDA3373-155E-4EEE-8BBF-C697984026B5}">
      <text>
        <r>
          <rPr>
            <b/>
            <sz val="9"/>
            <color indexed="81"/>
            <rFont val="Tahoma"/>
            <family val="2"/>
          </rPr>
          <t>Afonso Simões:</t>
        </r>
        <r>
          <rPr>
            <sz val="9"/>
            <color indexed="81"/>
            <rFont val="Tahoma"/>
            <family val="2"/>
          </rPr>
          <t xml:space="preserve">
Vê CF depois na Refinitiv</t>
        </r>
      </text>
    </comment>
    <comment ref="B70" authorId="2" shapeId="0" xr:uid="{472599F2-25B1-4482-8755-F32EF684F48A}">
      <text>
        <r>
          <rPr>
            <b/>
            <sz val="9"/>
            <color indexed="81"/>
            <rFont val="Tahoma"/>
            <family val="2"/>
          </rPr>
          <t>Afonso Simões:</t>
        </r>
        <r>
          <rPr>
            <sz val="9"/>
            <color indexed="81"/>
            <rFont val="Tahoma"/>
            <family val="2"/>
          </rPr>
          <t xml:space="preserve">
Net</t>
        </r>
      </text>
    </comment>
    <comment ref="B73" authorId="2" shapeId="0" xr:uid="{276745B7-DD1B-43A4-93A0-19337F7DC442}">
      <text>
        <r>
          <rPr>
            <b/>
            <sz val="9"/>
            <color indexed="81"/>
            <rFont val="Tahoma"/>
            <family val="2"/>
          </rPr>
          <t>Afonso Simões:</t>
        </r>
        <r>
          <rPr>
            <sz val="9"/>
            <color indexed="81"/>
            <rFont val="Tahoma"/>
            <family val="2"/>
          </rPr>
          <t xml:space="preserve">
Property, Plant and Equipment - 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Afonso Simões</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 ref="AJ3" authorId="1" shapeId="0" xr:uid="{8B29770A-C49A-4EAD-83EB-3A93FE6930EF}">
      <text>
        <r>
          <rPr>
            <b/>
            <sz val="9"/>
            <color rgb="FF000000"/>
            <rFont val="Tahoma"/>
            <family val="2"/>
          </rPr>
          <t>Afonso Simões:</t>
        </r>
        <r>
          <rPr>
            <sz val="9"/>
            <color rgb="FF000000"/>
            <rFont val="Tahoma"/>
            <family val="2"/>
          </rPr>
          <t xml:space="preserve">
</t>
        </r>
        <r>
          <rPr>
            <sz val="9"/>
            <color rgb="FF000000"/>
            <rFont val="Tahoma"/>
            <family val="2"/>
          </rPr>
          <t>Hindustan</t>
        </r>
      </text>
    </comment>
    <comment ref="AJ4" authorId="1" shapeId="0" xr:uid="{7EA099F9-9ED5-488C-B2BE-84EEBA58EDA9}">
      <text>
        <r>
          <rPr>
            <b/>
            <sz val="9"/>
            <color rgb="FF000000"/>
            <rFont val="Tahoma"/>
            <family val="2"/>
          </rPr>
          <t>Afonso Simões:</t>
        </r>
        <r>
          <rPr>
            <sz val="9"/>
            <color rgb="FF000000"/>
            <rFont val="Tahoma"/>
            <family val="2"/>
          </rPr>
          <t xml:space="preserve">
</t>
        </r>
        <r>
          <rPr>
            <sz val="9"/>
            <color rgb="FF000000"/>
            <rFont val="Tahoma"/>
            <family val="2"/>
          </rPr>
          <t>Dundee</t>
        </r>
      </text>
    </comment>
    <comment ref="AJ5" authorId="1" shapeId="0" xr:uid="{643CDC2B-C377-45C4-9962-E33BB5FD7C26}">
      <text>
        <r>
          <rPr>
            <b/>
            <sz val="9"/>
            <color indexed="81"/>
            <rFont val="Tahoma"/>
            <family val="2"/>
          </rPr>
          <t>Afonso Simões:</t>
        </r>
        <r>
          <rPr>
            <sz val="9"/>
            <color indexed="81"/>
            <rFont val="Tahoma"/>
            <family val="2"/>
          </rPr>
          <t xml:space="preserve">
Altius</t>
        </r>
      </text>
    </comment>
    <comment ref="AJ6" authorId="1" shapeId="0" xr:uid="{55816BDA-3558-4386-BC10-DB0C7B7E543A}">
      <text>
        <r>
          <rPr>
            <b/>
            <sz val="9"/>
            <color indexed="81"/>
            <rFont val="Tahoma"/>
            <family val="2"/>
          </rPr>
          <t>Afonso Simões:</t>
        </r>
        <r>
          <rPr>
            <sz val="9"/>
            <color indexed="81"/>
            <rFont val="Tahoma"/>
            <family val="2"/>
          </rPr>
          <t xml:space="preserve">
Vedanta
</t>
        </r>
      </text>
    </comment>
    <comment ref="AJ7" authorId="1" shapeId="0" xr:uid="{E3458E78-9352-498C-B7D1-9BC3ECB913E2}">
      <text>
        <r>
          <rPr>
            <b/>
            <sz val="9"/>
            <color indexed="81"/>
            <rFont val="Tahoma"/>
            <family val="2"/>
          </rPr>
          <t>Afonso Simões:</t>
        </r>
        <r>
          <rPr>
            <sz val="9"/>
            <color indexed="81"/>
            <rFont val="Tahoma"/>
            <family val="2"/>
          </rPr>
          <t xml:space="preserve">
BHP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tc={FDF93925-47D3-AC40-A764-2C591E3D35FE}</author>
    <author>tc={1A32BBA2-B535-42E6-8952-D4ED201C7DF0}</author>
    <author>tc={BAEDF2A0-7406-402C-B5D1-58053A6F13E9}</author>
    <author>tc={EF01E75A-6721-4895-BC8A-3D2AFAAE96F5}</author>
    <author>tc={6C1975B9-4012-41FC-9B6F-6A2A6F073955}</author>
    <author>tc={CC85FE1E-1E5A-4EE8-A18F-44CE52BB0445}</author>
    <author>tc={ACCC4418-AAB1-451D-A392-9BCC1F6B20BA}</author>
    <author>tc={FAE75CD3-5FA1-4F1D-B954-C1CD75BE6609}</author>
    <author>tc={9C381B3F-0E54-5540-A19D-4306BDFF261F}</author>
    <author>tc={1A3D7FB5-704E-1440-A729-52C6843F0803}</author>
    <author>tc={A34F58E4-9B07-614B-A074-ED2F3174489D}</author>
    <author>tc={8701BAFA-DC25-624D-81C8-6BC76BE07520}</author>
    <author>tc={D9FDDA90-A1C1-B743-A513-FC9FF300C726}</author>
    <author>tc={DEB0E2A5-DB01-8740-B7EF-106A0102FE0A}</author>
    <author>tc={B877E35D-E73A-404A-9CE4-035E3656C213}</author>
    <author>tc={653351EE-F88B-2C4B-A454-5479C4FFAE70}</author>
    <author>tc={5DF91892-7EDA-8944-A2AF-4E5D66993DB3}</author>
    <author>tc={4EB16A53-D51E-7B47-A2C3-170FE49679FE}</author>
    <author>tc={5DF3215C-B723-8D4A-BBD6-C150C8D165C6}</author>
    <author>tc={1A8B01AC-DBBF-1A46-BC3F-0ADD98C8965B}</author>
    <author>tc={403A5BE2-3AB7-7142-9558-3B6BB433199A}</author>
  </authors>
  <commentList>
    <comment ref="G5" authorId="0" shapeId="0" xr:uid="{FDF93925-47D3-AC40-A764-2C591E3D35FE}">
      <text>
        <t>[Threaded comment]
Your version of Excel allows you to read this threaded comment; however, any edits to it will get removed if the file is opened in a newer version of Excel. Learn more: https://go.microsoft.com/fwlink/?linkid=870924
Comment:
    Supply has caught up to demand, bringing the growth down, said by the CEO Dale Henderson himself.</t>
      </text>
    </comment>
    <comment ref="G6" authorId="1" shapeId="0" xr:uid="{1A32BBA2-B535-42E6-8952-D4ED201C7DF0}">
      <text>
        <t xml:space="preserve">[Threaded comment]
Your version of Excel allows you to read this threaded comment; however, any edits to it will get removed if the file is opened in a newer version of Excel. Learn more: https://go.microsoft.com/fwlink/?linkid=870924
Comment:
    H1 FY24: 757
H1 FY23: 2180 </t>
      </text>
    </comment>
    <comment ref="G7" authorId="2" shapeId="0" xr:uid="{BAEDF2A0-7406-402C-B5D1-58053A6F13E9}">
      <text>
        <t xml:space="preserve">[Threaded comment]
Your version of Excel allows you to read this threaded comment; however, any edits to it will get removed if the file is opened in a newer version of Excel. Learn more: https://go.microsoft.com/fwlink/?linkid=870924
Comment:
    Gross Margin H1 FY24: 63,67%
Gross Margin H1 FY23: 84,72% </t>
      </text>
    </comment>
    <comment ref="G8" authorId="3" shapeId="0" xr:uid="{EF01E75A-6721-4895-BC8A-3D2AFAAE96F5}">
      <text>
        <t>[Threaded comment]
Your version of Excel allows you to read this threaded comment; however, any edits to it will get removed if the file is opened in a newer version of Excel. Learn more: https://go.microsoft.com/fwlink/?linkid=870924
Comment:
    H1 FY24: 482
H1 FY23: 1847</t>
      </text>
    </comment>
    <comment ref="G12" authorId="4" shapeId="0" xr:uid="{6C1975B9-4012-41FC-9B6F-6A2A6F073955}">
      <text>
        <t xml:space="preserve">[Threaded comment]
Your version of Excel allows you to read this threaded comment; however, any edits to it will get removed if the file is opened in a newer version of Excel. Learn more: https://go.microsoft.com/fwlink/?linkid=870924
Comment:
    H1 FY24: 415
H1 FY23: 1812
EBITDA Margin H1 FY24: 55%
EBITDA Margin H1 FY23: 83% </t>
      </text>
    </comment>
    <comment ref="G43" authorId="5" shapeId="0" xr:uid="{CC85FE1E-1E5A-4EE8-A18F-44CE52BB0445}">
      <text>
        <t>[Threaded comment]
Your version of Excel allows you to read this threaded comment; however, any edits to it will get removed if the file is opened in a newer version of Excel. Learn more: https://go.microsoft.com/fwlink/?linkid=870924
Comment:
    H1 FY24: 2144
H1 FY23: 2226</t>
      </text>
    </comment>
    <comment ref="C50" authorId="6" shapeId="0" xr:uid="{ACCC4418-AAB1-451D-A392-9BCC1F6B20BA}">
      <text>
        <t>[Threaded comment]
Your version of Excel allows you to read this threaded comment; however, any edits to it will get removed if the file is opened in a newer version of Excel. Learn more: https://go.microsoft.com/fwlink/?linkid=870924
Comment:
    Inicial Value: 4,1%</t>
      </text>
    </comment>
    <comment ref="D50" authorId="7" shapeId="0" xr:uid="{FAE75CD3-5FA1-4F1D-B954-C1CD75BE6609}">
      <text>
        <t>[Threaded comment]
Your version of Excel allows you to read this threaded comment; however, any edits to it will get removed if the file is opened in a newer version of Excel. Learn more: https://go.microsoft.com/fwlink/?linkid=870924
Comment:
    Inicial Value: 4,5%</t>
      </text>
    </comment>
    <comment ref="C53" authorId="8" shapeId="0" xr:uid="{9C381B3F-0E54-5540-A19D-4306BDFF261F}">
      <text>
        <t>[Threaded comment]
Your version of Excel allows you to read this threaded comment; however, any edits to it will get removed if the file is opened in a newer version of Excel. Learn more: https://go.microsoft.com/fwlink/?linkid=870924
Comment:
    The company is growing and is expected to increase their assets. At the moment they have grown the depreciations, but we believe they have yet to do them in total. In the future whilst having more equipment, they will need to depreciate more.</t>
      </text>
    </comment>
    <comment ref="C55" authorId="9" shapeId="0" xr:uid="{1A3D7FB5-704E-1440-A729-52C6843F0803}">
      <text>
        <t>[Threaded comment]
Your version of Excel allows you to read this threaded comment; however, any edits to it will get removed if the file is opened in a newer version of Excel. Learn more: https://go.microsoft.com/fwlink/?linkid=870924
Comment:
    In current terms, the company is growing and must conserve it’s funds; After the company growth’s stabilizes, then the stock-based compensation might start. Although there hasn’t been any stock-based compensation, the comapny has offered stock option to it’s board, which has been used by some board members. This demonstrates belief in the company. Inciating monetary compensation early on in the company might introduce the tendency to make board members follow more short-term projects over long-term projects as it would benefit them more in the short run.</t>
      </text>
    </comment>
    <comment ref="C56" authorId="10" shapeId="0" xr:uid="{A34F58E4-9B07-614B-A074-ED2F3174489D}">
      <text>
        <t>[Threaded comment]
Your version of Excel allows you to read this threaded comment; however, any edits to it will get removed if the file is opened in a newer version of Excel. Learn more: https://go.microsoft.com/fwlink/?linkid=870924
Comment:
    * According to MINERALS RESOURCE RENT TAX (MRRT) of Australia</t>
      </text>
    </comment>
    <comment ref="C57" authorId="11" shapeId="0" xr:uid="{8701BAFA-DC25-624D-81C8-6BC76BE07520}">
      <text>
        <t>[Threaded comment]
Your version of Excel allows you to read this threaded comment; however, any edits to it will get removed if the file is opened in a newer version of Excel. Learn more: https://go.microsoft.com/fwlink/?linkid=870924
Comment:
    Considering they got their contracts done between 2019 and January 2022</t>
      </text>
    </comment>
    <comment ref="C60" authorId="12" shapeId="0" xr:uid="{D9FDDA90-A1C1-B743-A513-FC9FF300C726}">
      <text>
        <t>[Threaded comment]
Your version of Excel allows you to read this threaded comment; however, any edits to it will get removed if the file is opened in a newer version of Excel. Learn more: https://go.microsoft.com/fwlink/?linkid=870924
Comment:
    Expansion of the equipment would require an increase in Working Capital Flows, meaning that as the company grows this will also grow. The percentages of the short term and long term are different, since the must preserve cash for any possible unexpected short coming or expansion projects.</t>
      </text>
    </comment>
    <comment ref="C62" authorId="13" shapeId="0" xr:uid="{DEB0E2A5-DB01-8740-B7EF-106A0102FE0A}">
      <text>
        <t>[Threaded comment]
Your version of Excel allows you to read this threaded comment; however, any edits to it will get removed if the file is opened in a newer version of Excel. Learn more: https://go.microsoft.com/fwlink/?linkid=870924
Comment:
    This is justified by the increase of plants and processing facilities with require constant maintenance in order to achieve the average life expectancy of heavy equipment and mining equipment which can last over 40 years</t>
      </text>
    </comment>
    <comment ref="C63" authorId="14" shapeId="0" xr:uid="{B877E35D-E73A-404A-9CE4-035E3656C213}">
      <text>
        <t>[Threaded comment]
Your version of Excel allows you to read this threaded comment; however, any edits to it will get removed if the file is opened in a newer version of Excel. Learn more: https://go.microsoft.com/fwlink/?linkid=870924
Comment:
    Although this value in the modelling factors is 0, they have been manually inputed in the model. The model we followed as a consistend increase from 1 to 5% of Revenue to be invested over a period of 5 years, with an interval of 5 years. These expenditures would be related to market expansions and investments in the operation’s expansion.</t>
      </text>
    </comment>
    <comment ref="C64" authorId="15" shapeId="0" xr:uid="{653351EE-F88B-2C4B-A454-5479C4FFAE70}">
      <text>
        <t xml:space="preserve">[Threaded comment]
Your version of Excel allows you to read this threaded comment; however, any edits to it will get removed if the file is opened in a newer version of Excel. Learn more: https://go.microsoft.com/fwlink/?linkid=870924
Comment:
    *Paying a sustainable dividend to shareholders, with a target dividend payout ratio of between 20-30% of free cash flow ( https://pilbaraminerals.com.au/investors/dividend-information/)
</t>
      </text>
    </comment>
    <comment ref="C65" authorId="16" shapeId="0" xr:uid="{5DF91892-7EDA-8944-A2AF-4E5D66993DB3}">
      <text>
        <t>[Threaded comment]
Your version of Excel allows you to read this threaded comment; however, any edits to it will get removed if the file is opened in a newer version of Excel. Learn more: https://go.microsoft.com/fwlink/?linkid=870924
Comment:
    These have been picked after having considered the previous year’s repurchases</t>
      </text>
    </comment>
    <comment ref="C66" authorId="17" shapeId="0" xr:uid="{4EB16A53-D51E-7B47-A2C3-170FE49679FE}">
      <text>
        <t>[Threaded comment]
Your version of Excel allows you to read this threaded comment; however, any edits to it will get removed if the file is opened in a newer version of Excel. Learn more: https://go.microsoft.com/fwlink/?linkid=870924
Comment:
    An increase in leases due to the possibility to lease their equipment since they have a long expected life and allows the company to have more cash available for investments and R&amp;D (Processing Investigation/ Chemicals; Acheiving a more efficient mining; Reducing Waste trough a cutting edge refinery)</t>
      </text>
    </comment>
    <comment ref="C68" authorId="18" shapeId="0" xr:uid="{5DF3215C-B723-8D4A-BBD6-C150C8D165C6}">
      <text>
        <t xml:space="preserve">[Threaded comment]
Your version of Excel allows you to read this threaded comment; however, any edits to it will get removed if the file is opened in a newer version of Excel. Learn more: https://go.microsoft.com/fwlink/?linkid=870924
Comment:
    Has to be relatively higher than leases, plus any possible cost related to Property and Equipment Tax. </t>
      </text>
    </comment>
    <comment ref="B116" authorId="19" shapeId="0" xr:uid="{1A8B01AC-DBBF-1A46-BC3F-0ADD98C8965B}">
      <text>
        <t>[Threaded comment]
Your version of Excel allows you to read this threaded comment; however, any edits to it will get removed if the file is opened in a newer version of Excel. Learn more: https://go.microsoft.com/fwlink/?linkid=870924
Comment:
    This value is for mining (general), not specifically Lithium, therefore we will use this as the lowest value possible for Pilbara</t>
      </text>
    </comment>
    <comment ref="B134" authorId="20" shapeId="0" xr:uid="{403A5BE2-3AB7-7142-9558-3B6BB433199A}">
      <text>
        <t>[Threaded comment]
Your version of Excel allows you to read this threaded comment; however, any edits to it will get removed if the file is opened in a newer version of Excel. Learn more: https://go.microsoft.com/fwlink/?linkid=870924
Comment:
    Percentage of Ore Growth + Percentage of Lithium Price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Afonso Simões</author>
    <author>tc={B3FA1137-501E-AE43-82C0-070E25550CC1}</author>
    <author>tc={307D0333-8DB1-D94F-BF8E-1CEA1F9C352A}</author>
    <author>tc={3C7510B6-79EF-F046-AD2E-36E9F946A605}</author>
    <author>tc={F307B6ED-D40D-A448-B390-E9648EF32820}</author>
    <author>tc={029D4353-250C-184A-A0F8-8F590EBF2764}</author>
    <author>tc={4396B837-F4D2-DE48-B18C-91C88AAD0A29}</author>
  </authors>
  <commentList>
    <comment ref="G16" authorId="0" shapeId="0" xr:uid="{C7A6DE4F-9C0E-45E7-A8EA-F679CBAE2A6C}">
      <text>
        <r>
          <rPr>
            <b/>
            <sz val="9"/>
            <color rgb="FF000000"/>
            <rFont val="Tahoma"/>
            <family val="2"/>
          </rPr>
          <t>Afonso Simões:</t>
        </r>
        <r>
          <rPr>
            <sz val="9"/>
            <color rgb="FF000000"/>
            <rFont val="Tahoma"/>
            <family val="2"/>
          </rPr>
          <t xml:space="preserve">
</t>
        </r>
        <r>
          <rPr>
            <sz val="9"/>
            <color rgb="FF000000"/>
            <rFont val="Tahoma"/>
            <family val="2"/>
          </rPr>
          <t>No Property, Plant and Equipment</t>
        </r>
      </text>
    </comment>
    <comment ref="B17" authorId="0" shapeId="0" xr:uid="{7CD4CC71-5DE5-4C7C-BC85-5B0F3F425608}">
      <text>
        <r>
          <rPr>
            <b/>
            <sz val="9"/>
            <color indexed="81"/>
            <rFont val="Tahoma"/>
            <family val="2"/>
          </rPr>
          <t>Afonso Simões:</t>
        </r>
        <r>
          <rPr>
            <sz val="9"/>
            <color indexed="81"/>
            <rFont val="Tahoma"/>
            <family val="2"/>
          </rPr>
          <t xml:space="preserve">
Intangible Assets - Net</t>
        </r>
      </text>
    </comment>
    <comment ref="O22" authorId="0" shapeId="0" xr:uid="{F7C540B1-7A71-49E0-82AA-33A5B1187CE7}">
      <text>
        <r>
          <rPr>
            <b/>
            <sz val="9"/>
            <color rgb="FF000000"/>
            <rFont val="Tahoma"/>
            <family val="2"/>
          </rPr>
          <t>Afonso Simões:</t>
        </r>
        <r>
          <rPr>
            <sz val="9"/>
            <color rgb="FF000000"/>
            <rFont val="Tahoma"/>
            <family val="2"/>
          </rPr>
          <t xml:space="preserve">
</t>
        </r>
        <r>
          <rPr>
            <sz val="9"/>
            <color rgb="FF000000"/>
            <rFont val="Tahoma"/>
            <family val="2"/>
          </rPr>
          <t>Average YoY growth</t>
        </r>
      </text>
    </comment>
    <comment ref="S97" authorId="1" shapeId="0" xr:uid="{B3FA1137-501E-AE43-82C0-070E25550CC1}">
      <text>
        <t xml:space="preserve">[Threaded comment]
Your version of Excel allows you to read this threaded comment; however, any edits to it will get removed if the file is opened in a newer version of Excel. Learn more: https://go.microsoft.com/fwlink/?linkid=870924
Comment:
    European Green Deal, which aims to make Europe climate neutral by 2050, is driving electric
vehicle take up and therefore shifting market sentiment.
</t>
      </text>
    </comment>
    <comment ref="T109" authorId="2" shapeId="0" xr:uid="{307D0333-8DB1-D94F-BF8E-1CEA1F9C352A}">
      <text>
        <t>[Threaded comment]
Your version of Excel allows you to read this threaded comment; however, any edits to it will get removed if the file is opened in a newer version of Excel. Learn more: https://go.microsoft.com/fwlink/?linkid=870924
Comment:
    These values are due to processing of reserves made by Pilbara. They extract in excess of their processing capacity, so that they can maintain their supply process.</t>
      </text>
    </comment>
    <comment ref="B141" authorId="3" shapeId="0" xr:uid="{3C7510B6-79EF-F046-AD2E-36E9F946A605}">
      <text>
        <t xml:space="preserve">[Threaded comment]
Your version of Excel allows you to read this threaded comment; however, any edits to it will get removed if the file is opened in a newer version of Excel. Learn more: https://go.microsoft.com/fwlink/?linkid=870924
Comment:
    COVID YEAR
</t>
      </text>
    </comment>
    <comment ref="B142" authorId="4" shapeId="0" xr:uid="{F307B6ED-D40D-A448-B390-E9648EF32820}">
      <text>
        <t>[Threaded comment]
Your version of Excel allows you to read this threaded comment; however, any edits to it will get removed if the file is opened in a newer version of Excel. Learn more: https://go.microsoft.com/fwlink/?linkid=870924
Comment:
    Big Improvement due to previous year lower performance</t>
      </text>
    </comment>
    <comment ref="C160" authorId="5" shapeId="0" xr:uid="{029D4353-250C-184A-A0F8-8F590EBF2764}">
      <text>
        <t xml:space="preserve">[Threaded comment]
Your version of Excel allows you to read this threaded comment; however, any edits to it will get removed if the file is opened in a newer version of Excel. Learn more: https://go.microsoft.com/fwlink/?linkid=870924
Comment:
    &lt;80%
</t>
      </text>
    </comment>
    <comment ref="B171" authorId="6" shapeId="0" xr:uid="{4396B837-F4D2-DE48-B18C-91C88AAD0A29}">
      <text>
        <t>[Threaded comment]
Your version of Excel allows you to read this threaded comment; however, any edits to it will get removed if the file is opened in a newer version of Excel. Learn more: https://go.microsoft.com/fwlink/?linkid=870924
Comment:
    If there is a bigger YoY increase on the BEV Sales then on the Ore Processed, then we are in a status of “Surplus of Demand”, if the YoY increase on Ore Processed is bigger then BEV Sales, then we are in a status of “Surplus of Supply”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Beatriz Filipa Cardoso Lagadoiro</author>
    <author>Afonso Simões</author>
  </authors>
  <commentList>
    <comment ref="A6" authorId="0" shapeId="0" xr:uid="{C3A18500-53F8-4DE4-A873-49637395D23F}">
      <text>
        <r>
          <rPr>
            <sz val="10"/>
            <rFont val="Arial"/>
            <family val="2"/>
          </rPr>
          <t xml:space="preserve">Beatriz Filipa Cardoso Lagadoiro:
IS: B24
</t>
        </r>
      </text>
    </comment>
    <comment ref="A7" authorId="0" shapeId="0" xr:uid="{46AC45EE-AD51-4779-88BA-213DD5D0F330}">
      <text>
        <r>
          <rPr>
            <sz val="10"/>
            <rFont val="Arial"/>
            <family val="2"/>
          </rPr>
          <t>Beatriz Filipa Cardoso Lagadoiro:
IS: B30</t>
        </r>
      </text>
    </comment>
    <comment ref="A8" authorId="0" shapeId="0" xr:uid="{70C90D6E-973A-4666-8796-C95AA1F430C9}">
      <text>
        <r>
          <rPr>
            <sz val="10"/>
            <rFont val="Arial"/>
            <family val="2"/>
          </rPr>
          <t>Beatriz Filipa Cardoso Lagadoiro:
IS: B53</t>
        </r>
      </text>
    </comment>
    <comment ref="A9" authorId="1" shapeId="0" xr:uid="{E6CA2183-6548-4B1C-875A-FB9AC78E937B}">
      <text>
        <r>
          <rPr>
            <sz val="10"/>
            <rFont val="Arial"/>
            <family val="2"/>
          </rPr>
          <t>Afonso Simões:
Investment Income - Non.Operating
-IS: B58</t>
        </r>
      </text>
    </comment>
    <comment ref="A11" authorId="1" shapeId="0" xr:uid="{74F05B50-AEC5-4A63-9657-C9E94A6C6036}">
      <text>
        <r>
          <rPr>
            <sz val="10"/>
            <rFont val="Arial"/>
            <family val="2"/>
          </rPr>
          <t>Afonso Simões:
-Provision for Income Taxes
- IS: B64</t>
        </r>
      </text>
    </comment>
    <comment ref="A12" authorId="0" shapeId="0" xr:uid="{955EAF4E-FDFB-4591-AC5B-8DC215937952}">
      <text>
        <r>
          <rPr>
            <sz val="10"/>
            <rFont val="Arial"/>
            <family val="2"/>
          </rPr>
          <t>Beatriz Filipa Cardoso Lagadoiro:
-IS: B70</t>
        </r>
      </text>
    </comment>
    <comment ref="A17" authorId="1" shapeId="0" xr:uid="{7EF77D18-92A4-4A3D-B6F8-F1CAB2F23B37}">
      <text>
        <r>
          <rPr>
            <sz val="10"/>
            <rFont val="Arial"/>
            <family val="2"/>
          </rPr>
          <t xml:space="preserve">Afonso Simões:
Diluted Weighted Average Shares
IS: B79
</t>
        </r>
      </text>
    </comment>
    <comment ref="A19" authorId="1" shapeId="0" xr:uid="{FA917C3E-6333-4DE6-BB6F-AEEBAD699F46}">
      <text>
        <r>
          <rPr>
            <b/>
            <sz val="9"/>
            <color indexed="81"/>
            <rFont val="Tahoma"/>
            <family val="2"/>
          </rPr>
          <t>Afonso Simões:</t>
        </r>
        <r>
          <rPr>
            <sz val="9"/>
            <color indexed="81"/>
            <rFont val="Tahoma"/>
            <family val="2"/>
          </rPr>
          <t xml:space="preserve">
Translation differences on foreign operations</t>
        </r>
      </text>
    </comment>
    <comment ref="A20" authorId="1" shapeId="0" xr:uid="{FD263877-A394-48DC-A064-B5181B9F7455}">
      <text>
        <r>
          <rPr>
            <b/>
            <sz val="9"/>
            <color indexed="81"/>
            <rFont val="Tahoma"/>
            <family val="2"/>
          </rPr>
          <t>Afonso Simões:</t>
        </r>
        <r>
          <rPr>
            <sz val="9"/>
            <color indexed="81"/>
            <rFont val="Tahoma"/>
            <family val="2"/>
          </rPr>
          <t xml:space="preserve">
Total Comprehensive Profit and Loss</t>
        </r>
      </text>
    </comment>
    <comment ref="A28" authorId="0" shapeId="0" xr:uid="{9A025B8A-803A-4AC2-B636-D7CED9B59797}">
      <text>
        <r>
          <rPr>
            <sz val="10"/>
            <rFont val="Arial"/>
            <family val="2"/>
          </rPr>
          <t>Beatriz Filipa Cardoso Lagadoiro:
 BS: A25</t>
        </r>
      </text>
    </comment>
    <comment ref="B28" authorId="1" shapeId="0" xr:uid="{69A05670-C1F9-4113-B9E3-3C31EC583FC0}">
      <text>
        <r>
          <rPr>
            <b/>
            <sz val="9"/>
            <color rgb="FF000000"/>
            <rFont val="Tahoma"/>
            <family val="2"/>
          </rPr>
          <t>Afonso Simões:</t>
        </r>
        <r>
          <rPr>
            <sz val="9"/>
            <color rgb="FF000000"/>
            <rFont val="Tahoma"/>
            <family val="2"/>
          </rPr>
          <t xml:space="preserve">
</t>
        </r>
        <r>
          <rPr>
            <sz val="9"/>
            <color rgb="FF000000"/>
            <rFont val="Tahoma"/>
            <family val="2"/>
          </rPr>
          <t>Existe uma rubrica extra com o nome de Cash dentro de Cash adn Short Term Investments, que não está incluído aqui</t>
        </r>
      </text>
    </comment>
    <comment ref="A29" authorId="0" shapeId="0" xr:uid="{925705D0-5324-4641-BE53-3617BF9F0415}">
      <text>
        <r>
          <rPr>
            <sz val="10"/>
            <rFont val="Arial"/>
            <family val="2"/>
          </rPr>
          <t>Beatriz Filipa Cardoso Lagadoiro:
BS: A27</t>
        </r>
      </text>
    </comment>
    <comment ref="A30" authorId="0" shapeId="0" xr:uid="{5B5A1476-7DEE-4DB5-AF86-E84F65AEB5B7}">
      <text>
        <r>
          <rPr>
            <sz val="10"/>
            <rFont val="Arial"/>
            <family val="2"/>
          </rPr>
          <t>Beatriz Filipa Cardoso Lagadoiro:
BS: A32</t>
        </r>
      </text>
    </comment>
    <comment ref="A31" authorId="1" shapeId="0" xr:uid="{F98E9639-4B87-42E4-85BF-5996592E7E8D}">
      <text>
        <r>
          <rPr>
            <b/>
            <sz val="9"/>
            <color indexed="81"/>
            <rFont val="Tahoma"/>
            <family val="2"/>
          </rPr>
          <t>Afonso Simões:</t>
        </r>
        <r>
          <rPr>
            <sz val="9"/>
            <color indexed="81"/>
            <rFont val="Tahoma"/>
            <family val="2"/>
          </rPr>
          <t xml:space="preserve">
Já alterei, mas aqui não queiras copiar como está o Refinitiv, é literalmente tudo o resto que vai para aqui</t>
        </r>
      </text>
    </comment>
    <comment ref="A33" authorId="1" shapeId="0" xr:uid="{2CCE24EC-F682-4C02-9AAC-8435D3D954BF}">
      <text>
        <r>
          <rPr>
            <b/>
            <sz val="9"/>
            <color indexed="81"/>
            <rFont val="Tahoma"/>
            <family val="2"/>
          </rPr>
          <t>Afonso Simões:</t>
        </r>
        <r>
          <rPr>
            <sz val="9"/>
            <color indexed="81"/>
            <rFont val="Tahoma"/>
            <family val="2"/>
          </rPr>
          <t xml:space="preserve">
Net</t>
        </r>
      </text>
    </comment>
    <comment ref="A34" authorId="1" shapeId="0" xr:uid="{4D0DBF25-57F8-4A6D-ABAC-914491792A82}">
      <text>
        <r>
          <rPr>
            <b/>
            <sz val="9"/>
            <color indexed="81"/>
            <rFont val="Tahoma"/>
            <family val="2"/>
          </rPr>
          <t>Afonso Simões:</t>
        </r>
        <r>
          <rPr>
            <sz val="9"/>
            <color indexed="81"/>
            <rFont val="Tahoma"/>
            <family val="2"/>
          </rPr>
          <t xml:space="preserve">
Annual report, se não encontrares mesmo nada põe tudo 0</t>
        </r>
      </text>
    </comment>
    <comment ref="A35" authorId="1" shapeId="0" xr:uid="{192D1963-B4FB-421C-91E4-C5C4E87C3E2E}">
      <text>
        <r>
          <rPr>
            <b/>
            <sz val="9"/>
            <color indexed="81"/>
            <rFont val="Tahoma"/>
            <family val="2"/>
          </rPr>
          <t>Afonso Simões:</t>
        </r>
        <r>
          <rPr>
            <sz val="9"/>
            <color indexed="81"/>
            <rFont val="Tahoma"/>
            <family val="2"/>
          </rPr>
          <t xml:space="preserve">
Long Term Investments</t>
        </r>
      </text>
    </comment>
    <comment ref="A44" authorId="1" shapeId="0" xr:uid="{256CC8CF-8F87-4D17-AFA6-3DB42E64D92B}">
      <text>
        <r>
          <rPr>
            <b/>
            <sz val="9"/>
            <color indexed="81"/>
            <rFont val="Tahoma"/>
            <family val="2"/>
          </rPr>
          <t>Afonso Simões:</t>
        </r>
        <r>
          <rPr>
            <sz val="9"/>
            <color indexed="81"/>
            <rFont val="Tahoma"/>
            <family val="2"/>
          </rPr>
          <t xml:space="preserve">
Notes Payable/Short Term Debt</t>
        </r>
      </text>
    </comment>
    <comment ref="A45" authorId="1" shapeId="0" xr:uid="{0B1DB5BC-5884-40DF-BBDB-AAACF95DC8BD}">
      <text>
        <r>
          <rPr>
            <b/>
            <sz val="9"/>
            <color indexed="81"/>
            <rFont val="Tahoma"/>
            <family val="2"/>
          </rPr>
          <t>Afonso Simões:</t>
        </r>
        <r>
          <rPr>
            <sz val="9"/>
            <color indexed="81"/>
            <rFont val="Tahoma"/>
            <family val="2"/>
          </rPr>
          <t xml:space="preserve">
Capital Leases</t>
        </r>
      </text>
    </comment>
    <comment ref="A48" authorId="1" shapeId="0" xr:uid="{3092A64B-3EE9-4D0E-B569-74B9C595AD63}">
      <text>
        <r>
          <rPr>
            <b/>
            <sz val="9"/>
            <color indexed="81"/>
            <rFont val="Tahoma"/>
            <family val="2"/>
          </rPr>
          <t>Afonso Simões:</t>
        </r>
        <r>
          <rPr>
            <sz val="9"/>
            <color indexed="81"/>
            <rFont val="Tahoma"/>
            <family val="2"/>
          </rPr>
          <t xml:space="preserve">
Cell 69</t>
        </r>
      </text>
    </comment>
    <comment ref="A49" authorId="1" shapeId="0" xr:uid="{558FA230-9CA7-40C3-8132-E11D670A7803}">
      <text>
        <r>
          <rPr>
            <b/>
            <sz val="9"/>
            <color indexed="81"/>
            <rFont val="Tahoma"/>
            <family val="2"/>
          </rPr>
          <t>Afonso Simões:</t>
        </r>
        <r>
          <rPr>
            <sz val="9"/>
            <color indexed="81"/>
            <rFont val="Tahoma"/>
            <family val="2"/>
          </rPr>
          <t xml:space="preserve">
Capital Lease Obligation</t>
        </r>
      </text>
    </comment>
    <comment ref="B54" authorId="1" shapeId="0" xr:uid="{FE278122-C3F7-4181-90B8-D802241701D4}">
      <text>
        <r>
          <rPr>
            <sz val="10"/>
            <rFont val="Arial"/>
            <family val="2"/>
          </rPr>
          <t xml:space="preserve">Afonso Simões:
It wasn't on the annual report
</t>
        </r>
      </text>
    </comment>
    <comment ref="A62" authorId="1" shapeId="0" xr:uid="{587F43B0-81A8-4C63-ADC0-8C2EDA209665}">
      <text>
        <r>
          <rPr>
            <b/>
            <sz val="9"/>
            <color indexed="81"/>
            <rFont val="Tahoma"/>
            <family val="2"/>
          </rPr>
          <t>Afonso Simões:</t>
        </r>
        <r>
          <rPr>
            <sz val="9"/>
            <color indexed="81"/>
            <rFont val="Tahoma"/>
            <family val="2"/>
          </rPr>
          <t xml:space="preserve">
Changes in Working Capital</t>
        </r>
      </text>
    </comment>
    <comment ref="A65" authorId="1" shapeId="0" xr:uid="{8EA0F879-7E98-4CD9-9122-BA6C0CE1B0A1}">
      <text>
        <r>
          <rPr>
            <sz val="10"/>
            <rFont val="Arial"/>
            <family val="2"/>
          </rPr>
          <t xml:space="preserve">Afonso Simões:
Capital Expenditures
CF: A33
</t>
        </r>
      </text>
    </comment>
    <comment ref="A66" authorId="1" shapeId="0" xr:uid="{6AF05082-06D8-492A-A9D4-BD85A6713EFB}">
      <text>
        <r>
          <rPr>
            <b/>
            <sz val="9"/>
            <color indexed="81"/>
            <rFont val="Tahoma"/>
            <family val="2"/>
          </rPr>
          <t>Afonso Simões:</t>
        </r>
        <r>
          <rPr>
            <sz val="9"/>
            <color indexed="81"/>
            <rFont val="Tahoma"/>
            <family val="2"/>
          </rPr>
          <t xml:space="preserve">
Soma de Other Investing cash flow items exceto other investing cash flow e sale of fixed assets</t>
        </r>
      </text>
    </comment>
    <comment ref="A67" authorId="1" shapeId="0" xr:uid="{66AD6BAE-0C9E-47C8-BAE8-2B072C90FFA9}">
      <text>
        <r>
          <rPr>
            <b/>
            <sz val="9"/>
            <color indexed="81"/>
            <rFont val="Tahoma"/>
            <family val="2"/>
          </rPr>
          <t>Afonso Simões:</t>
        </r>
        <r>
          <rPr>
            <sz val="9"/>
            <color indexed="81"/>
            <rFont val="Tahoma"/>
            <family val="2"/>
          </rPr>
          <t xml:space="preserve">
Sale of Fixed Assets</t>
        </r>
      </text>
    </comment>
    <comment ref="A69" authorId="1" shapeId="0" xr:uid="{053FA3D4-EAB6-45DF-9E48-902BC59033E6}">
      <text>
        <r>
          <rPr>
            <sz val="10"/>
            <rFont val="Arial"/>
            <family val="2"/>
          </rPr>
          <t>Afonso Simões:
Total Debt Issued
CS: A55
Proceeds from borrowings</t>
        </r>
      </text>
    </comment>
    <comment ref="A70" authorId="1" shapeId="0" xr:uid="{69938A62-D2D7-4717-8822-A392BFA204C1}">
      <text>
        <r>
          <rPr>
            <sz val="10"/>
            <rFont val="Arial"/>
            <family val="2"/>
          </rPr>
          <t>Afonso Simões:
Long Term Debt, Net
(geralmente não é assim, os dados na refinitiv estão muito confusos, mas é o que faz mais sentido dada a situação)
CS: A54
Repayment of borrowings?</t>
        </r>
      </text>
    </comment>
    <comment ref="A72" authorId="1" shapeId="0" xr:uid="{86D26E2F-1B1E-45EB-97D2-01194C6A4700}">
      <text>
        <r>
          <rPr>
            <b/>
            <sz val="9"/>
            <color indexed="81"/>
            <rFont val="Tahoma"/>
            <family val="2"/>
          </rPr>
          <t>Afonso Simões:</t>
        </r>
        <r>
          <rPr>
            <sz val="9"/>
            <color indexed="81"/>
            <rFont val="Tahoma"/>
            <family val="2"/>
          </rPr>
          <t xml:space="preserve">
(Annual Report)</t>
        </r>
      </text>
    </comment>
    <comment ref="A73" authorId="1" shapeId="0" xr:uid="{A84F2CDE-DC80-4BF1-B1B9-6B82BF3249BF}">
      <text>
        <r>
          <rPr>
            <sz val="10"/>
            <rFont val="Arial"/>
            <family val="2"/>
          </rPr>
          <t xml:space="preserve">Afonso Simões:
Cash Dividends Paid
CF:A47
</t>
        </r>
      </text>
    </comment>
    <comment ref="A74" authorId="1" shapeId="0" xr:uid="{CCCE6A1A-F6CF-4980-9A1B-A1DB8B743E60}">
      <text>
        <r>
          <rPr>
            <sz val="10"/>
            <rFont val="Arial"/>
            <family val="2"/>
          </rPr>
          <t>Afonso Simões:
Issuance (Retirement) of Stock, Net
CF: A49
Proceed from the iissue of shares and exercise of options</t>
        </r>
      </text>
    </comment>
    <comment ref="A76" authorId="1" shapeId="0" xr:uid="{FBDA2E30-5746-4095-9ED8-00B56A19375C}">
      <text>
        <r>
          <rPr>
            <sz val="10"/>
            <rFont val="Arial"/>
            <family val="2"/>
          </rPr>
          <t xml:space="preserve">Afonso Simões:
Foreign Exchange Effects
CF:A59
</t>
        </r>
      </text>
    </comment>
    <comment ref="A103" authorId="1" shapeId="0" xr:uid="{BD91FF1E-E6E3-48C6-91BB-D219D60FD4B5}">
      <text>
        <r>
          <rPr>
            <b/>
            <sz val="9"/>
            <color indexed="81"/>
            <rFont val="Tahoma"/>
            <family val="2"/>
          </rPr>
          <t>Afonso Simões:</t>
        </r>
        <r>
          <rPr>
            <sz val="9"/>
            <color indexed="81"/>
            <rFont val="Tahoma"/>
            <family val="2"/>
          </rPr>
          <t xml:space="preserve">
Share Based Paymenys, Supplemental</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1"/>
        </ext>
      </extLst>
    </bk>
  </futureMetadata>
  <futureMetadata name="XLDAPR" count="1">
    <bk>
      <extLst>
        <ext uri="{bdbb8cdc-fa1e-496e-a857-3c3f30c029c3}">
          <xda:dynamicArrayProperties fDynamic="1" fCollapsed="0"/>
        </ext>
      </extLst>
    </bk>
  </futureMetadata>
  <cellMetadata count="1">
    <bk>
      <rc t="2" v="0"/>
    </bk>
  </cell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<sst xmlns="http://schemas.openxmlformats.org/spreadsheetml/2006/main" count="3000" uniqueCount="1515">
  <si>
    <t>Team 12</t>
  </si>
  <si>
    <t>24th April, 2024</t>
  </si>
  <si>
    <t xml:space="preserve">SIC: </t>
  </si>
  <si>
    <t>COMPANY DESCRIPTION</t>
  </si>
  <si>
    <t>CEO &amp; BOARD OF DIRECTORS</t>
  </si>
  <si>
    <t>Pilbara Minerals Limited is an Australia-based lithium company, The Company is primarily engaged in the exploration, development, and mining of minerals in Australia, Its 100% owned Pilgangoora hard-rock lithium operation consists of two processing plants: the Pilgan Plant, located on the northern side and produces spodumene and tantalite concentrates, and the Ngungaju Plant is located to the south produces spodumene concentrate, It owns 70% of the Mt Francisco project, and hosts the large occurrence of outcropping pegmatites, It is also pursuing a proposed downstream joint venture (JV) for the development of an approximately 43,000 tons per annum (tpa) lithium carbonate equivalent (LCE) lithium chemical conversion facility in South Korea,</t>
  </si>
  <si>
    <t>Name (Sex;Age)</t>
  </si>
  <si>
    <t>Tenure</t>
  </si>
  <si>
    <t>Executive?</t>
  </si>
  <si>
    <t>Other roles</t>
  </si>
  <si>
    <t>Dale Henderson (M;)</t>
  </si>
  <si>
    <t>2 years</t>
  </si>
  <si>
    <t>YES</t>
  </si>
  <si>
    <t>Chief Executive Officer of Pilbara Minerals</t>
  </si>
  <si>
    <t>Kathleen Conlon (F;)</t>
  </si>
  <si>
    <t>2 months</t>
  </si>
  <si>
    <t>NO</t>
  </si>
  <si>
    <t>Non-Executive Director of Aristocrat Leisure Limited and BlueScope Steel Limited, and Chairs the Corporate Governance Committee of the Australian Institute of Company Directors </t>
  </si>
  <si>
    <t>Sally-Anne Layman (F;)</t>
  </si>
  <si>
    <t>6 years</t>
  </si>
  <si>
    <t>Non-Executive Director of IMDEX Ltd, Beach Energy Ltd and Newmount Corporation.</t>
  </si>
  <si>
    <t>Nick Cernotta (M;)</t>
  </si>
  <si>
    <t>7 years</t>
  </si>
  <si>
    <t>Non-Executive Chair of Panoramic Resources Limited and a Non-Executive Director of Northern Star Resources Limited and New Century Resources. Limited</t>
  </si>
  <si>
    <t xml:space="preserve">Steve Scudamore (M;) </t>
  </si>
  <si>
    <t>8 years</t>
  </si>
  <si>
    <t>Vice Chair of the Western Australian Museum and WA Committee Chair of the Australian British Chamber of Commerce and member of the National Board</t>
  </si>
  <si>
    <t>Miriam Stanborough (F;)</t>
  </si>
  <si>
    <t xml:space="preserve">Chair of the Minerals Research Institute of Western Australia (MRIWA), Deputy Chair of the Northern Agricultural Catchments Council (NACC), and Deputy Chair of Scouts </t>
  </si>
  <si>
    <t>https://www,marketscreener,com/quote/stock/PILBARA-MINERALS-LIMITED-10354122/company/</t>
  </si>
  <si>
    <t>EXECUTIVE LEADERSHIP TEAM</t>
  </si>
  <si>
    <t>Vince De Carolis (M;)</t>
  </si>
  <si>
    <t>1 year</t>
  </si>
  <si>
    <t>Chief Operating Officer</t>
  </si>
  <si>
    <t>Luke Bortoli (M;)</t>
  </si>
  <si>
    <t>Chief Financial Officer</t>
  </si>
  <si>
    <t>Sandra McInnes (F;)</t>
  </si>
  <si>
    <t>Chief Sustainability Officer</t>
  </si>
  <si>
    <t>John Stanning (M;)</t>
  </si>
  <si>
    <t>Chief Development Officer</t>
  </si>
  <si>
    <t>Paul Laybourne (M;)</t>
  </si>
  <si>
    <t>Project Director</t>
  </si>
  <si>
    <t>Jen Mintz (F;)</t>
  </si>
  <si>
    <t>1 month</t>
  </si>
  <si>
    <t>General Counsel</t>
  </si>
  <si>
    <t>COMPANY OVERVIEW</t>
  </si>
  <si>
    <t>Stock</t>
  </si>
  <si>
    <t>Liquidity and Solvency</t>
  </si>
  <si>
    <t>Segments</t>
  </si>
  <si>
    <t>Profitability (2023)</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</si>
  <si>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</si>
  <si>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</si>
  <si>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</si>
  <si>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</si>
  <si>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</si>
  <si>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</si>
  <si>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</si>
  <si>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</si>
  <si>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</si>
  <si>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</si>
  <si>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</si>
  <si>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</si>
  <si>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</si>
  <si>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</si>
  <si>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</si>
  <si>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</si>
  <si>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</si>
  <si>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</si>
  <si>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</si>
  <si>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</si>
  <si>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</si>
  <si>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</si>
  <si>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</si>
  <si>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</si>
  <si>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</si>
  <si>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</si>
  <si>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</si>
  <si>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</si>
  <si>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</si>
  <si>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</si>
  <si>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</si>
  <si>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</si>
  <si>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</si>
  <si>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</si>
  <si>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</si>
  <si>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</si>
  <si>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</si>
  <si>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</si>
  <si>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N/A</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</si>
  <si>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</si>
  <si>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</si>
  <si>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</si>
  <si>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</si>
  <si>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</si>
  <si>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</si>
  <si>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</si>
  <si>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</si>
  <si>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</si>
  <si>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</si>
  <si>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</si>
  <si>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</si>
  <si>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</si>
  <si>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</si>
  <si>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</si>
  <si>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</si>
  <si>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</si>
  <si>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</si>
  <si>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</si>
  <si>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</si>
  <si>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</si>
  <si>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</si>
  <si>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</si>
  <si>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t>
  </si>
  <si>
    <t>Growing Company</t>
  </si>
  <si>
    <t>In general mining companies have a higher than average profit margins when compared with other companies publicly traded companies. Pilbara's financials have been growing exponentially in the last years and they have been able to maintain a very health balance sheet.</t>
  </si>
  <si>
    <t>Government Incentives and Support</t>
  </si>
  <si>
    <t>Governments around the world are focused on reaching a greener atmosphere by 2030, therefore they are investing heavily and incentivesing the purchase of EV's and consequently their compontents. This government support and fiscal incentives to produce more, will come with a positive side for Pilbara and the whole market.</t>
  </si>
  <si>
    <t>Lithium Demand</t>
  </si>
  <si>
    <t>Currently the supply chain has caught up to the demand, sending the current price per ton down and lowering profit margins for all market players; However, forecasts of demand point to an increase in 2025 signaling a possible increase in revenues and subsequent growth of the companies.</t>
  </si>
  <si>
    <t>Risks of Investment</t>
  </si>
  <si>
    <t>Price Target</t>
  </si>
  <si>
    <t>Valuation</t>
  </si>
  <si>
    <t>Risk</t>
  </si>
  <si>
    <t>Discount Rate</t>
  </si>
  <si>
    <t>Price M. Upside</t>
  </si>
  <si>
    <t>Lithium Price Volatility</t>
  </si>
  <si>
    <t>This is a recent growing concern, where we have seen lithium prices growing as suppliers saturate the market and catch-up with demand, sending the prices plumetting; Never the less, apart from this drop in price, Pilbara has still increased their sells even though the price per ton has decreased, proving their ability to navigate the market and still find buyers.</t>
  </si>
  <si>
    <t>Economic Cycles</t>
  </si>
  <si>
    <t>There has been growing concern around the renewable energies and eletrefication of automotives, however sales of eletric vehicles have been exponentially growing for the past 10 years and more and more demand is being brought for lithium batteries. Despite all of this, recently big automotive groups like Mercedes and Ford have halted their investment for the time being in EV R&amp;D, claming it's not opportune to explore this market yet. This return on decisions from big market players might hinder the lithium sector.</t>
  </si>
  <si>
    <t>Upside</t>
  </si>
  <si>
    <t>EV M. Upside</t>
  </si>
  <si>
    <t>Finite Mineral</t>
  </si>
  <si>
    <t>Altough predictions point to only having 4/5 years of mineral left, some predictions are pointing all the way to 70 years of lithium available still. This is also the case due to inovation and the possibility to recycle batteries, expanding the life cycle of the sector.</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</si>
  <si>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</si>
  <si>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</si>
  <si>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</si>
  <si>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</si>
  <si>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</si>
  <si>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</si>
  <si>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</si>
  <si>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</si>
  <si>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</si>
  <si>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</si>
  <si>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</si>
  <si>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</si>
  <si>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</si>
  <si>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</si>
  <si>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</si>
  <si>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</si>
  <si>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</si>
  <si>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</si>
  <si>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</si>
  <si>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</si>
  <si>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</si>
  <si>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</si>
  <si>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</si>
  <si>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</si>
  <si>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</si>
  <si>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</si>
  <si>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Strenghts</t>
  </si>
  <si>
    <t>Weaknesses</t>
  </si>
  <si>
    <t>Name</t>
  </si>
  <si>
    <t>% Stake</t>
  </si>
  <si>
    <r>
      <rPr>
        <b/>
        <sz val="10"/>
        <color rgb="FF000000"/>
        <rFont val="Arial"/>
        <family val="2"/>
      </rPr>
      <t>Strategic position:</t>
    </r>
    <r>
      <rPr>
        <sz val="10"/>
        <color rgb="FF000000"/>
        <rFont val="Arial"/>
        <family val="2"/>
      </rPr>
      <t xml:space="preserve"> The Pilgangoora Operation, (their biggest operation) is positioned within a source-rich region.
</t>
    </r>
    <r>
      <rPr>
        <b/>
        <sz val="10"/>
        <color rgb="FF000000"/>
        <rFont val="Arial"/>
        <family val="2"/>
      </rPr>
      <t>Joint venture with POSCO:</t>
    </r>
    <r>
      <rPr>
        <sz val="10"/>
        <color rgb="FF000000"/>
        <rFont val="Arial"/>
        <family val="2"/>
      </rPr>
      <t xml:space="preserve"> construction of a lithium chemical hydroxide facility in South Korea which will enable both companies to participate in the chemical conversion industry. </t>
    </r>
  </si>
  <si>
    <r>
      <rPr>
        <b/>
        <sz val="10"/>
        <color rgb="FF000000"/>
        <rFont val="Arial"/>
        <family val="2"/>
      </rPr>
      <t>Low diversity of products:</t>
    </r>
    <r>
      <rPr>
        <sz val="10"/>
        <color rgb="FF000000"/>
        <rFont val="Arial"/>
        <family val="2"/>
      </rPr>
      <t xml:space="preserve"> they mostly only export a product to be processed into lithium chemicals for the lithium-ion battery industry, so they will be threaten by any changes in the lithium market.
</t>
    </r>
    <r>
      <rPr>
        <b/>
        <sz val="10"/>
        <color rgb="FF000000"/>
        <rFont val="Arial"/>
        <family val="2"/>
      </rPr>
      <t>Lithium price decrease:</t>
    </r>
    <r>
      <rPr>
        <sz val="10"/>
        <color rgb="FF000000"/>
        <rFont val="Arial"/>
        <family val="2"/>
      </rPr>
      <t xml:space="preserve"> Recently the lithium price dropped, and it’s being predicted that it will drop more due to a future lithium surplus production in 2024.</t>
    </r>
  </si>
  <si>
    <t>HSBC CUSTODY NOMINEES (AUSTRALIA) LIMITED</t>
  </si>
  <si>
    <t>JP MORGAN NOMINEES AUSTRALIA PTY LIMITED</t>
  </si>
  <si>
    <t>CITICORP NOMINEES PTY LIMITED</t>
  </si>
  <si>
    <t>GFL INTERNATIONAL CO LTD</t>
  </si>
  <si>
    <t>POS-LT PTY LTD</t>
  </si>
  <si>
    <t>NATIONAL NOMINEES LIMITED</t>
  </si>
  <si>
    <t xml:space="preserve">
BNP PARIBAS NOMS PTY LTD</t>
  </si>
  <si>
    <t>BNP PARIBAS NOMINEES PTY LTD ACF CLEARSTREAM</t>
  </si>
  <si>
    <t>BNP PARIBAS NOMINEES PTY LTD &lt;AGENCY LENDING A/C&gt;</t>
  </si>
  <si>
    <t>HSBC CUSTODY NOMINEES (AUSTRALIA) LIMITED  &lt;NT-COMNWLTH SUPER CORP A/C&gt;</t>
  </si>
  <si>
    <t>Opportunities</t>
  </si>
  <si>
    <t>Threats</t>
  </si>
  <si>
    <t>BNP PARIBAS NOMINEES PTY LTD &lt;IB AU NOMS RETAILCLIENT&gt;</t>
  </si>
  <si>
    <r>
      <rPr>
        <b/>
        <sz val="10"/>
        <color rgb="FF000000"/>
        <rFont val="Arial"/>
        <family val="2"/>
      </rPr>
      <t>Green energy search:</t>
    </r>
    <r>
      <rPr>
        <sz val="10"/>
        <color rgb="FF000000"/>
        <rFont val="Arial"/>
        <family val="2"/>
      </rPr>
      <t xml:space="preserve"> Rising market demand due to search for green alternatives of energetic sources to fight the climate changes (long term point of view).
</t>
    </r>
    <r>
      <rPr>
        <b/>
        <sz val="10"/>
        <color rgb="FF000000"/>
        <rFont val="Arial"/>
        <family val="2"/>
      </rPr>
      <t xml:space="preserve">Free trade agreements: </t>
    </r>
    <r>
      <rPr>
        <sz val="10"/>
        <color rgb="FF000000"/>
        <rFont val="Arial"/>
        <family val="2"/>
      </rPr>
      <t xml:space="preserve">Government free trade agreement allows for opportunities to enter new market.
</t>
    </r>
    <r>
      <rPr>
        <b/>
        <sz val="10"/>
        <color rgb="FF000000"/>
        <rFont val="Arial"/>
        <family val="2"/>
      </rPr>
      <t>Key Expansion Projects:</t>
    </r>
    <r>
      <rPr>
        <sz val="10"/>
        <color rgb="FF000000"/>
        <rFont val="Arial"/>
        <family val="2"/>
      </rPr>
      <t xml:space="preserve"> P1000 expansion project will increase the production capacity.
</t>
    </r>
  </si>
  <si>
    <r>
      <rPr>
        <b/>
        <sz val="10"/>
        <color rgb="FF000000"/>
        <rFont val="Arial"/>
        <family val="2"/>
      </rPr>
      <t>Geopolitical Risk:</t>
    </r>
    <r>
      <rPr>
        <sz val="10"/>
        <color rgb="FF000000"/>
        <rFont val="Arial"/>
        <family val="2"/>
      </rPr>
      <t xml:space="preserve"> significant dependence on the Chinese market, could be affected by their policies
</t>
    </r>
    <r>
      <rPr>
        <b/>
        <sz val="10"/>
        <color rgb="FF000000"/>
        <rFont val="Arial"/>
        <family val="2"/>
      </rPr>
      <t>Climate Change:</t>
    </r>
    <r>
      <rPr>
        <sz val="10"/>
        <color rgb="FF000000"/>
        <rFont val="Arial"/>
        <family val="2"/>
      </rPr>
      <t xml:space="preserve"> operations could be impacted by changes to local or international regulations, taxation, and/or penalties.
</t>
    </r>
    <r>
      <rPr>
        <b/>
        <sz val="10"/>
        <color rgb="FF000000"/>
        <rFont val="Arial"/>
        <family val="2"/>
      </rPr>
      <t>Limited mining life of their lithium exploration:</t>
    </r>
    <r>
      <rPr>
        <sz val="10"/>
        <color rgb="FF000000"/>
        <rFont val="Arial"/>
        <family val="2"/>
      </rPr>
      <t xml:space="preserve"> the Pilgangoora Operation (independent hard-rock lithium operation) has an estimated mine life of approximately 34 years and there is no expansion in sight for them (regarding mineral products diversity).</t>
    </r>
  </si>
  <si>
    <t xml:space="preserve">CITICORP NOMINEES PTY LIMITED </t>
  </si>
  <si>
    <t>WASHINGTON H SOUL PATTISON AND COMPANY LIMITED</t>
  </si>
  <si>
    <t>PALM BEACH NOMINEES PTY LTD</t>
  </si>
  <si>
    <t>NETWEALTH INVESTMENTS LTD</t>
  </si>
  <si>
    <t>BNPP NOMS PTY LTD HUB24 CUSTODIAL</t>
  </si>
  <si>
    <t>0.25%</t>
  </si>
  <si>
    <t>USB NOMINEES PTY LTD</t>
  </si>
  <si>
    <t>MR PETER BARRETT CAPP</t>
  </si>
  <si>
    <t>BRINSDEN HOLDINGS PTY LTD</t>
  </si>
  <si>
    <t>0.17%</t>
  </si>
  <si>
    <t>BNP PARIBAS NOMS</t>
  </si>
  <si>
    <t>TOTAL</t>
  </si>
  <si>
    <t>NOTES</t>
  </si>
  <si>
    <t>STOCK PERFORMANCE (5 years)</t>
  </si>
  <si>
    <t>Output in top producers Australia and Latin America will rise 22% and 29% respectively, while that in Africa is expected to double, driven by projects in Zimbabwe, the bank said. Chinese production will also jump 40% in the next two years. This supply surge will lead to a global lithium surplus of 12% (2024).</t>
  </si>
  <si>
    <t xml:space="preserve">global supply surplus: https://www.reuters.com/markets/commodities/china-lithium-price-poised-further-decline-2024-analysts-2023-12-01/ </t>
  </si>
  <si>
    <t>Invertir</t>
  </si>
  <si>
    <t>NO invertir</t>
  </si>
  <si>
    <t>Mantener sin elevar posición</t>
  </si>
  <si>
    <t>Mantener (y seguir comprando)</t>
  </si>
  <si>
    <t>Liquidar</t>
  </si>
  <si>
    <t>PENDIENTE</t>
  </si>
  <si>
    <t>Products</t>
  </si>
  <si>
    <t>Nominal value</t>
  </si>
  <si>
    <t>YoY Growth</t>
  </si>
  <si>
    <t>Weight</t>
  </si>
  <si>
    <t>Region (Plant)</t>
  </si>
  <si>
    <t>Pilgan</t>
  </si>
  <si>
    <t>Ngungaju</t>
  </si>
  <si>
    <t>Category</t>
  </si>
  <si>
    <t>Spodumene</t>
  </si>
  <si>
    <t>Tantalite</t>
  </si>
  <si>
    <t>(elimination of by-product)</t>
  </si>
  <si>
    <t>(provisional price adjustment)</t>
  </si>
  <si>
    <t>(hedge close-outs)</t>
  </si>
  <si>
    <t>Description</t>
  </si>
  <si>
    <t>Graphs</t>
  </si>
  <si>
    <t>Spodumene is one of the sources of lithium. Spodumene is first mined and crushed into powder, then is heated to high temperatures in a kiln, then is mixed with chemicals to form a lithium compound, which is then separated and purified into a concentrated lithium product.</t>
  </si>
  <si>
    <t>Tantalite is the primary source of the chemical element tantalum, a corrosion (heat and acid) resistant metal. It's mainly used in alloys and glass.</t>
  </si>
  <si>
    <t>Industry</t>
  </si>
  <si>
    <t>Graphs (Industry Forecasts)</t>
  </si>
  <si>
    <t>Drivers</t>
  </si>
  <si>
    <t>Consumer Electronics</t>
  </si>
  <si>
    <t>According to the Grand View Research, the consumer electronics segment is the one with the highest CAGR (more than 17.2% from 2024 to 2030). It's composed of electronic devices such as mobile phones, laptops, cameras and speakers, which use lithiom-ion batteries.</t>
  </si>
  <si>
    <t>EVs</t>
  </si>
  <si>
    <t>The demand for electric vehicles is also a great driver for Pilbara Mineral's revenues, since they also use a great deal of lithium batteries.</t>
  </si>
  <si>
    <t>Lithium Prices</t>
  </si>
  <si>
    <t>Every company in this industry is affected by the prices of lithium since its volatility is one of the main drivers for their revenue, specially Pilbara  Minerals since the almost deal solely with lithium. The prices have also decreased with an increase of supply these last few years which could turn into a rebound opportunity, since many professionals forecast prices increasing again.</t>
  </si>
  <si>
    <t>China</t>
  </si>
  <si>
    <t>The company's exposure to China's economic policies is significant and could impact commodity prices, capital flows and general confidence and sentiment. This happens because China is the biggest importer of lithium and is the responsible for a large part of total lithium processing. In recent times, China has also imposed restrictions to commodities coming from australia.</t>
  </si>
  <si>
    <t>Sales forecast</t>
  </si>
  <si>
    <t>Source</t>
  </si>
  <si>
    <t>Market Growth CAGR</t>
  </si>
  <si>
    <t>Period</t>
  </si>
  <si>
    <t>Acumen</t>
  </si>
  <si>
    <t>2022 - 2030</t>
  </si>
  <si>
    <t>Mordor Intelligence</t>
  </si>
  <si>
    <t>2024 - 2029</t>
  </si>
  <si>
    <t>Grand View Research</t>
  </si>
  <si>
    <t>2024 - 2030</t>
  </si>
  <si>
    <t>Straits Research</t>
  </si>
  <si>
    <t>2023 - 2031</t>
  </si>
  <si>
    <t>AVERAGE</t>
  </si>
  <si>
    <t>Company's Strategy / Extra Notes</t>
  </si>
  <si>
    <t xml:space="preserve">Their strategy is 1) Delivering their performance operative commitments; 2) Achieve full potential of the Pilgangoora asset; 3) Extract greater value along the batteries materials chain and 4) Diversify revenue beyond the Pilgangoora asset.
To do so they are implementing a number of iniciatives, namely:
Downstream Lithium Chemical Facility
In joint venture with POSCO, a 43 ktpa Lithium Hydroxide Chemical Facility was commissioned in Gwangyang, South Korea. This would diversify their assets beyond the Pilgangoora operation and diversifying beyond China by estabilishing a link with another country. The first of 2 trains is already open with a nameplate capacity of 21,5 ktpa of lithium hydroxide.
There's also a joint feasibility study with Ganfeng, a chinese lithium company, for a 32 ktpa lithium conversion plant. The feasibility study is expected to be completed in March Quarter 2025 with an option to progress to a final investment decision and formation of a joint venture following that. This would fortify their links with China which is the main buyer of lithium, besides their collaboration with South Korea.
Mid-stream Demonstration Plant
The development of a Mid-stream Demonstration Plant on site at the Pilgangoora Operation was approved by our Board in August 2023. The facility is aimed at demonstrating the potential to enhance the battery materials supply chain by decarbonising spodumene processing, decreasing transport volumes and improving value-add processing at the mine site. 
Expansion 
The P680 and the P1000 projects aims to increase total spodumene concentrate production capacity at the Pilgangoora Operation to up to 1 Mtpa. Pilbara Minerals prefers to expand it's mining operation rather than expanding through M&amp;A.
</t>
  </si>
  <si>
    <t>Peer Logo</t>
  </si>
  <si>
    <t>Peer Name</t>
  </si>
  <si>
    <t>Currency</t>
  </si>
  <si>
    <t>End of Fiscal Year</t>
  </si>
  <si>
    <t>Next Earnings Date</t>
  </si>
  <si>
    <t>Albemarle Corporation is a global developer, manufacturer, and marketer of advanced engineering materials. The company produces a variety of specialty chemicals, primarily focusing on lithium and advanced materials as well as bromine and refining catalyst segments. Its lithium and advanced materials segment consist of two product categories: battery-grade lithium compounds and other specialty chemical products. These are used in a range of applications such as fire safety and soundproofing, energy storage, automotive applications, lubricants, pharmaceuticals, crop protection, and customized chemical services. The company has partnerships and joint ventures in various parts of the world and as of December 31, 2016, had 31 office and production sites globally.</t>
  </si>
  <si>
    <t>31st December 2023</t>
  </si>
  <si>
    <t>Q1 (1st May 2024)</t>
  </si>
  <si>
    <t>Sociedad Química y Minera de Chile, or SQM, is a producer and distributor of potassium nitrate and iodine. The company produces plant nutrients and industrial chemicals derived from solar evaporation ponds in the Atacama Desert. Its segments include plant nutrients (such as potassium nitrate), iodine derivatives, lithium, and industrial chemicals. The company's products are used in fertilizers to improve agricultural yield, industrial applications such as glass manufacturing and industrial nitrates, and they produce and sell iodine and its derivatives which have applications in x-ray contrast media and other uses. Lithium and its derivatives, including lithium carbonate, are used in batteries, greases, and air treatment systems and are sold globally.</t>
  </si>
  <si>
    <t>Q1 (22th May 2024)</t>
  </si>
  <si>
    <t>Mineral Resources is an Australian-based mining services company operating through six segments: Mining Services, Iron Ore, Lithium, Energy, Other Commodities, and Central. Their mining services division provides end-to-end solutions, including their subsidiary Crushing Mining Services (CSI) that offers crushing, screening, and processing solutions for mining operations. The company has three iron ore hubs in Western Australia and lithium operations in the Pilbara and Goldfields regions. The Mt Marion lithium project is located 40 kilometers southwest of Kalgoorlie, and the Wodgina lithium project is 120 kilometers south of Port Hedland, in the Pilbara region near the iron ore hubs. It includes two wells in the Perth Basin.</t>
  </si>
  <si>
    <t>30th June 2023</t>
  </si>
  <si>
    <t>Q3 (26th April 2024)</t>
  </si>
  <si>
    <t>Arcadium Lithium PLC is an international lithium chemicals producer with a diversified product range. They produce lithium hydroxide, carbonate, spodumene, and other specialties. The company offers various lithium products such as specialty lithium, hydroxide, carbonate, battery-grade lithium hydroxide, and other lithium-ion battery grade carbonate, among others. They focus on direct lithium extraction from hard rock mining, chemical processing, and conventional brine extraction, which is said to be more efficient and less environmentally impactful than traditional methods. The company's operations span across different geographies, including the South American Lithium Triangle, Western Australia, and Canada.</t>
  </si>
  <si>
    <t>Q1 (2nd May 2024)</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</si>
  <si>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</si>
  <si>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</si>
  <si>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</si>
  <si>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</si>
  <si>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</si>
  <si>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</si>
  <si>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</si>
  <si>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</si>
  <si>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</si>
  <si>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</si>
  <si>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</si>
  <si>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</si>
  <si>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</si>
  <si>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</si>
  <si>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</si>
  <si>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</si>
  <si>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Debt/Assets (Leases Free Debt)</t>
  </si>
  <si>
    <t>Net Debt/EBIT (Leases Free Debt)</t>
  </si>
  <si>
    <t>Leasing Debt/Total Debt</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</si>
  <si>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</si>
  <si>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</si>
  <si>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</si>
  <si>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</si>
  <si>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</si>
  <si>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</si>
  <si>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</si>
  <si>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</si>
  <si>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</si>
  <si>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</si>
  <si>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</si>
  <si>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</si>
  <si>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</si>
  <si>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</si>
  <si>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</si>
  <si>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</si>
  <si>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</si>
  <si>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</si>
  <si>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</si>
  <si>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</si>
  <si>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</si>
  <si>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</si>
  <si>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</si>
  <si>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</si>
  <si>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</si>
  <si>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</si>
  <si>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</si>
  <si>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</si>
  <si>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</si>
  <si>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</si>
  <si>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</si>
  <si>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</si>
  <si>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</si>
  <si>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</si>
  <si>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</si>
  <si>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</si>
  <si>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</si>
  <si>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</si>
  <si>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</si>
  <si>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</si>
  <si>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</si>
  <si>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</si>
  <si>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</si>
  <si>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</si>
  <si>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</si>
  <si>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Leasing Debt</t>
  </si>
  <si>
    <t>Total Debt</t>
  </si>
  <si>
    <t>Total Equity</t>
  </si>
  <si>
    <t>Lithium developer Liontown backs Albemarle's $4.3 billion bid | Reuters</t>
  </si>
  <si>
    <t>61171202-1.pdf (ltresources.com.au)</t>
  </si>
  <si>
    <t>ASX Lithium Stocks: 5 Biggest Companies in 2023 (investingnews.com)</t>
  </si>
  <si>
    <t>3 Top Lithium Stocks to Watch for the Coming Quarter | Nasdaq</t>
  </si>
  <si>
    <t>2023-Annual-Report.pdf (amazonaws.com)</t>
  </si>
  <si>
    <t>8 Best Lithium Stocks of March 2024 – Forbes Advisor</t>
  </si>
  <si>
    <t>Lithium Stocks List: 5 Biggest Lithium Stocks - Insider Monkey</t>
  </si>
  <si>
    <t>2023-Annual-Report-incorporating-Appendix-4E.pdf (irmau.com)</t>
  </si>
  <si>
    <t xml:space="preserve"> </t>
  </si>
  <si>
    <t>Industry peers average</t>
  </si>
  <si>
    <t>EBITDA margin</t>
  </si>
  <si>
    <t>in AUD</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</si>
  <si>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</si>
  <si>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</si>
  <si>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</si>
  <si>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</si>
  <si>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</si>
  <si>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</si>
  <si>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</si>
  <si>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</si>
  <si>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</si>
  <si>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</si>
  <si>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</si>
  <si>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</si>
  <si>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</si>
  <si>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</si>
  <si>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EPS Growth (2022-2023)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</si>
  <si>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</si>
  <si>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</si>
  <si>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</si>
  <si>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</si>
  <si>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</si>
  <si>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</si>
  <si>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</si>
  <si>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</si>
  <si>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</si>
  <si>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</si>
  <si>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</si>
  <si>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</si>
  <si>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</si>
  <si>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</si>
  <si>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Net Income After Taxes</t>
  </si>
  <si>
    <t>Revenue</t>
  </si>
  <si>
    <t>Company Market Cap</t>
  </si>
  <si>
    <t>Earnings per Share (FY1)</t>
  </si>
  <si>
    <t>Earnings per Share (FY0)</t>
  </si>
  <si>
    <t>Benchmark</t>
  </si>
  <si>
    <t>PLS.AX</t>
  </si>
  <si>
    <t>Pilbara Minerals Ltd</t>
  </si>
  <si>
    <t>Diversified Mining</t>
  </si>
  <si>
    <t>Australia</t>
  </si>
  <si>
    <t>Comparison</t>
  </si>
  <si>
    <t>AIS.AX</t>
  </si>
  <si>
    <t>Aeris Resources Ltd</t>
  </si>
  <si>
    <t>ATY.V</t>
  </si>
  <si>
    <t>Atico Mining Corp</t>
  </si>
  <si>
    <t>Canada</t>
  </si>
  <si>
    <t>GORO.A</t>
  </si>
  <si>
    <t>Gold Resource Corp</t>
  </si>
  <si>
    <t>United States of America</t>
  </si>
  <si>
    <t>5711.T</t>
  </si>
  <si>
    <t>Mitsubishi Materials Corp</t>
  </si>
  <si>
    <t>Japan</t>
  </si>
  <si>
    <t>GLEN.L</t>
  </si>
  <si>
    <t>Glencore PLC</t>
  </si>
  <si>
    <t>Switzerland</t>
  </si>
  <si>
    <t>GMEXICOB.MX</t>
  </si>
  <si>
    <t>Grupo Mexico SAB de CV</t>
  </si>
  <si>
    <t>Mexico</t>
  </si>
  <si>
    <t>BCM.V</t>
  </si>
  <si>
    <t>Bear Creek Mining Corp</t>
  </si>
  <si>
    <t>Median</t>
  </si>
  <si>
    <t>IMA.AX</t>
  </si>
  <si>
    <t>Image Resources NL</t>
  </si>
  <si>
    <t>Benchmark Data</t>
  </si>
  <si>
    <t>Price / Share</t>
  </si>
  <si>
    <t>S.TO</t>
  </si>
  <si>
    <t>Sherritt International Corp</t>
  </si>
  <si>
    <t>Multiplier</t>
  </si>
  <si>
    <t># Shares</t>
  </si>
  <si>
    <t>-Debt + Cash</t>
  </si>
  <si>
    <t>SOSIL.NGM</t>
  </si>
  <si>
    <t>Sotkamo Silver AB</t>
  </si>
  <si>
    <t>Sweden</t>
  </si>
  <si>
    <t>29M.AX</t>
  </si>
  <si>
    <t>29Metals Ltd</t>
  </si>
  <si>
    <t>By Consolidated Average</t>
  </si>
  <si>
    <t>USA.TO</t>
  </si>
  <si>
    <t>Americas Gold and Silver Corporation</t>
  </si>
  <si>
    <t>SMT.TO</t>
  </si>
  <si>
    <t>Sierra Metals Inc</t>
  </si>
  <si>
    <t>LUCA.V</t>
  </si>
  <si>
    <t>Luca Mining Corp</t>
  </si>
  <si>
    <t>MND.TO</t>
  </si>
  <si>
    <t>Mandalay Resources Corp</t>
  </si>
  <si>
    <t>GSVR.V</t>
  </si>
  <si>
    <t>Guanajuato Silver Company Ltd</t>
  </si>
  <si>
    <t>AMI.AX</t>
  </si>
  <si>
    <t>Aurelia Metals Ltd</t>
  </si>
  <si>
    <t>VDAN.NS</t>
  </si>
  <si>
    <t>Vedanta Ltd</t>
  </si>
  <si>
    <t>India</t>
  </si>
  <si>
    <t>PEOLES.MX</t>
  </si>
  <si>
    <t>Industrias Penoles SAB de CV</t>
  </si>
  <si>
    <t>DR0G.DE</t>
  </si>
  <si>
    <t>Deutsche Rohstoff AG</t>
  </si>
  <si>
    <t>Germany</t>
  </si>
  <si>
    <t>A1M.AX</t>
  </si>
  <si>
    <t>AIC Mines Ltd</t>
  </si>
  <si>
    <t>AAL.L</t>
  </si>
  <si>
    <t>Anglo American PLC</t>
  </si>
  <si>
    <t>United Kingdom</t>
  </si>
  <si>
    <t>VAST.L</t>
  </si>
  <si>
    <t>Vast Resources PLC</t>
  </si>
  <si>
    <t>FVI.TO</t>
  </si>
  <si>
    <t>Fortuna Silver Mines Inc</t>
  </si>
  <si>
    <t>S32.AX</t>
  </si>
  <si>
    <t>South32 Ltd</t>
  </si>
  <si>
    <t>ASM.TO</t>
  </si>
  <si>
    <t>Avino Silver &amp; Gold Mines Ltd</t>
  </si>
  <si>
    <t>FRES.L</t>
  </si>
  <si>
    <t>Fresnillo PLC</t>
  </si>
  <si>
    <t>GFM.L</t>
  </si>
  <si>
    <t>Griffin Mining Ltd</t>
  </si>
  <si>
    <t>LUN.TO</t>
  </si>
  <si>
    <t>Lundin Mining Corp</t>
  </si>
  <si>
    <t>TECK.N</t>
  </si>
  <si>
    <t>Teck Resources Ltd</t>
  </si>
  <si>
    <t>RIO.L</t>
  </si>
  <si>
    <t>Rio Tinto PLC</t>
  </si>
  <si>
    <t>PX.PS</t>
  </si>
  <si>
    <t>Philex Mining Corp</t>
  </si>
  <si>
    <t>Philippines</t>
  </si>
  <si>
    <t>RIO.AX</t>
  </si>
  <si>
    <t>Rio Tinto Ltd</t>
  </si>
  <si>
    <t>DPM.TO</t>
  </si>
  <si>
    <t>Dundee Precious Metals Inc</t>
  </si>
  <si>
    <t>MDKA.JK</t>
  </si>
  <si>
    <t>Merdeka Copper Gold Tbk PT</t>
  </si>
  <si>
    <t>Indonesia</t>
  </si>
  <si>
    <t>BHP.AX</t>
  </si>
  <si>
    <t>BHP Group Ltd</t>
  </si>
  <si>
    <t>ECORE.L</t>
  </si>
  <si>
    <t>Ecora Resources PLC</t>
  </si>
  <si>
    <t>No P/E</t>
  </si>
  <si>
    <t>SYR.AX</t>
  </si>
  <si>
    <t>Syrah Resources Ltd</t>
  </si>
  <si>
    <t>HZNC.NS</t>
  </si>
  <si>
    <t>Hindustan Zinc Ltd</t>
  </si>
  <si>
    <t>000975.SZ</t>
  </si>
  <si>
    <t>Yintai Gold Co Ltd</t>
  </si>
  <si>
    <t>NYR.BR</t>
  </si>
  <si>
    <t>Nyrstar NV</t>
  </si>
  <si>
    <t>Belgium</t>
  </si>
  <si>
    <t>Not Suitable</t>
  </si>
  <si>
    <t>BSX.AX</t>
  </si>
  <si>
    <t>Blackstone Minerals Ltd</t>
  </si>
  <si>
    <t>DVP.AX</t>
  </si>
  <si>
    <t>Develop Global Ltd</t>
  </si>
  <si>
    <t>GGD.TO</t>
  </si>
  <si>
    <t>GoGold Resources Inc</t>
  </si>
  <si>
    <t>CXO.AX</t>
  </si>
  <si>
    <t>Core Lithium Ltd</t>
  </si>
  <si>
    <t>ALS.TO</t>
  </si>
  <si>
    <t>Altius Minerals Corp</t>
  </si>
  <si>
    <t>MAI.V</t>
  </si>
  <si>
    <t>Minera Alamos Inc</t>
  </si>
  <si>
    <t>ELE.V</t>
  </si>
  <si>
    <t>Elemental Altus Royalties Corp</t>
  </si>
  <si>
    <t>SRL.AX</t>
  </si>
  <si>
    <t>Sunrise Energy Metals Ltd</t>
  </si>
  <si>
    <t>LODE.A</t>
  </si>
  <si>
    <t>Comstock Inc</t>
  </si>
  <si>
    <t>MTA.V</t>
  </si>
  <si>
    <t>Metalla Royalty &amp; Streaming Ltd</t>
  </si>
  <si>
    <t>LM8.AX</t>
  </si>
  <si>
    <t>Lunnon Metals Ltd</t>
  </si>
  <si>
    <t>CNB.AX</t>
  </si>
  <si>
    <t>Carnaby Resources Ltd</t>
  </si>
  <si>
    <t>IE.A</t>
  </si>
  <si>
    <t>Ivanhoe Electric Inc</t>
  </si>
  <si>
    <t>PNX.AX</t>
  </si>
  <si>
    <t>PNX Metals Ltd</t>
  </si>
  <si>
    <t>DRE.AX</t>
  </si>
  <si>
    <t>Dreadnought Resources Ltd</t>
  </si>
  <si>
    <t>CHN.AX</t>
  </si>
  <si>
    <t>Chalice Mining Ltd</t>
  </si>
  <si>
    <t>RTR.AX</t>
  </si>
  <si>
    <t>Rumble Resources Ltd</t>
  </si>
  <si>
    <t>AZS.AX</t>
  </si>
  <si>
    <t>Azure Minerals Ltd</t>
  </si>
  <si>
    <t>STA.AX</t>
  </si>
  <si>
    <t>Strandline Resources Ltd</t>
  </si>
  <si>
    <t>PAN.AX</t>
  </si>
  <si>
    <t>Panoramic Resources Ltd</t>
  </si>
  <si>
    <t>Company GICS Sector:</t>
  </si>
  <si>
    <t>Materials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</si>
  <si>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</si>
  <si>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</si>
  <si>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</si>
  <si>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</si>
  <si>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</si>
  <si>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</si>
  <si>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</si>
  <si>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</si>
  <si>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</si>
  <si>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</si>
  <si>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</si>
  <si>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</si>
  <si>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</si>
  <si>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</si>
  <si>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</si>
  <si>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Yes</t>
  </si>
  <si>
    <t>"Villain"</t>
  </si>
  <si>
    <t>Continue to develop decarbonisation plan and improve energy efficiency.
• Embed climate analysis and internal carbon price to inform decision-making.</t>
  </si>
  <si>
    <t xml:space="preserve">The increase in total year emissions in FY23 from the previous can be primarily attributed to the increase in diesel consumption as Pilbara Minerals increased overall activity across operations and construction works for the P680 Project.
</t>
  </si>
  <si>
    <t>CO2 Emissions/$Sales</t>
  </si>
  <si>
    <t>Total Water Consumption</t>
  </si>
  <si>
    <t>No</t>
  </si>
  <si>
    <t>Advanced a holistic water balance at the Pilgangoora Operation in 2023</t>
  </si>
  <si>
    <t>Water Consumption/$Sales</t>
  </si>
  <si>
    <t>Total Energy Consumption</t>
  </si>
  <si>
    <t>Net zero operation in the decade commencing 2040</t>
  </si>
  <si>
    <t>Updated high-level climate scenario analysis and completed risk assessment in line with the Taskforce on Climate-related Financial Disclosure.</t>
  </si>
  <si>
    <t>Energy Consumption/$Sales</t>
  </si>
  <si>
    <t>Waste Management</t>
  </si>
  <si>
    <t>Medium High</t>
  </si>
  <si>
    <t xml:space="preserve"> In FY23, significant progress was made in waste management including the upgrade to landfill, recycling, and BioFarm operations. The facility is designed to segregate and responsibly dispose, reuse,
or recycle various waste streams including metals, aerosols, plastics, batteries, wood, oils, and hydrocarbons.
</t>
  </si>
  <si>
    <t>Waste Production/$Sales</t>
  </si>
  <si>
    <t>Land Degradation/Deforestation/Biodiversity loss/Animal sufering/…</t>
  </si>
  <si>
    <t>"Zero environmental issues"</t>
  </si>
  <si>
    <t xml:space="preserve">To safeguard biodiversity and minimise adverse impacts on the ecosystem, Pilbara Minerals has formulated various management plans and procedures. These include a corporate EMP which outlines the overarching strategies and processes. Additionally, there is a specialised Fauna Management Procedure to protect fauna within and around the operational areas.
</t>
  </si>
  <si>
    <t>Inputs</t>
  </si>
  <si>
    <t>Social</t>
  </si>
  <si>
    <t>Employee Turnover %</t>
  </si>
  <si>
    <t>CO2 Emissions Total (Tonnes)</t>
  </si>
  <si>
    <t>Salaries &amp; Compensation</t>
  </si>
  <si>
    <t>Medium</t>
  </si>
  <si>
    <t>Kind of</t>
  </si>
  <si>
    <t>Incentive and bonus schemes.</t>
  </si>
  <si>
    <t>Water Consumption Total (Cubic Meters)</t>
  </si>
  <si>
    <t>Reputation</t>
  </si>
  <si>
    <t>Energy Consumption Total (Gigajoules)</t>
  </si>
  <si>
    <t>Discrimination Events</t>
  </si>
  <si>
    <t>Increased spend with over $5M in procurement and contracts awarded to Aboriginal and Torres Strait Islander businesses.</t>
  </si>
  <si>
    <t>Waste Production Total (Tonnes)</t>
  </si>
  <si>
    <t>Work Safety</t>
  </si>
  <si>
    <t>Recorded zero fatalities and permanent injuries among employees and contractors.</t>
  </si>
  <si>
    <t>ESG Scores</t>
  </si>
  <si>
    <t>Damage to consumer health</t>
  </si>
  <si>
    <t>"Best in class"</t>
  </si>
  <si>
    <t>Refinitiv</t>
  </si>
  <si>
    <t>PXP?</t>
  </si>
  <si>
    <t xml:space="preserve">A team of trained Mental Health First Aiders on site and in Perth who can be accessed by employees at any time
A Lithium Bonus scheme connected to the price of spodumene
</t>
  </si>
  <si>
    <t>Sustainalytics</t>
  </si>
  <si>
    <t>40.2 (severe risk)</t>
  </si>
  <si>
    <t xml:space="preserve">23.7 (medium risk) </t>
  </si>
  <si>
    <t xml:space="preserve">30.8 (medium risk) </t>
  </si>
  <si>
    <t>21.8 (medium risk)</t>
  </si>
  <si>
    <t>20.8 (medium risk)</t>
  </si>
  <si>
    <t>Supply chain</t>
  </si>
  <si>
    <t xml:space="preserve">Commence construction of the Mid-stream Demonstration Plant, in joint venture with Calix, with the aim of validating Calix’s patented electric-kiln technology in calcining spodumene concentrate at a lower cost and reduced carbon emissions intensity, thereby further enhancing the sustainability of the battery materials supply chain.
</t>
  </si>
  <si>
    <t>ISS</t>
  </si>
  <si>
    <t>C</t>
  </si>
  <si>
    <t>C-</t>
  </si>
  <si>
    <t>Community involvement</t>
  </si>
  <si>
    <t>Cultural Awareness Training sessions held for 292 employees and organization of two on-country cultural awareness overnight camps.</t>
  </si>
  <si>
    <t>CDP</t>
  </si>
  <si>
    <t>F</t>
  </si>
  <si>
    <t>B</t>
  </si>
  <si>
    <t>B/B-</t>
  </si>
  <si>
    <t>Public Sector</t>
  </si>
  <si>
    <t>Litigation</t>
  </si>
  <si>
    <t xml:space="preserve">No relevant Litigations
</t>
  </si>
  <si>
    <t>Corporate Governance</t>
  </si>
  <si>
    <t>PARAMETERS</t>
  </si>
  <si>
    <t>Diversity (Gender, Age, Industry, Region)</t>
  </si>
  <si>
    <t>Improve female representation at senior manager and executive manager level during the period 2019 to 2023 (33%), and promotion of six female candidates to key senior leadership positions.</t>
  </si>
  <si>
    <t>IMPACT</t>
  </si>
  <si>
    <t>RANKING</t>
  </si>
  <si>
    <t>MITIGATION PLAN</t>
  </si>
  <si>
    <t>% Independence</t>
  </si>
  <si>
    <t xml:space="preserve">5/6 Directors were independent (100% of Non-Executive Directors were independent)
</t>
  </si>
  <si>
    <t>Low</t>
  </si>
  <si>
    <t>Is there evidence of a plan/program ?</t>
  </si>
  <si>
    <t>average time as independent directors</t>
  </si>
  <si>
    <t>similar to the industry average</t>
  </si>
  <si>
    <t>Recent departures of directors / C-level executives?</t>
  </si>
  <si>
    <t>Recent departure of the Managing Director/CEO (2022)</t>
  </si>
  <si>
    <t>High</t>
  </si>
  <si>
    <t>CEO/Chairman duality</t>
  </si>
  <si>
    <t>They are both the same</t>
  </si>
  <si>
    <t>Very high</t>
  </si>
  <si>
    <t>Transparency (ESG, segments, acquisitions, other)</t>
  </si>
  <si>
    <t>Time taken to report after the end of the quarter / year</t>
  </si>
  <si>
    <t>Additional participation of the CEO in other boards or excessive participation of Ch.</t>
  </si>
  <si>
    <t>No evidence of it happening.</t>
  </si>
  <si>
    <t>Audit / Consulting</t>
  </si>
  <si>
    <t>ESG-compensation related</t>
  </si>
  <si>
    <t>The Company’s Audit and Risk Committee Charter is disclosed on the Company’s website but the information is not clear enough</t>
  </si>
  <si>
    <t>Management compensation schemes</t>
  </si>
  <si>
    <t>Above average base salary compared to its peers.</t>
  </si>
  <si>
    <t>VALUATION MODEL</t>
  </si>
  <si>
    <t>Short Term</t>
  </si>
  <si>
    <t>Long Term</t>
  </si>
  <si>
    <t>Section</t>
  </si>
  <si>
    <t>Line #</t>
  </si>
  <si>
    <t>ITEM</t>
  </si>
  <si>
    <t>INCOME STATEMENT</t>
  </si>
  <si>
    <t>Growth</t>
  </si>
  <si>
    <t>Revenues/Sales</t>
  </si>
  <si>
    <t>5a</t>
  </si>
  <si>
    <t>(Depreciation)</t>
  </si>
  <si>
    <t>5b</t>
  </si>
  <si>
    <t>Amortization</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</si>
  <si>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</si>
  <si>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</si>
  <si>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</si>
  <si>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</si>
  <si>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</si>
  <si>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</si>
  <si>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</si>
  <si>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</si>
  <si>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</si>
  <si>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</si>
  <si>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</si>
  <si>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</si>
  <si>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</si>
  <si>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</si>
  <si>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Aquisitions</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</si>
  <si>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</si>
  <si>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</si>
  <si>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</si>
  <si>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</si>
  <si>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</si>
  <si>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</si>
  <si>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</si>
  <si>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</si>
  <si>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</si>
  <si>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</si>
  <si>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</si>
  <si>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</si>
  <si>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</si>
  <si>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</si>
  <si>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</si>
  <si>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</si>
  <si>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</si>
  <si>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</si>
  <si>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</si>
  <si>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</si>
  <si>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</si>
  <si>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</si>
  <si>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</si>
  <si>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</si>
  <si>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</si>
  <si>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</si>
  <si>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</si>
  <si>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</si>
  <si>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</si>
  <si>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</si>
  <si>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</si>
  <si>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</si>
  <si>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</si>
  <si>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</si>
  <si>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</si>
  <si>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</si>
  <si>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</si>
  <si>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</si>
  <si>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Earnings before tax</t>
  </si>
  <si>
    <t>Interest Rate on debt</t>
  </si>
  <si>
    <t>% Debt (l29)</t>
  </si>
  <si>
    <t>Interest Rate on cash</t>
  </si>
  <si>
    <t>% of Cash (l28)</t>
  </si>
  <si>
    <t>PPE+ROA</t>
  </si>
  <si>
    <t>Growing with capex</t>
  </si>
  <si>
    <t>Working capital flows</t>
  </si>
  <si>
    <t>% of Change Revenues (l2)</t>
  </si>
  <si>
    <t>Intangible Assets</t>
  </si>
  <si>
    <t>Growing with amortization</t>
  </si>
  <si>
    <t>Capex</t>
  </si>
  <si>
    <t>Acquisition factor</t>
  </si>
  <si>
    <t>% Net Income (11)</t>
  </si>
  <si>
    <t>Repurchases</t>
  </si>
  <si>
    <t>Leases</t>
  </si>
  <si>
    <t>Cash Costs for EBIT</t>
  </si>
  <si>
    <t>% EBITDA</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</si>
  <si>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</si>
  <si>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</si>
  <si>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</si>
  <si>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</si>
  <si>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</si>
  <si>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</si>
  <si>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</si>
  <si>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</si>
  <si>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</si>
  <si>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</si>
  <si>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</si>
  <si>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</si>
  <si>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Links</t>
  </si>
  <si>
    <t>https://www.fool.com.au/2023/12/07/pilbara-minerals-shares-have-dropped-34-in-4-months-heres-what-to-focus-on/</t>
  </si>
  <si>
    <t>https://www.nasdaq.com/articles/lithium-market-forecast%3A-top-trends-that-will-affect-lithium-in-2024</t>
  </si>
  <si>
    <t>https://www.statista.com/statistics/208725/net-profit-margin-of-the-top-mining-companies/</t>
  </si>
  <si>
    <t>Net profit margin of the top mining companies worldwide from 2002 to 2022, with a forecast for 2023</t>
  </si>
  <si>
    <t>Study done by PwC (June 2023)</t>
  </si>
  <si>
    <t>2002</t>
  </si>
  <si>
    <t>in %</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</si>
  <si>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</si>
  <si>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</si>
  <si>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</si>
  <si>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</si>
  <si>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</si>
  <si>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</si>
  <si>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</si>
  <si>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</si>
  <si>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</si>
  <si>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</si>
  <si>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</si>
  <si>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</si>
  <si>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</si>
  <si>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</si>
  <si>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</si>
  <si>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</si>
  <si>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</si>
  <si>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</si>
  <si>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</si>
  <si>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</si>
  <si>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</si>
  <si>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Average for the past 21 years</t>
  </si>
  <si>
    <t>Percentage</t>
  </si>
  <si>
    <t>Sensitivity Analysis</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</si>
  <si>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</si>
  <si>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</si>
  <si>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</si>
  <si>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</si>
  <si>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</si>
  <si>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</si>
  <si>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</si>
  <si>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</si>
  <si>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</si>
  <si>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</si>
  <si>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</si>
  <si>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</si>
  <si>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</si>
  <si>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</si>
  <si>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</si>
  <si>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</si>
  <si>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</si>
  <si>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</si>
  <si>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</si>
  <si>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</si>
  <si>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</si>
  <si>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</si>
  <si>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</si>
  <si>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</si>
  <si>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</si>
  <si>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</si>
  <si>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Ore Growth</t>
  </si>
  <si>
    <t>Good Market</t>
  </si>
  <si>
    <t>Current Market</t>
  </si>
  <si>
    <t>Bad Market</t>
  </si>
  <si>
    <t>Lithium Price</t>
  </si>
  <si>
    <t>Bad Marlet</t>
  </si>
  <si>
    <t>Average</t>
  </si>
  <si>
    <t>Assumptions</t>
  </si>
  <si>
    <t>Prospects:</t>
  </si>
  <si>
    <t>Links:</t>
  </si>
  <si>
    <t>Average (3y)</t>
  </si>
  <si>
    <t>Average (5y)</t>
  </si>
  <si>
    <t>Average (10y)</t>
  </si>
  <si>
    <t>Average (w/o covid)</t>
  </si>
  <si>
    <t>Short Term Forecast</t>
  </si>
  <si>
    <t>Long Term Forecast</t>
  </si>
  <si>
    <t>Production Increase, Sales Increase however lower price per tonne dropped the revenue (H1 2024)</t>
  </si>
  <si>
    <t>Revenue growth</t>
  </si>
  <si>
    <t>Modelling Factors</t>
  </si>
  <si>
    <t>Last 10 Years</t>
  </si>
  <si>
    <t>Mining Equipement, similar to construction equipment (excavators, Bulldozers, etc) have an average lifespan of about 10-12 years</t>
  </si>
  <si>
    <t>- -</t>
  </si>
  <si>
    <t>No Compensation has been paid out in the previous years.</t>
  </si>
  <si>
    <t>* According to MINERALS RESOURCE RENT TAX (MRRT) of Australia</t>
  </si>
  <si>
    <t xml:space="preserve">CAPEX </t>
  </si>
  <si>
    <t>*Paying a sustainable dividend to shareholders, with a target dividend payout ratio of between 20-30% of free cash flow ( https://pilbaraminerals.com.au/investors/dividend-information/)</t>
  </si>
  <si>
    <t>Forecasts</t>
  </si>
  <si>
    <t>https://www.statista.com/statistics/452025/projected-total-demand-for-lithium-globally/</t>
  </si>
  <si>
    <t>Demand</t>
  </si>
  <si>
    <t xml:space="preserve"> Demand Growth YoY</t>
  </si>
  <si>
    <t>Average Price per ton</t>
  </si>
  <si>
    <t>Price Growth YoY</t>
  </si>
  <si>
    <t>Revenue Growth</t>
  </si>
  <si>
    <t>Regression Forecast</t>
  </si>
  <si>
    <t>Year (Quarterly)</t>
  </si>
  <si>
    <t>Units</t>
  </si>
  <si>
    <t>April Q FY17</t>
  </si>
  <si>
    <t>September Q FY17</t>
  </si>
  <si>
    <t>December Q FY17</t>
  </si>
  <si>
    <t>April Q FY18</t>
  </si>
  <si>
    <t>September Q FY18</t>
  </si>
  <si>
    <t>December Q FY18</t>
  </si>
  <si>
    <t>April Q FY19</t>
  </si>
  <si>
    <t>September Q FY19</t>
  </si>
  <si>
    <t>December Q FY19</t>
  </si>
  <si>
    <t>April Q FY20</t>
  </si>
  <si>
    <t>September Q FY20</t>
  </si>
  <si>
    <t>December Q FY20</t>
  </si>
  <si>
    <t>April Q FY21</t>
  </si>
  <si>
    <t>September Q FY21</t>
  </si>
  <si>
    <t>December Q FY21</t>
  </si>
  <si>
    <t>April Q FY22</t>
  </si>
  <si>
    <t>September Q FY22</t>
  </si>
  <si>
    <t>December Q FY22</t>
  </si>
  <si>
    <t>April Q FY23</t>
  </si>
  <si>
    <t>September Q FY23</t>
  </si>
  <si>
    <t>December Q FY23</t>
  </si>
  <si>
    <t>April Q FY24</t>
  </si>
  <si>
    <t>September Q FY24</t>
  </si>
  <si>
    <t>December Q FY24</t>
  </si>
  <si>
    <t>Sales</t>
  </si>
  <si>
    <t>kt</t>
  </si>
  <si>
    <t>Production</t>
  </si>
  <si>
    <t>A$M</t>
  </si>
  <si>
    <t>Realised Price</t>
  </si>
  <si>
    <t>US$/T</t>
  </si>
  <si>
    <t>Exploration (Quarter Basis)</t>
  </si>
  <si>
    <t>Sparkline</t>
  </si>
  <si>
    <t>Q1 FY17</t>
  </si>
  <si>
    <t>Q2 FY17</t>
  </si>
  <si>
    <t>Q3 FY17</t>
  </si>
  <si>
    <t>Q4 FY17</t>
  </si>
  <si>
    <t>Q1 FY18</t>
  </si>
  <si>
    <t>Q2 FY18</t>
  </si>
  <si>
    <t>Q3 FY18</t>
  </si>
  <si>
    <t>Q4 FY18</t>
  </si>
  <si>
    <t>Q1 FY19</t>
  </si>
  <si>
    <t>Q2 FY19</t>
  </si>
  <si>
    <t>Q3 FY19</t>
  </si>
  <si>
    <t>Q4 FY19</t>
  </si>
  <si>
    <t>Q1 FY20</t>
  </si>
  <si>
    <t>Q2 FY20</t>
  </si>
  <si>
    <t>Q3 FY20</t>
  </si>
  <si>
    <t>Q4 FY20</t>
  </si>
  <si>
    <t>Q1 FY21</t>
  </si>
  <si>
    <t>Q2 FY21</t>
  </si>
  <si>
    <t>Q3 FY21</t>
  </si>
  <si>
    <t>Q4 FY21</t>
  </si>
  <si>
    <t>Q1 FY22</t>
  </si>
  <si>
    <t>Q2 FY22</t>
  </si>
  <si>
    <t>Q3 FY22</t>
  </si>
  <si>
    <t>Q4 FY22</t>
  </si>
  <si>
    <t>Q1 FY23</t>
  </si>
  <si>
    <t>Q2 FY23</t>
  </si>
  <si>
    <t>Q3 FY23</t>
  </si>
  <si>
    <t>Q4 FY23</t>
  </si>
  <si>
    <t>Q1 FY24</t>
  </si>
  <si>
    <t>Q2 FY24</t>
  </si>
  <si>
    <t>Ore Mined</t>
  </si>
  <si>
    <t>wmt</t>
  </si>
  <si>
    <t>QoQ Growth</t>
  </si>
  <si>
    <t>QoQ (%)</t>
  </si>
  <si>
    <t>Waste Mined</t>
  </si>
  <si>
    <t>Total Mineral Mined</t>
  </si>
  <si>
    <t>Ore Processed</t>
  </si>
  <si>
    <t>dmt</t>
  </si>
  <si>
    <t>Lithium Market price</t>
  </si>
  <si>
    <t>AUD $</t>
  </si>
  <si>
    <t>Waste Margin</t>
  </si>
  <si>
    <t>(%)</t>
  </si>
  <si>
    <t>Processed Eficiency</t>
  </si>
  <si>
    <t>Mining Efficiency</t>
  </si>
  <si>
    <t>Exploration (Yearly Basis)</t>
  </si>
  <si>
    <t>2023</t>
  </si>
  <si>
    <t>2024 (Q1+Q2)</t>
  </si>
  <si>
    <t>2024 (Q3+Q4)</t>
  </si>
  <si>
    <t>CAGR</t>
  </si>
  <si>
    <t>2024 Q3+Q4)</t>
  </si>
  <si>
    <t>FY QoQ (Previous Quarter Comparison)</t>
  </si>
  <si>
    <t>Q1</t>
  </si>
  <si>
    <t>Q2</t>
  </si>
  <si>
    <t>Q3</t>
  </si>
  <si>
    <t>Q4</t>
  </si>
  <si>
    <t>2017/2018</t>
  </si>
  <si>
    <t>2018/2019</t>
  </si>
  <si>
    <t>Green &gt;50% Growth QoQ</t>
  </si>
  <si>
    <t>2019/2020</t>
  </si>
  <si>
    <t>Yellow 0&gt;X&gt;50 Growth QoQ</t>
  </si>
  <si>
    <t>2020/2021</t>
  </si>
  <si>
    <t>Red &lt;0% Growth QoQ</t>
  </si>
  <si>
    <t>2021/2022</t>
  </si>
  <si>
    <t>2022/2023</t>
  </si>
  <si>
    <t>2023/2024</t>
  </si>
  <si>
    <t>Quarter on Quarter Basis</t>
  </si>
  <si>
    <t>Q1 2017 /Q3 2017 (Pilbara)</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</si>
  <si>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</si>
  <si>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</si>
  <si>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</si>
  <si>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</si>
  <si>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</si>
  <si>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</si>
  <si>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</si>
  <si>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</si>
  <si>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</si>
  <si>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</si>
  <si>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</si>
  <si>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</si>
  <si>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</si>
  <si>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</si>
  <si>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</si>
  <si>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</si>
  <si>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</si>
  <si>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</si>
  <si>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</si>
  <si>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</si>
  <si>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</si>
  <si>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</si>
  <si>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</si>
  <si>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</si>
  <si>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</si>
  <si>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</si>
  <si>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Real GDP Australia (Domestic Currency, Quarterly, Adjusted for Seasonality)</t>
  </si>
  <si>
    <t>Correlation Analysis</t>
  </si>
  <si>
    <t>GDP Australia Mining</t>
  </si>
  <si>
    <t>GDP Australia (millions) (Total)</t>
  </si>
  <si>
    <t>Average Price</t>
  </si>
  <si>
    <t>BEV</t>
  </si>
  <si>
    <t>Correlation between the sales of BEV and Ore Processed by Pilbara</t>
  </si>
  <si>
    <t>GDP Australia</t>
  </si>
  <si>
    <t>Average Lithium Price</t>
  </si>
  <si>
    <t>Modelling Factor</t>
  </si>
  <si>
    <t>Correlation between Net Sales Values and Ore Processed by Pilbara</t>
  </si>
  <si>
    <t>Ore</t>
  </si>
  <si>
    <t>Quarters in Analysis</t>
  </si>
  <si>
    <t>Data on Battery Eletric Vehicles</t>
  </si>
  <si>
    <t>Q4 2023</t>
  </si>
  <si>
    <t>Q1 2024</t>
  </si>
  <si>
    <t>Q2 2024</t>
  </si>
  <si>
    <t>Q3 2024</t>
  </si>
  <si>
    <t>Q4 2024</t>
  </si>
  <si>
    <t>Q1 2025</t>
  </si>
  <si>
    <t>Q2 2025</t>
  </si>
  <si>
    <t>Q3 2025</t>
  </si>
  <si>
    <t>Q4 2025</t>
  </si>
  <si>
    <t>Q1 2026</t>
  </si>
  <si>
    <t>Q2 2026</t>
  </si>
  <si>
    <t>Q3 2026</t>
  </si>
  <si>
    <t>Q4 2026</t>
  </si>
  <si>
    <t>Q1 2027</t>
  </si>
  <si>
    <t>Q2 2027</t>
  </si>
  <si>
    <t>Q3 2027</t>
  </si>
  <si>
    <t>Q4 2027</t>
  </si>
  <si>
    <t>Q1 2028</t>
  </si>
  <si>
    <t>Q2 2028</t>
  </si>
  <si>
    <t>Q3 2028</t>
  </si>
  <si>
    <t>Q4 2028</t>
  </si>
  <si>
    <t>Q1 2029</t>
  </si>
  <si>
    <t>Q2 2029</t>
  </si>
  <si>
    <t>Q3 2029</t>
  </si>
  <si>
    <t>Q4 2029</t>
  </si>
  <si>
    <t>Q1 2030</t>
  </si>
  <si>
    <t>Q2 2030</t>
  </si>
  <si>
    <t>Q3 2030</t>
  </si>
  <si>
    <t>Q4 2030</t>
  </si>
  <si>
    <t>Q1 2031</t>
  </si>
  <si>
    <t>Q2 2031</t>
  </si>
  <si>
    <t>Q3 2031</t>
  </si>
  <si>
    <t>Q4 2031</t>
  </si>
  <si>
    <t>Q1 2032</t>
  </si>
  <si>
    <t>Q2 2032</t>
  </si>
  <si>
    <t>Q3 2032</t>
  </si>
  <si>
    <t>Q4 2032</t>
  </si>
  <si>
    <t>Q1 2033</t>
  </si>
  <si>
    <t>Q2 2033</t>
  </si>
  <si>
    <t>Q3 2033</t>
  </si>
  <si>
    <t>Q4 2033</t>
  </si>
  <si>
    <t>Q1 2034</t>
  </si>
  <si>
    <t>Q2 2034</t>
  </si>
  <si>
    <t>Q3 2034</t>
  </si>
  <si>
    <t>Q4 2034</t>
  </si>
  <si>
    <t>Q1 2035</t>
  </si>
  <si>
    <t>Q2 2035</t>
  </si>
  <si>
    <t>Q3 2035</t>
  </si>
  <si>
    <t>Q4 2035</t>
  </si>
  <si>
    <t>Q1 2036</t>
  </si>
  <si>
    <t>Q2 2036</t>
  </si>
  <si>
    <t>Q3 2036</t>
  </si>
  <si>
    <t>Q4 2036</t>
  </si>
  <si>
    <t>Q1 2037</t>
  </si>
  <si>
    <t>Q2 2037</t>
  </si>
  <si>
    <t>Q3 2037</t>
  </si>
  <si>
    <t>Q4 2037</t>
  </si>
  <si>
    <t>Q1 2038</t>
  </si>
  <si>
    <t>Q2 2038</t>
  </si>
  <si>
    <t>Q3 2038</t>
  </si>
  <si>
    <t>Q4 2038</t>
  </si>
  <si>
    <t>Q1 2039</t>
  </si>
  <si>
    <t>Q2 2039</t>
  </si>
  <si>
    <t>Q3 2039</t>
  </si>
  <si>
    <t>Q4 2039</t>
  </si>
  <si>
    <t>Q1 2040</t>
  </si>
  <si>
    <t>Q2 2040</t>
  </si>
  <si>
    <t>Q3 2040</t>
  </si>
  <si>
    <t>Q4 2040</t>
  </si>
  <si>
    <t>Q1 2041</t>
  </si>
  <si>
    <t>Q2 2041</t>
  </si>
  <si>
    <t>Q3 2041</t>
  </si>
  <si>
    <t>Q4 2041</t>
  </si>
  <si>
    <t>Q1 2042</t>
  </si>
  <si>
    <t>Q2 2042</t>
  </si>
  <si>
    <t>Q3 2042</t>
  </si>
  <si>
    <t>Q4 2042</t>
  </si>
  <si>
    <t>Q1 2043</t>
  </si>
  <si>
    <t>Q2 2043</t>
  </si>
  <si>
    <t>Q3 2043</t>
  </si>
  <si>
    <t>Q4 2043</t>
  </si>
  <si>
    <t>Q1 2044</t>
  </si>
  <si>
    <t>Q2 2044</t>
  </si>
  <si>
    <t>Q3 2044</t>
  </si>
  <si>
    <t>Q4 2044</t>
  </si>
  <si>
    <t>Q1 2045</t>
  </si>
  <si>
    <t>Q2 2045</t>
  </si>
  <si>
    <t>Q3 2045</t>
  </si>
  <si>
    <t>Q4 2045</t>
  </si>
  <si>
    <t>Q1 2046</t>
  </si>
  <si>
    <t>Q2 2046</t>
  </si>
  <si>
    <t>Q3 2046</t>
  </si>
  <si>
    <t>Q4 2046</t>
  </si>
  <si>
    <t>Q1 2047</t>
  </si>
  <si>
    <t>Q2 2047</t>
  </si>
  <si>
    <t>Q3 2047</t>
  </si>
  <si>
    <t>Q4 2047</t>
  </si>
  <si>
    <t>Q1 2048</t>
  </si>
  <si>
    <t>Q2 2048</t>
  </si>
  <si>
    <t>Q3 2048</t>
  </si>
  <si>
    <t>Q4 2048</t>
  </si>
  <si>
    <t>Q1 2049</t>
  </si>
  <si>
    <t>Q2 2049</t>
  </si>
  <si>
    <t>Q3 2049</t>
  </si>
  <si>
    <t>Q4 2049</t>
  </si>
  <si>
    <t>BEV (Data from the US)</t>
  </si>
  <si>
    <t>Market Status</t>
  </si>
  <si>
    <t>Ore Processed and Net Sales are correlated</t>
  </si>
  <si>
    <t>Ore Processed Growth</t>
  </si>
  <si>
    <t>Lithium Price Forecast</t>
  </si>
  <si>
    <t>Both ore processed and Net Sales are not correlated with the Australian Mining Gross Domestic Product. This might indicate lower market share then competitors</t>
  </si>
  <si>
    <t>The Ore Processed, Net Sales and GDP of Australia relative from mining are correlated.</t>
  </si>
  <si>
    <t>There is no significat correlation between Average Price and the Remaing Topics</t>
  </si>
  <si>
    <t>Impact diue to Surplus of Supply</t>
  </si>
  <si>
    <t>So we have proven that Pilbara reduces their production when prices go down.</t>
  </si>
  <si>
    <t>Impact due to Surplus of Demand</t>
  </si>
  <si>
    <t>BEV Sales are tightly correlated with Ore Production and Inversly correlated with lithium market price (meaning when prices of lithium goes up, sales of BEV go down</t>
  </si>
  <si>
    <t>Year 2050</t>
  </si>
  <si>
    <t>Our Scenario (X - Times)</t>
  </si>
  <si>
    <t>Expected Scenario (Bloomberg NEF) https://about.bnef.com/electric-vehicle-outlook/</t>
  </si>
  <si>
    <t>BEV Sales</t>
  </si>
  <si>
    <t>The number of BEV sold is correlated with the Net Sales</t>
  </si>
  <si>
    <t>Date</t>
  </si>
  <si>
    <t>Close</t>
  </si>
  <si>
    <t>Volume</t>
  </si>
  <si>
    <t>0.489069</t>
  </si>
  <si>
    <t>0.335362</t>
  </si>
  <si>
    <t>0.279468</t>
  </si>
  <si>
    <t>0.214259</t>
  </si>
  <si>
    <t>0.144392</t>
  </si>
  <si>
    <t>0.186312</t>
  </si>
  <si>
    <t>0.074524</t>
  </si>
  <si>
    <t>0.079182</t>
  </si>
  <si>
    <t>0.078251</t>
  </si>
  <si>
    <t>0.102471</t>
  </si>
  <si>
    <t>0.093156</t>
  </si>
  <si>
    <t>0.083840</t>
  </si>
  <si>
    <t>0.067072</t>
  </si>
  <si>
    <t>0.058688</t>
  </si>
  <si>
    <t>0.060551</t>
  </si>
  <si>
    <t>0.052167</t>
  </si>
  <si>
    <t>0.051235</t>
  </si>
  <si>
    <t>0.047509</t>
  </si>
  <si>
    <t>0.028878</t>
  </si>
  <si>
    <t>0.038194</t>
  </si>
  <si>
    <t>0.034467</t>
  </si>
  <si>
    <t>0.045646</t>
  </si>
  <si>
    <t>0.037262</t>
  </si>
  <si>
    <t>0.027946</t>
  </si>
  <si>
    <t>0.023289</t>
  </si>
  <si>
    <t>0.026083</t>
  </si>
  <si>
    <t>0.020494</t>
  </si>
  <si>
    <t>0.013041</t>
  </si>
  <si>
    <t>0.013973</t>
  </si>
  <si>
    <t>0.012110</t>
  </si>
  <si>
    <t>0.017699</t>
  </si>
  <si>
    <t>0.027015</t>
  </si>
  <si>
    <t>0.021425</t>
  </si>
  <si>
    <t>0.022357</t>
  </si>
  <si>
    <t>0.011178</t>
  </si>
  <si>
    <t>0.010247</t>
  </si>
  <si>
    <t>0.018631</t>
  </si>
  <si>
    <t>0.024220</t>
  </si>
  <si>
    <t>0.040988</t>
  </si>
  <si>
    <t>0.039125</t>
  </si>
  <si>
    <t>0.043783</t>
  </si>
  <si>
    <t>0.049372</t>
  </si>
  <si>
    <t>0.097813</t>
  </si>
  <si>
    <t>0.116445</t>
  </si>
  <si>
    <t>0.111787</t>
  </si>
  <si>
    <t>0.223574</t>
  </si>
  <si>
    <t>0.274810</t>
  </si>
  <si>
    <t>0.218917</t>
  </si>
  <si>
    <t>0.298099</t>
  </si>
  <si>
    <t>0.344677</t>
  </si>
  <si>
    <t>0.405229</t>
  </si>
  <si>
    <t>0.544963</t>
  </si>
  <si>
    <t>0.605515</t>
  </si>
  <si>
    <t>0.572910</t>
  </si>
  <si>
    <t>0.507701</t>
  </si>
  <si>
    <t>0.493727</t>
  </si>
  <si>
    <t>0.451807</t>
  </si>
  <si>
    <t>0.484412</t>
  </si>
  <si>
    <t>0.465780</t>
  </si>
  <si>
    <t>0.498385</t>
  </si>
  <si>
    <t>0.423860</t>
  </si>
  <si>
    <t>0.395913</t>
  </si>
  <si>
    <t>0.316731</t>
  </si>
  <si>
    <t>0.377282</t>
  </si>
  <si>
    <t>0.353993</t>
  </si>
  <si>
    <t>0.363309</t>
  </si>
  <si>
    <t>0.330704</t>
  </si>
  <si>
    <t>0.591541</t>
  </si>
  <si>
    <t>0.754565</t>
  </si>
  <si>
    <t>0.982797</t>
  </si>
  <si>
    <t>1.038691</t>
  </si>
  <si>
    <t>0.880325</t>
  </si>
  <si>
    <t>0.857036</t>
  </si>
  <si>
    <t>0.768538</t>
  </si>
  <si>
    <t>0.805801</t>
  </si>
  <si>
    <t>0.819774</t>
  </si>
  <si>
    <t>0.749907</t>
  </si>
  <si>
    <t>0.838405</t>
  </si>
  <si>
    <t>0.731276</t>
  </si>
  <si>
    <t>0.782511</t>
  </si>
  <si>
    <t>0.582226</t>
  </si>
  <si>
    <t>0.694013</t>
  </si>
  <si>
    <t>0.735933</t>
  </si>
  <si>
    <t>0.568252</t>
  </si>
  <si>
    <t>0.670724</t>
  </si>
  <si>
    <t>0.437834</t>
  </si>
  <si>
    <t>0.326046</t>
  </si>
  <si>
    <t>0.302757</t>
  </si>
  <si>
    <t>0.260837</t>
  </si>
  <si>
    <t>0.232890</t>
  </si>
  <si>
    <t>0.158365</t>
  </si>
  <si>
    <t>0.204943</t>
  </si>
  <si>
    <t>0.242206</t>
  </si>
  <si>
    <t>0.321388</t>
  </si>
  <si>
    <t>0.391255</t>
  </si>
  <si>
    <t>0.661408</t>
  </si>
  <si>
    <t>0.870000</t>
  </si>
  <si>
    <t>0.930000</t>
  </si>
  <si>
    <t>1.040000</t>
  </si>
  <si>
    <t>1.045000</t>
  </si>
  <si>
    <t>1.140000</t>
  </si>
  <si>
    <t>1.235000</t>
  </si>
  <si>
    <t>1.450000</t>
  </si>
  <si>
    <t>1.770000</t>
  </si>
  <si>
    <t>2.230000</t>
  </si>
  <si>
    <t>2.050000</t>
  </si>
  <si>
    <t>2.200000</t>
  </si>
  <si>
    <t>2.600000</t>
  </si>
  <si>
    <t>3.200000</t>
  </si>
  <si>
    <t>2.710000</t>
  </si>
  <si>
    <t>2.850000</t>
  </si>
  <si>
    <t>2.950000</t>
  </si>
  <si>
    <t>2.290000</t>
  </si>
  <si>
    <t>2.770000</t>
  </si>
  <si>
    <t>3.650000</t>
  </si>
  <si>
    <t>4.560000</t>
  </si>
  <si>
    <t>5.090000</t>
  </si>
  <si>
    <t>4.660000</t>
  </si>
  <si>
    <t>3.750000</t>
  </si>
  <si>
    <t>4.750000</t>
  </si>
  <si>
    <t>4.170000</t>
  </si>
  <si>
    <t>3.940000</t>
  </si>
  <si>
    <t>4.240000</t>
  </si>
  <si>
    <t>4.410000</t>
  </si>
  <si>
    <t>4.890000</t>
  </si>
  <si>
    <t>4.840000</t>
  </si>
  <si>
    <t>4.670000</t>
  </si>
  <si>
    <t>4.300000</t>
  </si>
  <si>
    <t>3.670000</t>
  </si>
  <si>
    <t>3.640000</t>
  </si>
  <si>
    <t>3.950000</t>
  </si>
  <si>
    <t>3.550000</t>
  </si>
  <si>
    <t>4.200000</t>
  </si>
  <si>
    <t>3.880000</t>
  </si>
  <si>
    <t>3.740000</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</si>
  <si>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</si>
  <si>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</si>
  <si>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</si>
  <si>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</si>
  <si>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</si>
  <si>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</si>
  <si>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</si>
  <si>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</si>
  <si>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</si>
  <si>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</si>
  <si>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</si>
  <si>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</si>
  <si>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</si>
  <si>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Cash/Sales</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</si>
  <si>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</si>
  <si>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</si>
  <si>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</si>
  <si>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</si>
  <si>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</si>
  <si>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</si>
  <si>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</si>
  <si>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</si>
  <si>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</si>
  <si>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</si>
  <si>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</si>
  <si>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</si>
  <si>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</si>
  <si>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</si>
  <si>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</si>
  <si>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</si>
  <si>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</si>
  <si>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</si>
  <si>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</si>
  <si>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</si>
  <si>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</si>
  <si>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</si>
  <si>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</si>
  <si>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</si>
  <si>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</si>
  <si>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Moody's</t>
  </si>
  <si>
    <t>YTM</t>
  </si>
  <si>
    <t>DIVISA</t>
  </si>
  <si>
    <t>Share Buyback / Net Income</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</si>
  <si>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</si>
  <si>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</si>
  <si>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</si>
  <si>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</si>
  <si>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</si>
  <si>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</si>
  <si>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</si>
  <si>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</si>
  <si>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</si>
  <si>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</si>
  <si>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</si>
  <si>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</si>
  <si>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</si>
  <si>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</si>
  <si>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</si>
  <si>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</si>
  <si>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</si>
  <si>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</si>
  <si>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</si>
  <si>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</si>
  <si>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</si>
  <si>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</si>
  <si>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</si>
  <si>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</si>
  <si>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</si>
  <si>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</si>
  <si>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</si>
  <si>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</si>
  <si>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</si>
  <si>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</si>
  <si>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</si>
  <si>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</si>
  <si>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</si>
  <si>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</si>
  <si>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</si>
  <si>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</si>
  <si>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</si>
  <si>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</si>
  <si>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</si>
  <si>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</si>
  <si>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</si>
  <si>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</si>
  <si>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</si>
  <si>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</si>
  <si>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</si>
  <si>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</si>
  <si>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</si>
  <si>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</si>
  <si>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</si>
  <si>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</si>
  <si>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</si>
  <si>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</si>
  <si>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</si>
  <si>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</si>
  <si>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</si>
  <si>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</si>
  <si>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</si>
  <si>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</si>
  <si>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</si>
  <si>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</si>
  <si>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</si>
  <si>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</si>
  <si>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</si>
  <si>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</si>
  <si>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</si>
  <si>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</si>
  <si>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</si>
  <si>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</si>
  <si>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</si>
  <si>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</si>
  <si>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</si>
  <si>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</si>
  <si>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</si>
  <si>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</si>
  <si>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</si>
  <si>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</si>
  <si>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</si>
  <si>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</si>
  <si>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</si>
  <si>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</si>
  <si>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</si>
  <si>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</si>
  <si>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</si>
  <si>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</si>
  <si>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</si>
  <si>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</si>
  <si>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</si>
  <si>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</si>
  <si>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</si>
  <si>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</si>
  <si>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</si>
  <si>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</si>
  <si>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</si>
  <si>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</si>
  <si>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</si>
  <si>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</si>
  <si>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</si>
  <si>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</si>
  <si>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</si>
  <si>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</si>
  <si>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</si>
  <si>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</si>
  <si>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</si>
  <si>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</si>
  <si>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</si>
  <si>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</si>
  <si>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</si>
  <si>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</si>
  <si>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</si>
  <si>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</si>
  <si>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</si>
  <si>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</si>
  <si>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</si>
  <si>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</si>
  <si>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</si>
  <si>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</si>
  <si>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</si>
  <si>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</si>
  <si>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</si>
  <si>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</si>
  <si>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</si>
  <si>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</si>
  <si>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</si>
  <si>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</si>
  <si>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</si>
  <si>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</si>
  <si>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</si>
  <si>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</si>
  <si>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</si>
  <si>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</si>
  <si>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</si>
  <si>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</si>
  <si>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</si>
  <si>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</si>
  <si>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</si>
  <si>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</si>
  <si>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</si>
  <si>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</si>
  <si>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</si>
  <si>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</si>
  <si>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</si>
  <si>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</si>
  <si>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</si>
  <si>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</si>
  <si>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</si>
  <si>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</si>
  <si>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</si>
  <si>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</si>
  <si>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</si>
  <si>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</si>
  <si>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</si>
  <si>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</si>
  <si>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</si>
  <si>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</si>
  <si>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</si>
  <si>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</si>
  <si>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</si>
  <si>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</si>
  <si>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</si>
  <si>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</si>
  <si>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</si>
  <si>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AUD</t>
  </si>
  <si>
    <t>Company</t>
  </si>
  <si>
    <t>Report in millions</t>
  </si>
  <si>
    <t>RESULTS</t>
  </si>
  <si>
    <t>Hoja</t>
  </si>
  <si>
    <t>Nombre campo Bloomberg</t>
  </si>
  <si>
    <t>Cambio de signo</t>
  </si>
  <si>
    <t>Income Statement</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</si>
  <si>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</si>
  <si>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</si>
  <si>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</si>
  <si>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</si>
  <si>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</si>
  <si>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</si>
  <si>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</si>
  <si>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</si>
  <si>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</si>
  <si>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</si>
  <si>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</si>
  <si>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</si>
  <si>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</si>
  <si>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</si>
  <si>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</si>
  <si>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</si>
  <si>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</si>
  <si>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</si>
  <si>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</si>
  <si>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ver annual report</t>
  </si>
  <si>
    <t>cash flows</t>
  </si>
  <si>
    <t>NWC</t>
  </si>
  <si>
    <t>Net Working Capital</t>
  </si>
  <si>
    <t>ASSETS</t>
  </si>
  <si>
    <t>Current</t>
  </si>
  <si>
    <t>Balance Sheet</t>
  </si>
  <si>
    <t>Other Current Assets</t>
  </si>
  <si>
    <t>Non-current</t>
  </si>
  <si>
    <t>Operating leases</t>
  </si>
  <si>
    <t>Equity Method Investments</t>
  </si>
  <si>
    <t>Other Non-Current Assets</t>
  </si>
  <si>
    <t>Balance</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</si>
  <si>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</si>
  <si>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</si>
  <si>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</si>
  <si>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</si>
  <si>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</si>
  <si>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</si>
  <si>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</si>
  <si>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</si>
  <si>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</si>
  <si>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</si>
  <si>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</si>
  <si>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</si>
  <si>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</si>
  <si>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</si>
  <si>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</si>
  <si>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</si>
  <si>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Investing Cash Flow Items, Total</t>
  </si>
  <si>
    <t>Other Inflows (Outflows)</t>
  </si>
  <si>
    <t>Other Investing Cash Flow</t>
  </si>
  <si>
    <t>Investments &amp; Aquisitions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</si>
  <si>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</si>
  <si>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</si>
  <si>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</si>
  <si>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</si>
  <si>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</si>
  <si>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</si>
  <si>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</si>
  <si>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</si>
  <si>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</si>
  <si>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</si>
  <si>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</si>
  <si>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</si>
  <si>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</si>
  <si>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</si>
  <si>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None</t>
  </si>
  <si>
    <t>Dividend Yield(Yahoo Finance)</t>
  </si>
  <si>
    <t>Yahoo Finance</t>
  </si>
  <si>
    <t>Accumulated Depreciation, Total</t>
  </si>
  <si>
    <t>Property/Plant/Equipment, Total - Gross</t>
  </si>
  <si>
    <t>Interest Expense - Non-Operating</t>
  </si>
  <si>
    <t>Interest Income - Non-Operating</t>
  </si>
  <si>
    <t>COGS/REVENUE</t>
  </si>
  <si>
    <t>Share-Based Payments</t>
  </si>
  <si>
    <t>Investment Income - Non-Operating</t>
  </si>
  <si>
    <t>Other Non-Operating Income (Expense)</t>
  </si>
  <si>
    <t>Arredondation Errors</t>
  </si>
  <si>
    <t>Accounts Payable</t>
  </si>
  <si>
    <t>Payable/Accrued</t>
  </si>
  <si>
    <t>Income Taxes Payable</t>
  </si>
  <si>
    <t>Other Payables</t>
  </si>
  <si>
    <t>Acquisition of Business</t>
  </si>
  <si>
    <t>Sale/Maturity of Investment</t>
  </si>
  <si>
    <t>Purchase of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</si>
</sst>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9">
    <numFmt numFmtId="164" formatCode="_-&quot;€&quot;* #,##0.00_-;\-&quot;€&quot;* #,##0.00_-;_-&quot;€&quot;* &quot;-&quot;??_-;_-@_-"/>
    <numFmt numFmtId="165" formatCode="_-* #,##0.00_-;\-* #,##0.00_-;_-* &quot;-&quot;??_-;_-@_-"/>
    <numFmt numFmtId="166" formatCode="_-* #,##0.00\ &quot;€&quot;_-;\-* #,##0.00\ &quot;€&quot;_-;_-* &quot;-&quot;??\ &quot;€&quot;_-;_-@_-"/>
    <numFmt numFmtId="167" formatCode="_-&quot;$&quot;* #,##0.00_-;\-&quot;$&quot;* #,##0.00_-;_-&quot;$&quot;* &quot;-&quot;??_-;_-@_-"/>
    <numFmt numFmtId="168" formatCode="&quot;$&quot;#,##0.00"/>
    <numFmt numFmtId="169" formatCode="&quot;$&quot;#,##0"/>
    <numFmt numFmtId="170" formatCode="0.0%"/>
    <numFmt numFmtId="171" formatCode="0.0"/>
    <numFmt numFmtId="172" formatCode="#,##0.0"/>
    <numFmt numFmtId="173" formatCode="[$$-409]#,##0.00_ ;\-[$$-409]#,##0.00\ "/>
    <numFmt numFmtId="174" formatCode="[$$-409]#,##0"/>
    <numFmt numFmtId="175" formatCode="_-[$$-409]* #,##0.00_ ;_-[$$-409]* \-#,##0.00\ ;_-[$$-409]* &quot;-&quot;??_ ;_-@_ "/>
    <numFmt numFmtId="176" formatCode="0.000000"/>
    <numFmt numFmtId="177" formatCode="_([$$-409]* #,##0.00_);_([$$-409]* \(#,##0.00\);_([$$-409]* &quot;-&quot;??_);_(@_)"/>
    <numFmt numFmtId="178" formatCode="0.000%"/>
    <numFmt numFmtId="179" formatCode="_-* #,##0\ [$€-816]_-;\-* #,##0\ [$€-816]_-;_-* &quot;-&quot;??\ [$€-816]_-;_-@_-"/>
    <numFmt numFmtId="180" formatCode="_-* #,##0.00\ [$€-816]_-;\-* #,##0.00\ [$€-816]_-;_-* &quot;-&quot;??\ [$€-816]_-;_-@_-"/>
    <numFmt numFmtId="181" formatCode="0.000"/>
    <numFmt numFmtId="182" formatCode="[$€-2]\ #,##0"/>
    <numFmt numFmtId="183" formatCode="[$€-2]\ #,##0.00"/>
    <numFmt numFmtId="184" formatCode="0.0000%"/>
    <numFmt numFmtId="185" formatCode="#,##0_ ;\-#,##0\ "/>
    <numFmt numFmtId="186" formatCode="[$$-409]#,##0.0"/>
    <numFmt numFmtId="187" formatCode="[$$-C09]#,##0.00"/>
    <numFmt numFmtId="188" formatCode="_-[$$-C09]* #,##0.00_-;\-[$$-C09]* #,##0.00_-;_-[$$-C09]* &quot;-&quot;??_-;_-@_-"/>
    <numFmt numFmtId="189" formatCode="[$$-C09]#,##0"/>
    <numFmt numFmtId="190" formatCode="[$$-C09]#,##0.0"/>
    <numFmt numFmtId="191" formatCode="_-[$$-C09]* #,##0.0000_-;\-[$$-C09]* #,##0.0000_-;_-[$$-C09]* &quot;-&quot;??_-;_-@_-"/>
    <numFmt numFmtId="192"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b/>
      <sz val="10"/>
      <color rgb="FF232A31"/>
      <name val="Arial"/>
      <family val="2"/>
    </font>
    <font>
      <sz val="11"/>
      <color rgb="FF374151"/>
      <name val="Arial"/>
      <family val="2"/>
    </font>
    <font>
      <sz val="9"/>
      <color rgb="FF262626"/>
      <name val="Arial"/>
      <family val="2"/>
    </font>
    <font>
      <sz val="9"/>
      <color rgb="FF262626"/>
      <name val="Arial"/>
      <family val="2"/>
      <charset val="1"/>
    </font>
    <font>
      <sz val="11"/>
      <color rgb="FFFF0000"/>
      <name val="Arial"/>
      <family val="2"/>
    </font>
    <font>
      <b/>
      <sz val="9"/>
      <color rgb="FF000000"/>
      <name val="Tahoma"/>
      <family val="2"/>
    </font>
    <font>
      <sz val="9"/>
      <color rgb="FF000000"/>
      <name val="Tahoma"/>
      <family val="2"/>
    </font>
    <font>
      <sz val="8"/>
      <name val="Arial"/>
      <family val="2"/>
    </font>
    <font>
      <sz val="11"/>
      <color rgb="FF666666"/>
      <name val="Helvetica Neue"/>
      <family val="2"/>
    </font>
    <font>
      <sz val="10"/>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1"/>
      <name val="Tahoma"/>
      <family val="2"/>
    </font>
    <font>
      <b/>
      <sz val="9"/>
      <color indexed="81"/>
      <name val="Tahoma"/>
      <family val="2"/>
    </font>
    <font>
      <sz val="10"/>
      <color theme="1"/>
      <name val="Calibri"/>
      <family val="2"/>
      <scheme val="minor"/>
    </font>
    <font>
      <sz val="10"/>
      <color rgb="FF0E101A"/>
      <name val="Arial"/>
      <family val="2"/>
    </font>
    <font>
      <sz val="10"/>
      <color rgb="FF2962FF"/>
      <name val="Roboto"/>
    </font>
    <font>
      <sz val="9"/>
      <color rgb="FF000000"/>
      <name val="Calibri"/>
      <family val="2"/>
    </font>
    <font>
      <sz val="14"/>
      <color rgb="FF232A31"/>
      <name val="Arial"/>
      <family val="2"/>
    </font>
    <font>
      <sz val="14"/>
      <name val="Calibri"/>
      <family val="2"/>
    </font>
    <font>
      <b/>
      <sz val="11"/>
      <color theme="0"/>
      <name val="Calibri"/>
      <family val="2"/>
    </font>
    <font>
      <sz val="10"/>
      <name val="Arial"/>
      <family val="2"/>
    </font>
    <font>
      <b/>
      <i/>
      <sz val="10"/>
      <name val="Arial"/>
      <family val="2"/>
    </font>
    <font>
      <sz val="9.5"/>
      <name val="Arial"/>
      <family val="2"/>
    </font>
    <font>
      <sz val="10"/>
      <color rgb="FFFF0000"/>
      <name val="Calibri"/>
      <family val="2"/>
    </font>
    <font>
      <sz val="11"/>
      <color theme="1"/>
      <name val="Calibri"/>
      <family val="2"/>
      <charset val="204"/>
      <scheme val="minor"/>
    </font>
    <font>
      <b/>
      <sz val="11"/>
      <color theme="1"/>
      <name val="Calibri"/>
      <family val="2"/>
      <charset val="204"/>
      <scheme val="minor"/>
    </font>
    <font>
      <sz val="10"/>
      <name val="Arial"/>
      <family val="2"/>
    </font>
    <font>
      <sz val="10"/>
      <color rgb="FF000000"/>
      <name val="Helvetica Neue"/>
      <family val="2"/>
    </font>
    <font>
      <b/>
      <sz val="10"/>
      <color rgb="FF000000"/>
      <name val="Helvetica Neue"/>
      <family val="2"/>
    </font>
    <font>
      <u/>
      <sz val="10"/>
      <color theme="10"/>
      <name val="Arial"/>
      <family val="2"/>
    </font>
    <font>
      <sz val="11"/>
      <color rgb="FF333333"/>
      <name val="Arial"/>
      <family val="2"/>
    </font>
    <font>
      <b/>
      <sz val="11"/>
      <color rgb="FF333333"/>
      <name val="Montserrat"/>
      <family val="2"/>
      <charset val="1"/>
    </font>
    <font>
      <sz val="11"/>
      <color rgb="FF242424"/>
      <name val="Calibri"/>
      <family val="2"/>
      <charset val="1"/>
    </font>
    <font>
      <b/>
      <sz val="10"/>
      <color rgb="FF212529"/>
      <name val="Arial"/>
      <family val="2"/>
    </font>
    <font>
      <sz val="11"/>
      <color rgb="FF242424"/>
      <name val="Consolas"/>
      <family val="3"/>
    </font>
    <font>
      <sz val="10"/>
      <color theme="1"/>
      <name val="Helvetica Neue"/>
      <family val="2"/>
    </font>
    <font>
      <b/>
      <sz val="10"/>
      <color theme="1"/>
      <name val="Arial"/>
      <family val="2"/>
    </font>
    <font>
      <b/>
      <sz val="10"/>
      <color theme="1"/>
      <name val="Helvetica Neue"/>
      <family val="2"/>
    </font>
    <font>
      <b/>
      <sz val="10"/>
      <color theme="0"/>
      <name val="Helvetica Neue"/>
      <family val="2"/>
    </font>
    <font>
      <sz val="10"/>
      <color theme="0"/>
      <name val="Helvetica Neue"/>
      <family val="2"/>
    </font>
    <font>
      <sz val="8"/>
      <color rgb="FF000000"/>
      <name val="Arial"/>
      <family val="2"/>
    </font>
    <font>
      <u/>
      <sz val="8"/>
      <color indexed="12"/>
      <name val="Arial"/>
      <family val="2"/>
    </font>
  </fonts>
  <fills count="96">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6FA"/>
        <bgColor indexed="64"/>
      </patternFill>
    </fill>
    <fill>
      <patternFill patternType="solid">
        <fgColor rgb="FFE9EFF6"/>
        <bgColor indexed="64"/>
      </patternFill>
    </fill>
    <fill>
      <patternFill patternType="solid">
        <fgColor rgb="FFFFFFFF"/>
        <bgColor rgb="FF000000"/>
      </patternFill>
    </fill>
    <fill>
      <patternFill patternType="solid">
        <fgColor rgb="FF2761FF"/>
        <bgColor indexed="64"/>
      </patternFill>
    </fill>
    <fill>
      <patternFill patternType="solid">
        <fgColor rgb="FFF57B02"/>
        <bgColor indexed="64"/>
      </patternFill>
    </fill>
    <fill>
      <patternFill patternType="solid">
        <fgColor rgb="FF27C6DA"/>
        <bgColor indexed="64"/>
      </patternFill>
    </fill>
    <fill>
      <patternFill patternType="solid">
        <fgColor rgb="FFFCC02C"/>
        <bgColor indexed="64"/>
      </patternFill>
    </fill>
    <fill>
      <patternFill patternType="solid">
        <fgColor rgb="FF00B050"/>
        <bgColor indexed="64"/>
      </patternFill>
    </fill>
    <fill>
      <patternFill patternType="solid">
        <fgColor rgb="FFF5F6FA"/>
        <bgColor rgb="FF000000"/>
      </patternFill>
    </fill>
    <fill>
      <patternFill patternType="solid">
        <fgColor rgb="FFE9EFF6"/>
        <bgColor rgb="FF000000"/>
      </patternFill>
    </fill>
    <fill>
      <patternFill patternType="solid">
        <fgColor theme="3" tint="0.39997558519241921"/>
        <bgColor indexed="64"/>
      </patternFill>
    </fill>
    <fill>
      <patternFill patternType="solid">
        <fgColor rgb="FFF2F4F9"/>
        <bgColor rgb="FF000000"/>
      </patternFill>
    </fill>
    <fill>
      <patternFill patternType="solid">
        <fgColor theme="5" tint="-0.249977111117893"/>
        <bgColor indexed="64"/>
      </patternFill>
    </fill>
    <fill>
      <patternFill patternType="solid">
        <fgColor theme="6"/>
        <bgColor indexed="64"/>
      </patternFill>
    </fill>
    <fill>
      <patternFill patternType="solid">
        <fgColor theme="4"/>
        <bgColor theme="4"/>
      </patternFill>
    </fill>
    <fill>
      <patternFill patternType="solid">
        <fgColor rgb="FFFFC7CE"/>
        <bgColor indexed="64"/>
      </patternFill>
    </fill>
    <fill>
      <patternFill patternType="solid">
        <fgColor rgb="FFC6F0CE"/>
        <bgColor indexed="64"/>
      </patternFill>
    </fill>
    <fill>
      <patternFill patternType="solid">
        <fgColor rgb="FFFFEC9C"/>
        <bgColor indexed="64"/>
      </patternFill>
    </fill>
    <fill>
      <patternFill patternType="solid">
        <fgColor rgb="FFFFC000"/>
        <bgColor indexed="64"/>
      </patternFill>
    </fill>
  </fills>
  <borders count="308">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rgb="FF000000"/>
      </right>
      <top/>
      <bottom style="thin">
        <color indexed="64"/>
      </bottom>
      <diagonal/>
    </border>
    <border>
      <left style="thin">
        <color indexed="64"/>
      </left>
      <right style="medium">
        <color indexed="64"/>
      </right>
      <top/>
      <bottom/>
      <diagonal/>
    </border>
    <border>
      <left style="thin">
        <color rgb="FF000000"/>
      </left>
      <right style="medium">
        <color rgb="FF000000"/>
      </right>
      <top style="thin">
        <color rgb="FF000000"/>
      </top>
      <bottom style="thin">
        <color rgb="FF000000"/>
      </bottom>
      <diagonal/>
    </border>
    <border>
      <left style="medium">
        <color rgb="FF1F497D"/>
      </left>
      <right/>
      <top style="thin">
        <color theme="0" tint="-0.24994659260841701"/>
      </top>
      <bottom/>
      <diagonal/>
    </border>
    <border>
      <left style="thin">
        <color theme="0" tint="-0.249977111117893"/>
      </left>
      <right/>
      <top style="thin">
        <color theme="0" tint="-0.249977111117893"/>
      </top>
      <bottom/>
      <diagonal/>
    </border>
    <border>
      <left/>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bottom style="thin">
        <color theme="0" tint="-0.249977111117893"/>
      </bottom>
      <diagonal/>
    </border>
    <border>
      <left/>
      <right style="medium">
        <color rgb="FF1F497D"/>
      </right>
      <top style="thin">
        <color theme="0" tint="-0.249977111117893"/>
      </top>
      <bottom/>
      <diagonal/>
    </border>
    <border>
      <left/>
      <right style="medium">
        <color rgb="FF1F497D"/>
      </right>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style="medium">
        <color rgb="FF1F497D"/>
      </left>
      <right/>
      <top style="medium">
        <color rgb="FF000000"/>
      </top>
      <bottom style="medium">
        <color rgb="FF000000"/>
      </bottom>
      <diagonal/>
    </border>
    <border>
      <left/>
      <right style="medium">
        <color rgb="FF1F497D"/>
      </right>
      <top style="medium">
        <color rgb="FF000000"/>
      </top>
      <bottom/>
      <diagonal/>
    </border>
    <border>
      <left style="medium">
        <color rgb="FF1F497D"/>
      </left>
      <right/>
      <top style="medium">
        <color rgb="FF000000"/>
      </top>
      <bottom/>
      <diagonal/>
    </border>
    <border>
      <left/>
      <right style="medium">
        <color rgb="FF1F497D"/>
      </right>
      <top/>
      <bottom style="medium">
        <color rgb="FF000000"/>
      </bottom>
      <diagonal/>
    </border>
    <border>
      <left style="medium">
        <color rgb="FF000000"/>
      </left>
      <right style="medium">
        <color rgb="FF1F497D"/>
      </right>
      <top style="medium">
        <color rgb="FF000000"/>
      </top>
      <bottom/>
      <diagonal/>
    </border>
    <border>
      <left style="medium">
        <color rgb="FF000000"/>
      </left>
      <right style="medium">
        <color rgb="FF1F497D"/>
      </right>
      <top/>
      <bottom style="medium">
        <color rgb="FF000000"/>
      </bottom>
      <diagonal/>
    </border>
    <border>
      <left style="medium">
        <color rgb="FF000000"/>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1F497D"/>
      </right>
      <top style="thin">
        <color theme="0" tint="-0.24994659260841701"/>
      </top>
      <bottom style="thin">
        <color theme="0" tint="-0.24994659260841701"/>
      </bottom>
      <diagonal/>
    </border>
    <border>
      <left/>
      <right style="medium">
        <color rgb="FF1F497D"/>
      </right>
      <top style="thin">
        <color theme="0" tint="-0.24994659260841701"/>
      </top>
      <bottom/>
      <diagonal/>
    </border>
    <border>
      <left style="medium">
        <color rgb="FF1F497D"/>
      </left>
      <right style="thin">
        <color indexed="64"/>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theme="0" tint="-0.249977111117893"/>
      </left>
      <right/>
      <top style="thin">
        <color rgb="FFBCBCBC"/>
      </top>
      <bottom style="thin">
        <color rgb="FFBCBCBC"/>
      </bottom>
      <diagonal/>
    </border>
    <border>
      <left/>
      <right/>
      <top style="thin">
        <color rgb="FFBCBCBC"/>
      </top>
      <bottom style="thin">
        <color rgb="FFBCBCBC"/>
      </bottom>
      <diagonal/>
    </border>
    <border>
      <left/>
      <right style="medium">
        <color rgb="FF1F497D"/>
      </right>
      <top style="thin">
        <color rgb="FFBCBCBC"/>
      </top>
      <bottom style="thin">
        <color rgb="FFBCBCBC"/>
      </bottom>
      <diagonal/>
    </border>
    <border>
      <left/>
      <right/>
      <top style="medium">
        <color rgb="FFE5EBF4"/>
      </top>
      <bottom/>
      <diagonal/>
    </border>
    <border>
      <left/>
      <right style="thin">
        <color indexed="64"/>
      </right>
      <top style="thin">
        <color rgb="FF1F497D"/>
      </top>
      <bottom style="thin">
        <color rgb="FF1F497D"/>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1F497D"/>
      </left>
      <right/>
      <top style="thin">
        <color rgb="FF000000"/>
      </top>
      <bottom style="thin">
        <color rgb="FF000000"/>
      </bottom>
      <diagonal/>
    </border>
    <border>
      <left/>
      <right style="medium">
        <color rgb="FF1F497D"/>
      </right>
      <top style="thin">
        <color rgb="FF000000"/>
      </top>
      <bottom style="thin">
        <color rgb="FF000000"/>
      </bottom>
      <diagonal/>
    </border>
    <border>
      <left/>
      <right style="thin">
        <color theme="0" tint="-0.24994659260841701"/>
      </right>
      <top style="medium">
        <color rgb="FF000000"/>
      </top>
      <bottom style="medium">
        <color theme="1"/>
      </bottom>
      <diagonal/>
    </border>
    <border>
      <left style="thin">
        <color theme="0" tint="-0.24994659260841701"/>
      </left>
      <right style="thin">
        <color theme="0" tint="-0.24994659260841701"/>
      </right>
      <top style="medium">
        <color rgb="FF000000"/>
      </top>
      <bottom style="medium">
        <color theme="1"/>
      </bottom>
      <diagonal/>
    </border>
    <border>
      <left style="thin">
        <color theme="0" tint="-0.24994659260841701"/>
      </left>
      <right style="medium">
        <color rgb="FF000000"/>
      </right>
      <top style="medium">
        <color rgb="FF000000"/>
      </top>
      <bottom style="medium">
        <color theme="1"/>
      </bottom>
      <diagonal/>
    </border>
    <border>
      <left style="thin">
        <color theme="0" tint="-0.24994659260841701"/>
      </left>
      <right style="thin">
        <color theme="0" tint="-0.24994659260841701"/>
      </right>
      <top style="medium">
        <color theme="1"/>
      </top>
      <bottom style="medium">
        <color theme="1"/>
      </bottom>
      <diagonal/>
    </border>
    <border>
      <left style="thin">
        <color theme="0" tint="-0.24994659260841701"/>
      </left>
      <right style="medium">
        <color rgb="FF000000"/>
      </right>
      <top style="medium">
        <color theme="1"/>
      </top>
      <bottom style="medium">
        <color theme="1"/>
      </bottom>
      <diagonal/>
    </border>
    <border>
      <left/>
      <right style="thin">
        <color theme="0" tint="-0.24994659260841701"/>
      </right>
      <top style="medium">
        <color theme="1"/>
      </top>
      <bottom style="medium">
        <color theme="1"/>
      </bottom>
      <diagonal/>
    </border>
    <border>
      <left style="medium">
        <color rgb="FF1F497D"/>
      </left>
      <right style="medium">
        <color theme="1"/>
      </right>
      <top style="medium">
        <color rgb="FF000000"/>
      </top>
      <bottom/>
      <diagonal/>
    </border>
    <border>
      <left/>
      <right style="medium">
        <color theme="1"/>
      </right>
      <top style="medium">
        <color theme="1"/>
      </top>
      <bottom style="medium">
        <color theme="1"/>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medium">
        <color rgb="FF1F497D"/>
      </left>
      <right style="thin">
        <color rgb="FF1F497D"/>
      </right>
      <top style="thin">
        <color rgb="FF1F497D"/>
      </top>
      <bottom/>
      <diagonal/>
    </border>
    <border>
      <left style="medium">
        <color rgb="FF1F497D"/>
      </left>
      <right style="thin">
        <color rgb="FF1F497D"/>
      </right>
      <top/>
      <bottom style="thin">
        <color rgb="FF1F497D"/>
      </bottom>
      <diagonal/>
    </border>
    <border>
      <left style="thin">
        <color rgb="FF000000"/>
      </left>
      <right/>
      <top style="thin">
        <color indexed="64"/>
      </top>
      <bottom style="thin">
        <color indexed="64"/>
      </bottom>
      <diagonal/>
    </border>
    <border>
      <left/>
      <right/>
      <top style="thin">
        <color rgb="FF000000"/>
      </top>
      <bottom style="thin">
        <color theme="4" tint="-0.499984740745262"/>
      </bottom>
      <diagonal/>
    </border>
    <border>
      <left style="medium">
        <color indexed="64"/>
      </left>
      <right/>
      <top style="thin">
        <color indexed="64"/>
      </top>
      <bottom style="thin">
        <color indexed="64"/>
      </bottom>
      <diagonal/>
    </border>
    <border>
      <left/>
      <right style="medium">
        <color rgb="FFCCCCCC"/>
      </right>
      <top style="medium">
        <color rgb="FFE5EBF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rgb="FF1F497D"/>
      </left>
      <right style="thin">
        <color rgb="FF1F497D"/>
      </right>
      <top/>
      <bottom style="medium">
        <color rgb="FF1F497D"/>
      </bottom>
      <diagonal/>
    </border>
    <border>
      <left style="thin">
        <color rgb="FF1F497D"/>
      </left>
      <right/>
      <top style="thin">
        <color rgb="FF1F497D"/>
      </top>
      <bottom/>
      <diagonal/>
    </border>
    <border>
      <left/>
      <right style="medium">
        <color rgb="FF1F497D"/>
      </right>
      <top style="thin">
        <color rgb="FF1F497D"/>
      </top>
      <bottom/>
      <diagonal/>
    </border>
    <border>
      <left style="thin">
        <color rgb="FF1F497D"/>
      </left>
      <right/>
      <top/>
      <bottom style="thin">
        <color rgb="FF1F497D"/>
      </bottom>
      <diagonal/>
    </border>
    <border>
      <left/>
      <right style="medium">
        <color rgb="FF1F497D"/>
      </right>
      <top/>
      <bottom style="thin">
        <color rgb="FF1F497D"/>
      </bottom>
      <diagonal/>
    </border>
    <border>
      <left style="thin">
        <color rgb="FF1F497D"/>
      </left>
      <right/>
      <top/>
      <bottom style="medium">
        <color rgb="FF1F497D"/>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indexed="64"/>
      </left>
      <right style="thin">
        <color rgb="FF000000"/>
      </right>
      <top/>
      <bottom/>
      <diagonal/>
    </border>
    <border>
      <left style="medium">
        <color rgb="FF000000"/>
      </left>
      <right style="medium">
        <color rgb="FF000000"/>
      </right>
      <top/>
      <bottom style="medium">
        <color rgb="FF00000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right style="medium">
        <color rgb="FF1F497D"/>
      </right>
      <top style="medium">
        <color rgb="FF1F497D"/>
      </top>
      <bottom style="thin">
        <color indexed="64"/>
      </bottom>
      <diagonal/>
    </border>
    <border>
      <left style="medium">
        <color theme="1" tint="0.24994659260841701"/>
      </left>
      <right style="medium">
        <color theme="1" tint="0.24994659260841701"/>
      </right>
      <top/>
      <bottom style="medium">
        <color theme="1" tint="0.24994659260841701"/>
      </bottom>
      <diagonal/>
    </border>
    <border>
      <left/>
      <right style="medium">
        <color theme="4" tint="-0.24994659260841701"/>
      </right>
      <top/>
      <bottom/>
      <diagonal/>
    </border>
    <border>
      <left style="medium">
        <color theme="1" tint="0.24994659260841701"/>
      </left>
      <right style="medium">
        <color theme="1" tint="0.24994659260841701"/>
      </right>
      <top style="medium">
        <color theme="1" tint="0.24994659260841701"/>
      </top>
      <bottom/>
      <diagonal/>
    </border>
    <border>
      <left/>
      <right/>
      <top style="medium">
        <color theme="1" tint="0.24994659260841701"/>
      </top>
      <bottom/>
      <diagonal/>
    </border>
    <border>
      <left/>
      <right/>
      <top/>
      <bottom style="medium">
        <color theme="1" tint="0.24994659260841701"/>
      </bottom>
      <diagonal/>
    </border>
    <border>
      <left style="thin">
        <color rgb="FF1F497D"/>
      </left>
      <right style="medium">
        <color rgb="FF1F497D"/>
      </right>
      <top style="medium">
        <color rgb="FF1F497D"/>
      </top>
      <bottom style="medium">
        <color rgb="FF1F497D"/>
      </bottom>
      <diagonal/>
    </border>
    <border>
      <left style="thin">
        <color theme="0" tint="-0.24994659260841701"/>
      </left>
      <right style="thick">
        <color theme="0" tint="-0.24994659260841701"/>
      </right>
      <top style="thin">
        <color theme="0" tint="-0.24994659260841701"/>
      </top>
      <bottom style="thin">
        <color theme="0" tint="-0.24994659260841701"/>
      </bottom>
      <diagonal/>
    </border>
    <border>
      <left style="thin">
        <color theme="0" tint="-0.24994659260841701"/>
      </left>
      <right style="thick">
        <color theme="0" tint="-0.24994659260841701"/>
      </right>
      <top style="thin">
        <color theme="0" tint="-0.24994659260841701"/>
      </top>
      <bottom/>
      <diagonal/>
    </border>
    <border>
      <left style="medium">
        <color theme="3"/>
      </left>
      <right/>
      <top style="medium">
        <color theme="3"/>
      </top>
      <bottom style="medium">
        <color rgb="FF1F497D"/>
      </bottom>
      <diagonal/>
    </border>
    <border>
      <left/>
      <right/>
      <top style="medium">
        <color theme="3"/>
      </top>
      <bottom style="medium">
        <color rgb="FF1F497D"/>
      </bottom>
      <diagonal/>
    </border>
    <border>
      <left/>
      <right style="medium">
        <color theme="3"/>
      </right>
      <top style="medium">
        <color theme="3"/>
      </top>
      <bottom style="medium">
        <color rgb="FF1F497D"/>
      </bottom>
      <diagonal/>
    </border>
    <border>
      <left style="medium">
        <color theme="1" tint="0.24994659260841701"/>
      </left>
      <right style="medium">
        <color theme="1" tint="0.24994659260841701"/>
      </right>
      <top/>
      <bottom/>
      <diagonal/>
    </border>
    <border>
      <left style="medium">
        <color rgb="FF1F497D"/>
      </left>
      <right style="medium">
        <color rgb="FF1F497D"/>
      </right>
      <top style="thin">
        <color theme="0" tint="-0.24994659260841701"/>
      </top>
      <bottom style="medium">
        <color rgb="FF1F497D"/>
      </bottom>
      <diagonal/>
    </border>
    <border>
      <left style="medium">
        <color theme="3"/>
      </left>
      <right style="medium">
        <color theme="3"/>
      </right>
      <top/>
      <bottom style="medium">
        <color theme="3"/>
      </bottom>
      <diagonal/>
    </border>
    <border>
      <left style="thin">
        <color indexed="64"/>
      </left>
      <right style="thin">
        <color indexed="64"/>
      </right>
      <top style="thin">
        <color rgb="FF1F497D"/>
      </top>
      <bottom style="thin">
        <color rgb="FF1F497D"/>
      </bottom>
      <diagonal/>
    </border>
    <border>
      <left/>
      <right style="medium">
        <color rgb="FF1F497D"/>
      </right>
      <top style="medium">
        <color rgb="FF1F497D"/>
      </top>
      <bottom style="medium">
        <color theme="0" tint="-0.24994659260841701"/>
      </bottom>
      <diagonal/>
    </border>
    <border>
      <left style="thin">
        <color rgb="FF1F497D"/>
      </left>
      <right style="thin">
        <color rgb="FF1F497D"/>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theme="0"/>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medium">
        <color rgb="FF1F497D"/>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1F497D"/>
      </left>
      <right/>
      <top/>
      <bottom style="thin">
        <color theme="0" tint="-0.249977111117893"/>
      </bottom>
      <diagonal/>
    </border>
    <border>
      <left style="medium">
        <color rgb="FF1F497D"/>
      </left>
      <right/>
      <top style="thin">
        <color theme="0" tint="-0.249977111117893"/>
      </top>
      <bottom style="thin">
        <color theme="0" tint="-0.249977111117893"/>
      </bottom>
      <diagonal/>
    </border>
    <border>
      <left style="thin">
        <color indexed="64"/>
      </left>
      <right/>
      <top/>
      <bottom style="medium">
        <color indexed="64"/>
      </bottom>
      <diagonal/>
    </border>
  </borders>
  <cellStyleXfs count="78">
    <xf numFmtId="0" fontId="0" fillId="0" borderId="0"/>
    <xf numFmtId="0" fontId="17" fillId="2" borderId="1" applyNumberFormat="0" applyProtection="0">
      <alignment horizontal="left" vertical="center" readingOrder="1"/>
    </xf>
    <xf numFmtId="0" fontId="18" fillId="2" borderId="2">
      <alignment horizontal="left"/>
    </xf>
    <xf numFmtId="0" fontId="18" fillId="2" borderId="3">
      <alignment horizontal="right"/>
    </xf>
    <xf numFmtId="0" fontId="18" fillId="2" borderId="3">
      <alignment horizontal="left"/>
    </xf>
    <xf numFmtId="3" fontId="19" fillId="3" borderId="4">
      <alignment horizontal="right"/>
    </xf>
    <xf numFmtId="172" fontId="12" fillId="3" borderId="4">
      <alignment horizontal="right"/>
    </xf>
    <xf numFmtId="4" fontId="12" fillId="3" borderId="4">
      <alignment horizontal="right"/>
    </xf>
    <xf numFmtId="0" fontId="21" fillId="4" borderId="5" applyNumberFormat="0" applyAlignment="0" applyProtection="0"/>
    <xf numFmtId="0" fontId="19" fillId="3" borderId="6"/>
    <xf numFmtId="0" fontId="20" fillId="3" borderId="6"/>
    <xf numFmtId="0" fontId="11" fillId="0" borderId="0" applyNumberFormat="0" applyFill="0" applyBorder="0" applyAlignment="0" applyProtection="0">
      <alignment vertical="top"/>
      <protection locked="0"/>
    </xf>
    <xf numFmtId="167" fontId="23" fillId="0" borderId="0" applyFont="0" applyFill="0" applyBorder="0" applyAlignment="0" applyProtection="0"/>
    <xf numFmtId="167" fontId="13" fillId="0" borderId="0" applyFont="0" applyFill="0" applyBorder="0" applyAlignment="0" applyProtection="0"/>
    <xf numFmtId="0" fontId="25" fillId="0" borderId="0"/>
    <xf numFmtId="0" fontId="13" fillId="0" borderId="0"/>
    <xf numFmtId="9" fontId="9"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0" fontId="8" fillId="0" borderId="0"/>
    <xf numFmtId="0" fontId="8"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7" fillId="0" borderId="0"/>
    <xf numFmtId="9" fontId="7"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9" fontId="4" fillId="0" borderId="0" applyFont="0" applyFill="0" applyBorder="0" applyAlignment="0" applyProtection="0"/>
    <xf numFmtId="0" fontId="3" fillId="0" borderId="0"/>
    <xf numFmtId="0" fontId="91" fillId="0" borderId="0" applyNumberFormat="0" applyFill="0" applyBorder="0" applyAlignment="0" applyProtection="0"/>
    <xf numFmtId="0" fontId="92" fillId="0" borderId="231" applyNumberFormat="0" applyFill="0" applyAlignment="0" applyProtection="0"/>
    <xf numFmtId="0" fontId="93" fillId="0" borderId="232" applyNumberFormat="0" applyFill="0" applyAlignment="0" applyProtection="0"/>
    <xf numFmtId="0" fontId="94" fillId="0" borderId="233" applyNumberFormat="0" applyFill="0" applyAlignment="0" applyProtection="0"/>
    <xf numFmtId="0" fontId="94" fillId="0" borderId="0" applyNumberFormat="0" applyFill="0" applyBorder="0" applyAlignment="0" applyProtection="0"/>
    <xf numFmtId="0" fontId="95" fillId="46" borderId="0" applyNumberFormat="0" applyBorder="0" applyAlignment="0" applyProtection="0"/>
    <xf numFmtId="0" fontId="96" fillId="47" borderId="0" applyNumberFormat="0" applyBorder="0" applyAlignment="0" applyProtection="0"/>
    <xf numFmtId="0" fontId="97" fillId="48" borderId="0" applyNumberFormat="0" applyBorder="0" applyAlignment="0" applyProtection="0"/>
    <xf numFmtId="0" fontId="98" fillId="49" borderId="234" applyNumberFormat="0" applyAlignment="0" applyProtection="0"/>
    <xf numFmtId="0" fontId="99" fillId="50" borderId="235" applyNumberFormat="0" applyAlignment="0" applyProtection="0"/>
    <xf numFmtId="0" fontId="100" fillId="50" borderId="234" applyNumberFormat="0" applyAlignment="0" applyProtection="0"/>
    <xf numFmtId="0" fontId="101" fillId="0" borderId="236" applyNumberFormat="0" applyFill="0" applyAlignment="0" applyProtection="0"/>
    <xf numFmtId="0" fontId="78" fillId="51" borderId="237" applyNumberFormat="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64" fillId="0" borderId="239" applyNumberFormat="0" applyFill="0" applyAlignment="0" applyProtection="0"/>
    <xf numFmtId="0" fontId="104" fillId="53" borderId="0" applyNumberFormat="0" applyBorder="0" applyAlignment="0" applyProtection="0"/>
    <xf numFmtId="0" fontId="2"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104"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104"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104"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104"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104"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6" borderId="0" applyNumberFormat="0" applyBorder="0" applyAlignment="0" applyProtection="0"/>
    <xf numFmtId="0" fontId="2" fillId="0" borderId="0"/>
    <xf numFmtId="0" fontId="2" fillId="52" borderId="238" applyNumberFormat="0" applyFont="0" applyAlignment="0" applyProtection="0"/>
    <xf numFmtId="165" fontId="114" fillId="0" borderId="0" applyFont="0" applyFill="0" applyBorder="0" applyAlignment="0" applyProtection="0"/>
    <xf numFmtId="166" fontId="120" fillId="0" borderId="0" applyFont="0" applyFill="0" applyBorder="0" applyAlignment="0" applyProtection="0"/>
  </cellStyleXfs>
  <cellXfs count="1470">
    <xf numFmtId="0" fontId="0" fillId="0" borderId="0" xfId="0"/>
    <xf numFmtId="9" fontId="0" fillId="0" borderId="0" xfId="16" applyFont="1" applyAlignment="1">
      <alignment horizontal="center"/>
    </xf>
    <xf numFmtId="0" fontId="0" fillId="0" borderId="0" xfId="0" applyAlignment="1">
      <alignment horizontal="center"/>
    </xf>
    <xf numFmtId="169" fontId="0" fillId="0" borderId="0" xfId="0" applyNumberFormat="1"/>
    <xf numFmtId="10" fontId="0" fillId="0" borderId="0" xfId="0" applyNumberFormat="1" applyAlignment="1">
      <alignment horizontal="center"/>
    </xf>
    <xf numFmtId="170" fontId="0" fillId="0" borderId="0" xfId="0" applyNumberFormat="1" applyAlignment="1">
      <alignment horizontal="center"/>
    </xf>
    <xf numFmtId="0" fontId="14" fillId="0" borderId="0" xfId="0" applyFont="1" applyAlignment="1">
      <alignment horizontal="center"/>
    </xf>
    <xf numFmtId="0" fontId="27" fillId="0" borderId="0" xfId="0" applyFont="1"/>
    <xf numFmtId="0" fontId="16" fillId="0" borderId="17" xfId="0" applyFont="1" applyBorder="1"/>
    <xf numFmtId="0" fontId="24" fillId="0" borderId="0" xfId="0" applyFont="1"/>
    <xf numFmtId="0" fontId="9" fillId="0" borderId="0" xfId="0" applyFont="1"/>
    <xf numFmtId="0" fontId="9" fillId="0" borderId="17" xfId="0" applyFont="1" applyBorder="1"/>
    <xf numFmtId="0" fontId="9" fillId="0" borderId="17" xfId="0" applyFont="1" applyBorder="1" applyAlignment="1">
      <alignment horizontal="left"/>
    </xf>
    <xf numFmtId="0" fontId="14" fillId="0" borderId="0" xfId="0" applyFont="1"/>
    <xf numFmtId="169" fontId="14" fillId="0" borderId="0" xfId="0" applyNumberFormat="1" applyFont="1" applyAlignment="1">
      <alignment horizontal="center"/>
    </xf>
    <xf numFmtId="10" fontId="9" fillId="8" borderId="17" xfId="0" applyNumberFormat="1" applyFont="1" applyFill="1" applyBorder="1" applyAlignment="1">
      <alignment horizontal="center"/>
    </xf>
    <xf numFmtId="0" fontId="9" fillId="8" borderId="20" xfId="0" applyFont="1" applyFill="1" applyBorder="1" applyAlignment="1">
      <alignment horizontal="center" vertical="center"/>
    </xf>
    <xf numFmtId="0" fontId="27" fillId="8" borderId="0" xfId="0" applyFont="1" applyFill="1"/>
    <xf numFmtId="0" fontId="27" fillId="8" borderId="0" xfId="0" applyFont="1" applyFill="1" applyAlignment="1">
      <alignment horizontal="center"/>
    </xf>
    <xf numFmtId="0" fontId="36" fillId="0" borderId="0" xfId="0" applyFont="1"/>
    <xf numFmtId="0" fontId="36" fillId="12" borderId="0" xfId="0" applyFont="1" applyFill="1"/>
    <xf numFmtId="3" fontId="36" fillId="0" borderId="0" xfId="0" applyNumberFormat="1" applyFont="1" applyAlignment="1">
      <alignment horizontal="center"/>
    </xf>
    <xf numFmtId="0" fontId="36" fillId="0" borderId="0" xfId="0" applyFont="1" applyAlignment="1">
      <alignment horizontal="left"/>
    </xf>
    <xf numFmtId="0" fontId="36" fillId="19" borderId="0" xfId="0" applyFont="1" applyFill="1"/>
    <xf numFmtId="3" fontId="36" fillId="19" borderId="0" xfId="0" applyNumberFormat="1" applyFont="1" applyFill="1" applyAlignment="1">
      <alignment horizontal="center"/>
    </xf>
    <xf numFmtId="0" fontId="0" fillId="12" borderId="0" xfId="0" applyFill="1"/>
    <xf numFmtId="3" fontId="36" fillId="0" borderId="0" xfId="0" applyNumberFormat="1" applyFont="1"/>
    <xf numFmtId="3" fontId="37" fillId="19" borderId="0" xfId="0" applyNumberFormat="1" applyFont="1" applyFill="1" applyAlignment="1">
      <alignment horizontal="center"/>
    </xf>
    <xf numFmtId="3" fontId="36" fillId="12" borderId="0" xfId="0" applyNumberFormat="1" applyFont="1" applyFill="1" applyAlignment="1">
      <alignment horizontal="center"/>
    </xf>
    <xf numFmtId="3" fontId="37" fillId="12" borderId="0" xfId="0" applyNumberFormat="1" applyFont="1" applyFill="1" applyAlignment="1">
      <alignment horizontal="center"/>
    </xf>
    <xf numFmtId="0" fontId="20" fillId="3" borderId="6" xfId="10"/>
    <xf numFmtId="0" fontId="0" fillId="20" borderId="0" xfId="0" applyFill="1"/>
    <xf numFmtId="3" fontId="24" fillId="0" borderId="0" xfId="0" applyNumberFormat="1" applyFont="1" applyAlignment="1">
      <alignment horizontal="center"/>
    </xf>
    <xf numFmtId="3" fontId="24" fillId="0" borderId="0" xfId="0" applyNumberFormat="1" applyFont="1"/>
    <xf numFmtId="0" fontId="0" fillId="21" borderId="0" xfId="0" applyFill="1"/>
    <xf numFmtId="3" fontId="24" fillId="19" borderId="0" xfId="0" applyNumberFormat="1" applyFont="1" applyFill="1" applyAlignment="1">
      <alignment horizontal="center"/>
    </xf>
    <xf numFmtId="0" fontId="24" fillId="19" borderId="0" xfId="0" applyFont="1" applyFill="1"/>
    <xf numFmtId="0" fontId="0" fillId="22" borderId="0" xfId="0" applyFill="1"/>
    <xf numFmtId="172" fontId="36" fillId="0" borderId="0" xfId="0" applyNumberFormat="1" applyFont="1" applyAlignment="1">
      <alignment horizontal="center"/>
    </xf>
    <xf numFmtId="0" fontId="39" fillId="0" borderId="0" xfId="0" applyFont="1"/>
    <xf numFmtId="0" fontId="40" fillId="0" borderId="0" xfId="0" applyFont="1"/>
    <xf numFmtId="0" fontId="41" fillId="0" borderId="0" xfId="0" applyFont="1" applyAlignment="1">
      <alignment horizontal="center"/>
    </xf>
    <xf numFmtId="171" fontId="40" fillId="0" borderId="0" xfId="0" applyNumberFormat="1" applyFont="1" applyAlignment="1">
      <alignment horizontal="center"/>
    </xf>
    <xf numFmtId="0" fontId="42" fillId="0" borderId="0" xfId="0" applyFont="1"/>
    <xf numFmtId="0" fontId="43" fillId="0" borderId="0" xfId="0" applyFont="1"/>
    <xf numFmtId="0" fontId="24" fillId="0" borderId="0" xfId="0" applyFont="1" applyAlignment="1">
      <alignment horizontal="center"/>
    </xf>
    <xf numFmtId="0" fontId="40" fillId="0" borderId="0" xfId="0" applyFont="1" applyAlignment="1">
      <alignment horizontal="center"/>
    </xf>
    <xf numFmtId="169" fontId="9" fillId="23" borderId="17" xfId="0" applyNumberFormat="1" applyFont="1" applyFill="1" applyBorder="1" applyAlignment="1">
      <alignment horizontal="center"/>
    </xf>
    <xf numFmtId="3" fontId="39" fillId="0" borderId="0" xfId="0" applyNumberFormat="1" applyFont="1"/>
    <xf numFmtId="0" fontId="41" fillId="17" borderId="0" xfId="0" applyFont="1" applyFill="1" applyAlignment="1">
      <alignment horizontal="center"/>
    </xf>
    <xf numFmtId="3" fontId="0" fillId="24" borderId="1" xfId="0" applyNumberFormat="1" applyFill="1" applyBorder="1" applyAlignment="1">
      <alignment horizontal="center"/>
    </xf>
    <xf numFmtId="3" fontId="0" fillId="24" borderId="37" xfId="0" applyNumberFormat="1" applyFill="1" applyBorder="1" applyAlignment="1">
      <alignment horizontal="center"/>
    </xf>
    <xf numFmtId="170" fontId="14" fillId="25" borderId="1" xfId="16" applyNumberFormat="1" applyFont="1" applyFill="1" applyBorder="1" applyAlignment="1">
      <alignment horizontal="center"/>
    </xf>
    <xf numFmtId="170" fontId="14" fillId="25" borderId="37" xfId="16" applyNumberFormat="1" applyFont="1" applyFill="1" applyBorder="1" applyAlignment="1">
      <alignment horizontal="center"/>
    </xf>
    <xf numFmtId="3" fontId="0" fillId="24" borderId="1" xfId="16" applyNumberFormat="1" applyFont="1" applyFill="1" applyBorder="1" applyAlignment="1">
      <alignment horizontal="center"/>
    </xf>
    <xf numFmtId="3" fontId="0" fillId="24" borderId="37" xfId="16" applyNumberFormat="1" applyFont="1" applyFill="1" applyBorder="1" applyAlignment="1">
      <alignment horizontal="center"/>
    </xf>
    <xf numFmtId="3" fontId="14" fillId="26" borderId="1" xfId="16" applyNumberFormat="1" applyFont="1" applyFill="1" applyBorder="1" applyAlignment="1">
      <alignment horizontal="center"/>
    </xf>
    <xf numFmtId="3" fontId="0" fillId="0" borderId="0" xfId="0" applyNumberFormat="1" applyAlignment="1">
      <alignment horizontal="center"/>
    </xf>
    <xf numFmtId="171" fontId="0" fillId="0" borderId="0" xfId="0" applyNumberFormat="1" applyAlignment="1">
      <alignment horizontal="center"/>
    </xf>
    <xf numFmtId="0" fontId="36" fillId="19" borderId="0" xfId="0" applyFont="1" applyFill="1" applyAlignment="1">
      <alignment horizontal="center"/>
    </xf>
    <xf numFmtId="9" fontId="36" fillId="0" borderId="0" xfId="22" applyFont="1" applyFill="1" applyAlignment="1">
      <alignment horizontal="center"/>
    </xf>
    <xf numFmtId="170" fontId="34" fillId="23" borderId="17" xfId="16" applyNumberFormat="1" applyFont="1" applyFill="1" applyBorder="1" applyAlignment="1">
      <alignment horizontal="center"/>
    </xf>
    <xf numFmtId="0" fontId="14" fillId="0" borderId="31" xfId="0" applyFont="1" applyBorder="1"/>
    <xf numFmtId="0" fontId="18" fillId="5" borderId="8" xfId="4" applyFill="1" applyBorder="1" applyAlignment="1"/>
    <xf numFmtId="0" fontId="9" fillId="0" borderId="0" xfId="26"/>
    <xf numFmtId="0" fontId="28" fillId="5" borderId="7" xfId="26" applyFont="1" applyFill="1" applyBorder="1" applyAlignment="1">
      <alignment horizontal="center"/>
    </xf>
    <xf numFmtId="0" fontId="28" fillId="5" borderId="11" xfId="26" applyFont="1" applyFill="1" applyBorder="1" applyAlignment="1">
      <alignment horizontal="center"/>
    </xf>
    <xf numFmtId="0" fontId="30" fillId="3" borderId="10" xfId="10" applyFont="1" applyBorder="1"/>
    <xf numFmtId="0" fontId="9" fillId="0" borderId="0" xfId="26" applyAlignment="1">
      <alignment vertical="center"/>
    </xf>
    <xf numFmtId="0" fontId="30" fillId="3" borderId="13" xfId="10" applyFont="1" applyBorder="1"/>
    <xf numFmtId="0" fontId="30" fillId="0" borderId="10" xfId="10" applyFont="1" applyFill="1" applyBorder="1"/>
    <xf numFmtId="0" fontId="21" fillId="0" borderId="0" xfId="8" applyFill="1" applyBorder="1"/>
    <xf numFmtId="9" fontId="9" fillId="0" borderId="0" xfId="28" applyFont="1"/>
    <xf numFmtId="0" fontId="31" fillId="0" borderId="0" xfId="11" applyFont="1" applyAlignment="1" applyProtection="1"/>
    <xf numFmtId="0" fontId="28" fillId="28" borderId="0" xfId="26" applyFont="1" applyFill="1" applyAlignment="1">
      <alignment horizontal="center" vertical="center"/>
    </xf>
    <xf numFmtId="0" fontId="29" fillId="0" borderId="9" xfId="9" applyFont="1" applyFill="1" applyBorder="1"/>
    <xf numFmtId="0" fontId="20" fillId="3" borderId="13" xfId="10" applyBorder="1"/>
    <xf numFmtId="0" fontId="20" fillId="3" borderId="10" xfId="10" applyBorder="1"/>
    <xf numFmtId="0" fontId="14" fillId="0" borderId="26" xfId="0" applyFont="1" applyBorder="1"/>
    <xf numFmtId="0" fontId="14" fillId="0" borderId="32" xfId="0" applyFont="1" applyBorder="1"/>
    <xf numFmtId="0" fontId="0" fillId="0" borderId="4" xfId="0" applyBorder="1"/>
    <xf numFmtId="0" fontId="0" fillId="0" borderId="6" xfId="0" applyBorder="1"/>
    <xf numFmtId="0" fontId="0" fillId="0" borderId="30" xfId="0" applyBorder="1"/>
    <xf numFmtId="0" fontId="0" fillId="0" borderId="2" xfId="0" applyBorder="1"/>
    <xf numFmtId="0" fontId="0" fillId="0" borderId="31" xfId="0" applyBorder="1"/>
    <xf numFmtId="0" fontId="0" fillId="0" borderId="26" xfId="0" applyBorder="1"/>
    <xf numFmtId="0" fontId="0" fillId="0" borderId="32" xfId="0" applyBorder="1"/>
    <xf numFmtId="0" fontId="14" fillId="0" borderId="36" xfId="0" applyFont="1" applyBorder="1"/>
    <xf numFmtId="0" fontId="14" fillId="0" borderId="1" xfId="0" applyFont="1" applyBorder="1"/>
    <xf numFmtId="0" fontId="14" fillId="0" borderId="37" xfId="0" applyFont="1" applyBorder="1"/>
    <xf numFmtId="0" fontId="0" fillId="8" borderId="0" xfId="0" applyFill="1"/>
    <xf numFmtId="0" fontId="36" fillId="19" borderId="0" xfId="0" applyFont="1" applyFill="1" applyAlignment="1">
      <alignment horizontal="left" indent="1"/>
    </xf>
    <xf numFmtId="172" fontId="36" fillId="19" borderId="0" xfId="0" applyNumberFormat="1" applyFont="1" applyFill="1" applyAlignment="1">
      <alignment horizontal="left" indent="1"/>
    </xf>
    <xf numFmtId="0" fontId="36" fillId="29" borderId="0" xfId="0" applyFont="1" applyFill="1" applyAlignment="1">
      <alignment horizontal="left" indent="1"/>
    </xf>
    <xf numFmtId="0" fontId="24" fillId="0" borderId="0" xfId="0" applyFont="1" applyAlignment="1">
      <alignment horizontal="left"/>
    </xf>
    <xf numFmtId="0" fontId="28" fillId="31" borderId="22" xfId="0" applyFont="1" applyFill="1" applyBorder="1" applyAlignment="1">
      <alignment horizontal="center"/>
    </xf>
    <xf numFmtId="0" fontId="28" fillId="31" borderId="19" xfId="0" applyFont="1" applyFill="1" applyBorder="1" applyAlignment="1">
      <alignment horizontal="center"/>
    </xf>
    <xf numFmtId="9" fontId="34" fillId="8" borderId="44" xfId="16" applyFont="1" applyFill="1" applyBorder="1" applyAlignment="1">
      <alignment horizontal="center"/>
    </xf>
    <xf numFmtId="9" fontId="9" fillId="8" borderId="44" xfId="16" applyFont="1" applyFill="1" applyBorder="1" applyAlignment="1">
      <alignment horizontal="center"/>
    </xf>
    <xf numFmtId="0" fontId="14" fillId="0" borderId="44" xfId="0" applyFont="1" applyBorder="1" applyAlignment="1">
      <alignment horizontal="center"/>
    </xf>
    <xf numFmtId="170" fontId="34" fillId="23" borderId="44" xfId="16" applyNumberFormat="1" applyFont="1" applyFill="1" applyBorder="1" applyAlignment="1">
      <alignment horizontal="center"/>
    </xf>
    <xf numFmtId="0" fontId="28" fillId="31" borderId="17" xfId="0" applyFont="1" applyFill="1" applyBorder="1" applyAlignment="1">
      <alignment horizontal="center" vertical="center" wrapText="1"/>
    </xf>
    <xf numFmtId="0" fontId="28" fillId="31" borderId="17" xfId="0" applyFont="1" applyFill="1" applyBorder="1" applyAlignment="1">
      <alignment horizontal="center"/>
    </xf>
    <xf numFmtId="0" fontId="28" fillId="31" borderId="44" xfId="0" applyFont="1" applyFill="1" applyBorder="1" applyAlignment="1">
      <alignment horizontal="center"/>
    </xf>
    <xf numFmtId="3" fontId="9" fillId="0" borderId="0" xfId="0" applyNumberFormat="1" applyFont="1"/>
    <xf numFmtId="0" fontId="9" fillId="17" borderId="36" xfId="0" applyFont="1" applyFill="1" applyBorder="1"/>
    <xf numFmtId="0" fontId="9" fillId="0" borderId="36" xfId="0" applyFont="1" applyBorder="1" applyAlignment="1">
      <alignment horizontal="left" indent="1"/>
    </xf>
    <xf numFmtId="0" fontId="9" fillId="0" borderId="36" xfId="0" applyFont="1" applyBorder="1" applyAlignment="1">
      <alignment horizontal="left"/>
    </xf>
    <xf numFmtId="0" fontId="9" fillId="17" borderId="36" xfId="0" applyFont="1" applyFill="1" applyBorder="1" applyAlignment="1">
      <alignment horizontal="left" indent="1"/>
    </xf>
    <xf numFmtId="0" fontId="14" fillId="0" borderId="36" xfId="0" applyFont="1" applyBorder="1" applyAlignment="1">
      <alignment horizontal="left"/>
    </xf>
    <xf numFmtId="0" fontId="14" fillId="17" borderId="36" xfId="0" applyFont="1" applyFill="1" applyBorder="1"/>
    <xf numFmtId="0" fontId="9" fillId="0" borderId="36" xfId="0" applyFont="1" applyBorder="1"/>
    <xf numFmtId="169" fontId="9" fillId="7" borderId="17" xfId="0" applyNumberFormat="1" applyFont="1" applyFill="1" applyBorder="1" applyAlignment="1">
      <alignment horizontal="center"/>
    </xf>
    <xf numFmtId="4" fontId="9" fillId="7" borderId="17" xfId="0" applyNumberFormat="1" applyFont="1" applyFill="1" applyBorder="1" applyAlignment="1">
      <alignment horizontal="center"/>
    </xf>
    <xf numFmtId="9" fontId="34" fillId="7" borderId="44" xfId="16" applyFont="1" applyFill="1" applyBorder="1" applyAlignment="1">
      <alignment horizontal="center"/>
    </xf>
    <xf numFmtId="0" fontId="9" fillId="7" borderId="17" xfId="0" applyFont="1" applyFill="1" applyBorder="1"/>
    <xf numFmtId="9" fontId="9" fillId="7" borderId="17" xfId="16" applyFont="1" applyFill="1" applyBorder="1" applyAlignment="1">
      <alignment horizontal="center"/>
    </xf>
    <xf numFmtId="170" fontId="9" fillId="7" borderId="17" xfId="16" applyNumberFormat="1" applyFont="1" applyFill="1" applyBorder="1" applyAlignment="1">
      <alignment horizontal="center"/>
    </xf>
    <xf numFmtId="9" fontId="9" fillId="7" borderId="17" xfId="16" applyFont="1" applyFill="1" applyBorder="1"/>
    <xf numFmtId="174" fontId="34" fillId="8" borderId="44" xfId="16" applyNumberFormat="1" applyFont="1" applyFill="1" applyBorder="1" applyAlignment="1">
      <alignment horizontal="center"/>
    </xf>
    <xf numFmtId="174" fontId="9" fillId="8" borderId="44" xfId="0" applyNumberFormat="1" applyFont="1" applyFill="1" applyBorder="1" applyAlignment="1">
      <alignment horizontal="center"/>
    </xf>
    <xf numFmtId="0" fontId="48" fillId="31" borderId="44" xfId="0" applyFont="1" applyFill="1" applyBorder="1" applyAlignment="1">
      <alignment horizontal="center"/>
    </xf>
    <xf numFmtId="0" fontId="49" fillId="31" borderId="44" xfId="0" applyFont="1" applyFill="1" applyBorder="1" applyAlignment="1">
      <alignment horizontal="center"/>
    </xf>
    <xf numFmtId="169" fontId="14" fillId="23" borderId="17" xfId="0" applyNumberFormat="1" applyFont="1" applyFill="1" applyBorder="1" applyAlignment="1">
      <alignment horizontal="center"/>
    </xf>
    <xf numFmtId="0" fontId="14" fillId="14" borderId="12" xfId="0" applyFont="1" applyFill="1" applyBorder="1" applyAlignment="1">
      <alignment horizontal="center"/>
    </xf>
    <xf numFmtId="0" fontId="0" fillId="0" borderId="42" xfId="0" applyBorder="1"/>
    <xf numFmtId="0" fontId="0" fillId="0" borderId="56" xfId="0" applyBorder="1"/>
    <xf numFmtId="0" fontId="14" fillId="0" borderId="73" xfId="0" applyFont="1" applyBorder="1" applyAlignment="1">
      <alignment horizontal="left"/>
    </xf>
    <xf numFmtId="0" fontId="14" fillId="0" borderId="74" xfId="0" applyFont="1" applyBorder="1" applyAlignment="1">
      <alignment horizontal="left"/>
    </xf>
    <xf numFmtId="0" fontId="14" fillId="0" borderId="73" xfId="0" applyFont="1" applyBorder="1" applyAlignment="1">
      <alignment horizontal="center"/>
    </xf>
    <xf numFmtId="9" fontId="0" fillId="0" borderId="52" xfId="0" applyNumberFormat="1" applyBorder="1"/>
    <xf numFmtId="0" fontId="0" fillId="32" borderId="75" xfId="0" applyFill="1" applyBorder="1"/>
    <xf numFmtId="0" fontId="0" fillId="32" borderId="76" xfId="0" applyFill="1" applyBorder="1"/>
    <xf numFmtId="10" fontId="0" fillId="32" borderId="76" xfId="0" applyNumberFormat="1" applyFill="1" applyBorder="1"/>
    <xf numFmtId="9" fontId="0" fillId="0" borderId="78" xfId="16" applyFont="1" applyBorder="1"/>
    <xf numFmtId="0" fontId="14" fillId="0" borderId="78" xfId="0" applyFont="1" applyBorder="1"/>
    <xf numFmtId="0" fontId="14" fillId="14" borderId="51" xfId="0" applyFont="1" applyFill="1" applyBorder="1" applyAlignment="1">
      <alignment horizontal="center"/>
    </xf>
    <xf numFmtId="9" fontId="14" fillId="14" borderId="51" xfId="16" applyFont="1" applyFill="1" applyBorder="1" applyAlignment="1">
      <alignment horizontal="center"/>
    </xf>
    <xf numFmtId="0" fontId="14" fillId="0" borderId="51" xfId="0" applyFont="1" applyBorder="1" applyAlignment="1">
      <alignment horizontal="center"/>
    </xf>
    <xf numFmtId="0" fontId="14" fillId="0" borderId="80" xfId="0" applyFont="1" applyBorder="1" applyAlignment="1">
      <alignment horizontal="center"/>
    </xf>
    <xf numFmtId="0" fontId="0" fillId="0" borderId="53" xfId="0" applyBorder="1"/>
    <xf numFmtId="0" fontId="0" fillId="0" borderId="54" xfId="0" applyBorder="1"/>
    <xf numFmtId="0" fontId="0" fillId="0" borderId="55" xfId="0" applyBorder="1"/>
    <xf numFmtId="0" fontId="0" fillId="0" borderId="43" xfId="0" applyBorder="1"/>
    <xf numFmtId="0" fontId="0" fillId="0" borderId="60" xfId="0" applyBorder="1"/>
    <xf numFmtId="0" fontId="0" fillId="0" borderId="61" xfId="0" applyBorder="1"/>
    <xf numFmtId="9" fontId="0" fillId="0" borderId="0" xfId="0" applyNumberFormat="1"/>
    <xf numFmtId="0" fontId="14" fillId="14" borderId="77" xfId="0" applyFont="1" applyFill="1" applyBorder="1" applyAlignment="1">
      <alignment horizontal="center"/>
    </xf>
    <xf numFmtId="0" fontId="0" fillId="32" borderId="57" xfId="0" applyFill="1" applyBorder="1"/>
    <xf numFmtId="0" fontId="0" fillId="32" borderId="59" xfId="0" applyFill="1" applyBorder="1"/>
    <xf numFmtId="0" fontId="14" fillId="0" borderId="57" xfId="0" applyFont="1" applyBorder="1" applyAlignment="1">
      <alignment horizontal="center"/>
    </xf>
    <xf numFmtId="0" fontId="0" fillId="30" borderId="58" xfId="0" applyFill="1" applyBorder="1"/>
    <xf numFmtId="0" fontId="28" fillId="30" borderId="58" xfId="0" applyFont="1" applyFill="1" applyBorder="1" applyAlignment="1">
      <alignment horizontal="left"/>
    </xf>
    <xf numFmtId="173" fontId="28" fillId="30" borderId="59" xfId="0" applyNumberFormat="1" applyFont="1" applyFill="1" applyBorder="1" applyAlignment="1">
      <alignment horizontal="center" vertical="center"/>
    </xf>
    <xf numFmtId="0" fontId="14" fillId="17" borderId="88" xfId="0" applyFont="1" applyFill="1" applyBorder="1"/>
    <xf numFmtId="0" fontId="14" fillId="17" borderId="90" xfId="0" applyFont="1" applyFill="1" applyBorder="1"/>
    <xf numFmtId="0" fontId="28" fillId="31" borderId="93" xfId="0" applyFont="1" applyFill="1" applyBorder="1" applyAlignment="1">
      <alignment horizontal="center"/>
    </xf>
    <xf numFmtId="0" fontId="0" fillId="31" borderId="94" xfId="0" applyFill="1" applyBorder="1"/>
    <xf numFmtId="0" fontId="28" fillId="31" borderId="88" xfId="0" applyFont="1" applyFill="1" applyBorder="1" applyAlignment="1">
      <alignment horizontal="center"/>
    </xf>
    <xf numFmtId="0" fontId="0" fillId="31" borderId="85" xfId="0" applyFill="1" applyBorder="1"/>
    <xf numFmtId="0" fontId="14" fillId="0" borderId="86" xfId="0" applyFont="1" applyBorder="1" applyAlignment="1">
      <alignment horizontal="left" vertical="center"/>
    </xf>
    <xf numFmtId="0" fontId="47" fillId="5" borderId="57" xfId="0" applyFont="1" applyFill="1" applyBorder="1" applyAlignment="1">
      <alignment horizontal="left" vertical="center"/>
    </xf>
    <xf numFmtId="0" fontId="47" fillId="30" borderId="57" xfId="0" applyFont="1" applyFill="1" applyBorder="1" applyAlignment="1">
      <alignment horizontal="left" vertical="center"/>
    </xf>
    <xf numFmtId="0" fontId="14" fillId="8" borderId="86" xfId="0" applyFont="1" applyFill="1" applyBorder="1" applyAlignment="1">
      <alignment horizontal="left" vertical="center"/>
    </xf>
    <xf numFmtId="0" fontId="0" fillId="30" borderId="58" xfId="0" applyFill="1" applyBorder="1" applyAlignment="1">
      <alignment horizontal="center"/>
    </xf>
    <xf numFmtId="0" fontId="50" fillId="5" borderId="50" xfId="0" applyFont="1" applyFill="1" applyBorder="1" applyAlignment="1">
      <alignment horizontal="center"/>
    </xf>
    <xf numFmtId="0" fontId="50" fillId="5" borderId="50" xfId="0" applyFont="1" applyFill="1" applyBorder="1"/>
    <xf numFmtId="0" fontId="30" fillId="0" borderId="10" xfId="26" applyFont="1" applyBorder="1" applyAlignment="1">
      <alignment horizontal="center"/>
    </xf>
    <xf numFmtId="0" fontId="30" fillId="0" borderId="15" xfId="26" applyFont="1" applyBorder="1" applyAlignment="1">
      <alignment horizontal="center"/>
    </xf>
    <xf numFmtId="0" fontId="30" fillId="0" borderId="10" xfId="26" applyFont="1" applyBorder="1" applyAlignment="1">
      <alignment horizontal="center" vertical="center"/>
    </xf>
    <xf numFmtId="0" fontId="30" fillId="0" borderId="15" xfId="26" applyFont="1" applyBorder="1" applyAlignment="1">
      <alignment horizontal="center" vertical="center"/>
    </xf>
    <xf numFmtId="0" fontId="30" fillId="0" borderId="14" xfId="26" applyFont="1" applyBorder="1" applyAlignment="1">
      <alignment horizontal="center"/>
    </xf>
    <xf numFmtId="0" fontId="30" fillId="0" borderId="16" xfId="26" applyFont="1" applyBorder="1" applyAlignment="1">
      <alignment horizontal="center"/>
    </xf>
    <xf numFmtId="0" fontId="51" fillId="5" borderId="97" xfId="4" applyFont="1" applyFill="1" applyBorder="1" applyAlignment="1">
      <alignment horizontal="center" vertical="center"/>
    </xf>
    <xf numFmtId="0" fontId="51" fillId="5" borderId="97" xfId="3" applyFont="1" applyFill="1" applyBorder="1" applyAlignment="1">
      <alignment horizontal="center" vertical="center" wrapText="1"/>
    </xf>
    <xf numFmtId="0" fontId="51" fillId="5" borderId="97" xfId="3" applyFont="1" applyFill="1" applyBorder="1" applyAlignment="1">
      <alignment horizontal="center" vertical="center"/>
    </xf>
    <xf numFmtId="0" fontId="9" fillId="3" borderId="97" xfId="10" applyFont="1" applyBorder="1" applyAlignment="1">
      <alignment horizontal="center" vertical="center"/>
    </xf>
    <xf numFmtId="172" fontId="9" fillId="8" borderId="97" xfId="6" applyFont="1" applyFill="1" applyBorder="1" applyAlignment="1">
      <alignment horizontal="right" vertical="center" wrapText="1"/>
    </xf>
    <xf numFmtId="0" fontId="30" fillId="3" borderId="97" xfId="10" applyFont="1" applyBorder="1" applyAlignment="1">
      <alignment vertical="center"/>
    </xf>
    <xf numFmtId="172" fontId="9" fillId="3" borderId="97" xfId="6" applyFont="1" applyBorder="1" applyAlignment="1">
      <alignment horizontal="right" vertical="center" wrapText="1"/>
    </xf>
    <xf numFmtId="0" fontId="30" fillId="3" borderId="97" xfId="10" applyFont="1" applyBorder="1" applyAlignment="1">
      <alignment horizontal="center" vertical="center"/>
    </xf>
    <xf numFmtId="3" fontId="14" fillId="33" borderId="99" xfId="5" applyFont="1" applyFill="1" applyBorder="1" applyAlignment="1">
      <alignment horizontal="center" vertical="center"/>
    </xf>
    <xf numFmtId="0" fontId="14" fillId="0" borderId="0" xfId="26" applyFont="1" applyAlignment="1">
      <alignment vertical="center"/>
    </xf>
    <xf numFmtId="0" fontId="9" fillId="12" borderId="0" xfId="26" applyFill="1" applyAlignment="1">
      <alignment vertical="center"/>
    </xf>
    <xf numFmtId="0" fontId="29" fillId="0" borderId="97" xfId="9" applyFont="1" applyFill="1" applyBorder="1" applyAlignment="1">
      <alignment horizontal="center" vertical="center"/>
    </xf>
    <xf numFmtId="3" fontId="52" fillId="33" borderId="98" xfId="5" applyFont="1" applyFill="1" applyBorder="1" applyAlignment="1">
      <alignment horizontal="right" vertical="center"/>
    </xf>
    <xf numFmtId="3" fontId="52" fillId="33" borderId="99" xfId="5" applyFont="1" applyFill="1" applyBorder="1" applyAlignment="1">
      <alignment horizontal="right" vertical="center"/>
    </xf>
    <xf numFmtId="3" fontId="52" fillId="33" borderId="100" xfId="5" applyFont="1" applyFill="1" applyBorder="1" applyAlignment="1">
      <alignment horizontal="right" vertical="center"/>
    </xf>
    <xf numFmtId="172" fontId="9" fillId="3" borderId="97" xfId="6" applyFont="1" applyBorder="1" applyAlignment="1">
      <alignment horizontal="center" vertical="center"/>
    </xf>
    <xf numFmtId="0" fontId="0" fillId="33" borderId="99" xfId="0" applyFill="1" applyBorder="1" applyAlignment="1">
      <alignment horizontal="center" vertical="center"/>
    </xf>
    <xf numFmtId="4" fontId="9" fillId="33" borderId="99" xfId="7" applyFont="1" applyFill="1" applyBorder="1" applyAlignment="1">
      <alignment horizontal="right" vertical="center"/>
    </xf>
    <xf numFmtId="3" fontId="14" fillId="33" borderId="100" xfId="5" applyFont="1" applyFill="1" applyBorder="1" applyAlignment="1">
      <alignment horizontal="right" vertical="center" wrapText="1"/>
    </xf>
    <xf numFmtId="4" fontId="9" fillId="8" borderId="97" xfId="7" applyFont="1" applyFill="1" applyBorder="1" applyAlignment="1">
      <alignment horizontal="right" vertical="center" wrapText="1"/>
    </xf>
    <xf numFmtId="4" fontId="9" fillId="3" borderId="97" xfId="7" applyFont="1" applyBorder="1" applyAlignment="1">
      <alignment horizontal="center" vertical="center"/>
    </xf>
    <xf numFmtId="4" fontId="9" fillId="3" borderId="97" xfId="7" applyFont="1" applyBorder="1" applyAlignment="1">
      <alignment horizontal="right" vertical="center" wrapText="1"/>
    </xf>
    <xf numFmtId="0" fontId="30" fillId="0" borderId="97" xfId="10" applyFont="1" applyFill="1" applyBorder="1" applyAlignment="1">
      <alignment vertical="center"/>
    </xf>
    <xf numFmtId="0" fontId="9" fillId="0" borderId="97" xfId="10" applyFont="1" applyFill="1" applyBorder="1" applyAlignment="1">
      <alignment horizontal="center" vertical="center"/>
    </xf>
    <xf numFmtId="3" fontId="14" fillId="33" borderId="98" xfId="5" applyFont="1" applyFill="1" applyBorder="1" applyAlignment="1">
      <alignment horizontal="right" vertical="center"/>
    </xf>
    <xf numFmtId="4" fontId="9" fillId="6" borderId="97" xfId="7" applyFont="1" applyFill="1" applyBorder="1" applyAlignment="1">
      <alignment horizontal="right" vertical="center"/>
    </xf>
    <xf numFmtId="4" fontId="9" fillId="6" borderId="97" xfId="7" applyFont="1" applyFill="1" applyBorder="1" applyAlignment="1">
      <alignment horizontal="center" vertical="center"/>
    </xf>
    <xf numFmtId="4" fontId="9" fillId="0" borderId="97" xfId="7" applyFont="1" applyFill="1" applyBorder="1" applyAlignment="1">
      <alignment horizontal="right" vertical="center" wrapText="1"/>
    </xf>
    <xf numFmtId="0" fontId="30" fillId="3" borderId="97" xfId="10" applyFont="1" applyBorder="1" applyAlignment="1">
      <alignment vertical="center" wrapText="1"/>
    </xf>
    <xf numFmtId="4" fontId="9" fillId="0" borderId="97" xfId="7" applyFont="1" applyFill="1" applyBorder="1" applyAlignment="1">
      <alignment horizontal="center" vertical="center"/>
    </xf>
    <xf numFmtId="0" fontId="51" fillId="31" borderId="97" xfId="3" applyFont="1" applyFill="1" applyBorder="1" applyAlignment="1">
      <alignment horizontal="center" vertical="center" wrapText="1"/>
    </xf>
    <xf numFmtId="0" fontId="9" fillId="0" borderId="97" xfId="26" applyBorder="1"/>
    <xf numFmtId="0" fontId="9" fillId="0" borderId="97" xfId="26" applyBorder="1" applyAlignment="1">
      <alignment vertical="center"/>
    </xf>
    <xf numFmtId="0" fontId="36" fillId="12" borderId="97" xfId="26" applyFont="1" applyFill="1" applyBorder="1" applyAlignment="1">
      <alignment horizontal="center" vertical="center"/>
    </xf>
    <xf numFmtId="0" fontId="54" fillId="0" borderId="0" xfId="0" applyFont="1"/>
    <xf numFmtId="0" fontId="56" fillId="0" borderId="0" xfId="0" applyFont="1"/>
    <xf numFmtId="0" fontId="14" fillId="0" borderId="32" xfId="0" applyFont="1" applyBorder="1" applyAlignment="1">
      <alignment horizontal="center"/>
    </xf>
    <xf numFmtId="0" fontId="14" fillId="0" borderId="30" xfId="0" applyFont="1" applyBorder="1" applyAlignment="1">
      <alignment horizontal="center"/>
    </xf>
    <xf numFmtId="0" fontId="56" fillId="0" borderId="32" xfId="0" applyFont="1" applyBorder="1" applyAlignment="1">
      <alignment horizontal="center"/>
    </xf>
    <xf numFmtId="0" fontId="56" fillId="0" borderId="30" xfId="0" applyFont="1" applyBorder="1" applyAlignment="1">
      <alignment horizontal="center"/>
    </xf>
    <xf numFmtId="0" fontId="56" fillId="0" borderId="26" xfId="0" applyFont="1" applyBorder="1"/>
    <xf numFmtId="0" fontId="56" fillId="0" borderId="102" xfId="0" applyFont="1" applyBorder="1" applyAlignment="1">
      <alignment horizontal="center" vertical="center"/>
    </xf>
    <xf numFmtId="0" fontId="56" fillId="0" borderId="106" xfId="0" applyFont="1" applyBorder="1" applyAlignment="1">
      <alignment horizontal="center" vertical="center"/>
    </xf>
    <xf numFmtId="0" fontId="9" fillId="0" borderId="26" xfId="0" applyFont="1" applyBorder="1"/>
    <xf numFmtId="0" fontId="14" fillId="12" borderId="109" xfId="0" applyFont="1" applyFill="1" applyBorder="1" applyAlignment="1">
      <alignment horizontal="center"/>
    </xf>
    <xf numFmtId="0" fontId="56" fillId="12" borderId="109" xfId="0" applyFont="1" applyFill="1" applyBorder="1"/>
    <xf numFmtId="0" fontId="56" fillId="12" borderId="115" xfId="0" applyFont="1" applyFill="1" applyBorder="1"/>
    <xf numFmtId="0" fontId="54" fillId="12" borderId="115" xfId="0" applyFont="1" applyFill="1" applyBorder="1"/>
    <xf numFmtId="10" fontId="0" fillId="0" borderId="112" xfId="0" applyNumberFormat="1" applyBorder="1" applyAlignment="1">
      <alignment horizontal="center" vertical="center"/>
    </xf>
    <xf numFmtId="10" fontId="0" fillId="0" borderId="116" xfId="0" applyNumberFormat="1" applyBorder="1" applyAlignment="1">
      <alignment horizontal="center" vertical="center"/>
    </xf>
    <xf numFmtId="10" fontId="0" fillId="0" borderId="118" xfId="0" applyNumberFormat="1" applyBorder="1" applyAlignment="1">
      <alignment horizontal="center" vertical="center"/>
    </xf>
    <xf numFmtId="0" fontId="56" fillId="0" borderId="119" xfId="0" applyFont="1" applyBorder="1" applyAlignment="1">
      <alignment horizontal="center" vertical="center"/>
    </xf>
    <xf numFmtId="0" fontId="56" fillId="0" borderId="120" xfId="0" applyFont="1" applyBorder="1" applyAlignment="1">
      <alignment horizontal="center" vertical="center"/>
    </xf>
    <xf numFmtId="0" fontId="28" fillId="5" borderId="8" xfId="26" applyFont="1" applyFill="1" applyBorder="1" applyAlignment="1">
      <alignment horizontal="center"/>
    </xf>
    <xf numFmtId="0" fontId="54" fillId="8" borderId="0" xfId="0" applyFont="1" applyFill="1"/>
    <xf numFmtId="0" fontId="58" fillId="41" borderId="0" xfId="0" applyFont="1" applyFill="1"/>
    <xf numFmtId="0" fontId="9" fillId="36" borderId="26" xfId="0" applyFont="1" applyFill="1" applyBorder="1"/>
    <xf numFmtId="0" fontId="56" fillId="0" borderId="125" xfId="0" applyFont="1" applyBorder="1" applyAlignment="1">
      <alignment horizontal="center"/>
    </xf>
    <xf numFmtId="0" fontId="54" fillId="12" borderId="126" xfId="0" applyFont="1" applyFill="1" applyBorder="1" applyAlignment="1">
      <alignment horizontal="center"/>
    </xf>
    <xf numFmtId="0" fontId="9" fillId="38" borderId="126" xfId="0" applyFont="1" applyFill="1" applyBorder="1"/>
    <xf numFmtId="0" fontId="56" fillId="0" borderId="127" xfId="0" applyFont="1" applyBorder="1" applyAlignment="1">
      <alignment horizontal="center"/>
    </xf>
    <xf numFmtId="0" fontId="57" fillId="0" borderId="128" xfId="0" applyFont="1" applyBorder="1" applyAlignment="1">
      <alignment horizontal="center"/>
    </xf>
    <xf numFmtId="0" fontId="14" fillId="0" borderId="129" xfId="0" applyFont="1" applyBorder="1" applyAlignment="1">
      <alignment horizontal="center"/>
    </xf>
    <xf numFmtId="0" fontId="14" fillId="0" borderId="132" xfId="0" applyFont="1" applyBorder="1" applyAlignment="1">
      <alignment horizontal="center"/>
    </xf>
    <xf numFmtId="0" fontId="9" fillId="38" borderId="0" xfId="0" applyFont="1" applyFill="1"/>
    <xf numFmtId="0" fontId="14" fillId="40" borderId="26" xfId="0" quotePrefix="1" applyFont="1" applyFill="1" applyBorder="1"/>
    <xf numFmtId="0" fontId="14" fillId="40" borderId="0" xfId="0" quotePrefix="1" applyFont="1" applyFill="1"/>
    <xf numFmtId="0" fontId="54" fillId="38" borderId="0" xfId="0" applyFont="1" applyFill="1"/>
    <xf numFmtId="0" fontId="14" fillId="36" borderId="26" xfId="0" applyFont="1" applyFill="1" applyBorder="1"/>
    <xf numFmtId="0" fontId="9" fillId="0" borderId="142" xfId="0" applyFont="1" applyBorder="1"/>
    <xf numFmtId="0" fontId="14" fillId="0" borderId="143" xfId="0" applyFont="1" applyBorder="1" applyAlignment="1">
      <alignment horizontal="center"/>
    </xf>
    <xf numFmtId="0" fontId="14" fillId="0" borderId="34" xfId="0" applyFont="1" applyBorder="1" applyAlignment="1">
      <alignment horizontal="center"/>
    </xf>
    <xf numFmtId="0" fontId="14" fillId="0" borderId="144" xfId="0" applyFont="1" applyBorder="1" applyAlignment="1">
      <alignment horizontal="center"/>
    </xf>
    <xf numFmtId="0" fontId="14" fillId="0" borderId="135" xfId="0" applyFont="1" applyBorder="1" applyAlignment="1">
      <alignment horizontal="center"/>
    </xf>
    <xf numFmtId="0" fontId="9" fillId="38" borderId="110" xfId="0" applyFont="1" applyFill="1" applyBorder="1"/>
    <xf numFmtId="10" fontId="0" fillId="0" borderId="0" xfId="16" applyNumberFormat="1" applyFont="1"/>
    <xf numFmtId="9" fontId="34" fillId="37" borderId="137" xfId="16" applyFont="1" applyFill="1" applyBorder="1" applyAlignment="1">
      <alignment horizontal="center" vertical="center"/>
    </xf>
    <xf numFmtId="3" fontId="24" fillId="0" borderId="0" xfId="0" applyNumberFormat="1" applyFont="1" applyAlignment="1">
      <alignment horizontal="center" vertical="center"/>
    </xf>
    <xf numFmtId="3" fontId="36" fillId="19" borderId="0" xfId="0" applyNumberFormat="1" applyFont="1" applyFill="1" applyAlignment="1">
      <alignment horizontal="center" vertical="center"/>
    </xf>
    <xf numFmtId="170" fontId="34" fillId="42" borderId="138" xfId="30" applyNumberFormat="1" applyFont="1" applyFill="1" applyBorder="1" applyAlignment="1">
      <alignment horizontal="center" vertical="center"/>
    </xf>
    <xf numFmtId="3" fontId="59" fillId="39" borderId="38" xfId="0" applyNumberFormat="1" applyFont="1" applyFill="1" applyBorder="1" applyAlignment="1">
      <alignment horizontal="center" vertical="center"/>
    </xf>
    <xf numFmtId="3" fontId="59" fillId="39" borderId="140" xfId="0" applyNumberFormat="1" applyFont="1" applyFill="1" applyBorder="1" applyAlignment="1">
      <alignment horizontal="center" vertical="center"/>
    </xf>
    <xf numFmtId="9" fontId="39" fillId="0" borderId="0" xfId="16" applyFont="1"/>
    <xf numFmtId="9" fontId="0" fillId="0" borderId="79" xfId="0" applyNumberFormat="1" applyBorder="1" applyAlignment="1">
      <alignment horizontal="center"/>
    </xf>
    <xf numFmtId="9" fontId="14" fillId="0" borderId="58" xfId="0" applyNumberFormat="1" applyFont="1" applyBorder="1" applyAlignment="1">
      <alignment horizontal="center"/>
    </xf>
    <xf numFmtId="3" fontId="0" fillId="0" borderId="0" xfId="0" applyNumberFormat="1"/>
    <xf numFmtId="10" fontId="0" fillId="0" borderId="0" xfId="0" applyNumberFormat="1"/>
    <xf numFmtId="4" fontId="9" fillId="0" borderId="0" xfId="7" applyFont="1" applyFill="1" applyBorder="1">
      <alignment horizontal="right"/>
    </xf>
    <xf numFmtId="4" fontId="33" fillId="0" borderId="0" xfId="7" applyFont="1" applyFill="1" applyBorder="1">
      <alignment horizontal="right"/>
    </xf>
    <xf numFmtId="3" fontId="59" fillId="39" borderId="140" xfId="0" quotePrefix="1" applyNumberFormat="1" applyFont="1" applyFill="1" applyBorder="1" applyAlignment="1">
      <alignment horizontal="center" vertical="center"/>
    </xf>
    <xf numFmtId="4" fontId="6" fillId="0" borderId="38" xfId="29" applyNumberFormat="1" applyBorder="1" applyAlignment="1">
      <alignment horizontal="center"/>
    </xf>
    <xf numFmtId="0" fontId="27" fillId="0" borderId="0" xfId="0" applyFont="1" applyAlignment="1">
      <alignment horizontal="center"/>
    </xf>
    <xf numFmtId="0" fontId="65" fillId="0" borderId="0" xfId="0" applyFont="1"/>
    <xf numFmtId="0" fontId="0" fillId="0" borderId="38" xfId="0" applyBorder="1"/>
    <xf numFmtId="0" fontId="64" fillId="0" borderId="0" xfId="0" applyFont="1"/>
    <xf numFmtId="3" fontId="54" fillId="0" borderId="32" xfId="0" applyNumberFormat="1" applyFont="1" applyBorder="1" applyAlignment="1">
      <alignment horizontal="center" vertical="center"/>
    </xf>
    <xf numFmtId="3" fontId="62" fillId="37" borderId="38" xfId="0" applyNumberFormat="1" applyFont="1" applyFill="1" applyBorder="1" applyAlignment="1">
      <alignment horizontal="center" vertical="center"/>
    </xf>
    <xf numFmtId="170" fontId="34" fillId="37" borderId="140" xfId="16" applyNumberFormat="1" applyFont="1" applyFill="1" applyBorder="1" applyAlignment="1">
      <alignment horizontal="center" vertical="center"/>
    </xf>
    <xf numFmtId="3" fontId="62" fillId="0" borderId="140" xfId="0" applyNumberFormat="1" applyFont="1" applyBorder="1" applyAlignment="1">
      <alignment horizontal="center" vertical="center"/>
    </xf>
    <xf numFmtId="3" fontId="62" fillId="37" borderId="140" xfId="0" applyNumberFormat="1" applyFont="1" applyFill="1" applyBorder="1" applyAlignment="1">
      <alignment horizontal="center" vertical="center"/>
    </xf>
    <xf numFmtId="170" fontId="34" fillId="37" borderId="36" xfId="16" applyNumberFormat="1" applyFont="1" applyFill="1" applyBorder="1" applyAlignment="1">
      <alignment horizontal="center" vertical="center"/>
    </xf>
    <xf numFmtId="3" fontId="62" fillId="37" borderId="36" xfId="0" applyNumberFormat="1" applyFont="1" applyFill="1" applyBorder="1" applyAlignment="1">
      <alignment horizontal="center" vertical="center"/>
    </xf>
    <xf numFmtId="1" fontId="54" fillId="39" borderId="38" xfId="0" applyNumberFormat="1" applyFont="1" applyFill="1" applyBorder="1" applyAlignment="1">
      <alignment horizontal="center" vertical="center"/>
    </xf>
    <xf numFmtId="1" fontId="54" fillId="39" borderId="140" xfId="0" applyNumberFormat="1" applyFont="1" applyFill="1" applyBorder="1" applyAlignment="1">
      <alignment horizontal="center" vertical="center"/>
    </xf>
    <xf numFmtId="1" fontId="54" fillId="39" borderId="36" xfId="0" applyNumberFormat="1" applyFont="1" applyFill="1" applyBorder="1" applyAlignment="1">
      <alignment horizontal="center" vertical="center"/>
    </xf>
    <xf numFmtId="4" fontId="6" fillId="0" borderId="140" xfId="29" applyNumberFormat="1" applyBorder="1" applyAlignment="1">
      <alignment horizontal="center"/>
    </xf>
    <xf numFmtId="4" fontId="6" fillId="0" borderId="131" xfId="29" applyNumberFormat="1" applyBorder="1" applyAlignment="1">
      <alignment horizontal="center"/>
    </xf>
    <xf numFmtId="9" fontId="0" fillId="0" borderId="0" xfId="16" applyFont="1" applyBorder="1" applyAlignment="1">
      <alignment horizontal="left"/>
    </xf>
    <xf numFmtId="3" fontId="59" fillId="0" borderId="38" xfId="0" applyNumberFormat="1" applyFont="1" applyBorder="1" applyAlignment="1">
      <alignment horizontal="center" vertical="center"/>
    </xf>
    <xf numFmtId="3" fontId="59" fillId="0" borderId="140" xfId="0" applyNumberFormat="1" applyFont="1" applyBorder="1" applyAlignment="1">
      <alignment horizontal="center" vertical="center"/>
    </xf>
    <xf numFmtId="2" fontId="9" fillId="23" borderId="17" xfId="0" applyNumberFormat="1" applyFont="1" applyFill="1" applyBorder="1" applyAlignment="1">
      <alignment horizontal="center"/>
    </xf>
    <xf numFmtId="0" fontId="24" fillId="0" borderId="0" xfId="0" applyFont="1" applyAlignment="1">
      <alignment horizontal="center" vertical="center"/>
    </xf>
    <xf numFmtId="3" fontId="37" fillId="19" borderId="0" xfId="0" applyNumberFormat="1" applyFont="1" applyFill="1" applyAlignment="1">
      <alignment horizontal="center" vertical="center"/>
    </xf>
    <xf numFmtId="3" fontId="36" fillId="0" borderId="0" xfId="0" applyNumberFormat="1" applyFont="1" applyAlignment="1">
      <alignment horizontal="center" vertical="center"/>
    </xf>
    <xf numFmtId="172" fontId="24" fillId="0" borderId="0" xfId="0" applyNumberFormat="1" applyFont="1" applyAlignment="1">
      <alignment horizontal="center" vertical="center"/>
    </xf>
    <xf numFmtId="4" fontId="36" fillId="19" borderId="0" xfId="0" applyNumberFormat="1" applyFont="1" applyFill="1" applyAlignment="1">
      <alignment horizontal="center" vertical="center"/>
    </xf>
    <xf numFmtId="3" fontId="24" fillId="19" borderId="0" xfId="0" applyNumberFormat="1" applyFont="1" applyFill="1" applyAlignment="1">
      <alignment horizontal="center" vertical="center"/>
    </xf>
    <xf numFmtId="0" fontId="0" fillId="0" borderId="0" xfId="0" applyAlignment="1">
      <alignment horizontal="center" vertical="center"/>
    </xf>
    <xf numFmtId="0" fontId="27" fillId="0" borderId="0" xfId="0" applyFont="1" applyAlignment="1">
      <alignment horizontal="center" vertical="center"/>
    </xf>
    <xf numFmtId="0" fontId="47" fillId="9" borderId="57" xfId="0" applyFont="1" applyFill="1" applyBorder="1" applyAlignment="1">
      <alignment horizontal="center" vertical="center" wrapText="1"/>
    </xf>
    <xf numFmtId="0" fontId="47" fillId="10" borderId="58" xfId="0" applyFont="1" applyFill="1" applyBorder="1" applyAlignment="1">
      <alignment horizontal="center" vertical="center" wrapText="1"/>
    </xf>
    <xf numFmtId="0" fontId="47" fillId="11" borderId="58" xfId="0" applyFont="1" applyFill="1" applyBorder="1" applyAlignment="1">
      <alignment horizontal="center" vertical="center" wrapText="1"/>
    </xf>
    <xf numFmtId="0" fontId="47" fillId="15" borderId="58" xfId="0" applyFont="1" applyFill="1" applyBorder="1" applyAlignment="1">
      <alignment horizontal="center" vertical="center" wrapText="1"/>
    </xf>
    <xf numFmtId="0" fontId="47" fillId="11" borderId="50" xfId="0" applyFont="1" applyFill="1" applyBorder="1" applyAlignment="1">
      <alignment horizontal="center" vertical="center" wrapText="1"/>
    </xf>
    <xf numFmtId="0" fontId="47" fillId="15" borderId="50" xfId="0" applyFont="1" applyFill="1" applyBorder="1" applyAlignment="1">
      <alignment horizontal="center" vertical="center" wrapText="1"/>
    </xf>
    <xf numFmtId="0" fontId="56" fillId="0" borderId="0" xfId="0" applyFont="1" applyAlignment="1">
      <alignment horizontal="center" vertical="center"/>
    </xf>
    <xf numFmtId="0" fontId="0" fillId="0" borderId="0" xfId="0" applyAlignment="1">
      <alignment horizontal="left"/>
    </xf>
    <xf numFmtId="2" fontId="9" fillId="23" borderId="44" xfId="0" applyNumberFormat="1" applyFont="1" applyFill="1" applyBorder="1" applyAlignment="1">
      <alignment horizontal="center"/>
    </xf>
    <xf numFmtId="2" fontId="34" fillId="23" borderId="44" xfId="16" applyNumberFormat="1" applyFont="1" applyFill="1" applyBorder="1" applyAlignment="1">
      <alignment horizontal="center"/>
    </xf>
    <xf numFmtId="0" fontId="9" fillId="7" borderId="158" xfId="0" applyFont="1" applyFill="1" applyBorder="1"/>
    <xf numFmtId="0" fontId="9" fillId="0" borderId="0" xfId="0" applyFont="1" applyAlignment="1">
      <alignment horizontal="center"/>
    </xf>
    <xf numFmtId="170" fontId="64" fillId="0" borderId="38" xfId="16" applyNumberFormat="1" applyFont="1" applyBorder="1" applyAlignment="1">
      <alignment horizontal="center"/>
    </xf>
    <xf numFmtId="0" fontId="64" fillId="0" borderId="38" xfId="0" applyFont="1" applyBorder="1"/>
    <xf numFmtId="9" fontId="0" fillId="0" borderId="0" xfId="16" applyFont="1" applyAlignment="1">
      <alignment horizontal="left"/>
    </xf>
    <xf numFmtId="4" fontId="6" fillId="0" borderId="37" xfId="29" applyNumberFormat="1" applyBorder="1" applyAlignment="1">
      <alignment horizontal="center"/>
    </xf>
    <xf numFmtId="0" fontId="54" fillId="0" borderId="159" xfId="0" applyFont="1" applyBorder="1"/>
    <xf numFmtId="0" fontId="54" fillId="0" borderId="29" xfId="0" applyFont="1" applyBorder="1"/>
    <xf numFmtId="3" fontId="67" fillId="0" borderId="140" xfId="0" quotePrefix="1" applyNumberFormat="1" applyFont="1" applyBorder="1" applyAlignment="1">
      <alignment horizontal="center" vertical="center"/>
    </xf>
    <xf numFmtId="3" fontId="67" fillId="0" borderId="38" xfId="0" quotePrefix="1" applyNumberFormat="1" applyFont="1" applyBorder="1" applyAlignment="1">
      <alignment horizontal="center" vertical="center"/>
    </xf>
    <xf numFmtId="3" fontId="67" fillId="0" borderId="131" xfId="0" quotePrefix="1" applyNumberFormat="1" applyFont="1" applyBorder="1" applyAlignment="1">
      <alignment horizontal="center" vertical="center"/>
    </xf>
    <xf numFmtId="0" fontId="54" fillId="39" borderId="129" xfId="0" applyFont="1" applyFill="1" applyBorder="1" applyAlignment="1">
      <alignment horizontal="center" vertical="center"/>
    </xf>
    <xf numFmtId="0" fontId="54" fillId="39" borderId="2" xfId="0" applyFont="1" applyFill="1" applyBorder="1" applyAlignment="1">
      <alignment horizontal="center" vertical="center"/>
    </xf>
    <xf numFmtId="3" fontId="59" fillId="40" borderId="162" xfId="0" applyNumberFormat="1" applyFont="1" applyFill="1" applyBorder="1" applyAlignment="1">
      <alignment horizontal="center" vertical="center"/>
    </xf>
    <xf numFmtId="3" fontId="59" fillId="40" borderId="3" xfId="0" applyNumberFormat="1" applyFont="1" applyFill="1" applyBorder="1" applyAlignment="1">
      <alignment horizontal="center" vertical="center"/>
    </xf>
    <xf numFmtId="3" fontId="59" fillId="40" borderId="28"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63" xfId="0" applyNumberFormat="1" applyFont="1" applyFill="1" applyBorder="1" applyAlignment="1">
      <alignment horizontal="center" vertical="center"/>
    </xf>
    <xf numFmtId="0" fontId="0" fillId="36" borderId="26" xfId="0" applyFill="1" applyBorder="1"/>
    <xf numFmtId="0" fontId="64" fillId="0" borderId="0" xfId="29" applyFont="1" applyAlignment="1">
      <alignment horizontal="center" vertical="center"/>
    </xf>
    <xf numFmtId="0" fontId="6" fillId="0" borderId="0" xfId="29"/>
    <xf numFmtId="0" fontId="54" fillId="0" borderId="164" xfId="0" applyFont="1" applyBorder="1"/>
    <xf numFmtId="0" fontId="56" fillId="0" borderId="104" xfId="0" applyFont="1" applyBorder="1" applyAlignment="1">
      <alignment horizontal="center" vertical="center"/>
    </xf>
    <xf numFmtId="0" fontId="56" fillId="0" borderId="105" xfId="0" applyFont="1" applyBorder="1" applyAlignment="1">
      <alignment horizontal="center" vertical="center"/>
    </xf>
    <xf numFmtId="0" fontId="54" fillId="0" borderId="165" xfId="0" applyFont="1" applyBorder="1"/>
    <xf numFmtId="0" fontId="54" fillId="0" borderId="103" xfId="0" applyFont="1" applyBorder="1" applyAlignment="1">
      <alignment horizontal="center" vertical="center"/>
    </xf>
    <xf numFmtId="0" fontId="54" fillId="0" borderId="166" xfId="0" applyFont="1" applyBorder="1"/>
    <xf numFmtId="0" fontId="54" fillId="0" borderId="107" xfId="0" applyFont="1" applyBorder="1" applyAlignment="1">
      <alignment horizontal="center" vertical="center"/>
    </xf>
    <xf numFmtId="10" fontId="0" fillId="0" borderId="0" xfId="0" applyNumberFormat="1" applyAlignment="1">
      <alignment horizontal="center" vertical="center"/>
    </xf>
    <xf numFmtId="0" fontId="54" fillId="0" borderId="104" xfId="0" applyFont="1" applyBorder="1" applyAlignment="1">
      <alignment horizontal="center" vertical="center"/>
    </xf>
    <xf numFmtId="0" fontId="54" fillId="0" borderId="103" xfId="0" applyFont="1" applyBorder="1"/>
    <xf numFmtId="0" fontId="56" fillId="0" borderId="38" xfId="0" applyFont="1" applyBorder="1"/>
    <xf numFmtId="9" fontId="24" fillId="0" borderId="0" xfId="16" applyFont="1" applyAlignment="1">
      <alignment horizontal="center" vertical="center"/>
    </xf>
    <xf numFmtId="3" fontId="0" fillId="0" borderId="38" xfId="0" applyNumberFormat="1" applyBorder="1" applyAlignment="1">
      <alignment horizontal="center" vertical="center"/>
    </xf>
    <xf numFmtId="170" fontId="39" fillId="0" borderId="0" xfId="0" applyNumberFormat="1" applyFont="1"/>
    <xf numFmtId="3" fontId="67" fillId="0" borderId="140" xfId="0" applyNumberFormat="1" applyFont="1" applyBorder="1" applyAlignment="1">
      <alignment horizontal="center" vertical="center"/>
    </xf>
    <xf numFmtId="176" fontId="0" fillId="0" borderId="0" xfId="0" applyNumberFormat="1" applyAlignment="1">
      <alignment horizontal="center"/>
    </xf>
    <xf numFmtId="175" fontId="9" fillId="0" borderId="97" xfId="26" applyNumberFormat="1" applyBorder="1"/>
    <xf numFmtId="170" fontId="54" fillId="0" borderId="0" xfId="16" applyNumberFormat="1" applyFont="1"/>
    <xf numFmtId="3" fontId="67" fillId="37" borderId="140" xfId="0" quotePrefix="1" applyNumberFormat="1" applyFont="1" applyFill="1" applyBorder="1" applyAlignment="1">
      <alignment horizontal="center" vertical="center"/>
    </xf>
    <xf numFmtId="3" fontId="67" fillId="37" borderId="38" xfId="0" quotePrefix="1" applyNumberFormat="1" applyFont="1" applyFill="1" applyBorder="1" applyAlignment="1">
      <alignment horizontal="center" vertical="center"/>
    </xf>
    <xf numFmtId="3" fontId="67" fillId="37" borderId="36" xfId="0" quotePrefix="1" applyNumberFormat="1" applyFont="1" applyFill="1" applyBorder="1" applyAlignment="1">
      <alignment horizontal="center" vertical="center"/>
    </xf>
    <xf numFmtId="3" fontId="26" fillId="37" borderId="140" xfId="0" applyNumberFormat="1" applyFont="1" applyFill="1" applyBorder="1" applyAlignment="1">
      <alignment horizontal="center" vertical="center"/>
    </xf>
    <xf numFmtId="3" fontId="26" fillId="37" borderId="38" xfId="0" applyNumberFormat="1" applyFont="1" applyFill="1" applyBorder="1" applyAlignment="1">
      <alignment horizontal="center" vertical="center"/>
    </xf>
    <xf numFmtId="3" fontId="26" fillId="37" borderId="36" xfId="0" applyNumberFormat="1" applyFont="1" applyFill="1" applyBorder="1" applyAlignment="1">
      <alignment horizontal="center" vertical="center"/>
    </xf>
    <xf numFmtId="0" fontId="65" fillId="0" borderId="0" xfId="0" applyFont="1" applyAlignment="1">
      <alignment horizontal="center"/>
    </xf>
    <xf numFmtId="1" fontId="65" fillId="0" borderId="0" xfId="0" applyNumberFormat="1" applyFont="1" applyAlignment="1">
      <alignment horizontal="center"/>
    </xf>
    <xf numFmtId="1" fontId="70" fillId="0" borderId="0" xfId="0" applyNumberFormat="1" applyFont="1" applyAlignment="1">
      <alignment horizontal="left"/>
    </xf>
    <xf numFmtId="0" fontId="9" fillId="0" borderId="0" xfId="26" applyAlignment="1">
      <alignment vertical="center" wrapText="1"/>
    </xf>
    <xf numFmtId="3" fontId="52" fillId="33" borderId="99" xfId="5" applyFont="1" applyFill="1" applyBorder="1" applyAlignment="1">
      <alignment horizontal="right" vertical="center" wrapText="1"/>
    </xf>
    <xf numFmtId="4" fontId="9" fillId="33" borderId="99" xfId="7" applyFont="1" applyFill="1" applyBorder="1" applyAlignment="1">
      <alignment horizontal="right" vertical="center" wrapText="1"/>
    </xf>
    <xf numFmtId="0" fontId="9" fillId="0" borderId="97" xfId="10" applyFont="1" applyFill="1" applyBorder="1" applyAlignment="1">
      <alignment horizontal="right" vertical="center" wrapText="1"/>
    </xf>
    <xf numFmtId="0" fontId="21" fillId="0" borderId="0" xfId="8" applyFill="1" applyBorder="1" applyAlignment="1">
      <alignment wrapText="1"/>
    </xf>
    <xf numFmtId="0" fontId="9" fillId="0" borderId="0" xfId="26" applyAlignment="1">
      <alignment wrapText="1"/>
    </xf>
    <xf numFmtId="0" fontId="0" fillId="0" borderId="0" xfId="0" applyAlignment="1">
      <alignment wrapText="1"/>
    </xf>
    <xf numFmtId="0" fontId="0" fillId="0" borderId="0" xfId="26" applyFont="1"/>
    <xf numFmtId="2" fontId="9" fillId="0" borderId="0" xfId="26" applyNumberFormat="1"/>
    <xf numFmtId="2" fontId="0" fillId="0" borderId="0" xfId="26" applyNumberFormat="1" applyFont="1"/>
    <xf numFmtId="0" fontId="59" fillId="0" borderId="0" xfId="0" applyFont="1"/>
    <xf numFmtId="0" fontId="59" fillId="0" borderId="0" xfId="0" applyFont="1" applyAlignment="1">
      <alignment horizontal="center"/>
    </xf>
    <xf numFmtId="169" fontId="9" fillId="0" borderId="0" xfId="0" applyNumberFormat="1" applyFont="1"/>
    <xf numFmtId="168" fontId="9" fillId="0" borderId="0" xfId="0" applyNumberFormat="1" applyFont="1"/>
    <xf numFmtId="169" fontId="27" fillId="0" borderId="0" xfId="0" applyNumberFormat="1" applyFont="1"/>
    <xf numFmtId="170" fontId="9" fillId="23" borderId="17" xfId="16" applyNumberFormat="1" applyFont="1" applyFill="1" applyBorder="1" applyAlignment="1">
      <alignment horizontal="center"/>
    </xf>
    <xf numFmtId="0" fontId="47" fillId="30" borderId="57" xfId="0" applyFont="1" applyFill="1" applyBorder="1" applyAlignment="1">
      <alignment horizontal="center" vertical="center"/>
    </xf>
    <xf numFmtId="0" fontId="47" fillId="5" borderId="125" xfId="0" applyFont="1" applyFill="1" applyBorder="1" applyAlignment="1">
      <alignment horizontal="center"/>
    </xf>
    <xf numFmtId="0" fontId="47" fillId="5" borderId="110" xfId="0" applyFont="1" applyFill="1" applyBorder="1" applyAlignment="1">
      <alignment horizontal="center"/>
    </xf>
    <xf numFmtId="0" fontId="14" fillId="17" borderId="87" xfId="0" applyFont="1" applyFill="1" applyBorder="1" applyAlignment="1">
      <alignment horizontal="left" vertical="center"/>
    </xf>
    <xf numFmtId="0" fontId="14" fillId="17" borderId="88" xfId="0" applyFont="1" applyFill="1" applyBorder="1" applyAlignment="1">
      <alignment horizontal="left" vertical="center"/>
    </xf>
    <xf numFmtId="9" fontId="0" fillId="17" borderId="85" xfId="16" applyFont="1" applyFill="1" applyBorder="1" applyAlignment="1">
      <alignment horizontal="center"/>
    </xf>
    <xf numFmtId="9" fontId="9" fillId="17" borderId="84" xfId="16" applyFont="1" applyFill="1" applyBorder="1" applyAlignment="1">
      <alignment horizontal="center"/>
    </xf>
    <xf numFmtId="9" fontId="0" fillId="17" borderId="84" xfId="16" applyFont="1" applyFill="1" applyBorder="1" applyAlignment="1">
      <alignment horizontal="center"/>
    </xf>
    <xf numFmtId="2" fontId="0" fillId="17" borderId="85" xfId="0" applyNumberFormat="1" applyFill="1" applyBorder="1" applyAlignment="1">
      <alignment horizontal="center"/>
    </xf>
    <xf numFmtId="0" fontId="14" fillId="17" borderId="86" xfId="0" applyFont="1" applyFill="1" applyBorder="1" applyAlignment="1">
      <alignment horizontal="left" vertical="center"/>
    </xf>
    <xf numFmtId="2" fontId="0" fillId="17" borderId="83" xfId="0" applyNumberFormat="1" applyFill="1" applyBorder="1" applyAlignment="1">
      <alignment horizontal="center"/>
    </xf>
    <xf numFmtId="2" fontId="9" fillId="17" borderId="85" xfId="0" applyNumberFormat="1" applyFont="1" applyFill="1" applyBorder="1" applyAlignment="1">
      <alignment horizontal="center"/>
    </xf>
    <xf numFmtId="171" fontId="0" fillId="17" borderId="85" xfId="0" applyNumberFormat="1" applyFill="1" applyBorder="1" applyAlignment="1">
      <alignment horizontal="center"/>
    </xf>
    <xf numFmtId="9" fontId="0" fillId="0" borderId="83" xfId="16" applyFont="1" applyFill="1" applyBorder="1" applyAlignment="1">
      <alignment horizontal="center"/>
    </xf>
    <xf numFmtId="0" fontId="14" fillId="0" borderId="88" xfId="0" applyFont="1" applyBorder="1" applyAlignment="1">
      <alignment horizontal="left" vertical="center"/>
    </xf>
    <xf numFmtId="9" fontId="0" fillId="0" borderId="85" xfId="16" applyFont="1" applyFill="1" applyBorder="1" applyAlignment="1">
      <alignment horizontal="center"/>
    </xf>
    <xf numFmtId="2" fontId="0" fillId="0" borderId="83" xfId="0" applyNumberFormat="1" applyBorder="1" applyAlignment="1">
      <alignment horizontal="center"/>
    </xf>
    <xf numFmtId="0" fontId="14" fillId="0" borderId="87" xfId="0" applyFont="1" applyBorder="1" applyAlignment="1">
      <alignment horizontal="left" vertical="center"/>
    </xf>
    <xf numFmtId="2" fontId="0" fillId="0" borderId="85" xfId="0" applyNumberFormat="1" applyBorder="1" applyAlignment="1">
      <alignment horizontal="center"/>
    </xf>
    <xf numFmtId="2" fontId="0" fillId="17" borderId="84" xfId="0" applyNumberFormat="1" applyFill="1" applyBorder="1" applyAlignment="1">
      <alignment horizontal="center"/>
    </xf>
    <xf numFmtId="0" fontId="15" fillId="17" borderId="88" xfId="0" applyFont="1" applyFill="1" applyBorder="1" applyAlignment="1">
      <alignment horizontal="left" vertical="center"/>
    </xf>
    <xf numFmtId="2" fontId="0" fillId="17" borderId="85" xfId="16" applyNumberFormat="1" applyFont="1" applyFill="1" applyBorder="1" applyAlignment="1">
      <alignment horizontal="center"/>
    </xf>
    <xf numFmtId="0" fontId="14" fillId="0" borderId="90" xfId="0" applyFont="1" applyBorder="1" applyAlignment="1">
      <alignment horizontal="left" vertical="center"/>
    </xf>
    <xf numFmtId="9" fontId="0" fillId="0" borderId="91" xfId="16" applyFont="1" applyFill="1" applyBorder="1" applyAlignment="1">
      <alignment horizontal="center"/>
    </xf>
    <xf numFmtId="171" fontId="0" fillId="0" borderId="84" xfId="0" applyNumberFormat="1" applyBorder="1" applyAlignment="1">
      <alignment horizontal="center"/>
    </xf>
    <xf numFmtId="171" fontId="0" fillId="0" borderId="83" xfId="0" applyNumberFormat="1" applyBorder="1" applyAlignment="1">
      <alignment horizontal="center"/>
    </xf>
    <xf numFmtId="171" fontId="0" fillId="0" borderId="85" xfId="0" applyNumberFormat="1" applyBorder="1" applyAlignment="1">
      <alignment horizontal="center"/>
    </xf>
    <xf numFmtId="174" fontId="27" fillId="18" borderId="175" xfId="0" applyNumberFormat="1" applyFont="1" applyFill="1" applyBorder="1" applyAlignment="1">
      <alignment horizontal="center"/>
    </xf>
    <xf numFmtId="9" fontId="27" fillId="30" borderId="59" xfId="16" applyFont="1" applyFill="1" applyBorder="1" applyAlignment="1">
      <alignment horizontal="center" vertical="center"/>
    </xf>
    <xf numFmtId="9" fontId="27" fillId="18" borderId="174" xfId="16" applyFont="1" applyFill="1" applyBorder="1" applyAlignment="1">
      <alignment horizontal="center"/>
    </xf>
    <xf numFmtId="0" fontId="27" fillId="30" borderId="59" xfId="0" applyFont="1" applyFill="1" applyBorder="1" applyAlignment="1">
      <alignment horizontal="center" vertical="center"/>
    </xf>
    <xf numFmtId="2" fontId="27" fillId="18" borderId="89" xfId="0" applyNumberFormat="1" applyFont="1" applyFill="1" applyBorder="1" applyAlignment="1">
      <alignment horizontal="center"/>
    </xf>
    <xf numFmtId="2" fontId="27" fillId="30" borderId="59" xfId="16" applyNumberFormat="1" applyFont="1" applyFill="1" applyBorder="1" applyAlignment="1">
      <alignment horizontal="center" vertical="center"/>
    </xf>
    <xf numFmtId="2" fontId="27" fillId="18" borderId="174" xfId="0" applyNumberFormat="1" applyFont="1" applyFill="1" applyBorder="1" applyAlignment="1">
      <alignment horizontal="center"/>
    </xf>
    <xf numFmtId="10" fontId="27" fillId="30" borderId="59" xfId="0" applyNumberFormat="1" applyFont="1" applyFill="1" applyBorder="1" applyAlignment="1">
      <alignment horizontal="center" vertical="center"/>
    </xf>
    <xf numFmtId="173" fontId="27" fillId="30" borderId="59" xfId="19" applyNumberFormat="1" applyFont="1" applyFill="1" applyBorder="1" applyAlignment="1">
      <alignment horizontal="center" vertical="center"/>
    </xf>
    <xf numFmtId="0" fontId="27" fillId="30" borderId="59" xfId="0" applyFont="1" applyFill="1" applyBorder="1" applyAlignment="1">
      <alignment horizontal="center"/>
    </xf>
    <xf numFmtId="9" fontId="27" fillId="18" borderId="61" xfId="16" applyFont="1" applyFill="1" applyBorder="1" applyAlignment="1">
      <alignment horizontal="center"/>
    </xf>
    <xf numFmtId="0" fontId="14" fillId="0" borderId="78" xfId="0" applyFont="1" applyBorder="1" applyAlignment="1">
      <alignment horizontal="left"/>
    </xf>
    <xf numFmtId="3" fontId="54" fillId="0" borderId="129" xfId="0" applyNumberFormat="1" applyFont="1" applyBorder="1" applyAlignment="1">
      <alignment horizontal="center" vertical="center"/>
    </xf>
    <xf numFmtId="3" fontId="54" fillId="8" borderId="130" xfId="0" applyNumberFormat="1" applyFont="1" applyFill="1" applyBorder="1" applyAlignment="1">
      <alignment horizontal="center" vertical="center"/>
    </xf>
    <xf numFmtId="0" fontId="54" fillId="0" borderId="177" xfId="0" applyFont="1" applyBorder="1"/>
    <xf numFmtId="4" fontId="6" fillId="0" borderId="178" xfId="29" applyNumberFormat="1" applyBorder="1" applyAlignment="1">
      <alignment horizontal="center"/>
    </xf>
    <xf numFmtId="0" fontId="54" fillId="0" borderId="35" xfId="0" applyFont="1" applyBorder="1"/>
    <xf numFmtId="10" fontId="6" fillId="0" borderId="0" xfId="29" quotePrefix="1" applyNumberFormat="1" applyAlignment="1">
      <alignment horizontal="right"/>
    </xf>
    <xf numFmtId="3" fontId="59" fillId="39" borderId="131" xfId="0" applyNumberFormat="1" applyFont="1" applyFill="1" applyBorder="1" applyAlignment="1">
      <alignment horizontal="center" vertical="center"/>
    </xf>
    <xf numFmtId="3" fontId="59" fillId="39" borderId="131" xfId="0" quotePrefix="1" applyNumberFormat="1" applyFont="1" applyFill="1" applyBorder="1" applyAlignment="1">
      <alignment horizontal="center" vertical="center"/>
    </xf>
    <xf numFmtId="3" fontId="59" fillId="0" borderId="131" xfId="0" applyNumberFormat="1" applyFont="1" applyBorder="1" applyAlignment="1">
      <alignment horizontal="center" vertical="center"/>
    </xf>
    <xf numFmtId="3" fontId="59" fillId="40" borderId="167" xfId="0" applyNumberFormat="1" applyFont="1" applyFill="1" applyBorder="1" applyAlignment="1">
      <alignment horizontal="center" vertical="center"/>
    </xf>
    <xf numFmtId="4" fontId="6" fillId="0" borderId="167" xfId="29" applyNumberFormat="1" applyBorder="1" applyAlignment="1">
      <alignment horizontal="center"/>
    </xf>
    <xf numFmtId="4" fontId="6" fillId="0" borderId="162" xfId="29" applyNumberFormat="1" applyBorder="1" applyAlignment="1">
      <alignment horizontal="center"/>
    </xf>
    <xf numFmtId="4" fontId="6" fillId="0" borderId="3" xfId="29" applyNumberFormat="1" applyBorder="1" applyAlignment="1">
      <alignment horizontal="center"/>
    </xf>
    <xf numFmtId="4" fontId="6" fillId="0" borderId="29" xfId="29" applyNumberFormat="1" applyBorder="1" applyAlignment="1">
      <alignment horizontal="center"/>
    </xf>
    <xf numFmtId="0" fontId="28" fillId="0" borderId="0" xfId="26" applyFont="1" applyAlignment="1">
      <alignment horizontal="center" vertical="center"/>
    </xf>
    <xf numFmtId="4" fontId="26" fillId="0" borderId="0" xfId="7" applyFont="1" applyFill="1" applyBorder="1">
      <alignment horizontal="right"/>
    </xf>
    <xf numFmtId="0" fontId="47" fillId="30" borderId="51" xfId="0" applyFont="1" applyFill="1" applyBorder="1" applyAlignment="1">
      <alignment horizontal="left" vertical="center"/>
    </xf>
    <xf numFmtId="10" fontId="0" fillId="0" borderId="43" xfId="0" applyNumberFormat="1" applyBorder="1" applyAlignment="1">
      <alignment horizontal="center" vertical="center"/>
    </xf>
    <xf numFmtId="0" fontId="47" fillId="0" borderId="0" xfId="0" applyFont="1" applyAlignment="1">
      <alignment horizontal="left" vertical="center"/>
    </xf>
    <xf numFmtId="0" fontId="58" fillId="35" borderId="61" xfId="0" applyFont="1" applyFill="1" applyBorder="1" applyAlignment="1">
      <alignment horizontal="center" vertical="center"/>
    </xf>
    <xf numFmtId="174" fontId="0" fillId="17" borderId="175" xfId="0" applyNumberFormat="1" applyFill="1" applyBorder="1" applyAlignment="1">
      <alignment horizontal="center"/>
    </xf>
    <xf numFmtId="0" fontId="0" fillId="30" borderId="59" xfId="0" applyFill="1" applyBorder="1" applyAlignment="1">
      <alignment horizontal="center"/>
    </xf>
    <xf numFmtId="9" fontId="0" fillId="0" borderId="174" xfId="16" applyFont="1" applyFill="1" applyBorder="1" applyAlignment="1">
      <alignment horizontal="center"/>
    </xf>
    <xf numFmtId="9" fontId="0" fillId="17" borderId="89" xfId="16" applyFont="1" applyFill="1" applyBorder="1" applyAlignment="1">
      <alignment horizontal="center"/>
    </xf>
    <xf numFmtId="9" fontId="0" fillId="0" borderId="89" xfId="16" applyFont="1" applyFill="1" applyBorder="1" applyAlignment="1">
      <alignment horizontal="center"/>
    </xf>
    <xf numFmtId="9" fontId="0" fillId="17" borderId="175" xfId="16" applyFont="1" applyFill="1" applyBorder="1" applyAlignment="1">
      <alignment horizontal="center"/>
    </xf>
    <xf numFmtId="2" fontId="0" fillId="0" borderId="174" xfId="0" applyNumberFormat="1" applyBorder="1" applyAlignment="1">
      <alignment horizontal="center"/>
    </xf>
    <xf numFmtId="2" fontId="0" fillId="17" borderId="89" xfId="0" applyNumberFormat="1" applyFill="1" applyBorder="1" applyAlignment="1">
      <alignment horizontal="center"/>
    </xf>
    <xf numFmtId="2" fontId="0" fillId="0" borderId="175" xfId="0" applyNumberFormat="1" applyBorder="1" applyAlignment="1">
      <alignment horizontal="center"/>
    </xf>
    <xf numFmtId="2" fontId="0" fillId="17" borderId="174" xfId="0" applyNumberFormat="1" applyFill="1" applyBorder="1" applyAlignment="1">
      <alignment horizontal="center"/>
    </xf>
    <xf numFmtId="2" fontId="0" fillId="0" borderId="89" xfId="0" applyNumberFormat="1" applyBorder="1" applyAlignment="1">
      <alignment horizontal="center"/>
    </xf>
    <xf numFmtId="171" fontId="0" fillId="0" borderId="174" xfId="0" applyNumberFormat="1" applyBorder="1" applyAlignment="1">
      <alignment horizontal="center"/>
    </xf>
    <xf numFmtId="171" fontId="0" fillId="17" borderId="89" xfId="0" applyNumberFormat="1" applyFill="1" applyBorder="1" applyAlignment="1">
      <alignment horizontal="center"/>
    </xf>
    <xf numFmtId="171" fontId="0" fillId="0" borderId="89" xfId="0" applyNumberFormat="1" applyBorder="1" applyAlignment="1">
      <alignment horizontal="center"/>
    </xf>
    <xf numFmtId="171" fontId="0" fillId="0" borderId="175" xfId="0" applyNumberFormat="1" applyBorder="1" applyAlignment="1">
      <alignment horizontal="center"/>
    </xf>
    <xf numFmtId="2" fontId="0" fillId="17" borderId="89" xfId="16" applyNumberFormat="1" applyFont="1" applyFill="1" applyBorder="1" applyAlignment="1">
      <alignment horizontal="center"/>
    </xf>
    <xf numFmtId="9" fontId="0" fillId="0" borderId="92" xfId="16" applyFont="1" applyFill="1" applyBorder="1" applyAlignment="1">
      <alignment horizontal="center"/>
    </xf>
    <xf numFmtId="0" fontId="72" fillId="35" borderId="59" xfId="0" applyFont="1" applyFill="1" applyBorder="1" applyAlignment="1">
      <alignment horizontal="center" vertical="center" wrapText="1"/>
    </xf>
    <xf numFmtId="0" fontId="28" fillId="5" borderId="183" xfId="26" applyFont="1" applyFill="1" applyBorder="1" applyAlignment="1">
      <alignment horizontal="center" vertical="center"/>
    </xf>
    <xf numFmtId="4" fontId="26" fillId="27" borderId="184" xfId="7" applyFont="1" applyFill="1" applyBorder="1">
      <alignment horizontal="right"/>
    </xf>
    <xf numFmtId="4" fontId="9" fillId="12" borderId="184" xfId="7" applyFont="1" applyFill="1" applyBorder="1">
      <alignment horizontal="right"/>
    </xf>
    <xf numFmtId="4" fontId="33" fillId="9" borderId="185" xfId="7" applyFont="1" applyFill="1" applyBorder="1">
      <alignment horizontal="right"/>
    </xf>
    <xf numFmtId="0" fontId="58" fillId="35" borderId="0" xfId="24" applyFont="1" applyFill="1"/>
    <xf numFmtId="0" fontId="73" fillId="35" borderId="0" xfId="24" applyFont="1" applyFill="1" applyAlignment="1">
      <alignment horizontal="left" vertical="center"/>
    </xf>
    <xf numFmtId="0" fontId="73" fillId="35" borderId="0" xfId="24" applyFont="1" applyFill="1" applyAlignment="1">
      <alignment horizontal="center" vertical="center"/>
    </xf>
    <xf numFmtId="0" fontId="9" fillId="30" borderId="0" xfId="24" applyFill="1"/>
    <xf numFmtId="0" fontId="9" fillId="0" borderId="0" xfId="24"/>
    <xf numFmtId="10" fontId="0" fillId="0" borderId="0" xfId="16" applyNumberFormat="1" applyFont="1" applyAlignment="1">
      <alignment horizontal="left"/>
    </xf>
    <xf numFmtId="0" fontId="14" fillId="0" borderId="0" xfId="24" applyFont="1"/>
    <xf numFmtId="0" fontId="9" fillId="8" borderId="0" xfId="24" applyFill="1"/>
    <xf numFmtId="10" fontId="9" fillId="8" borderId="0" xfId="24" applyNumberFormat="1" applyFill="1"/>
    <xf numFmtId="0" fontId="9" fillId="0" borderId="0" xfId="24" applyAlignment="1">
      <alignment horizontal="left"/>
    </xf>
    <xf numFmtId="10" fontId="74" fillId="0" borderId="0" xfId="24" applyNumberFormat="1" applyFont="1" applyAlignment="1">
      <alignment horizontal="center"/>
    </xf>
    <xf numFmtId="10" fontId="9" fillId="0" borderId="0" xfId="24" applyNumberFormat="1"/>
    <xf numFmtId="170" fontId="0" fillId="0" borderId="0" xfId="16" applyNumberFormat="1" applyFont="1"/>
    <xf numFmtId="0" fontId="50" fillId="30" borderId="0" xfId="24" applyFont="1" applyFill="1"/>
    <xf numFmtId="0" fontId="57" fillId="0" borderId="0" xfId="24" applyFont="1" applyAlignment="1">
      <alignment horizontal="center"/>
    </xf>
    <xf numFmtId="0" fontId="9" fillId="23" borderId="0" xfId="0" applyFont="1" applyFill="1" applyAlignment="1">
      <alignment horizontal="center" vertical="center"/>
    </xf>
    <xf numFmtId="178" fontId="75" fillId="45" borderId="0" xfId="16" applyNumberFormat="1" applyFont="1" applyFill="1" applyBorder="1" applyAlignment="1">
      <alignment horizontal="center"/>
    </xf>
    <xf numFmtId="0" fontId="58" fillId="0" borderId="0" xfId="24" applyFont="1"/>
    <xf numFmtId="0" fontId="73" fillId="0" borderId="0" xfId="24" applyFont="1" applyAlignment="1">
      <alignment horizontal="center" vertical="center"/>
    </xf>
    <xf numFmtId="0" fontId="14" fillId="8" borderId="0" xfId="24" applyFont="1" applyFill="1" applyAlignment="1">
      <alignment horizontal="center" vertical="center"/>
    </xf>
    <xf numFmtId="0" fontId="0" fillId="0" borderId="104" xfId="0" applyBorder="1" applyAlignment="1">
      <alignment horizontal="center"/>
    </xf>
    <xf numFmtId="0" fontId="64" fillId="34" borderId="103" xfId="0" applyFont="1" applyFill="1" applyBorder="1" applyAlignment="1">
      <alignment horizontal="center" vertical="center"/>
    </xf>
    <xf numFmtId="9" fontId="64" fillId="34" borderId="106" xfId="16" applyFont="1" applyFill="1" applyBorder="1" applyAlignment="1">
      <alignment horizontal="center" vertical="center" wrapText="1"/>
    </xf>
    <xf numFmtId="0" fontId="64" fillId="34" borderId="106" xfId="16" applyNumberFormat="1" applyFont="1" applyFill="1" applyBorder="1" applyAlignment="1">
      <alignment horizontal="center" vertical="center" wrapText="1"/>
    </xf>
    <xf numFmtId="179" fontId="64" fillId="34" borderId="106" xfId="16" applyNumberFormat="1" applyFont="1" applyFill="1" applyBorder="1" applyAlignment="1">
      <alignment horizontal="center" vertical="center" wrapText="1"/>
    </xf>
    <xf numFmtId="9" fontId="64" fillId="34" borderId="103" xfId="16" applyFont="1" applyFill="1" applyBorder="1" applyAlignment="1">
      <alignment horizontal="center" vertical="center" wrapText="1"/>
    </xf>
    <xf numFmtId="0" fontId="64" fillId="34" borderId="103" xfId="0" applyFont="1" applyFill="1" applyBorder="1" applyAlignment="1">
      <alignment horizontal="center" vertical="center" wrapText="1"/>
    </xf>
    <xf numFmtId="0" fontId="0" fillId="8" borderId="0" xfId="0" applyFill="1" applyAlignment="1">
      <alignment horizontal="center" vertical="center"/>
    </xf>
    <xf numFmtId="180" fontId="0" fillId="0" borderId="0" xfId="0" applyNumberFormat="1" applyAlignment="1">
      <alignment vertical="center"/>
    </xf>
    <xf numFmtId="0" fontId="0" fillId="0" borderId="0" xfId="0" applyAlignment="1">
      <alignment vertical="center"/>
    </xf>
    <xf numFmtId="0" fontId="0" fillId="0" borderId="38" xfId="0" applyBorder="1" applyAlignment="1">
      <alignment horizontal="center" vertical="center"/>
    </xf>
    <xf numFmtId="2" fontId="0" fillId="0" borderId="38" xfId="0" applyNumberFormat="1" applyBorder="1" applyAlignment="1">
      <alignment horizontal="center" vertical="center"/>
    </xf>
    <xf numFmtId="2" fontId="64" fillId="0" borderId="38" xfId="0" applyNumberFormat="1" applyFont="1" applyBorder="1" applyAlignment="1">
      <alignment horizontal="center" vertical="center"/>
    </xf>
    <xf numFmtId="0" fontId="0" fillId="0" borderId="107" xfId="0" applyBorder="1" applyAlignment="1">
      <alignment horizontal="center"/>
    </xf>
    <xf numFmtId="9" fontId="76" fillId="34" borderId="38" xfId="16" applyFont="1" applyFill="1" applyBorder="1" applyAlignment="1">
      <alignment horizontal="center" vertical="center" wrapText="1"/>
    </xf>
    <xf numFmtId="9" fontId="76" fillId="34" borderId="38" xfId="16" applyFont="1" applyFill="1" applyBorder="1" applyAlignment="1">
      <alignment horizontal="center" vertical="center"/>
    </xf>
    <xf numFmtId="0" fontId="14" fillId="0" borderId="0" xfId="0" applyFont="1" applyAlignment="1">
      <alignment horizontal="left" vertical="center"/>
    </xf>
    <xf numFmtId="0" fontId="27" fillId="8" borderId="0" xfId="0" applyFont="1" applyFill="1" applyAlignment="1">
      <alignment horizontal="center" vertical="center"/>
    </xf>
    <xf numFmtId="0" fontId="78" fillId="31" borderId="103" xfId="0" applyFont="1" applyFill="1" applyBorder="1" applyAlignment="1">
      <alignment horizontal="left" vertical="center"/>
    </xf>
    <xf numFmtId="0" fontId="0" fillId="0" borderId="104" xfId="0" applyBorder="1" applyAlignment="1">
      <alignment horizontal="center" vertical="center"/>
    </xf>
    <xf numFmtId="0" fontId="0" fillId="0" borderId="103" xfId="0" applyBorder="1" applyAlignment="1">
      <alignment horizontal="center" vertical="center"/>
    </xf>
    <xf numFmtId="0" fontId="28" fillId="31" borderId="0" xfId="0" applyFont="1" applyFill="1" applyAlignment="1">
      <alignment vertical="center"/>
    </xf>
    <xf numFmtId="0" fontId="0" fillId="0" borderId="164" xfId="0" applyBorder="1" applyAlignment="1">
      <alignment horizontal="center" vertical="center"/>
    </xf>
    <xf numFmtId="0" fontId="0" fillId="0" borderId="190" xfId="0" applyBorder="1" applyAlignment="1">
      <alignment horizontal="center" vertical="center"/>
    </xf>
    <xf numFmtId="0" fontId="0" fillId="0" borderId="107" xfId="0" applyBorder="1" applyAlignment="1">
      <alignment horizontal="center" vertical="center"/>
    </xf>
    <xf numFmtId="0" fontId="78" fillId="31" borderId="0" xfId="0" applyFont="1" applyFill="1" applyAlignment="1">
      <alignment horizontal="left" vertical="center"/>
    </xf>
    <xf numFmtId="0" fontId="0" fillId="0" borderId="192" xfId="0" applyBorder="1" applyAlignment="1">
      <alignment horizontal="center" vertical="center"/>
    </xf>
    <xf numFmtId="0" fontId="0" fillId="8" borderId="0" xfId="0" applyFill="1" applyAlignment="1">
      <alignment vertical="center"/>
    </xf>
    <xf numFmtId="0" fontId="14" fillId="0" borderId="0" xfId="0" applyFont="1" applyAlignment="1">
      <alignment vertical="center"/>
    </xf>
    <xf numFmtId="0" fontId="0" fillId="0" borderId="106" xfId="0" applyBorder="1" applyAlignment="1">
      <alignment horizontal="center" vertical="center"/>
    </xf>
    <xf numFmtId="0" fontId="0" fillId="0" borderId="168" xfId="0" applyBorder="1" applyAlignment="1">
      <alignment horizontal="center" vertical="center"/>
    </xf>
    <xf numFmtId="181" fontId="0" fillId="0" borderId="38" xfId="0" applyNumberFormat="1" applyBorder="1" applyAlignment="1">
      <alignment horizontal="center" vertical="center"/>
    </xf>
    <xf numFmtId="9" fontId="64" fillId="12" borderId="103" xfId="16" applyFont="1" applyFill="1" applyBorder="1" applyAlignment="1">
      <alignment horizontal="center" vertical="center" wrapText="1"/>
    </xf>
    <xf numFmtId="0" fontId="64" fillId="12" borderId="103" xfId="16" applyNumberFormat="1" applyFont="1" applyFill="1" applyBorder="1" applyAlignment="1">
      <alignment horizontal="center" vertical="center" wrapText="1"/>
    </xf>
    <xf numFmtId="9" fontId="76" fillId="12" borderId="38" xfId="16" applyFont="1" applyFill="1" applyBorder="1" applyAlignment="1">
      <alignment horizontal="center" vertical="center" wrapText="1"/>
    </xf>
    <xf numFmtId="3" fontId="62" fillId="37" borderId="157" xfId="0" applyNumberFormat="1" applyFont="1" applyFill="1" applyBorder="1" applyAlignment="1">
      <alignment horizontal="center" vertical="center"/>
    </xf>
    <xf numFmtId="178" fontId="75" fillId="45" borderId="0" xfId="16" applyNumberFormat="1" applyFont="1" applyFill="1" applyAlignment="1">
      <alignment horizontal="center"/>
    </xf>
    <xf numFmtId="4" fontId="6" fillId="0" borderId="160" xfId="29" applyNumberFormat="1" applyBorder="1" applyAlignment="1">
      <alignment horizontal="center"/>
    </xf>
    <xf numFmtId="3" fontId="5" fillId="42" borderId="140" xfId="30" applyNumberFormat="1" applyFill="1" applyBorder="1" applyAlignment="1">
      <alignment horizontal="center" vertical="center"/>
    </xf>
    <xf numFmtId="0" fontId="74" fillId="0" borderId="0" xfId="24" applyFont="1" applyAlignment="1">
      <alignment horizontal="center"/>
    </xf>
    <xf numFmtId="14" fontId="84" fillId="0" borderId="0" xfId="0" applyNumberFormat="1" applyFont="1"/>
    <xf numFmtId="0" fontId="34" fillId="8" borderId="0" xfId="0" applyFont="1" applyFill="1"/>
    <xf numFmtId="3" fontId="85" fillId="0" borderId="0" xfId="0" applyNumberFormat="1" applyFont="1" applyAlignment="1">
      <alignment horizontal="center" vertical="center"/>
    </xf>
    <xf numFmtId="0" fontId="9" fillId="8" borderId="0" xfId="0" applyFont="1" applyFill="1" applyAlignment="1">
      <alignment wrapText="1"/>
    </xf>
    <xf numFmtId="0" fontId="9" fillId="8" borderId="20" xfId="0" applyFont="1" applyFill="1" applyBorder="1" applyAlignment="1">
      <alignment horizontal="center" vertical="center" wrapText="1"/>
    </xf>
    <xf numFmtId="14" fontId="14" fillId="0" borderId="200" xfId="0" applyNumberFormat="1" applyFont="1" applyBorder="1" applyAlignment="1">
      <alignment horizontal="center" vertical="center"/>
    </xf>
    <xf numFmtId="14" fontId="14" fillId="0" borderId="201" xfId="0" applyNumberFormat="1" applyFont="1" applyBorder="1" applyAlignment="1">
      <alignment horizontal="center" vertical="center"/>
    </xf>
    <xf numFmtId="0" fontId="9" fillId="0" borderId="205" xfId="0" applyFont="1" applyBorder="1" applyAlignment="1">
      <alignment horizontal="center" vertical="center"/>
    </xf>
    <xf numFmtId="0" fontId="0" fillId="0" borderId="206" xfId="0" applyBorder="1" applyAlignment="1">
      <alignment horizontal="center" vertical="center"/>
    </xf>
    <xf numFmtId="0" fontId="0" fillId="0" borderId="207" xfId="0" applyBorder="1"/>
    <xf numFmtId="0" fontId="0" fillId="0" borderId="207" xfId="0" quotePrefix="1" applyBorder="1"/>
    <xf numFmtId="2" fontId="0" fillId="23" borderId="211" xfId="16" applyNumberFormat="1" applyFont="1" applyFill="1" applyBorder="1" applyAlignment="1">
      <alignment horizontal="center"/>
    </xf>
    <xf numFmtId="170" fontId="0" fillId="23" borderId="211" xfId="16" applyNumberFormat="1" applyFont="1" applyFill="1" applyBorder="1" applyAlignment="1">
      <alignment horizontal="center"/>
    </xf>
    <xf numFmtId="171" fontId="0" fillId="23" borderId="211" xfId="16" applyNumberFormat="1" applyFont="1" applyFill="1" applyBorder="1" applyAlignment="1">
      <alignment horizontal="center"/>
    </xf>
    <xf numFmtId="171" fontId="0" fillId="23" borderId="211" xfId="0" applyNumberFormat="1" applyFill="1" applyBorder="1" applyAlignment="1">
      <alignment horizontal="center"/>
    </xf>
    <xf numFmtId="0" fontId="14" fillId="0" borderId="207" xfId="0" applyFont="1" applyBorder="1" applyAlignment="1">
      <alignment horizontal="center"/>
    </xf>
    <xf numFmtId="0" fontId="0" fillId="7" borderId="0" xfId="0" applyFill="1"/>
    <xf numFmtId="170" fontId="0" fillId="8" borderId="211" xfId="16" quotePrefix="1" applyNumberFormat="1" applyFont="1" applyFill="1" applyBorder="1" applyAlignment="1">
      <alignment horizontal="center"/>
    </xf>
    <xf numFmtId="170" fontId="0" fillId="8" borderId="211" xfId="25" applyNumberFormat="1" applyFont="1" applyFill="1" applyBorder="1" applyAlignment="1">
      <alignment horizontal="center"/>
    </xf>
    <xf numFmtId="10" fontId="0" fillId="8" borderId="211" xfId="25" applyNumberFormat="1" applyFont="1" applyFill="1" applyBorder="1" applyAlignment="1">
      <alignment horizontal="center"/>
    </xf>
    <xf numFmtId="0" fontId="28" fillId="31" borderId="42" xfId="0" applyFont="1" applyFill="1" applyBorder="1" applyAlignment="1">
      <alignment horizontal="center"/>
    </xf>
    <xf numFmtId="0" fontId="28" fillId="31" borderId="214" xfId="0" applyFont="1" applyFill="1" applyBorder="1" applyAlignment="1">
      <alignment horizontal="center"/>
    </xf>
    <xf numFmtId="0" fontId="28" fillId="31" borderId="219" xfId="0" applyFont="1" applyFill="1" applyBorder="1" applyAlignment="1">
      <alignment horizontal="center"/>
    </xf>
    <xf numFmtId="0" fontId="28" fillId="31" borderId="220" xfId="0" applyFont="1" applyFill="1" applyBorder="1" applyAlignment="1">
      <alignment horizontal="center"/>
    </xf>
    <xf numFmtId="0" fontId="14" fillId="0" borderId="219" xfId="0" applyFont="1" applyBorder="1" applyAlignment="1">
      <alignment horizontal="center"/>
    </xf>
    <xf numFmtId="0" fontId="14" fillId="0" borderId="220" xfId="0" applyFont="1" applyBorder="1" applyAlignment="1">
      <alignment horizontal="center"/>
    </xf>
    <xf numFmtId="169" fontId="0" fillId="23" borderId="211" xfId="0" applyNumberFormat="1" applyFill="1" applyBorder="1" applyAlignment="1">
      <alignment horizontal="center"/>
    </xf>
    <xf numFmtId="0" fontId="0" fillId="0" borderId="219" xfId="0" applyBorder="1" applyAlignment="1">
      <alignment horizontal="center"/>
    </xf>
    <xf numFmtId="169" fontId="14" fillId="23" borderId="211" xfId="0" applyNumberFormat="1" applyFont="1" applyFill="1" applyBorder="1" applyAlignment="1">
      <alignment horizontal="center"/>
    </xf>
    <xf numFmtId="2" fontId="0" fillId="23" borderId="220" xfId="0" applyNumberFormat="1" applyFill="1" applyBorder="1" applyAlignment="1">
      <alignment horizontal="center"/>
    </xf>
    <xf numFmtId="2" fontId="34" fillId="23" borderId="220" xfId="16" applyNumberFormat="1" applyFont="1" applyFill="1" applyBorder="1" applyAlignment="1">
      <alignment horizontal="center"/>
    </xf>
    <xf numFmtId="0" fontId="36" fillId="12" borderId="97" xfId="26" applyFont="1" applyFill="1" applyBorder="1" applyAlignment="1">
      <alignment horizontal="center" vertical="center" wrapText="1"/>
    </xf>
    <xf numFmtId="0" fontId="88" fillId="12" borderId="97" xfId="26" applyFont="1" applyFill="1" applyBorder="1" applyAlignment="1">
      <alignment horizontal="center" vertical="center" wrapText="1"/>
    </xf>
    <xf numFmtId="182" fontId="0" fillId="31" borderId="85" xfId="0" applyNumberFormat="1" applyFill="1" applyBorder="1"/>
    <xf numFmtId="10" fontId="54" fillId="0" borderId="0" xfId="0" applyNumberFormat="1" applyFont="1"/>
    <xf numFmtId="10" fontId="9" fillId="0" borderId="0" xfId="26" applyNumberFormat="1"/>
    <xf numFmtId="9" fontId="9" fillId="0" borderId="0" xfId="26" applyNumberFormat="1"/>
    <xf numFmtId="183" fontId="0" fillId="31" borderId="85" xfId="0" applyNumberFormat="1" applyFill="1" applyBorder="1"/>
    <xf numFmtId="0" fontId="89" fillId="0" borderId="0" xfId="0" applyFont="1" applyAlignment="1">
      <alignment horizontal="right"/>
    </xf>
    <xf numFmtId="0" fontId="0" fillId="30" borderId="54" xfId="0" applyFill="1" applyBorder="1" applyAlignment="1">
      <alignment horizontal="center"/>
    </xf>
    <xf numFmtId="0" fontId="14" fillId="8" borderId="88" xfId="0" applyFont="1" applyFill="1" applyBorder="1" applyAlignment="1">
      <alignment horizontal="left" vertical="center"/>
    </xf>
    <xf numFmtId="10" fontId="0" fillId="8" borderId="89" xfId="16" applyNumberFormat="1" applyFont="1" applyFill="1" applyBorder="1" applyAlignment="1">
      <alignment horizontal="center" vertical="center"/>
    </xf>
    <xf numFmtId="9" fontId="9" fillId="0" borderId="0" xfId="24" applyNumberFormat="1"/>
    <xf numFmtId="170" fontId="9" fillId="0" borderId="0" xfId="24" applyNumberFormat="1"/>
    <xf numFmtId="10" fontId="9" fillId="0" borderId="0" xfId="16" applyNumberFormat="1"/>
    <xf numFmtId="0" fontId="9" fillId="0" borderId="0" xfId="24" quotePrefix="1"/>
    <xf numFmtId="3" fontId="6" fillId="0" borderId="131" xfId="29" applyNumberFormat="1" applyBorder="1" applyAlignment="1">
      <alignment horizontal="center"/>
    </xf>
    <xf numFmtId="38" fontId="107" fillId="77" borderId="229" xfId="74" applyNumberFormat="1" applyFont="1" applyFill="1" applyBorder="1" applyAlignment="1">
      <alignment horizontal="right" wrapText="1"/>
    </xf>
    <xf numFmtId="38" fontId="107" fillId="78" borderId="229" xfId="74" applyNumberFormat="1" applyFont="1" applyFill="1" applyBorder="1" applyAlignment="1">
      <alignment horizontal="right" wrapText="1"/>
    </xf>
    <xf numFmtId="10" fontId="9" fillId="0" borderId="0" xfId="26" applyNumberFormat="1" applyAlignment="1">
      <alignment wrapText="1"/>
    </xf>
    <xf numFmtId="10" fontId="0" fillId="0" borderId="0" xfId="0" applyNumberFormat="1" applyAlignment="1">
      <alignment wrapText="1"/>
    </xf>
    <xf numFmtId="0" fontId="0" fillId="0" borderId="50" xfId="0" applyBorder="1" applyAlignment="1">
      <alignment vertical="center"/>
    </xf>
    <xf numFmtId="0" fontId="0" fillId="0" borderId="50" xfId="0" applyBorder="1" applyAlignment="1">
      <alignment horizontal="center" vertical="center"/>
    </xf>
    <xf numFmtId="10" fontId="0" fillId="8" borderId="94" xfId="16" applyNumberFormat="1" applyFont="1" applyFill="1" applyBorder="1" applyAlignment="1">
      <alignment horizontal="center" vertical="center"/>
    </xf>
    <xf numFmtId="4" fontId="34" fillId="0" borderId="97" xfId="7" applyFont="1" applyFill="1" applyBorder="1" applyAlignment="1">
      <alignment horizontal="right" vertical="center" wrapText="1"/>
    </xf>
    <xf numFmtId="168" fontId="0" fillId="0" borderId="79" xfId="0" applyNumberFormat="1" applyBorder="1" applyAlignment="1">
      <alignment horizontal="center"/>
    </xf>
    <xf numFmtId="172" fontId="0" fillId="8" borderId="97" xfId="6" applyFont="1" applyFill="1" applyBorder="1" applyAlignment="1">
      <alignment horizontal="right" vertical="center" wrapText="1"/>
    </xf>
    <xf numFmtId="16" fontId="9" fillId="0" borderId="0" xfId="26" applyNumberFormat="1"/>
    <xf numFmtId="0" fontId="9" fillId="8" borderId="97" xfId="27" applyFont="1" applyFill="1" applyBorder="1" applyAlignment="1">
      <alignment horizontal="right" vertical="center" wrapText="1"/>
    </xf>
    <xf numFmtId="0" fontId="14" fillId="0" borderId="81" xfId="0" applyFont="1" applyBorder="1" applyAlignment="1">
      <alignment horizontal="left"/>
    </xf>
    <xf numFmtId="168" fontId="0" fillId="0" borderId="43" xfId="0" applyNumberFormat="1" applyBorder="1" applyAlignment="1">
      <alignment horizontal="center"/>
    </xf>
    <xf numFmtId="9" fontId="0" fillId="0" borderId="0" xfId="16" applyFont="1" applyBorder="1"/>
    <xf numFmtId="10" fontId="0" fillId="32" borderId="0" xfId="0" applyNumberFormat="1" applyFill="1"/>
    <xf numFmtId="9" fontId="9" fillId="0" borderId="0" xfId="0" applyNumberFormat="1" applyFont="1" applyAlignment="1">
      <alignment horizontal="center"/>
    </xf>
    <xf numFmtId="0" fontId="109" fillId="8" borderId="0" xfId="0" applyFont="1" applyFill="1" applyAlignment="1">
      <alignment wrapText="1"/>
    </xf>
    <xf numFmtId="0" fontId="9" fillId="0" borderId="0" xfId="26" applyAlignment="1">
      <alignment horizontal="center" vertical="center"/>
    </xf>
    <xf numFmtId="174" fontId="0" fillId="8" borderId="174" xfId="0" applyNumberFormat="1" applyFill="1" applyBorder="1" applyAlignment="1">
      <alignment horizontal="center"/>
    </xf>
    <xf numFmtId="0" fontId="9" fillId="8" borderId="0" xfId="0" applyFont="1" applyFill="1"/>
    <xf numFmtId="9" fontId="0" fillId="8" borderId="83" xfId="16" applyFont="1" applyFill="1" applyBorder="1" applyAlignment="1">
      <alignment horizontal="center"/>
    </xf>
    <xf numFmtId="0" fontId="0" fillId="0" borderId="0" xfId="26" applyFont="1" applyAlignment="1">
      <alignment horizontal="center" vertical="center"/>
    </xf>
    <xf numFmtId="170" fontId="0" fillId="8" borderId="83" xfId="16" applyNumberFormat="1" applyFont="1" applyFill="1" applyBorder="1" applyAlignment="1">
      <alignment horizontal="center"/>
    </xf>
    <xf numFmtId="170" fontId="0" fillId="8" borderId="174" xfId="16" applyNumberFormat="1" applyFont="1" applyFill="1" applyBorder="1" applyAlignment="1">
      <alignment horizontal="center"/>
    </xf>
    <xf numFmtId="174" fontId="27" fillId="18" borderId="174" xfId="0" applyNumberFormat="1" applyFont="1" applyFill="1" applyBorder="1" applyAlignment="1">
      <alignment horizontal="center"/>
    </xf>
    <xf numFmtId="0" fontId="80" fillId="0" borderId="37" xfId="0" applyFont="1" applyBorder="1"/>
    <xf numFmtId="0" fontId="0" fillId="79" borderId="2" xfId="0" applyFill="1" applyBorder="1"/>
    <xf numFmtId="3" fontId="67" fillId="37" borderId="140" xfId="0" applyNumberFormat="1" applyFont="1" applyFill="1" applyBorder="1" applyAlignment="1">
      <alignment horizontal="center" vertical="center"/>
    </xf>
    <xf numFmtId="10" fontId="40" fillId="0" borderId="0" xfId="0" applyNumberFormat="1" applyFont="1" applyAlignment="1">
      <alignment horizontal="center"/>
    </xf>
    <xf numFmtId="10" fontId="39" fillId="0" borderId="0" xfId="0" applyNumberFormat="1" applyFont="1"/>
    <xf numFmtId="184" fontId="27" fillId="18" borderId="83" xfId="16" applyNumberFormat="1" applyFont="1" applyFill="1" applyBorder="1" applyAlignment="1">
      <alignment horizontal="center"/>
    </xf>
    <xf numFmtId="0" fontId="77" fillId="5" borderId="98" xfId="4" applyFont="1" applyFill="1" applyBorder="1" applyAlignment="1">
      <alignment horizontal="center" vertical="center"/>
    </xf>
    <xf numFmtId="3" fontId="69" fillId="0" borderId="97" xfId="26" applyNumberFormat="1" applyFont="1" applyBorder="1" applyAlignment="1">
      <alignment horizontal="center" vertical="center"/>
    </xf>
    <xf numFmtId="184" fontId="69" fillId="34" borderId="97" xfId="26" applyNumberFormat="1" applyFont="1" applyFill="1" applyBorder="1"/>
    <xf numFmtId="184" fontId="69" fillId="34" borderId="97" xfId="26" applyNumberFormat="1" applyFont="1" applyFill="1" applyBorder="1" applyAlignment="1">
      <alignment horizontal="center" vertical="center"/>
    </xf>
    <xf numFmtId="4" fontId="112" fillId="0" borderId="0" xfId="0" applyNumberFormat="1" applyFont="1" applyAlignment="1">
      <alignment horizontal="center" vertical="center"/>
    </xf>
    <xf numFmtId="4" fontId="69" fillId="0" borderId="97" xfId="26" applyNumberFormat="1" applyFont="1" applyBorder="1" applyAlignment="1">
      <alignment horizontal="center" vertical="center"/>
    </xf>
    <xf numFmtId="4" fontId="9" fillId="0" borderId="97" xfId="26" applyNumberFormat="1" applyBorder="1" applyAlignment="1">
      <alignment vertical="center"/>
    </xf>
    <xf numFmtId="4" fontId="9" fillId="0" borderId="0" xfId="26" applyNumberFormat="1" applyAlignment="1">
      <alignment horizontal="center" vertical="center"/>
    </xf>
    <xf numFmtId="4" fontId="35" fillId="0" borderId="97" xfId="7" applyFont="1" applyFill="1" applyBorder="1" applyAlignment="1">
      <alignment horizontal="right" vertical="center" wrapText="1"/>
    </xf>
    <xf numFmtId="0" fontId="9" fillId="0" borderId="97" xfId="26" applyBorder="1" applyAlignment="1">
      <alignment horizontal="center" vertical="center" wrapText="1"/>
    </xf>
    <xf numFmtId="0" fontId="90" fillId="8" borderId="229" xfId="0" applyFont="1" applyFill="1" applyBorder="1" applyAlignment="1">
      <alignment horizontal="center" vertical="center" wrapText="1"/>
    </xf>
    <xf numFmtId="9" fontId="0" fillId="8" borderId="85" xfId="16" applyFont="1" applyFill="1" applyBorder="1" applyAlignment="1">
      <alignment horizontal="center"/>
    </xf>
    <xf numFmtId="0" fontId="26" fillId="12" borderId="17" xfId="0" applyFont="1" applyFill="1" applyBorder="1" applyAlignment="1">
      <alignment horizontal="center"/>
    </xf>
    <xf numFmtId="0" fontId="9" fillId="12" borderId="17" xfId="0" applyFont="1" applyFill="1" applyBorder="1" applyAlignment="1">
      <alignment horizontal="center"/>
    </xf>
    <xf numFmtId="0" fontId="9" fillId="27" borderId="17" xfId="0" applyFont="1" applyFill="1" applyBorder="1" applyAlignment="1">
      <alignment horizontal="center"/>
    </xf>
    <xf numFmtId="0" fontId="113" fillId="0" borderId="0" xfId="0" applyFont="1"/>
    <xf numFmtId="3" fontId="54" fillId="0" borderId="131" xfId="0" applyNumberFormat="1" applyFont="1" applyBorder="1" applyAlignment="1">
      <alignment horizontal="center" vertical="center"/>
    </xf>
    <xf numFmtId="3" fontId="54" fillId="0" borderId="160" xfId="0" applyNumberFormat="1" applyFont="1" applyBorder="1" applyAlignment="1">
      <alignment horizontal="center" vertical="center"/>
    </xf>
    <xf numFmtId="3" fontId="54" fillId="0" borderId="140" xfId="0" applyNumberFormat="1" applyFont="1" applyBorder="1" applyAlignment="1">
      <alignment horizontal="center" vertical="center"/>
    </xf>
    <xf numFmtId="3" fontId="54" fillId="0" borderId="38" xfId="0" applyNumberFormat="1" applyFont="1" applyBorder="1" applyAlignment="1">
      <alignment horizontal="center" vertical="center"/>
    </xf>
    <xf numFmtId="3" fontId="26" fillId="0" borderId="140" xfId="0" applyNumberFormat="1" applyFont="1" applyBorder="1" applyAlignment="1">
      <alignment horizontal="center" vertical="center"/>
    </xf>
    <xf numFmtId="3" fontId="26" fillId="0" borderId="38" xfId="0" applyNumberFormat="1" applyFont="1" applyBorder="1" applyAlignment="1">
      <alignment horizontal="center" vertical="center"/>
    </xf>
    <xf numFmtId="3" fontId="26" fillId="0" borderId="131" xfId="0" applyNumberFormat="1" applyFont="1" applyBorder="1" applyAlignment="1">
      <alignment horizontal="center" vertical="center"/>
    </xf>
    <xf numFmtId="3" fontId="67" fillId="0" borderId="38" xfId="0" applyNumberFormat="1" applyFont="1" applyBorder="1" applyAlignment="1">
      <alignment horizontal="center" vertical="center"/>
    </xf>
    <xf numFmtId="3" fontId="67" fillId="0" borderId="131" xfId="0" applyNumberFormat="1" applyFont="1" applyBorder="1" applyAlignment="1">
      <alignment horizontal="center" vertical="center"/>
    </xf>
    <xf numFmtId="3" fontId="62" fillId="0" borderId="38" xfId="0" applyNumberFormat="1" applyFont="1" applyBorder="1" applyAlignment="1">
      <alignment horizontal="center" vertical="center"/>
    </xf>
    <xf numFmtId="3" fontId="62" fillId="0" borderId="131" xfId="0" applyNumberFormat="1" applyFont="1" applyBorder="1" applyAlignment="1">
      <alignment horizontal="center" vertical="center"/>
    </xf>
    <xf numFmtId="3" fontId="62" fillId="37" borderId="141" xfId="0" applyNumberFormat="1" applyFont="1" applyFill="1" applyBorder="1" applyAlignment="1">
      <alignment horizontal="center" vertical="center"/>
    </xf>
    <xf numFmtId="3" fontId="62" fillId="37" borderId="154" xfId="0" applyNumberFormat="1" applyFont="1" applyFill="1" applyBorder="1" applyAlignment="1">
      <alignment horizontal="center" vertical="center"/>
    </xf>
    <xf numFmtId="3" fontId="62" fillId="37" borderId="155" xfId="0" applyNumberFormat="1" applyFont="1" applyFill="1" applyBorder="1" applyAlignment="1">
      <alignment horizontal="center" vertical="center"/>
    </xf>
    <xf numFmtId="3" fontId="59" fillId="40" borderId="129" xfId="0" applyNumberFormat="1" applyFont="1" applyFill="1" applyBorder="1" applyAlignment="1">
      <alignment horizontal="center" vertical="center"/>
    </xf>
    <xf numFmtId="3" fontId="59" fillId="40" borderId="2" xfId="0" applyNumberFormat="1" applyFont="1" applyFill="1" applyBorder="1" applyAlignment="1">
      <alignment horizontal="center" vertical="center"/>
    </xf>
    <xf numFmtId="3" fontId="59" fillId="40" borderId="31" xfId="0" applyNumberFormat="1" applyFont="1" applyFill="1" applyBorder="1" applyAlignment="1">
      <alignment horizontal="center" vertical="center"/>
    </xf>
    <xf numFmtId="3" fontId="59" fillId="40" borderId="160" xfId="0" applyNumberFormat="1" applyFont="1" applyFill="1" applyBorder="1" applyAlignment="1">
      <alignment horizontal="center" vertical="center"/>
    </xf>
    <xf numFmtId="3" fontId="59" fillId="0" borderId="36" xfId="0" applyNumberFormat="1" applyFont="1" applyBorder="1" applyAlignment="1">
      <alignment horizontal="center" vertical="center"/>
    </xf>
    <xf numFmtId="3" fontId="59" fillId="40" borderId="140" xfId="0" applyNumberFormat="1" applyFont="1" applyFill="1" applyBorder="1" applyAlignment="1">
      <alignment horizontal="center" vertical="center"/>
    </xf>
    <xf numFmtId="3" fontId="59" fillId="40" borderId="38" xfId="0" applyNumberFormat="1" applyFont="1" applyFill="1" applyBorder="1" applyAlignment="1">
      <alignment horizontal="center" vertical="center"/>
    </xf>
    <xf numFmtId="3" fontId="59" fillId="40" borderId="36" xfId="0" applyNumberFormat="1" applyFont="1" applyFill="1" applyBorder="1" applyAlignment="1">
      <alignment horizontal="center" vertical="center"/>
    </xf>
    <xf numFmtId="3" fontId="59" fillId="40" borderId="131" xfId="0" applyNumberFormat="1" applyFont="1" applyFill="1" applyBorder="1" applyAlignment="1">
      <alignment horizontal="center" vertical="center"/>
    </xf>
    <xf numFmtId="3" fontId="9" fillId="0" borderId="140" xfId="0" quotePrefix="1" applyNumberFormat="1" applyFont="1" applyBorder="1" applyAlignment="1">
      <alignment horizontal="center" vertical="center"/>
    </xf>
    <xf numFmtId="3" fontId="9" fillId="0" borderId="38" xfId="0" quotePrefix="1" applyNumberFormat="1" applyFont="1" applyBorder="1" applyAlignment="1">
      <alignment horizontal="center" vertical="center"/>
    </xf>
    <xf numFmtId="3" fontId="9" fillId="0" borderId="36" xfId="0" quotePrefix="1" applyNumberFormat="1" applyFont="1" applyBorder="1" applyAlignment="1">
      <alignment horizontal="center" vertical="center"/>
    </xf>
    <xf numFmtId="3" fontId="9" fillId="0" borderId="131" xfId="0" quotePrefix="1" applyNumberFormat="1" applyFont="1" applyBorder="1" applyAlignment="1">
      <alignment horizontal="center" vertical="center"/>
    </xf>
    <xf numFmtId="3" fontId="59" fillId="0" borderId="129" xfId="0" applyNumberFormat="1" applyFont="1" applyBorder="1" applyAlignment="1">
      <alignment horizontal="center" vertical="center"/>
    </xf>
    <xf numFmtId="3" fontId="59" fillId="0" borderId="2" xfId="0" applyNumberFormat="1" applyFont="1" applyBorder="1" applyAlignment="1">
      <alignment horizontal="center" vertical="center"/>
    </xf>
    <xf numFmtId="3" fontId="59" fillId="0" borderId="160" xfId="0" applyNumberFormat="1" applyFont="1" applyBorder="1" applyAlignment="1">
      <alignment horizontal="center" vertical="center"/>
    </xf>
    <xf numFmtId="3" fontId="54" fillId="39" borderId="179" xfId="0" applyNumberFormat="1" applyFont="1" applyFill="1" applyBorder="1" applyAlignment="1">
      <alignment horizontal="center" vertical="center"/>
    </xf>
    <xf numFmtId="3" fontId="54" fillId="39" borderId="106" xfId="0" applyNumberFormat="1" applyFont="1" applyFill="1" applyBorder="1" applyAlignment="1">
      <alignment horizontal="center" vertical="center"/>
    </xf>
    <xf numFmtId="3" fontId="54" fillId="39" borderId="161" xfId="0" applyNumberFormat="1" applyFont="1" applyFill="1" applyBorder="1" applyAlignment="1">
      <alignment horizontal="center" vertical="center"/>
    </xf>
    <xf numFmtId="3" fontId="54" fillId="39" borderId="129" xfId="0" applyNumberFormat="1" applyFont="1" applyFill="1" applyBorder="1" applyAlignment="1">
      <alignment horizontal="center" vertical="center"/>
    </xf>
    <xf numFmtId="3" fontId="54" fillId="39" borderId="32" xfId="0" applyNumberFormat="1" applyFont="1" applyFill="1" applyBorder="1" applyAlignment="1">
      <alignment horizontal="center" vertical="center"/>
    </xf>
    <xf numFmtId="3" fontId="54" fillId="39" borderId="130" xfId="0" applyNumberFormat="1" applyFont="1" applyFill="1" applyBorder="1" applyAlignment="1">
      <alignment horizontal="center" vertical="center"/>
    </xf>
    <xf numFmtId="3" fontId="54" fillId="39" borderId="132" xfId="0" applyNumberFormat="1" applyFont="1" applyFill="1" applyBorder="1" applyAlignment="1">
      <alignment horizontal="center" vertical="center"/>
    </xf>
    <xf numFmtId="3" fontId="54" fillId="39" borderId="133" xfId="0" applyNumberFormat="1" applyFont="1" applyFill="1" applyBorder="1" applyAlignment="1">
      <alignment horizontal="center" vertical="center"/>
    </xf>
    <xf numFmtId="3" fontId="54" fillId="39" borderId="134" xfId="0" applyNumberFormat="1" applyFont="1" applyFill="1" applyBorder="1" applyAlignment="1">
      <alignment horizontal="center" vertical="center"/>
    </xf>
    <xf numFmtId="3" fontId="65" fillId="0" borderId="0" xfId="0" applyNumberFormat="1" applyFont="1" applyAlignment="1">
      <alignment horizontal="center"/>
    </xf>
    <xf numFmtId="3" fontId="54" fillId="0" borderId="2" xfId="0" applyNumberFormat="1" applyFont="1" applyBorder="1" applyAlignment="1">
      <alignment horizontal="center" vertical="center"/>
    </xf>
    <xf numFmtId="3" fontId="54" fillId="0" borderId="195" xfId="0" applyNumberFormat="1" applyFont="1" applyBorder="1" applyAlignment="1">
      <alignment horizontal="center" vertical="center"/>
    </xf>
    <xf numFmtId="3" fontId="54" fillId="0" borderId="37" xfId="0" applyNumberFormat="1" applyFont="1" applyBorder="1" applyAlignment="1">
      <alignment horizontal="center" vertical="center"/>
    </xf>
    <xf numFmtId="3" fontId="54" fillId="0" borderId="1" xfId="0" applyNumberFormat="1" applyFont="1" applyBorder="1" applyAlignment="1">
      <alignment horizontal="center" vertical="center"/>
    </xf>
    <xf numFmtId="3" fontId="54" fillId="0" borderId="196" xfId="0" applyNumberFormat="1" applyFont="1" applyBorder="1" applyAlignment="1">
      <alignment horizontal="center" vertical="center"/>
    </xf>
    <xf numFmtId="3" fontId="54" fillId="0" borderId="130" xfId="0" applyNumberFormat="1" applyFont="1" applyBorder="1" applyAlignment="1">
      <alignment horizontal="center" vertical="center"/>
    </xf>
    <xf numFmtId="10" fontId="36" fillId="0" borderId="0" xfId="0" applyNumberFormat="1" applyFont="1"/>
    <xf numFmtId="3" fontId="67" fillId="37" borderId="38" xfId="0" applyNumberFormat="1" applyFont="1" applyFill="1" applyBorder="1" applyAlignment="1">
      <alignment horizontal="center" vertical="center"/>
    </xf>
    <xf numFmtId="3" fontId="67" fillId="37" borderId="36" xfId="0" applyNumberFormat="1" applyFont="1" applyFill="1" applyBorder="1" applyAlignment="1">
      <alignment horizontal="center" vertical="center"/>
    </xf>
    <xf numFmtId="3" fontId="62" fillId="0" borderId="36" xfId="0" applyNumberFormat="1" applyFont="1" applyBorder="1" applyAlignment="1">
      <alignment horizontal="center" vertical="center"/>
    </xf>
    <xf numFmtId="3" fontId="54" fillId="39" borderId="137" xfId="0" applyNumberFormat="1" applyFont="1" applyFill="1" applyBorder="1" applyAlignment="1">
      <alignment horizontal="center" vertical="center"/>
    </xf>
    <xf numFmtId="3" fontId="54" fillId="39" borderId="140" xfId="0" applyNumberFormat="1" applyFont="1" applyFill="1" applyBorder="1" applyAlignment="1">
      <alignment horizontal="center" vertical="center"/>
    </xf>
    <xf numFmtId="3" fontId="54" fillId="39" borderId="38" xfId="0" applyNumberFormat="1" applyFont="1" applyFill="1" applyBorder="1" applyAlignment="1">
      <alignment horizontal="center" vertical="center"/>
    </xf>
    <xf numFmtId="3" fontId="54" fillId="39" borderId="36" xfId="0" applyNumberFormat="1" applyFont="1" applyFill="1" applyBorder="1" applyAlignment="1">
      <alignment horizontal="center" vertical="center"/>
    </xf>
    <xf numFmtId="3" fontId="54" fillId="39" borderId="162" xfId="0" applyNumberFormat="1" applyFont="1" applyFill="1" applyBorder="1" applyAlignment="1">
      <alignment horizontal="center" vertical="center"/>
    </xf>
    <xf numFmtId="3" fontId="54" fillId="39" borderId="28" xfId="0" applyNumberFormat="1" applyFont="1" applyFill="1" applyBorder="1" applyAlignment="1">
      <alignment horizontal="center" vertical="center"/>
    </xf>
    <xf numFmtId="0" fontId="54" fillId="0" borderId="250" xfId="0" applyFont="1" applyBorder="1"/>
    <xf numFmtId="9" fontId="39" fillId="0" borderId="0" xfId="0" applyNumberFormat="1" applyFont="1"/>
    <xf numFmtId="0" fontId="39" fillId="12" borderId="0" xfId="0" applyFont="1" applyFill="1"/>
    <xf numFmtId="9" fontId="39" fillId="12" borderId="0" xfId="16" applyFont="1" applyFill="1"/>
    <xf numFmtId="9" fontId="54" fillId="0" borderId="0" xfId="16" applyFont="1"/>
    <xf numFmtId="9" fontId="54" fillId="0" borderId="0" xfId="0" applyNumberFormat="1" applyFont="1"/>
    <xf numFmtId="9" fontId="36" fillId="0" borderId="0" xfId="16" applyFont="1"/>
    <xf numFmtId="9" fontId="36" fillId="0" borderId="0" xfId="0" applyNumberFormat="1" applyFont="1"/>
    <xf numFmtId="10" fontId="0" fillId="0" borderId="0" xfId="16" applyNumberFormat="1" applyFont="1" applyAlignment="1">
      <alignment horizontal="center"/>
    </xf>
    <xf numFmtId="0" fontId="47" fillId="30" borderId="53" xfId="0" applyFont="1" applyFill="1" applyBorder="1" applyAlignment="1">
      <alignment horizontal="left" vertical="center"/>
    </xf>
    <xf numFmtId="185" fontId="9" fillId="23" borderId="17" xfId="76" applyNumberFormat="1" applyFont="1" applyFill="1" applyBorder="1" applyAlignment="1">
      <alignment horizontal="center" vertical="center"/>
    </xf>
    <xf numFmtId="0" fontId="14" fillId="8" borderId="212" xfId="0" applyFont="1" applyFill="1" applyBorder="1" applyAlignment="1">
      <alignment horizontal="center" vertical="center" wrapText="1"/>
    </xf>
    <xf numFmtId="0" fontId="14" fillId="8" borderId="248" xfId="0" applyFont="1" applyFill="1" applyBorder="1" applyAlignment="1">
      <alignment horizontal="center" vertical="center" wrapText="1"/>
    </xf>
    <xf numFmtId="0" fontId="14" fillId="0" borderId="249" xfId="0" applyFont="1" applyBorder="1" applyAlignment="1">
      <alignment horizontal="center" vertical="center" wrapText="1"/>
    </xf>
    <xf numFmtId="9" fontId="27" fillId="18" borderId="174" xfId="16" quotePrefix="1" applyFont="1" applyFill="1" applyBorder="1" applyAlignment="1">
      <alignment horizontal="center"/>
    </xf>
    <xf numFmtId="177" fontId="0" fillId="8" borderId="89" xfId="0" applyNumberFormat="1" applyFill="1" applyBorder="1" applyAlignment="1">
      <alignment horizontal="center" vertical="center"/>
    </xf>
    <xf numFmtId="0" fontId="14" fillId="0" borderId="53" xfId="0" applyFont="1" applyBorder="1"/>
    <xf numFmtId="0" fontId="0" fillId="8" borderId="0" xfId="0" applyFill="1" applyAlignment="1">
      <alignment wrapText="1"/>
    </xf>
    <xf numFmtId="0" fontId="47" fillId="13" borderId="59" xfId="0" applyFont="1" applyFill="1" applyBorder="1" applyAlignment="1">
      <alignment horizontal="center" vertical="center"/>
    </xf>
    <xf numFmtId="10" fontId="74" fillId="0" borderId="0" xfId="24" quotePrefix="1" applyNumberFormat="1" applyFont="1" applyAlignment="1">
      <alignment horizontal="center"/>
    </xf>
    <xf numFmtId="0" fontId="115" fillId="0" borderId="0" xfId="0" applyFont="1" applyAlignment="1">
      <alignment horizontal="center"/>
    </xf>
    <xf numFmtId="172" fontId="9" fillId="3" borderId="98" xfId="6" applyFont="1" applyBorder="1" applyAlignment="1">
      <alignment horizontal="center" vertical="center"/>
    </xf>
    <xf numFmtId="4" fontId="34" fillId="0" borderId="100" xfId="7" applyFont="1" applyFill="1" applyBorder="1" applyAlignment="1">
      <alignment horizontal="right" vertical="center" wrapText="1"/>
    </xf>
    <xf numFmtId="0" fontId="14" fillId="0" borderId="0" xfId="24" applyFont="1" applyAlignment="1">
      <alignment horizontal="center" vertical="center"/>
    </xf>
    <xf numFmtId="0" fontId="30" fillId="33" borderId="99" xfId="0" applyFont="1" applyFill="1" applyBorder="1" applyAlignment="1">
      <alignment horizontal="center" vertical="center"/>
    </xf>
    <xf numFmtId="172" fontId="36" fillId="19" borderId="0" xfId="0" applyNumberFormat="1" applyFont="1" applyFill="1" applyAlignment="1">
      <alignment horizontal="center" vertical="center"/>
    </xf>
    <xf numFmtId="172" fontId="59" fillId="0" borderId="137" xfId="0" applyNumberFormat="1" applyFont="1" applyBorder="1" applyAlignment="1">
      <alignment horizontal="center" vertical="center"/>
    </xf>
    <xf numFmtId="172" fontId="59" fillId="0" borderId="138" xfId="0" applyNumberFormat="1" applyFont="1" applyBorder="1" applyAlignment="1">
      <alignment horizontal="center" vertical="center"/>
    </xf>
    <xf numFmtId="172" fontId="59" fillId="0" borderId="139" xfId="0" applyNumberFormat="1" applyFont="1" applyBorder="1" applyAlignment="1">
      <alignment horizontal="center" vertical="center"/>
    </xf>
    <xf numFmtId="172" fontId="59" fillId="0" borderId="140" xfId="0" applyNumberFormat="1" applyFont="1" applyBorder="1" applyAlignment="1">
      <alignment horizontal="center" vertical="center"/>
    </xf>
    <xf numFmtId="172" fontId="59" fillId="0" borderId="38" xfId="0" applyNumberFormat="1" applyFont="1" applyBorder="1" applyAlignment="1">
      <alignment horizontal="center" vertical="center"/>
    </xf>
    <xf numFmtId="172" fontId="59" fillId="0" borderId="131" xfId="0" applyNumberFormat="1" applyFont="1" applyBorder="1" applyAlignment="1">
      <alignment horizontal="center" vertical="center"/>
    </xf>
    <xf numFmtId="0" fontId="54" fillId="0" borderId="191" xfId="0" applyFont="1" applyBorder="1" applyAlignment="1">
      <alignment horizontal="center" vertical="center"/>
    </xf>
    <xf numFmtId="0" fontId="14" fillId="0" borderId="0" xfId="26" applyFont="1"/>
    <xf numFmtId="9" fontId="0" fillId="8" borderId="255" xfId="16" applyFont="1" applyFill="1" applyBorder="1" applyAlignment="1">
      <alignment horizontal="center" vertical="center"/>
    </xf>
    <xf numFmtId="2" fontId="0" fillId="0" borderId="0" xfId="26" applyNumberFormat="1" applyFont="1" applyAlignment="1">
      <alignment horizontal="center"/>
    </xf>
    <xf numFmtId="0" fontId="0" fillId="0" borderId="0" xfId="26" applyFont="1" applyAlignment="1">
      <alignment horizontal="center"/>
    </xf>
    <xf numFmtId="3" fontId="59" fillId="0" borderId="256" xfId="0" applyNumberFormat="1" applyFont="1" applyBorder="1" applyAlignment="1">
      <alignment horizontal="center" vertical="center"/>
    </xf>
    <xf numFmtId="0" fontId="90" fillId="85" borderId="229" xfId="0" applyFont="1" applyFill="1" applyBorder="1" applyAlignment="1">
      <alignment horizontal="right" wrapText="1"/>
    </xf>
    <xf numFmtId="0" fontId="90" fillId="86" borderId="229" xfId="0" applyFont="1" applyFill="1" applyBorder="1" applyAlignment="1">
      <alignment horizontal="right" wrapText="1"/>
    </xf>
    <xf numFmtId="0" fontId="90" fillId="0" borderId="229" xfId="0" applyFont="1" applyBorder="1" applyAlignment="1">
      <alignment horizontal="right" wrapText="1"/>
    </xf>
    <xf numFmtId="0" fontId="90" fillId="0" borderId="229" xfId="0" applyFont="1" applyBorder="1" applyAlignment="1">
      <alignment wrapText="1"/>
    </xf>
    <xf numFmtId="0" fontId="117" fillId="0" borderId="229" xfId="0" applyFont="1" applyBorder="1" applyAlignment="1">
      <alignment wrapText="1"/>
    </xf>
    <xf numFmtId="0" fontId="90" fillId="86" borderId="229" xfId="0" applyFont="1" applyFill="1" applyBorder="1" applyAlignment="1">
      <alignment wrapText="1"/>
    </xf>
    <xf numFmtId="0" fontId="90" fillId="86" borderId="229" xfId="0" quotePrefix="1" applyFont="1" applyFill="1" applyBorder="1" applyAlignment="1">
      <alignment wrapText="1"/>
    </xf>
    <xf numFmtId="0" fontId="90" fillId="85" borderId="229" xfId="0" applyFont="1" applyFill="1" applyBorder="1" applyAlignment="1">
      <alignment wrapText="1"/>
    </xf>
    <xf numFmtId="0" fontId="90" fillId="85" borderId="229" xfId="0" quotePrefix="1" applyFont="1" applyFill="1" applyBorder="1" applyAlignment="1">
      <alignment wrapText="1"/>
    </xf>
    <xf numFmtId="0" fontId="0" fillId="87" borderId="0" xfId="0" applyFill="1"/>
    <xf numFmtId="0" fontId="117" fillId="86" borderId="229" xfId="0" applyFont="1" applyFill="1" applyBorder="1" applyAlignment="1">
      <alignment wrapText="1"/>
    </xf>
    <xf numFmtId="0" fontId="90" fillId="0" borderId="229" xfId="0" quotePrefix="1" applyFont="1" applyBorder="1" applyAlignment="1">
      <alignment wrapText="1"/>
    </xf>
    <xf numFmtId="0" fontId="90" fillId="86" borderId="257" xfId="0" applyFont="1" applyFill="1" applyBorder="1"/>
    <xf numFmtId="0" fontId="90" fillId="88" borderId="257" xfId="0" applyFont="1" applyFill="1" applyBorder="1"/>
    <xf numFmtId="0" fontId="117" fillId="85" borderId="229" xfId="0" applyFont="1" applyFill="1" applyBorder="1" applyAlignment="1">
      <alignment wrapText="1"/>
    </xf>
    <xf numFmtId="186" fontId="9" fillId="8" borderId="44" xfId="0" applyNumberFormat="1" applyFont="1" applyFill="1" applyBorder="1" applyAlignment="1">
      <alignment horizontal="center"/>
    </xf>
    <xf numFmtId="0" fontId="118" fillId="0" borderId="0" xfId="0" applyFont="1"/>
    <xf numFmtId="3" fontId="118" fillId="0" borderId="0" xfId="0" applyNumberFormat="1" applyFont="1"/>
    <xf numFmtId="4" fontId="119" fillId="0" borderId="0" xfId="0" applyNumberFormat="1" applyFont="1"/>
    <xf numFmtId="4" fontId="118" fillId="0" borderId="0" xfId="0" applyNumberFormat="1" applyFont="1"/>
    <xf numFmtId="0" fontId="28" fillId="0" borderId="0" xfId="0" applyFont="1" applyAlignment="1">
      <alignment vertical="center"/>
    </xf>
    <xf numFmtId="0" fontId="34" fillId="0" borderId="0" xfId="0" applyFont="1"/>
    <xf numFmtId="172" fontId="36" fillId="0" borderId="0" xfId="0" applyNumberFormat="1" applyFont="1" applyAlignment="1">
      <alignment horizontal="center" vertical="center"/>
    </xf>
    <xf numFmtId="172" fontId="37" fillId="0" borderId="0" xfId="0" applyNumberFormat="1" applyFont="1" applyAlignment="1">
      <alignment horizontal="center" vertical="center"/>
    </xf>
    <xf numFmtId="172" fontId="36" fillId="0" borderId="0" xfId="0" applyNumberFormat="1" applyFont="1"/>
    <xf numFmtId="172" fontId="24" fillId="19" borderId="0" xfId="0" applyNumberFormat="1" applyFont="1" applyFill="1" applyAlignment="1">
      <alignment horizontal="center" vertical="center"/>
    </xf>
    <xf numFmtId="172" fontId="24" fillId="0" borderId="0" xfId="0" applyNumberFormat="1" applyFont="1" applyAlignment="1">
      <alignment horizontal="center"/>
    </xf>
    <xf numFmtId="172" fontId="36" fillId="19" borderId="0" xfId="0" applyNumberFormat="1" applyFont="1" applyFill="1" applyAlignment="1">
      <alignment horizontal="center"/>
    </xf>
    <xf numFmtId="172" fontId="0" fillId="22" borderId="0" xfId="0" applyNumberFormat="1" applyFill="1"/>
    <xf numFmtId="1" fontId="24" fillId="0" borderId="0" xfId="76" applyNumberFormat="1" applyFont="1" applyAlignment="1">
      <alignment horizontal="center"/>
    </xf>
    <xf numFmtId="0" fontId="9" fillId="0" borderId="0" xfId="0" applyFont="1" applyAlignment="1">
      <alignment horizontal="center" vertical="center"/>
    </xf>
    <xf numFmtId="0" fontId="64" fillId="0" borderId="258" xfId="0" applyFont="1" applyBorder="1"/>
    <xf numFmtId="0" fontId="64" fillId="0" borderId="259" xfId="0" applyFont="1" applyBorder="1"/>
    <xf numFmtId="10" fontId="56" fillId="0" borderId="259" xfId="0" applyNumberFormat="1" applyFont="1" applyBorder="1"/>
    <xf numFmtId="3" fontId="64" fillId="0" borderId="259" xfId="0" applyNumberFormat="1" applyFont="1" applyBorder="1"/>
    <xf numFmtId="4" fontId="64" fillId="0" borderId="259" xfId="0" applyNumberFormat="1" applyFont="1" applyBorder="1"/>
    <xf numFmtId="10" fontId="56" fillId="0" borderId="260" xfId="0" applyNumberFormat="1" applyFont="1" applyBorder="1"/>
    <xf numFmtId="0" fontId="28" fillId="5" borderId="186" xfId="26" applyFont="1" applyFill="1" applyBorder="1" applyAlignment="1">
      <alignment horizontal="center" vertical="center"/>
    </xf>
    <xf numFmtId="0" fontId="28" fillId="5" borderId="187" xfId="26" applyFont="1" applyFill="1" applyBorder="1" applyAlignment="1">
      <alignment horizontal="center" vertical="center"/>
    </xf>
    <xf numFmtId="0" fontId="28" fillId="5" borderId="188" xfId="26" applyFont="1" applyFill="1" applyBorder="1" applyAlignment="1">
      <alignment horizontal="center" vertical="center"/>
    </xf>
    <xf numFmtId="0" fontId="47" fillId="84" borderId="50" xfId="0" applyFont="1" applyFill="1" applyBorder="1" applyAlignment="1">
      <alignment horizontal="center" vertical="center" wrapText="1"/>
    </xf>
    <xf numFmtId="166" fontId="47" fillId="10" borderId="50" xfId="77" applyFont="1" applyFill="1" applyBorder="1" applyAlignment="1">
      <alignment horizontal="center" vertical="center" wrapText="1"/>
    </xf>
    <xf numFmtId="0" fontId="47" fillId="16" borderId="50" xfId="0" applyFont="1" applyFill="1" applyBorder="1" applyAlignment="1">
      <alignment horizontal="center" vertical="center" wrapText="1"/>
    </xf>
    <xf numFmtId="2" fontId="0" fillId="4" borderId="85" xfId="0" applyNumberFormat="1" applyFill="1" applyBorder="1" applyAlignment="1">
      <alignment horizontal="center"/>
    </xf>
    <xf numFmtId="0" fontId="14" fillId="4" borderId="86" xfId="0" applyFont="1" applyFill="1" applyBorder="1" applyAlignment="1">
      <alignment horizontal="left" vertical="center"/>
    </xf>
    <xf numFmtId="0" fontId="14" fillId="4" borderId="88" xfId="0" applyFont="1" applyFill="1" applyBorder="1" applyAlignment="1">
      <alignment horizontal="left" vertical="center"/>
    </xf>
    <xf numFmtId="9" fontId="9" fillId="4" borderId="85" xfId="16" applyFont="1" applyFill="1" applyBorder="1" applyAlignment="1">
      <alignment horizontal="center" vertical="center"/>
    </xf>
    <xf numFmtId="0" fontId="11" fillId="0" borderId="0" xfId="11" applyAlignment="1" applyProtection="1"/>
    <xf numFmtId="0" fontId="0" fillId="0" borderId="267" xfId="0" applyBorder="1" applyAlignment="1">
      <alignment horizontal="center" vertical="center"/>
    </xf>
    <xf numFmtId="0" fontId="0" fillId="0" borderId="268" xfId="0" applyBorder="1" applyAlignment="1">
      <alignment horizontal="center" vertical="center"/>
    </xf>
    <xf numFmtId="0" fontId="0" fillId="0" borderId="267" xfId="0" applyBorder="1" applyAlignment="1">
      <alignment horizontal="center"/>
    </xf>
    <xf numFmtId="0" fontId="28" fillId="31" borderId="26" xfId="0" applyFont="1" applyFill="1" applyBorder="1" applyAlignment="1">
      <alignment vertical="center"/>
    </xf>
    <xf numFmtId="0" fontId="118" fillId="0" borderId="26" xfId="0" applyFont="1" applyBorder="1"/>
    <xf numFmtId="10" fontId="54" fillId="0" borderId="26" xfId="0" applyNumberFormat="1" applyFont="1" applyBorder="1"/>
    <xf numFmtId="3" fontId="118" fillId="0" borderId="26" xfId="0" applyNumberFormat="1" applyFont="1" applyBorder="1"/>
    <xf numFmtId="10" fontId="54" fillId="0" borderId="268" xfId="0" applyNumberFormat="1" applyFont="1" applyBorder="1"/>
    <xf numFmtId="9" fontId="64" fillId="34" borderId="250" xfId="16" applyFont="1" applyFill="1" applyBorder="1" applyAlignment="1">
      <alignment horizontal="center" vertical="center" wrapText="1"/>
    </xf>
    <xf numFmtId="0" fontId="9" fillId="0" borderId="192" xfId="0" applyFont="1" applyBorder="1" applyAlignment="1">
      <alignment horizontal="center" vertical="center"/>
    </xf>
    <xf numFmtId="0" fontId="9" fillId="0" borderId="107" xfId="0" applyFont="1" applyBorder="1" applyAlignment="1">
      <alignment horizontal="center" vertical="center"/>
    </xf>
    <xf numFmtId="0" fontId="9" fillId="0" borderId="269" xfId="0" applyFont="1" applyBorder="1" applyAlignment="1">
      <alignment horizontal="center" vertical="center"/>
    </xf>
    <xf numFmtId="4" fontId="36" fillId="19" borderId="0" xfId="0" applyNumberFormat="1" applyFont="1" applyFill="1"/>
    <xf numFmtId="4" fontId="36" fillId="19" borderId="0" xfId="0" applyNumberFormat="1" applyFont="1" applyFill="1" applyAlignment="1">
      <alignment horizontal="center"/>
    </xf>
    <xf numFmtId="4" fontId="0" fillId="24" borderId="1" xfId="16" applyNumberFormat="1" applyFont="1" applyFill="1" applyBorder="1" applyAlignment="1">
      <alignment horizontal="center"/>
    </xf>
    <xf numFmtId="4" fontId="0" fillId="24" borderId="37" xfId="16" applyNumberFormat="1" applyFont="1" applyFill="1" applyBorder="1" applyAlignment="1">
      <alignment horizontal="center"/>
    </xf>
    <xf numFmtId="10" fontId="36" fillId="19" borderId="0" xfId="16" applyNumberFormat="1" applyFont="1" applyFill="1" applyAlignment="1">
      <alignment horizontal="center"/>
    </xf>
    <xf numFmtId="4" fontId="36" fillId="19" borderId="0" xfId="21" applyNumberFormat="1" applyFont="1" applyFill="1" applyAlignment="1">
      <alignment horizontal="center" vertical="center"/>
    </xf>
    <xf numFmtId="0" fontId="24" fillId="12" borderId="0" xfId="0" applyFont="1" applyFill="1"/>
    <xf numFmtId="10" fontId="36" fillId="19" borderId="0" xfId="0" applyNumberFormat="1" applyFont="1" applyFill="1" applyAlignment="1">
      <alignment horizontal="center"/>
    </xf>
    <xf numFmtId="0" fontId="122" fillId="0" borderId="0" xfId="0" applyFont="1"/>
    <xf numFmtId="14" fontId="122" fillId="0" borderId="0" xfId="0" applyNumberFormat="1" applyFont="1"/>
    <xf numFmtId="0" fontId="121" fillId="0" borderId="0" xfId="0" applyFont="1"/>
    <xf numFmtId="0" fontId="0" fillId="8" borderId="17" xfId="0" applyFill="1" applyBorder="1" applyAlignment="1">
      <alignment horizontal="center" vertical="center" wrapText="1"/>
    </xf>
    <xf numFmtId="0" fontId="123" fillId="0" borderId="0" xfId="11" applyFont="1" applyAlignment="1" applyProtection="1"/>
    <xf numFmtId="189" fontId="0" fillId="23" borderId="85" xfId="0" applyNumberFormat="1" applyFill="1" applyBorder="1" applyAlignment="1">
      <alignment horizontal="center"/>
    </xf>
    <xf numFmtId="189" fontId="0" fillId="0" borderId="85" xfId="0" applyNumberFormat="1" applyBorder="1" applyAlignment="1">
      <alignment horizontal="center"/>
    </xf>
    <xf numFmtId="189" fontId="0" fillId="8" borderId="85" xfId="0" applyNumberFormat="1" applyFill="1" applyBorder="1" applyAlignment="1">
      <alignment horizontal="center"/>
    </xf>
    <xf numFmtId="187" fontId="0" fillId="0" borderId="85" xfId="0" applyNumberFormat="1" applyBorder="1" applyAlignment="1">
      <alignment horizontal="center"/>
    </xf>
    <xf numFmtId="190" fontId="0" fillId="23" borderId="85" xfId="0" applyNumberFormat="1" applyFill="1" applyBorder="1" applyAlignment="1">
      <alignment horizontal="center"/>
    </xf>
    <xf numFmtId="189" fontId="9" fillId="0" borderId="85" xfId="0" applyNumberFormat="1" applyFont="1" applyBorder="1" applyAlignment="1">
      <alignment horizontal="center"/>
    </xf>
    <xf numFmtId="189" fontId="0" fillId="3" borderId="85" xfId="0" applyNumberFormat="1" applyFill="1" applyBorder="1" applyAlignment="1">
      <alignment horizontal="center"/>
    </xf>
    <xf numFmtId="189" fontId="0" fillId="23" borderId="91" xfId="0" applyNumberFormat="1" applyFill="1" applyBorder="1" applyAlignment="1">
      <alignment horizontal="center"/>
    </xf>
    <xf numFmtId="189" fontId="0" fillId="3" borderId="91" xfId="0" applyNumberFormat="1" applyFill="1" applyBorder="1" applyAlignment="1">
      <alignment horizontal="center"/>
    </xf>
    <xf numFmtId="189" fontId="0" fillId="8" borderId="83" xfId="0" applyNumberFormat="1" applyFill="1" applyBorder="1" applyAlignment="1">
      <alignment horizontal="center"/>
    </xf>
    <xf numFmtId="189" fontId="0" fillId="17" borderId="84" xfId="0" applyNumberFormat="1" applyFill="1" applyBorder="1" applyAlignment="1">
      <alignment horizontal="center"/>
    </xf>
    <xf numFmtId="189" fontId="9" fillId="23" borderId="17" xfId="0" applyNumberFormat="1" applyFont="1" applyFill="1" applyBorder="1" applyAlignment="1">
      <alignment horizontal="center"/>
    </xf>
    <xf numFmtId="187" fontId="9" fillId="23" borderId="17" xfId="0" applyNumberFormat="1" applyFont="1" applyFill="1" applyBorder="1" applyAlignment="1">
      <alignment horizontal="center"/>
    </xf>
    <xf numFmtId="187" fontId="0" fillId="0" borderId="38" xfId="0" applyNumberFormat="1" applyBorder="1" applyAlignment="1">
      <alignment horizontal="center"/>
    </xf>
    <xf numFmtId="187" fontId="64" fillId="0" borderId="38" xfId="0" applyNumberFormat="1" applyFont="1" applyBorder="1" applyAlignment="1">
      <alignment horizontal="center"/>
    </xf>
    <xf numFmtId="187" fontId="1" fillId="0" borderId="38" xfId="0" applyNumberFormat="1" applyFont="1" applyBorder="1" applyAlignment="1">
      <alignment horizontal="center"/>
    </xf>
    <xf numFmtId="0" fontId="14" fillId="8" borderId="90" xfId="0" applyFont="1" applyFill="1" applyBorder="1" applyAlignment="1">
      <alignment horizontal="left" vertical="center"/>
    </xf>
    <xf numFmtId="10" fontId="0" fillId="8" borderId="91" xfId="16" applyNumberFormat="1" applyFont="1" applyFill="1" applyBorder="1" applyAlignment="1">
      <alignment horizontal="center" vertical="center"/>
    </xf>
    <xf numFmtId="10" fontId="0" fillId="8" borderId="83" xfId="16" applyNumberFormat="1" applyFont="1" applyFill="1" applyBorder="1" applyAlignment="1">
      <alignment horizontal="center"/>
    </xf>
    <xf numFmtId="170" fontId="9" fillId="8" borderId="83" xfId="16" applyNumberFormat="1" applyFont="1" applyFill="1" applyBorder="1" applyAlignment="1">
      <alignment horizontal="center"/>
    </xf>
    <xf numFmtId="2" fontId="0" fillId="8" borderId="89" xfId="16" applyNumberFormat="1" applyFont="1" applyFill="1" applyBorder="1" applyAlignment="1">
      <alignment horizontal="center"/>
    </xf>
    <xf numFmtId="189" fontId="0" fillId="0" borderId="0" xfId="0" applyNumberFormat="1" applyAlignment="1">
      <alignment horizontal="center"/>
    </xf>
    <xf numFmtId="9" fontId="0" fillId="84" borderId="83" xfId="16" applyFont="1" applyFill="1" applyBorder="1" applyAlignment="1">
      <alignment horizontal="center"/>
    </xf>
    <xf numFmtId="9" fontId="0" fillId="84" borderId="85" xfId="16" applyFont="1" applyFill="1" applyBorder="1" applyAlignment="1">
      <alignment horizontal="center"/>
    </xf>
    <xf numFmtId="9" fontId="9" fillId="84" borderId="84" xfId="16" applyFont="1" applyFill="1" applyBorder="1" applyAlignment="1">
      <alignment horizontal="center"/>
    </xf>
    <xf numFmtId="2" fontId="9" fillId="9" borderId="85" xfId="0" applyNumberFormat="1" applyFont="1" applyFill="1" applyBorder="1" applyAlignment="1">
      <alignment horizontal="center"/>
    </xf>
    <xf numFmtId="2" fontId="0" fillId="84" borderId="83" xfId="0" applyNumberFormat="1" applyFill="1" applyBorder="1" applyAlignment="1">
      <alignment horizontal="center"/>
    </xf>
    <xf numFmtId="2" fontId="0" fillId="84" borderId="85" xfId="0" applyNumberFormat="1" applyFill="1" applyBorder="1" applyAlignment="1">
      <alignment horizontal="center"/>
    </xf>
    <xf numFmtId="171" fontId="0" fillId="9" borderId="85" xfId="0" applyNumberFormat="1" applyFill="1" applyBorder="1" applyAlignment="1">
      <alignment horizontal="center"/>
    </xf>
    <xf numFmtId="2" fontId="0" fillId="12" borderId="85" xfId="16" applyNumberFormat="1" applyFont="1" applyFill="1" applyBorder="1" applyAlignment="1">
      <alignment horizontal="center"/>
    </xf>
    <xf numFmtId="10" fontId="0" fillId="12" borderId="83" xfId="16" applyNumberFormat="1" applyFont="1" applyFill="1" applyBorder="1" applyAlignment="1">
      <alignment horizontal="center"/>
    </xf>
    <xf numFmtId="171" fontId="0" fillId="84" borderId="84" xfId="0" applyNumberFormat="1" applyFill="1" applyBorder="1" applyAlignment="1">
      <alignment horizontal="center"/>
    </xf>
    <xf numFmtId="187" fontId="0" fillId="4" borderId="83" xfId="0" applyNumberFormat="1" applyFill="1" applyBorder="1" applyAlignment="1">
      <alignment horizontal="center"/>
    </xf>
    <xf numFmtId="187" fontId="9" fillId="4" borderId="83" xfId="0" applyNumberFormat="1" applyFont="1" applyFill="1" applyBorder="1" applyAlignment="1">
      <alignment horizontal="center"/>
    </xf>
    <xf numFmtId="9" fontId="0" fillId="0" borderId="0" xfId="16" applyFont="1"/>
    <xf numFmtId="4" fontId="36" fillId="0" borderId="0" xfId="0" applyNumberFormat="1" applyFont="1"/>
    <xf numFmtId="4" fontId="1" fillId="0" borderId="0" xfId="0" applyNumberFormat="1" applyFont="1"/>
    <xf numFmtId="4" fontId="1" fillId="0" borderId="26" xfId="0" applyNumberFormat="1" applyFont="1" applyBorder="1"/>
    <xf numFmtId="3" fontId="1" fillId="42" borderId="36" xfId="30" applyNumberFormat="1" applyFont="1" applyFill="1" applyBorder="1" applyAlignment="1">
      <alignment horizontal="center" vertical="center"/>
    </xf>
    <xf numFmtId="0" fontId="1" fillId="0" borderId="38" xfId="0" applyFont="1" applyBorder="1"/>
    <xf numFmtId="168" fontId="1" fillId="0" borderId="0" xfId="0" applyNumberFormat="1" applyFont="1" applyAlignment="1">
      <alignment horizontal="center"/>
    </xf>
    <xf numFmtId="0" fontId="125" fillId="0" borderId="0" xfId="0" applyFont="1"/>
    <xf numFmtId="0" fontId="126" fillId="0" borderId="0" xfId="0" applyFont="1"/>
    <xf numFmtId="4" fontId="0" fillId="12" borderId="184" xfId="7" applyFont="1" applyFill="1" applyBorder="1">
      <alignment horizontal="right"/>
    </xf>
    <xf numFmtId="4" fontId="0" fillId="24" borderId="1" xfId="0" applyNumberFormat="1" applyFill="1" applyBorder="1" applyAlignment="1">
      <alignment horizontal="center"/>
    </xf>
    <xf numFmtId="10" fontId="9" fillId="8" borderId="94" xfId="16" applyNumberFormat="1" applyFont="1" applyFill="1" applyBorder="1" applyAlignment="1">
      <alignment horizontal="center" vertical="center"/>
    </xf>
    <xf numFmtId="0" fontId="35" fillId="0" borderId="0" xfId="0" applyFont="1" applyAlignment="1">
      <alignment wrapText="1"/>
    </xf>
    <xf numFmtId="168" fontId="0" fillId="0" borderId="0" xfId="0" applyNumberFormat="1" applyAlignment="1">
      <alignment horizontal="center"/>
    </xf>
    <xf numFmtId="10" fontId="9" fillId="0" borderId="108" xfId="0" applyNumberFormat="1" applyFont="1" applyBorder="1" applyAlignment="1">
      <alignment horizontal="center" vertical="center"/>
    </xf>
    <xf numFmtId="10" fontId="0" fillId="0" borderId="254" xfId="0" applyNumberFormat="1" applyBorder="1" applyAlignment="1">
      <alignment horizontal="center" vertical="center"/>
    </xf>
    <xf numFmtId="10" fontId="0" fillId="0" borderId="251" xfId="0" applyNumberFormat="1" applyBorder="1" applyAlignment="1">
      <alignment horizontal="center" vertical="center"/>
    </xf>
    <xf numFmtId="10" fontId="0" fillId="0" borderId="117" xfId="0" applyNumberFormat="1" applyBorder="1" applyAlignment="1">
      <alignment horizontal="center" vertical="center"/>
    </xf>
    <xf numFmtId="0" fontId="128" fillId="0" borderId="0" xfId="0" applyFont="1"/>
    <xf numFmtId="0" fontId="9" fillId="3" borderId="274" xfId="10" applyFont="1" applyBorder="1" applyAlignment="1">
      <alignment horizontal="center" vertical="center"/>
    </xf>
    <xf numFmtId="172" fontId="9" fillId="3" borderId="274" xfId="6" applyFont="1" applyBorder="1" applyAlignment="1">
      <alignment horizontal="center" vertical="center"/>
    </xf>
    <xf numFmtId="0" fontId="9" fillId="3" borderId="98" xfId="10" applyFont="1" applyBorder="1" applyAlignment="1">
      <alignment horizontal="center" vertical="center"/>
    </xf>
    <xf numFmtId="4" fontId="26" fillId="27" borderId="275" xfId="7" applyFont="1" applyFill="1" applyBorder="1">
      <alignment horizontal="right"/>
    </xf>
    <xf numFmtId="0" fontId="9" fillId="3" borderId="276" xfId="10" applyFont="1" applyBorder="1" applyAlignment="1">
      <alignment horizontal="center" vertical="center"/>
    </xf>
    <xf numFmtId="172" fontId="9" fillId="3" borderId="276" xfId="6" applyFont="1" applyBorder="1" applyAlignment="1">
      <alignment horizontal="center" vertical="center"/>
    </xf>
    <xf numFmtId="3" fontId="111" fillId="0" borderId="103" xfId="0" applyNumberFormat="1" applyFont="1" applyBorder="1" applyAlignment="1">
      <alignment horizontal="center" vertical="center"/>
    </xf>
    <xf numFmtId="4" fontId="69" fillId="0" borderId="98" xfId="26" applyNumberFormat="1" applyFont="1" applyBorder="1" applyAlignment="1">
      <alignment horizontal="center" vertical="center"/>
    </xf>
    <xf numFmtId="175" fontId="69" fillId="0" borderId="100" xfId="26" applyNumberFormat="1" applyFont="1" applyBorder="1" applyAlignment="1">
      <alignment horizontal="center" vertical="center"/>
    </xf>
    <xf numFmtId="4" fontId="69" fillId="0" borderId="100" xfId="26" applyNumberFormat="1" applyFont="1" applyBorder="1" applyAlignment="1">
      <alignment horizontal="center" vertical="center"/>
    </xf>
    <xf numFmtId="3" fontId="52" fillId="33" borderId="277" xfId="5" applyFont="1" applyFill="1" applyBorder="1" applyAlignment="1">
      <alignment horizontal="right" vertical="center"/>
    </xf>
    <xf numFmtId="3" fontId="52" fillId="33" borderId="278" xfId="5" applyFont="1" applyFill="1" applyBorder="1" applyAlignment="1">
      <alignment horizontal="right" vertical="center"/>
    </xf>
    <xf numFmtId="9" fontId="0" fillId="0" borderId="0" xfId="0" applyNumberFormat="1" applyAlignment="1">
      <alignment horizontal="center"/>
    </xf>
    <xf numFmtId="0" fontId="9" fillId="0" borderId="0" xfId="24" quotePrefix="1" applyAlignment="1">
      <alignment horizontal="center"/>
    </xf>
    <xf numFmtId="0" fontId="9" fillId="0" borderId="0" xfId="24" applyAlignment="1">
      <alignment horizontal="center"/>
    </xf>
    <xf numFmtId="10" fontId="9" fillId="0" borderId="0" xfId="16" applyNumberFormat="1" applyAlignment="1">
      <alignment horizontal="center"/>
    </xf>
    <xf numFmtId="0" fontId="0" fillId="0" borderId="0" xfId="24" applyFont="1" applyAlignment="1">
      <alignment horizontal="center"/>
    </xf>
    <xf numFmtId="0" fontId="0" fillId="0" borderId="0" xfId="24" quotePrefix="1" applyFont="1" applyAlignment="1">
      <alignment horizontal="center"/>
    </xf>
    <xf numFmtId="14" fontId="14" fillId="0" borderId="202" xfId="0" applyNumberFormat="1" applyFont="1" applyBorder="1" applyAlignment="1">
      <alignment horizontal="center" vertical="center"/>
    </xf>
    <xf numFmtId="3" fontId="54" fillId="39" borderId="31" xfId="76" applyNumberFormat="1" applyFont="1" applyFill="1" applyBorder="1" applyAlignment="1">
      <alignment horizontal="center" vertical="center"/>
    </xf>
    <xf numFmtId="3" fontId="54" fillId="39" borderId="157" xfId="76" applyNumberFormat="1" applyFont="1" applyFill="1" applyBorder="1" applyAlignment="1">
      <alignment horizontal="center" vertical="center"/>
    </xf>
    <xf numFmtId="1" fontId="59" fillId="39" borderId="141" xfId="0" applyNumberFormat="1" applyFont="1" applyFill="1" applyBorder="1" applyAlignment="1">
      <alignment horizontal="center" vertical="center"/>
    </xf>
    <xf numFmtId="1" fontId="59" fillId="39" borderId="154" xfId="0" applyNumberFormat="1" applyFont="1" applyFill="1" applyBorder="1" applyAlignment="1">
      <alignment horizontal="center" vertical="center"/>
    </xf>
    <xf numFmtId="0" fontId="48" fillId="81" borderId="51" xfId="0" applyFont="1" applyFill="1" applyBorder="1" applyAlignment="1">
      <alignment horizontal="center" vertical="center" wrapText="1"/>
    </xf>
    <xf numFmtId="0" fontId="47" fillId="83" borderId="58" xfId="0" applyFont="1" applyFill="1" applyBorder="1" applyAlignment="1">
      <alignment horizontal="center" vertical="center" wrapText="1"/>
    </xf>
    <xf numFmtId="0" fontId="47" fillId="84" borderId="279" xfId="0" applyFont="1" applyFill="1" applyBorder="1" applyAlignment="1">
      <alignment horizontal="center" vertical="center" wrapText="1"/>
    </xf>
    <xf numFmtId="10" fontId="56" fillId="0" borderId="281" xfId="0" applyNumberFormat="1" applyFont="1" applyBorder="1" applyAlignment="1">
      <alignment horizontal="center" vertical="center"/>
    </xf>
    <xf numFmtId="10" fontId="56" fillId="0" borderId="281" xfId="0" applyNumberFormat="1" applyFont="1" applyBorder="1" applyAlignment="1">
      <alignment horizontal="center" vertical="center" wrapText="1"/>
    </xf>
    <xf numFmtId="10" fontId="56" fillId="0" borderId="280" xfId="0" applyNumberFormat="1" applyFont="1" applyBorder="1" applyAlignment="1">
      <alignment horizontal="center" vertical="center"/>
    </xf>
    <xf numFmtId="10" fontId="0" fillId="32" borderId="61" xfId="0" applyNumberFormat="1" applyFill="1" applyBorder="1"/>
    <xf numFmtId="168" fontId="14" fillId="0" borderId="282" xfId="0" applyNumberFormat="1" applyFont="1" applyBorder="1" applyAlignment="1">
      <alignment horizontal="center"/>
    </xf>
    <xf numFmtId="168" fontId="14" fillId="0" borderId="283" xfId="0" applyNumberFormat="1" applyFont="1" applyBorder="1" applyAlignment="1">
      <alignment horizontal="center"/>
    </xf>
    <xf numFmtId="168" fontId="14" fillId="0" borderId="284" xfId="0" applyNumberFormat="1" applyFont="1" applyBorder="1" applyAlignment="1">
      <alignment horizontal="center"/>
    </xf>
    <xf numFmtId="9" fontId="0" fillId="0" borderId="43" xfId="0" applyNumberFormat="1" applyBorder="1" applyAlignment="1">
      <alignment horizontal="center"/>
    </xf>
    <xf numFmtId="4" fontId="33" fillId="9" borderId="285" xfId="7" applyFont="1" applyFill="1" applyBorder="1">
      <alignment horizontal="right"/>
    </xf>
    <xf numFmtId="0" fontId="35" fillId="0" borderId="0" xfId="0" applyFont="1" applyAlignment="1">
      <alignment horizontal="center" wrapText="1"/>
    </xf>
    <xf numFmtId="0" fontId="14" fillId="0" borderId="287" xfId="0" applyFont="1" applyBorder="1" applyAlignment="1">
      <alignment horizontal="center"/>
    </xf>
    <xf numFmtId="9" fontId="0" fillId="0" borderId="286" xfId="16" applyFont="1" applyBorder="1"/>
    <xf numFmtId="0" fontId="14" fillId="0" borderId="286" xfId="0" applyFont="1" applyBorder="1" applyAlignment="1">
      <alignment horizontal="left"/>
    </xf>
    <xf numFmtId="170" fontId="9" fillId="8" borderId="17" xfId="16" applyNumberFormat="1" applyFont="1" applyFill="1" applyBorder="1" applyAlignment="1">
      <alignment horizontal="center"/>
    </xf>
    <xf numFmtId="170" fontId="0" fillId="8" borderId="17" xfId="16" applyNumberFormat="1" applyFont="1" applyFill="1" applyBorder="1" applyAlignment="1">
      <alignment horizontal="center"/>
    </xf>
    <xf numFmtId="0" fontId="82" fillId="0" borderId="288" xfId="0" applyFont="1" applyBorder="1" applyAlignment="1">
      <alignment horizontal="center" vertical="center" wrapText="1"/>
    </xf>
    <xf numFmtId="191" fontId="83" fillId="0" borderId="0" xfId="0" applyNumberFormat="1" applyFont="1"/>
    <xf numFmtId="10" fontId="0" fillId="0" borderId="61" xfId="0" applyNumberFormat="1" applyBorder="1" applyAlignment="1">
      <alignment horizontal="center" vertical="center"/>
    </xf>
    <xf numFmtId="0" fontId="0" fillId="31" borderId="289" xfId="0" applyFill="1" applyBorder="1"/>
    <xf numFmtId="189" fontId="0" fillId="0" borderId="89" xfId="0" applyNumberFormat="1" applyBorder="1" applyAlignment="1">
      <alignment horizontal="center"/>
    </xf>
    <xf numFmtId="0" fontId="0" fillId="31" borderId="89" xfId="0" applyFill="1" applyBorder="1"/>
    <xf numFmtId="189" fontId="0" fillId="3" borderId="92" xfId="0" applyNumberFormat="1" applyFill="1" applyBorder="1" applyAlignment="1">
      <alignment horizontal="center"/>
    </xf>
    <xf numFmtId="0" fontId="50" fillId="5" borderId="290" xfId="0" applyFont="1" applyFill="1" applyBorder="1" applyAlignment="1">
      <alignment horizontal="center"/>
    </xf>
    <xf numFmtId="3" fontId="62" fillId="0" borderId="37" xfId="0" applyNumberFormat="1" applyFont="1" applyBorder="1" applyAlignment="1">
      <alignment horizontal="center" vertical="center"/>
    </xf>
    <xf numFmtId="170" fontId="34" fillId="42" borderId="139" xfId="30" applyNumberFormat="1" applyFont="1" applyFill="1" applyBorder="1" applyAlignment="1">
      <alignment horizontal="center" vertical="center"/>
    </xf>
    <xf numFmtId="3" fontId="1" fillId="42" borderId="131" xfId="30" applyNumberFormat="1" applyFont="1" applyFill="1" applyBorder="1" applyAlignment="1">
      <alignment horizontal="center" vertical="center"/>
    </xf>
    <xf numFmtId="170" fontId="62" fillId="0" borderId="38" xfId="0" applyNumberFormat="1" applyFont="1" applyBorder="1" applyAlignment="1">
      <alignment horizontal="center" vertical="center"/>
    </xf>
    <xf numFmtId="170" fontId="34" fillId="0" borderId="38" xfId="16" applyNumberFormat="1" applyFont="1" applyFill="1" applyBorder="1" applyAlignment="1">
      <alignment horizontal="center" vertical="center"/>
    </xf>
    <xf numFmtId="3" fontId="59" fillId="0" borderId="137" xfId="0" applyNumberFormat="1" applyFont="1" applyBorder="1" applyAlignment="1">
      <alignment horizontal="center" vertical="center"/>
    </xf>
    <xf numFmtId="3" fontId="59" fillId="0" borderId="138" xfId="0" applyNumberFormat="1" applyFont="1" applyBorder="1" applyAlignment="1">
      <alignment horizontal="center" vertical="center"/>
    </xf>
    <xf numFmtId="3" fontId="59" fillId="0" borderId="156" xfId="0" applyNumberFormat="1" applyFont="1" applyBorder="1" applyAlignment="1">
      <alignment horizontal="center" vertical="center"/>
    </xf>
    <xf numFmtId="170" fontId="34" fillId="0" borderId="291" xfId="16" applyNumberFormat="1" applyFont="1" applyFill="1" applyBorder="1" applyAlignment="1">
      <alignment horizontal="center" vertical="center"/>
    </xf>
    <xf numFmtId="3" fontId="59" fillId="0" borderId="139" xfId="0" applyNumberFormat="1" applyFont="1" applyBorder="1" applyAlignment="1">
      <alignment horizontal="center" vertical="center"/>
    </xf>
    <xf numFmtId="3" fontId="59" fillId="0" borderId="141" xfId="0" applyNumberFormat="1" applyFont="1" applyBorder="1" applyAlignment="1">
      <alignment horizontal="center" vertical="center"/>
    </xf>
    <xf numFmtId="3" fontId="59" fillId="0" borderId="154" xfId="0" applyNumberFormat="1" applyFont="1" applyBorder="1" applyAlignment="1">
      <alignment horizontal="center" vertical="center"/>
    </xf>
    <xf numFmtId="3" fontId="59" fillId="0" borderId="155" xfId="0" applyNumberFormat="1" applyFont="1" applyBorder="1" applyAlignment="1">
      <alignment horizontal="center" vertical="center"/>
    </xf>
    <xf numFmtId="3" fontId="59" fillId="0" borderId="162" xfId="0" applyNumberFormat="1" applyFont="1" applyBorder="1" applyAlignment="1">
      <alignment horizontal="center" vertical="center"/>
    </xf>
    <xf numFmtId="3" fontId="59" fillId="0" borderId="292" xfId="0" applyNumberFormat="1" applyFont="1" applyBorder="1" applyAlignment="1">
      <alignment horizontal="center" vertical="center"/>
    </xf>
    <xf numFmtId="3" fontId="59" fillId="0" borderId="293" xfId="0" applyNumberFormat="1" applyFont="1" applyBorder="1" applyAlignment="1">
      <alignment horizontal="center" vertical="center"/>
    </xf>
    <xf numFmtId="189" fontId="0" fillId="12" borderId="85" xfId="0" applyNumberFormat="1" applyFill="1" applyBorder="1" applyAlignment="1">
      <alignment horizontal="center"/>
    </xf>
    <xf numFmtId="189" fontId="0" fillId="12" borderId="89" xfId="0" applyNumberFormat="1" applyFill="1" applyBorder="1" applyAlignment="1">
      <alignment horizontal="center"/>
    </xf>
    <xf numFmtId="192" fontId="0" fillId="0" borderId="0" xfId="0" applyNumberFormat="1"/>
    <xf numFmtId="2" fontId="0" fillId="0" borderId="0" xfId="0" applyNumberFormat="1"/>
    <xf numFmtId="3" fontId="62" fillId="0" borderId="256" xfId="0" applyNumberFormat="1" applyFont="1" applyBorder="1" applyAlignment="1">
      <alignment horizontal="center" vertical="center"/>
    </xf>
    <xf numFmtId="3" fontId="67" fillId="37" borderId="256" xfId="0" applyNumberFormat="1" applyFont="1" applyFill="1" applyBorder="1" applyAlignment="1">
      <alignment horizontal="center" vertical="center"/>
    </xf>
    <xf numFmtId="3" fontId="67" fillId="37" borderId="37" xfId="0" applyNumberFormat="1" applyFont="1" applyFill="1" applyBorder="1" applyAlignment="1">
      <alignment horizontal="center" vertical="center"/>
    </xf>
    <xf numFmtId="170" fontId="34" fillId="37" borderId="3" xfId="16" applyNumberFormat="1" applyFont="1" applyFill="1" applyBorder="1" applyAlignment="1">
      <alignment horizontal="center" vertical="center"/>
    </xf>
    <xf numFmtId="170" fontId="62" fillId="0" borderId="256" xfId="0" applyNumberFormat="1" applyFont="1" applyBorder="1" applyAlignment="1">
      <alignment horizontal="center" vertical="center"/>
    </xf>
    <xf numFmtId="3" fontId="59" fillId="0" borderId="3" xfId="0" applyNumberFormat="1" applyFont="1" applyBorder="1" applyAlignment="1">
      <alignment horizontal="center" vertical="center"/>
    </xf>
    <xf numFmtId="3" fontId="59" fillId="39" borderId="37" xfId="0" quotePrefix="1" applyNumberFormat="1" applyFont="1" applyFill="1" applyBorder="1" applyAlignment="1">
      <alignment horizontal="center" vertical="center"/>
    </xf>
    <xf numFmtId="3" fontId="59" fillId="39" borderId="37" xfId="0" applyNumberFormat="1" applyFont="1" applyFill="1" applyBorder="1" applyAlignment="1">
      <alignment horizontal="center" vertical="center"/>
    </xf>
    <xf numFmtId="0" fontId="34" fillId="8" borderId="0" xfId="24" applyFont="1" applyFill="1"/>
    <xf numFmtId="0" fontId="34" fillId="0" borderId="0" xfId="24" applyFont="1"/>
    <xf numFmtId="0" fontId="131" fillId="14" borderId="2" xfId="0" applyFont="1" applyFill="1" applyBorder="1" applyAlignment="1">
      <alignment horizontal="center"/>
    </xf>
    <xf numFmtId="0" fontId="130" fillId="14" borderId="2" xfId="24" applyFont="1" applyFill="1" applyBorder="1" applyAlignment="1">
      <alignment horizontal="center"/>
    </xf>
    <xf numFmtId="0" fontId="34" fillId="14" borderId="31" xfId="24" applyFont="1" applyFill="1" applyBorder="1" applyAlignment="1">
      <alignment horizontal="center"/>
    </xf>
    <xf numFmtId="170" fontId="129" fillId="8" borderId="38" xfId="16" applyNumberFormat="1" applyFont="1" applyFill="1" applyBorder="1" applyAlignment="1">
      <alignment horizontal="center" vertical="center"/>
    </xf>
    <xf numFmtId="170" fontId="129" fillId="8" borderId="36" xfId="16" applyNumberFormat="1" applyFont="1" applyFill="1" applyBorder="1" applyAlignment="1">
      <alignment horizontal="center" vertical="center"/>
    </xf>
    <xf numFmtId="170" fontId="34" fillId="8" borderId="38" xfId="16" applyNumberFormat="1" applyFont="1" applyFill="1" applyBorder="1" applyAlignment="1">
      <alignment horizontal="center" vertical="center"/>
    </xf>
    <xf numFmtId="170" fontId="34" fillId="8" borderId="36" xfId="16" applyNumberFormat="1" applyFont="1" applyFill="1" applyBorder="1" applyAlignment="1">
      <alignment horizontal="center" vertical="center"/>
    </xf>
    <xf numFmtId="170" fontId="129" fillId="8" borderId="3" xfId="16" applyNumberFormat="1" applyFont="1" applyFill="1" applyBorder="1" applyAlignment="1">
      <alignment horizontal="center" vertical="center"/>
    </xf>
    <xf numFmtId="170" fontId="129" fillId="8" borderId="3" xfId="16" quotePrefix="1" applyNumberFormat="1" applyFont="1" applyFill="1" applyBorder="1" applyAlignment="1">
      <alignment horizontal="center" vertical="center"/>
    </xf>
    <xf numFmtId="170" fontId="129" fillId="8" borderId="28" xfId="16" quotePrefix="1" applyNumberFormat="1" applyFont="1" applyFill="1" applyBorder="1" applyAlignment="1">
      <alignment horizontal="center" vertical="center"/>
    </xf>
    <xf numFmtId="0" fontId="9" fillId="8" borderId="38" xfId="24" quotePrefix="1" applyFill="1" applyBorder="1" applyAlignment="1">
      <alignment horizontal="center" vertical="center"/>
    </xf>
    <xf numFmtId="10" fontId="122" fillId="8" borderId="0" xfId="16" applyNumberFormat="1" applyFont="1" applyFill="1" applyBorder="1"/>
    <xf numFmtId="185" fontId="121" fillId="8" borderId="38" xfId="0" applyNumberFormat="1" applyFont="1" applyFill="1" applyBorder="1" applyAlignment="1">
      <alignment horizontal="center"/>
    </xf>
    <xf numFmtId="10" fontId="34" fillId="14" borderId="0" xfId="16" applyNumberFormat="1" applyFont="1" applyFill="1" applyAlignment="1">
      <alignment horizontal="center"/>
    </xf>
    <xf numFmtId="0" fontId="34" fillId="14" borderId="32" xfId="24" applyFont="1" applyFill="1" applyBorder="1" applyAlignment="1">
      <alignment horizontal="center"/>
    </xf>
    <xf numFmtId="0" fontId="34" fillId="14" borderId="30" xfId="24" applyFont="1" applyFill="1" applyBorder="1" applyAlignment="1">
      <alignment horizontal="center"/>
    </xf>
    <xf numFmtId="0" fontId="34" fillId="14" borderId="2" xfId="24" applyFont="1" applyFill="1" applyBorder="1" applyAlignment="1">
      <alignment horizontal="center"/>
    </xf>
    <xf numFmtId="0" fontId="0" fillId="0" borderId="142" xfId="0" applyBorder="1"/>
    <xf numFmtId="0" fontId="74" fillId="0" borderId="296" xfId="0" applyFont="1" applyBorder="1" applyAlignment="1">
      <alignment horizontal="center"/>
    </xf>
    <xf numFmtId="14" fontId="129" fillId="14" borderId="2" xfId="0" applyNumberFormat="1" applyFont="1" applyFill="1" applyBorder="1" applyAlignment="1">
      <alignment horizontal="center"/>
    </xf>
    <xf numFmtId="0" fontId="129" fillId="14" borderId="2" xfId="0" applyFont="1" applyFill="1" applyBorder="1" applyAlignment="1">
      <alignment horizontal="center"/>
    </xf>
    <xf numFmtId="0" fontId="0" fillId="89" borderId="142" xfId="0" applyFill="1" applyBorder="1"/>
    <xf numFmtId="0" fontId="74" fillId="0" borderId="26" xfId="0" applyFont="1" applyBorder="1" applyAlignment="1">
      <alignment horizontal="center"/>
    </xf>
    <xf numFmtId="0" fontId="121" fillId="8" borderId="38" xfId="24" applyFont="1" applyFill="1" applyBorder="1" applyAlignment="1">
      <alignment horizontal="center"/>
    </xf>
    <xf numFmtId="3" fontId="121" fillId="8" borderId="38" xfId="0" applyNumberFormat="1" applyFont="1" applyFill="1" applyBorder="1" applyAlignment="1">
      <alignment horizontal="center"/>
    </xf>
    <xf numFmtId="172" fontId="34" fillId="8" borderId="26" xfId="0" applyNumberFormat="1" applyFont="1" applyFill="1" applyBorder="1" applyAlignment="1">
      <alignment horizontal="center"/>
    </xf>
    <xf numFmtId="164" fontId="121" fillId="8" borderId="26" xfId="0" applyNumberFormat="1" applyFont="1" applyFill="1" applyBorder="1" applyAlignment="1">
      <alignment horizontal="center"/>
    </xf>
    <xf numFmtId="172" fontId="121" fillId="8" borderId="26" xfId="0" applyNumberFormat="1" applyFont="1" applyFill="1" applyBorder="1" applyAlignment="1">
      <alignment horizontal="center"/>
    </xf>
    <xf numFmtId="172" fontId="34" fillId="8" borderId="0" xfId="0" applyNumberFormat="1" applyFont="1" applyFill="1" applyAlignment="1">
      <alignment horizontal="center"/>
    </xf>
    <xf numFmtId="0" fontId="9" fillId="90" borderId="0" xfId="24" applyFill="1"/>
    <xf numFmtId="0" fontId="0" fillId="90" borderId="142" xfId="0" applyFill="1" applyBorder="1"/>
    <xf numFmtId="0" fontId="9" fillId="0" borderId="0" xfId="24" applyAlignment="1">
      <alignment horizontal="center" vertical="center"/>
    </xf>
    <xf numFmtId="0" fontId="34" fillId="14" borderId="32" xfId="24" applyFont="1" applyFill="1" applyBorder="1" applyAlignment="1">
      <alignment horizontal="center" vertical="center"/>
    </xf>
    <xf numFmtId="0" fontId="9" fillId="8" borderId="38" xfId="24" applyFill="1" applyBorder="1" applyAlignment="1">
      <alignment vertical="center"/>
    </xf>
    <xf numFmtId="0" fontId="9" fillId="8" borderId="0" xfId="24" applyFill="1" applyAlignment="1">
      <alignment vertical="center"/>
    </xf>
    <xf numFmtId="0" fontId="34" fillId="14" borderId="2" xfId="24" applyFont="1" applyFill="1" applyBorder="1" applyAlignment="1">
      <alignment horizontal="center" vertical="center"/>
    </xf>
    <xf numFmtId="0" fontId="9" fillId="8" borderId="38" xfId="24" applyFill="1" applyBorder="1" applyAlignment="1">
      <alignment horizontal="center" vertical="center"/>
    </xf>
    <xf numFmtId="10" fontId="34" fillId="17" borderId="3" xfId="16" applyNumberFormat="1" applyFont="1" applyFill="1" applyBorder="1" applyAlignment="1">
      <alignment horizontal="center" vertical="center"/>
    </xf>
    <xf numFmtId="0" fontId="9" fillId="0" borderId="0" xfId="24" applyAlignment="1">
      <alignment vertical="center"/>
    </xf>
    <xf numFmtId="14" fontId="122" fillId="0" borderId="0" xfId="0" applyNumberFormat="1" applyFont="1" applyAlignment="1">
      <alignment vertical="center"/>
    </xf>
    <xf numFmtId="0" fontId="34" fillId="8" borderId="38" xfId="24" applyFont="1" applyFill="1" applyBorder="1" applyAlignment="1">
      <alignment horizontal="center" vertical="center"/>
    </xf>
    <xf numFmtId="0" fontId="34" fillId="17" borderId="38" xfId="24" applyFont="1" applyFill="1" applyBorder="1" applyAlignment="1">
      <alignment horizontal="center" vertical="center"/>
    </xf>
    <xf numFmtId="0" fontId="34" fillId="14" borderId="30" xfId="24" applyFont="1" applyFill="1" applyBorder="1" applyAlignment="1">
      <alignment horizontal="center" vertical="center"/>
    </xf>
    <xf numFmtId="0" fontId="9" fillId="8" borderId="0" xfId="24" applyFill="1" applyAlignment="1">
      <alignment horizontal="center" vertical="center"/>
    </xf>
    <xf numFmtId="14" fontId="122" fillId="0" borderId="0" xfId="0" applyNumberFormat="1" applyFont="1" applyAlignment="1">
      <alignment horizontal="center" vertical="center"/>
    </xf>
    <xf numFmtId="0" fontId="121" fillId="8" borderId="38" xfId="0" applyFont="1" applyFill="1" applyBorder="1" applyAlignment="1">
      <alignment vertical="center"/>
    </xf>
    <xf numFmtId="0" fontId="34" fillId="14" borderId="32" xfId="24" quotePrefix="1" applyFont="1" applyFill="1" applyBorder="1" applyAlignment="1">
      <alignment horizontal="center" vertical="center"/>
    </xf>
    <xf numFmtId="0" fontId="9" fillId="8" borderId="37" xfId="24" applyFill="1" applyBorder="1" applyAlignment="1">
      <alignment vertical="center"/>
    </xf>
    <xf numFmtId="10" fontId="34" fillId="17" borderId="29" xfId="16" applyNumberFormat="1" applyFont="1" applyFill="1" applyBorder="1" applyAlignment="1">
      <alignment horizontal="right" vertical="center"/>
    </xf>
    <xf numFmtId="0" fontId="34" fillId="8" borderId="37" xfId="24" applyFont="1" applyFill="1" applyBorder="1" applyAlignment="1">
      <alignment vertical="center"/>
    </xf>
    <xf numFmtId="0" fontId="34" fillId="17" borderId="37" xfId="24" applyFont="1" applyFill="1" applyBorder="1" applyAlignment="1">
      <alignment horizontal="right" vertical="center"/>
    </xf>
    <xf numFmtId="0" fontId="34" fillId="8" borderId="0" xfId="24" applyFont="1" applyFill="1" applyAlignment="1">
      <alignment vertical="center"/>
    </xf>
    <xf numFmtId="0" fontId="14" fillId="0" borderId="0" xfId="24" applyFont="1" applyAlignment="1">
      <alignment vertical="center"/>
    </xf>
    <xf numFmtId="14" fontId="121" fillId="8" borderId="26" xfId="24" applyNumberFormat="1" applyFont="1" applyFill="1" applyBorder="1" applyAlignment="1">
      <alignment horizontal="center" vertical="center"/>
    </xf>
    <xf numFmtId="0" fontId="74" fillId="0" borderId="26" xfId="0" applyFont="1" applyBorder="1" applyAlignment="1">
      <alignment horizontal="center" vertical="center"/>
    </xf>
    <xf numFmtId="0" fontId="9" fillId="0" borderId="0" xfId="0" applyFont="1" applyAlignment="1">
      <alignment vertical="center"/>
    </xf>
    <xf numFmtId="0" fontId="9" fillId="0" borderId="142" xfId="0" applyFont="1" applyBorder="1" applyAlignment="1">
      <alignment vertical="center"/>
    </xf>
    <xf numFmtId="0" fontId="74" fillId="0" borderId="296" xfId="0" applyFont="1" applyBorder="1" applyAlignment="1">
      <alignment horizontal="center" vertical="center"/>
    </xf>
    <xf numFmtId="0" fontId="0" fillId="0" borderId="142" xfId="0" applyBorder="1" applyAlignment="1">
      <alignment vertical="center"/>
    </xf>
    <xf numFmtId="10" fontId="34" fillId="0" borderId="38" xfId="16" applyNumberFormat="1" applyFont="1" applyFill="1" applyBorder="1" applyAlignment="1">
      <alignment horizontal="left" vertical="center"/>
    </xf>
    <xf numFmtId="0" fontId="9" fillId="0" borderId="38" xfId="24" applyBorder="1" applyAlignment="1">
      <alignment horizontal="center" vertical="center"/>
    </xf>
    <xf numFmtId="10" fontId="34" fillId="17" borderId="38" xfId="16" applyNumberFormat="1" applyFont="1" applyFill="1" applyBorder="1" applyAlignment="1">
      <alignment horizontal="right" vertical="center"/>
    </xf>
    <xf numFmtId="10" fontId="34" fillId="17" borderId="38" xfId="16" applyNumberFormat="1" applyFont="1" applyFill="1" applyBorder="1" applyAlignment="1">
      <alignment horizontal="center" vertical="center"/>
    </xf>
    <xf numFmtId="0" fontId="130" fillId="14" borderId="32" xfId="24" applyFont="1" applyFill="1" applyBorder="1" applyAlignment="1">
      <alignment horizontal="center" vertical="center"/>
    </xf>
    <xf numFmtId="14" fontId="129" fillId="8" borderId="37" xfId="0" applyNumberFormat="1" applyFont="1" applyFill="1" applyBorder="1" applyAlignment="1">
      <alignment vertical="center"/>
    </xf>
    <xf numFmtId="14" fontId="129" fillId="8" borderId="29" xfId="0" applyNumberFormat="1" applyFont="1" applyFill="1" applyBorder="1" applyAlignment="1">
      <alignment vertical="center"/>
    </xf>
    <xf numFmtId="0" fontId="9" fillId="8" borderId="38" xfId="24" applyFill="1" applyBorder="1" applyAlignment="1">
      <alignment horizontal="left" vertical="center"/>
    </xf>
    <xf numFmtId="14" fontId="121" fillId="8" borderId="38" xfId="0" applyNumberFormat="1" applyFont="1" applyFill="1" applyBorder="1" applyAlignment="1">
      <alignment horizontal="left" vertical="center"/>
    </xf>
    <xf numFmtId="14" fontId="121" fillId="8" borderId="38" xfId="24" applyNumberFormat="1" applyFont="1" applyFill="1" applyBorder="1" applyAlignment="1">
      <alignment horizontal="left" vertical="center"/>
    </xf>
    <xf numFmtId="3" fontId="14" fillId="8" borderId="37" xfId="24" applyNumberFormat="1" applyFont="1" applyFill="1" applyBorder="1" applyAlignment="1">
      <alignment horizontal="left" vertical="center"/>
    </xf>
    <xf numFmtId="3" fontId="14" fillId="8" borderId="29" xfId="24" applyNumberFormat="1" applyFont="1" applyFill="1" applyBorder="1" applyAlignment="1">
      <alignment horizontal="left" vertical="center"/>
    </xf>
    <xf numFmtId="0" fontId="0" fillId="0" borderId="0" xfId="0" applyAlignment="1">
      <alignment horizontal="left" vertical="center"/>
    </xf>
    <xf numFmtId="0" fontId="129" fillId="8" borderId="0" xfId="24" applyFont="1" applyFill="1" applyAlignment="1">
      <alignment horizontal="center" vertical="center"/>
    </xf>
    <xf numFmtId="14" fontId="9" fillId="0" borderId="142" xfId="0" applyNumberFormat="1" applyFont="1" applyBorder="1" applyAlignment="1">
      <alignment vertical="center"/>
    </xf>
    <xf numFmtId="14" fontId="74" fillId="0" borderId="296" xfId="0" applyNumberFormat="1" applyFont="1" applyBorder="1" applyAlignment="1">
      <alignment horizontal="center"/>
    </xf>
    <xf numFmtId="3" fontId="9" fillId="0" borderId="0" xfId="24" applyNumberFormat="1"/>
    <xf numFmtId="0" fontId="122" fillId="91" borderId="299" xfId="0" applyFont="1" applyFill="1" applyBorder="1" applyAlignment="1">
      <alignment horizontal="center" vertical="center"/>
    </xf>
    <xf numFmtId="0" fontId="122" fillId="91" borderId="300" xfId="0" applyFont="1" applyFill="1" applyBorder="1" applyAlignment="1">
      <alignment horizontal="center"/>
    </xf>
    <xf numFmtId="14" fontId="121" fillId="8" borderId="301" xfId="0" applyNumberFormat="1" applyFont="1" applyFill="1" applyBorder="1" applyAlignment="1">
      <alignment horizontal="center" vertical="center"/>
    </xf>
    <xf numFmtId="164" fontId="121" fillId="8" borderId="297" xfId="0" applyNumberFormat="1" applyFont="1" applyFill="1" applyBorder="1" applyAlignment="1">
      <alignment horizontal="center"/>
    </xf>
    <xf numFmtId="0" fontId="121" fillId="8" borderId="297" xfId="0" applyFont="1" applyFill="1" applyBorder="1" applyAlignment="1">
      <alignment horizontal="center"/>
    </xf>
    <xf numFmtId="0" fontId="34" fillId="14" borderId="2" xfId="0" applyFont="1" applyFill="1" applyBorder="1" applyAlignment="1">
      <alignment horizontal="center" vertical="center"/>
    </xf>
    <xf numFmtId="0" fontId="34" fillId="14" borderId="31" xfId="0" applyFont="1" applyFill="1" applyBorder="1" applyAlignment="1">
      <alignment horizontal="center" vertical="center"/>
    </xf>
    <xf numFmtId="0" fontId="9" fillId="8" borderId="29" xfId="24" applyFill="1" applyBorder="1"/>
    <xf numFmtId="3" fontId="121" fillId="8" borderId="38" xfId="0" applyNumberFormat="1" applyFont="1" applyFill="1" applyBorder="1" applyAlignment="1">
      <alignment horizontal="center" vertical="center"/>
    </xf>
    <xf numFmtId="3" fontId="9" fillId="8" borderId="38" xfId="24" applyNumberFormat="1" applyFill="1" applyBorder="1" applyAlignment="1">
      <alignment horizontal="center" vertical="center"/>
    </xf>
    <xf numFmtId="3" fontId="9" fillId="8" borderId="36" xfId="24" applyNumberFormat="1" applyFill="1" applyBorder="1" applyAlignment="1">
      <alignment horizontal="center" vertical="center"/>
    </xf>
    <xf numFmtId="3" fontId="9" fillId="21" borderId="2" xfId="24" applyNumberFormat="1" applyFill="1" applyBorder="1" applyAlignment="1">
      <alignment horizontal="center" vertical="center"/>
    </xf>
    <xf numFmtId="3" fontId="121" fillId="8" borderId="3" xfId="0" applyNumberFormat="1" applyFont="1" applyFill="1" applyBorder="1" applyAlignment="1">
      <alignment horizontal="center" vertical="center"/>
    </xf>
    <xf numFmtId="3" fontId="121" fillId="8" borderId="28" xfId="0" applyNumberFormat="1" applyFont="1" applyFill="1" applyBorder="1" applyAlignment="1">
      <alignment horizontal="center" vertical="center"/>
    </xf>
    <xf numFmtId="3" fontId="34" fillId="21" borderId="298" xfId="24" applyNumberFormat="1" applyFont="1" applyFill="1" applyBorder="1" applyAlignment="1">
      <alignment horizontal="center" vertical="center"/>
    </xf>
    <xf numFmtId="10" fontId="121" fillId="17" borderId="3" xfId="0" applyNumberFormat="1" applyFont="1" applyFill="1" applyBorder="1" applyAlignment="1">
      <alignment horizontal="center" vertical="center"/>
    </xf>
    <xf numFmtId="0" fontId="130" fillId="17" borderId="29" xfId="0" applyFont="1" applyFill="1" applyBorder="1" applyAlignment="1">
      <alignment horizontal="left" vertical="center"/>
    </xf>
    <xf numFmtId="14" fontId="132" fillId="0" borderId="0" xfId="0" applyNumberFormat="1" applyFont="1" applyAlignment="1">
      <alignment vertical="center"/>
    </xf>
    <xf numFmtId="0" fontId="133" fillId="0" borderId="0" xfId="0" applyFont="1"/>
    <xf numFmtId="0" fontId="27" fillId="0" borderId="0" xfId="24" applyFont="1"/>
    <xf numFmtId="0" fontId="34" fillId="8" borderId="38" xfId="24" applyFont="1" applyFill="1" applyBorder="1" applyAlignment="1">
      <alignment vertical="center"/>
    </xf>
    <xf numFmtId="0" fontId="130" fillId="14" borderId="38" xfId="24" quotePrefix="1" applyFont="1" applyFill="1" applyBorder="1" applyAlignment="1">
      <alignment horizontal="center" vertical="center"/>
    </xf>
    <xf numFmtId="0" fontId="130" fillId="14" borderId="38" xfId="24" applyFont="1" applyFill="1" applyBorder="1" applyAlignment="1">
      <alignment horizontal="center" vertical="center"/>
    </xf>
    <xf numFmtId="0" fontId="11" fillId="0" borderId="0" xfId="11" applyAlignment="1" applyProtection="1">
      <alignment horizontal="center"/>
    </xf>
    <xf numFmtId="0" fontId="0" fillId="0" borderId="0" xfId="0" applyAlignment="1">
      <alignment horizontal="left" vertical="center" wrapText="1"/>
    </xf>
    <xf numFmtId="3" fontId="0" fillId="0" borderId="0" xfId="0" applyNumberFormat="1" applyAlignment="1">
      <alignment horizontal="right" vertical="center"/>
    </xf>
    <xf numFmtId="3" fontId="121" fillId="0" borderId="0" xfId="0" applyNumberFormat="1" applyFont="1"/>
    <xf numFmtId="14" fontId="132" fillId="0" borderId="0" xfId="0" applyNumberFormat="1" applyFont="1"/>
    <xf numFmtId="2" fontId="132" fillId="0" borderId="0" xfId="0" applyNumberFormat="1" applyFont="1"/>
    <xf numFmtId="2" fontId="133" fillId="0" borderId="0" xfId="0" applyNumberFormat="1" applyFont="1"/>
    <xf numFmtId="2" fontId="27" fillId="0" borderId="0" xfId="24" applyNumberFormat="1" applyFont="1"/>
    <xf numFmtId="0" fontId="132" fillId="0" borderId="0" xfId="0" applyFont="1"/>
    <xf numFmtId="3" fontId="133" fillId="0" borderId="0" xfId="0" applyNumberFormat="1" applyFont="1"/>
    <xf numFmtId="3" fontId="27" fillId="0" borderId="0" xfId="24" applyNumberFormat="1" applyFont="1"/>
    <xf numFmtId="0" fontId="9" fillId="0" borderId="142" xfId="24" applyBorder="1"/>
    <xf numFmtId="0" fontId="9" fillId="0" borderId="38" xfId="24" quotePrefix="1" applyBorder="1" applyAlignment="1">
      <alignment horizontal="center" vertical="center"/>
    </xf>
    <xf numFmtId="0" fontId="129" fillId="93" borderId="38" xfId="24" applyFont="1" applyFill="1" applyBorder="1" applyAlignment="1">
      <alignment horizontal="left" vertical="center"/>
    </xf>
    <xf numFmtId="0" fontId="9" fillId="94" borderId="38" xfId="24" applyFill="1" applyBorder="1" applyAlignment="1">
      <alignment horizontal="left" vertical="center"/>
    </xf>
    <xf numFmtId="0" fontId="9" fillId="92" borderId="38" xfId="24" applyFill="1" applyBorder="1" applyAlignment="1">
      <alignment horizontal="left" vertical="center"/>
    </xf>
    <xf numFmtId="169" fontId="9" fillId="8" borderId="17" xfId="0" applyNumberFormat="1" applyFont="1" applyFill="1" applyBorder="1" applyAlignment="1">
      <alignment horizontal="center"/>
    </xf>
    <xf numFmtId="0" fontId="131" fillId="95" borderId="2" xfId="0" applyFont="1" applyFill="1" applyBorder="1" applyAlignment="1">
      <alignment horizontal="center"/>
    </xf>
    <xf numFmtId="0" fontId="121" fillId="17" borderId="3" xfId="0" applyFont="1" applyFill="1" applyBorder="1" applyAlignment="1">
      <alignment horizontal="center" vertical="center"/>
    </xf>
    <xf numFmtId="10" fontId="9" fillId="17" borderId="4" xfId="16" applyNumberFormat="1" applyFill="1" applyBorder="1" applyAlignment="1">
      <alignment horizontal="center"/>
    </xf>
    <xf numFmtId="0" fontId="34" fillId="8" borderId="0" xfId="24" applyFont="1" applyFill="1" applyAlignment="1">
      <alignment horizontal="center" vertical="center"/>
    </xf>
    <xf numFmtId="0" fontId="9" fillId="8" borderId="3" xfId="24" applyFill="1" applyBorder="1" applyAlignment="1">
      <alignment vertical="center"/>
    </xf>
    <xf numFmtId="0" fontId="34" fillId="8" borderId="3" xfId="24" applyFont="1" applyFill="1" applyBorder="1" applyAlignment="1">
      <alignment horizontal="center" vertical="center"/>
    </xf>
    <xf numFmtId="0" fontId="0" fillId="0" borderId="0" xfId="24" applyFont="1"/>
    <xf numFmtId="10" fontId="9" fillId="0" borderId="0" xfId="24" applyNumberFormat="1" applyAlignment="1">
      <alignment horizontal="center"/>
    </xf>
    <xf numFmtId="10" fontId="0" fillId="0" borderId="0" xfId="24" applyNumberFormat="1" applyFont="1" applyAlignment="1">
      <alignment horizontal="center"/>
    </xf>
    <xf numFmtId="10" fontId="9" fillId="17" borderId="37" xfId="16" applyNumberFormat="1" applyFill="1" applyBorder="1" applyAlignment="1">
      <alignment horizontal="center" vertical="center"/>
    </xf>
    <xf numFmtId="10" fontId="9" fillId="17" borderId="38" xfId="16" applyNumberFormat="1" applyFill="1" applyBorder="1" applyAlignment="1">
      <alignment horizontal="center" vertical="center"/>
    </xf>
    <xf numFmtId="10" fontId="9" fillId="17" borderId="36" xfId="16" applyNumberFormat="1" applyFill="1" applyBorder="1" applyAlignment="1">
      <alignment horizontal="center" vertical="center"/>
    </xf>
    <xf numFmtId="3" fontId="0" fillId="21" borderId="29" xfId="16" applyNumberFormat="1" applyFont="1" applyFill="1" applyBorder="1" applyAlignment="1">
      <alignment horizontal="center" vertical="center"/>
    </xf>
    <xf numFmtId="189" fontId="0" fillId="17" borderId="29" xfId="16" applyNumberFormat="1" applyFont="1" applyFill="1" applyBorder="1" applyAlignment="1">
      <alignment horizontal="center" vertical="center"/>
    </xf>
    <xf numFmtId="189" fontId="9" fillId="17" borderId="29" xfId="16" applyNumberFormat="1" applyFill="1" applyBorder="1" applyAlignment="1">
      <alignment horizontal="center" vertical="center"/>
    </xf>
    <xf numFmtId="10" fontId="9" fillId="17" borderId="37" xfId="24" applyNumberFormat="1" applyFill="1" applyBorder="1" applyAlignment="1">
      <alignment horizontal="center" vertical="center"/>
    </xf>
    <xf numFmtId="0" fontId="9" fillId="0" borderId="38" xfId="24" applyBorder="1" applyAlignment="1">
      <alignment horizontal="left" vertical="center"/>
    </xf>
    <xf numFmtId="10" fontId="9" fillId="0" borderId="38" xfId="24" applyNumberFormat="1" applyBorder="1" applyAlignment="1">
      <alignment horizontal="left" vertical="center"/>
    </xf>
    <xf numFmtId="0" fontId="0" fillId="0" borderId="38" xfId="24" quotePrefix="1" applyFont="1" applyBorder="1" applyAlignment="1">
      <alignment horizontal="center" vertical="center"/>
    </xf>
    <xf numFmtId="0" fontId="14" fillId="0" borderId="0" xfId="24" applyFont="1" applyAlignment="1">
      <alignment horizontal="left" vertical="center"/>
    </xf>
    <xf numFmtId="0" fontId="14" fillId="0" borderId="142" xfId="24" applyFont="1" applyBorder="1" applyAlignment="1">
      <alignment horizontal="left"/>
    </xf>
    <xf numFmtId="14" fontId="122" fillId="0" borderId="0" xfId="0" applyNumberFormat="1" applyFont="1" applyAlignment="1">
      <alignment horizontal="left"/>
    </xf>
    <xf numFmtId="0" fontId="14" fillId="0" borderId="26" xfId="24" applyFont="1" applyBorder="1"/>
    <xf numFmtId="0" fontId="9" fillId="0" borderId="26" xfId="24" applyBorder="1"/>
    <xf numFmtId="0" fontId="36" fillId="0" borderId="0" xfId="24" applyFont="1"/>
    <xf numFmtId="0" fontId="24" fillId="0" borderId="38" xfId="24" applyFont="1" applyBorder="1"/>
    <xf numFmtId="2" fontId="24" fillId="0" borderId="38" xfId="16" applyNumberFormat="1" applyFont="1" applyBorder="1"/>
    <xf numFmtId="3" fontId="24" fillId="0" borderId="2" xfId="24" applyNumberFormat="1" applyFont="1" applyBorder="1"/>
    <xf numFmtId="2" fontId="24" fillId="0" borderId="38" xfId="16" applyNumberFormat="1" applyFont="1" applyBorder="1" applyAlignment="1">
      <alignment horizontal="right"/>
    </xf>
    <xf numFmtId="9" fontId="0" fillId="8" borderId="79" xfId="0" applyNumberFormat="1" applyFill="1" applyBorder="1" applyAlignment="1">
      <alignment horizontal="center"/>
    </xf>
    <xf numFmtId="0" fontId="9" fillId="8" borderId="17" xfId="0" applyFont="1" applyFill="1" applyBorder="1" applyAlignment="1">
      <alignment horizontal="center" vertical="center" wrapText="1"/>
    </xf>
    <xf numFmtId="9" fontId="9" fillId="0" borderId="0" xfId="16"/>
    <xf numFmtId="170" fontId="9" fillId="0" borderId="0" xfId="16" applyNumberFormat="1"/>
    <xf numFmtId="0" fontId="27" fillId="0" borderId="0" xfId="24" applyFont="1" applyAlignment="1">
      <alignment horizontal="center" vertical="center"/>
    </xf>
    <xf numFmtId="0" fontId="9" fillId="0" borderId="38" xfId="24" applyBorder="1"/>
    <xf numFmtId="9" fontId="9" fillId="0" borderId="38" xfId="24" applyNumberFormat="1" applyBorder="1"/>
    <xf numFmtId="10" fontId="9" fillId="8" borderId="38" xfId="16" applyNumberFormat="1" applyFill="1" applyBorder="1" applyAlignment="1">
      <alignment horizontal="center" vertical="center"/>
    </xf>
    <xf numFmtId="10" fontId="9" fillId="21" borderId="38" xfId="16" applyNumberFormat="1" applyFill="1" applyBorder="1" applyAlignment="1">
      <alignment horizontal="center" vertical="center"/>
    </xf>
    <xf numFmtId="10" fontId="0" fillId="21" borderId="38" xfId="16" applyNumberFormat="1" applyFont="1" applyFill="1" applyBorder="1" applyAlignment="1">
      <alignment horizontal="center" vertical="center"/>
    </xf>
    <xf numFmtId="0" fontId="34" fillId="0" borderId="0" xfId="24" applyFont="1" applyAlignment="1">
      <alignment vertical="center"/>
    </xf>
    <xf numFmtId="10" fontId="9" fillId="8" borderId="3" xfId="16" applyNumberFormat="1" applyFill="1" applyBorder="1" applyAlignment="1">
      <alignment horizontal="center" vertical="center"/>
    </xf>
    <xf numFmtId="10" fontId="9" fillId="21" borderId="3" xfId="16" applyNumberFormat="1" applyFill="1" applyBorder="1" applyAlignment="1">
      <alignment horizontal="center" vertical="center"/>
    </xf>
    <xf numFmtId="10" fontId="0" fillId="21" borderId="3" xfId="16" applyNumberFormat="1" applyFont="1" applyFill="1" applyBorder="1" applyAlignment="1">
      <alignment horizontal="center" vertical="center"/>
    </xf>
    <xf numFmtId="0" fontId="34" fillId="14" borderId="26" xfId="24" applyFont="1" applyFill="1" applyBorder="1" applyAlignment="1">
      <alignment horizontal="center" vertical="center"/>
    </xf>
    <xf numFmtId="0" fontId="121" fillId="8" borderId="38" xfId="0" applyFont="1" applyFill="1" applyBorder="1" applyAlignment="1">
      <alignment horizontal="center" vertical="center"/>
    </xf>
    <xf numFmtId="185" fontId="121" fillId="8" borderId="38" xfId="0" applyNumberFormat="1" applyFont="1" applyFill="1" applyBorder="1" applyAlignment="1">
      <alignment horizontal="center" vertical="center"/>
    </xf>
    <xf numFmtId="185" fontId="121" fillId="17" borderId="36" xfId="0" applyNumberFormat="1" applyFont="1" applyFill="1" applyBorder="1" applyAlignment="1">
      <alignment horizontal="center" vertical="center"/>
    </xf>
    <xf numFmtId="185" fontId="121" fillId="21" borderId="38" xfId="0" applyNumberFormat="1" applyFont="1" applyFill="1" applyBorder="1" applyAlignment="1">
      <alignment horizontal="center" vertical="center"/>
    </xf>
    <xf numFmtId="10" fontId="122" fillId="8" borderId="26" xfId="16" applyNumberFormat="1" applyFont="1" applyFill="1" applyBorder="1" applyAlignment="1">
      <alignment horizontal="center" vertical="center"/>
    </xf>
    <xf numFmtId="10" fontId="121" fillId="17" borderId="38" xfId="16" applyNumberFormat="1" applyFont="1" applyFill="1" applyBorder="1" applyAlignment="1">
      <alignment horizontal="center" vertical="center"/>
    </xf>
    <xf numFmtId="0" fontId="122" fillId="8" borderId="1" xfId="24" applyFont="1" applyFill="1" applyBorder="1" applyAlignment="1">
      <alignment horizontal="center" vertical="center"/>
    </xf>
    <xf numFmtId="0" fontId="122" fillId="8" borderId="1" xfId="0" applyFont="1" applyFill="1" applyBorder="1" applyAlignment="1">
      <alignment horizontal="center" vertical="center"/>
    </xf>
    <xf numFmtId="10" fontId="122" fillId="8" borderId="5" xfId="16" applyNumberFormat="1" applyFont="1" applyFill="1" applyBorder="1" applyAlignment="1">
      <alignment horizontal="center" vertical="center"/>
    </xf>
    <xf numFmtId="0" fontId="122" fillId="8" borderId="5" xfId="24" applyFont="1" applyFill="1" applyBorder="1" applyAlignment="1">
      <alignment horizontal="center" vertical="center"/>
    </xf>
    <xf numFmtId="0" fontId="129" fillId="14" borderId="294" xfId="0" applyFont="1" applyFill="1" applyBorder="1" applyAlignment="1">
      <alignment horizontal="center" vertical="center"/>
    </xf>
    <xf numFmtId="0" fontId="34" fillId="14" borderId="295" xfId="24" applyFont="1" applyFill="1" applyBorder="1" applyAlignment="1">
      <alignment horizontal="center" vertical="center"/>
    </xf>
    <xf numFmtId="0" fontId="34" fillId="14" borderId="143" xfId="24" applyFont="1" applyFill="1" applyBorder="1" applyAlignment="1">
      <alignment horizontal="center" vertical="center"/>
    </xf>
    <xf numFmtId="0" fontId="34" fillId="14" borderId="0" xfId="24" applyFont="1" applyFill="1" applyAlignment="1">
      <alignment horizontal="center" vertical="center"/>
    </xf>
    <xf numFmtId="185" fontId="34" fillId="8" borderId="38" xfId="24" applyNumberFormat="1" applyFont="1" applyFill="1" applyBorder="1" applyAlignment="1">
      <alignment horizontal="center" vertical="center"/>
    </xf>
    <xf numFmtId="0" fontId="34" fillId="14" borderId="31" xfId="24" applyFont="1" applyFill="1" applyBorder="1" applyAlignment="1">
      <alignment horizontal="center" vertical="center"/>
    </xf>
    <xf numFmtId="185" fontId="9" fillId="8" borderId="38" xfId="24" applyNumberFormat="1" applyFill="1" applyBorder="1" applyAlignment="1">
      <alignment horizontal="center" vertical="center"/>
    </xf>
    <xf numFmtId="185" fontId="9" fillId="8" borderId="36" xfId="24" applyNumberFormat="1" applyFill="1" applyBorder="1" applyAlignment="1">
      <alignment horizontal="center" vertical="center"/>
    </xf>
    <xf numFmtId="185" fontId="9" fillId="17" borderId="28" xfId="24" applyNumberFormat="1" applyFill="1" applyBorder="1" applyAlignment="1">
      <alignment horizontal="center" vertical="center"/>
    </xf>
    <xf numFmtId="185" fontId="9" fillId="8" borderId="38" xfId="24" quotePrefix="1" applyNumberFormat="1" applyFill="1" applyBorder="1" applyAlignment="1">
      <alignment horizontal="center" vertical="center"/>
    </xf>
    <xf numFmtId="189" fontId="34" fillId="17" borderId="38" xfId="16" applyNumberFormat="1" applyFont="1" applyFill="1" applyBorder="1" applyAlignment="1">
      <alignment horizontal="center" vertical="center"/>
    </xf>
    <xf numFmtId="185" fontId="9" fillId="17" borderId="38" xfId="24" applyNumberFormat="1" applyFill="1" applyBorder="1" applyAlignment="1">
      <alignment horizontal="center" vertical="center"/>
    </xf>
    <xf numFmtId="10" fontId="34" fillId="8" borderId="38" xfId="16" applyNumberFormat="1" applyFont="1" applyFill="1" applyBorder="1" applyAlignment="1">
      <alignment horizontal="center" vertical="center"/>
    </xf>
    <xf numFmtId="10" fontId="34" fillId="8" borderId="3" xfId="16" applyNumberFormat="1" applyFont="1" applyFill="1" applyBorder="1" applyAlignment="1">
      <alignment horizontal="center" vertical="center"/>
    </xf>
    <xf numFmtId="0" fontId="34" fillId="14" borderId="0" xfId="24" quotePrefix="1" applyFont="1" applyFill="1" applyAlignment="1">
      <alignment horizontal="center" vertical="center"/>
    </xf>
    <xf numFmtId="0" fontId="34" fillId="14" borderId="30" xfId="24" quotePrefix="1" applyFont="1" applyFill="1" applyBorder="1" applyAlignment="1">
      <alignment horizontal="center" vertical="center"/>
    </xf>
    <xf numFmtId="0" fontId="24" fillId="8" borderId="38" xfId="24" quotePrefix="1" applyFont="1" applyFill="1" applyBorder="1" applyAlignment="1">
      <alignment horizontal="center" vertical="center"/>
    </xf>
    <xf numFmtId="0" fontId="24" fillId="8" borderId="38" xfId="24" applyFont="1" applyFill="1" applyBorder="1" applyAlignment="1">
      <alignment horizontal="center" vertical="center"/>
    </xf>
    <xf numFmtId="10" fontId="9" fillId="8" borderId="0" xfId="24" quotePrefix="1" applyNumberFormat="1" applyFill="1" applyAlignment="1">
      <alignment horizontal="center" vertical="center"/>
    </xf>
    <xf numFmtId="9" fontId="9" fillId="8" borderId="30" xfId="24" applyNumberFormat="1" applyFill="1" applyBorder="1" applyAlignment="1">
      <alignment horizontal="center" vertical="center"/>
    </xf>
    <xf numFmtId="0" fontId="9" fillId="8" borderId="30" xfId="24" applyFill="1" applyBorder="1" applyAlignment="1">
      <alignment horizontal="center" vertical="center"/>
    </xf>
    <xf numFmtId="10" fontId="9" fillId="8" borderId="0" xfId="24" applyNumberFormat="1" applyFill="1" applyAlignment="1">
      <alignment horizontal="center" vertical="center"/>
    </xf>
    <xf numFmtId="0" fontId="9" fillId="8" borderId="133" xfId="24" applyFill="1" applyBorder="1" applyAlignment="1">
      <alignment horizontal="center" vertical="center"/>
    </xf>
    <xf numFmtId="10" fontId="9" fillId="8" borderId="142" xfId="24" applyNumberFormat="1" applyFill="1" applyBorder="1" applyAlignment="1">
      <alignment horizontal="center" vertical="center"/>
    </xf>
    <xf numFmtId="170" fontId="34" fillId="0" borderId="38" xfId="16" applyNumberFormat="1" applyFont="1" applyBorder="1" applyAlignment="1">
      <alignment horizontal="center" vertical="center"/>
    </xf>
    <xf numFmtId="0" fontId="14" fillId="0" borderId="38" xfId="24" applyFont="1" applyBorder="1"/>
    <xf numFmtId="10" fontId="14" fillId="0" borderId="38" xfId="24" applyNumberFormat="1" applyFont="1" applyBorder="1"/>
    <xf numFmtId="189" fontId="9" fillId="0" borderId="3" xfId="24" applyNumberFormat="1" applyBorder="1" applyAlignment="1">
      <alignment horizontal="center" vertical="center"/>
    </xf>
    <xf numFmtId="189" fontId="9" fillId="21" borderId="3" xfId="24" applyNumberFormat="1" applyFill="1" applyBorder="1" applyAlignment="1">
      <alignment horizontal="center" vertical="center"/>
    </xf>
    <xf numFmtId="0" fontId="130" fillId="17" borderId="36" xfId="0" applyFont="1" applyFill="1" applyBorder="1" applyAlignment="1">
      <alignment horizontal="left" vertical="center"/>
    </xf>
    <xf numFmtId="10" fontId="0" fillId="17" borderId="38" xfId="16" applyNumberFormat="1" applyFont="1" applyFill="1" applyBorder="1" applyAlignment="1">
      <alignment horizontal="center" vertical="center"/>
    </xf>
    <xf numFmtId="0" fontId="0" fillId="17" borderId="38" xfId="24" applyFont="1" applyFill="1" applyBorder="1" applyAlignment="1">
      <alignment horizontal="center" vertical="center"/>
    </xf>
    <xf numFmtId="10" fontId="34" fillId="17" borderId="4" xfId="16" applyNumberFormat="1" applyFont="1" applyFill="1" applyBorder="1" applyAlignment="1">
      <alignment horizontal="center" vertical="center"/>
    </xf>
    <xf numFmtId="10" fontId="121" fillId="17" borderId="28" xfId="0" applyNumberFormat="1" applyFont="1" applyFill="1" applyBorder="1" applyAlignment="1">
      <alignment horizontal="center" vertical="center"/>
    </xf>
    <xf numFmtId="0" fontId="9" fillId="0" borderId="36" xfId="24" applyBorder="1" applyAlignment="1">
      <alignment horizontal="center" vertical="center"/>
    </xf>
    <xf numFmtId="3" fontId="9" fillId="17" borderId="38" xfId="0" applyNumberFormat="1" applyFont="1" applyFill="1" applyBorder="1" applyAlignment="1">
      <alignment horizontal="center"/>
    </xf>
    <xf numFmtId="0" fontId="9" fillId="17" borderId="38" xfId="24" applyFill="1" applyBorder="1" applyAlignment="1">
      <alignment horizontal="center" vertical="center"/>
    </xf>
    <xf numFmtId="189" fontId="9" fillId="0" borderId="0" xfId="24" applyNumberFormat="1" applyAlignment="1">
      <alignment horizontal="center" vertical="center"/>
    </xf>
    <xf numFmtId="170" fontId="9" fillId="8" borderId="0" xfId="16" applyNumberFormat="1" applyFill="1" applyAlignment="1">
      <alignment horizontal="center" vertical="center"/>
    </xf>
    <xf numFmtId="170" fontId="0" fillId="8" borderId="0" xfId="16" applyNumberFormat="1" applyFont="1" applyFill="1" applyAlignment="1">
      <alignment horizontal="center" vertical="center"/>
    </xf>
    <xf numFmtId="0" fontId="9" fillId="8" borderId="142" xfId="24" applyFill="1" applyBorder="1" applyAlignment="1">
      <alignment horizontal="center" vertical="center"/>
    </xf>
    <xf numFmtId="10" fontId="0" fillId="8" borderId="0" xfId="24" applyNumberFormat="1" applyFont="1" applyFill="1" applyAlignment="1">
      <alignment horizontal="center" vertical="center"/>
    </xf>
    <xf numFmtId="9" fontId="9" fillId="8" borderId="142" xfId="24" applyNumberFormat="1" applyFill="1" applyBorder="1" applyAlignment="1">
      <alignment horizontal="center" vertical="center"/>
    </xf>
    <xf numFmtId="170" fontId="9" fillId="8" borderId="307" xfId="16" applyNumberFormat="1" applyFill="1" applyBorder="1" applyAlignment="1">
      <alignment horizontal="center" vertical="center"/>
    </xf>
    <xf numFmtId="170" fontId="0" fillId="8" borderId="142" xfId="16" applyNumberFormat="1" applyFont="1" applyFill="1" applyBorder="1" applyAlignment="1">
      <alignment horizontal="center" vertical="center"/>
    </xf>
    <xf numFmtId="170" fontId="9" fillId="8" borderId="30" xfId="24" applyNumberFormat="1" applyFill="1" applyBorder="1" applyAlignment="1">
      <alignment horizontal="center" vertical="center"/>
    </xf>
    <xf numFmtId="170" fontId="9" fillId="8" borderId="133" xfId="24" applyNumberFormat="1" applyFill="1" applyBorder="1" applyAlignment="1">
      <alignment horizontal="center" vertical="center"/>
    </xf>
    <xf numFmtId="9" fontId="9" fillId="8" borderId="38" xfId="24" applyNumberFormat="1" applyFill="1" applyBorder="1" applyAlignment="1">
      <alignment horizontal="center" vertical="center"/>
    </xf>
    <xf numFmtId="9" fontId="9" fillId="8" borderId="38" xfId="16" applyFill="1" applyBorder="1" applyAlignment="1">
      <alignment horizontal="center" vertical="center"/>
    </xf>
    <xf numFmtId="0" fontId="9" fillId="8" borderId="4" xfId="24" applyFill="1" applyBorder="1" applyAlignment="1">
      <alignment horizontal="center" vertical="center"/>
    </xf>
    <xf numFmtId="0" fontId="34" fillId="17" borderId="38" xfId="0" applyFont="1" applyFill="1" applyBorder="1" applyAlignment="1">
      <alignment horizontal="center" vertical="center"/>
    </xf>
    <xf numFmtId="189" fontId="9" fillId="0" borderId="0" xfId="24" applyNumberFormat="1"/>
    <xf numFmtId="3" fontId="9" fillId="0" borderId="0" xfId="24" applyNumberFormat="1" applyAlignment="1">
      <alignment horizontal="center" vertical="center"/>
    </xf>
    <xf numFmtId="9" fontId="9" fillId="0" borderId="0" xfId="24" applyNumberFormat="1" applyAlignment="1">
      <alignment horizontal="center" vertical="center"/>
    </xf>
    <xf numFmtId="4" fontId="26" fillId="12" borderId="184" xfId="7" applyFont="1" applyFill="1" applyBorder="1">
      <alignment horizontal="right"/>
    </xf>
    <xf numFmtId="0" fontId="35" fillId="0" borderId="150" xfId="0" applyFont="1" applyBorder="1" applyAlignment="1">
      <alignment horizontal="left" vertical="center" wrapText="1"/>
    </xf>
    <xf numFmtId="0" fontId="35" fillId="0" borderId="145" xfId="0" applyFont="1" applyBorder="1" applyAlignment="1">
      <alignment horizontal="left" vertical="center" wrapText="1"/>
    </xf>
    <xf numFmtId="0" fontId="35" fillId="0" borderId="146" xfId="0" applyFont="1" applyBorder="1" applyAlignment="1">
      <alignment horizontal="left" vertical="center" wrapText="1"/>
    </xf>
    <xf numFmtId="0" fontId="35" fillId="0" borderId="151" xfId="0" applyFont="1" applyBorder="1" applyAlignment="1">
      <alignment horizontal="left" vertical="center" wrapText="1"/>
    </xf>
    <xf numFmtId="0" fontId="35" fillId="0" borderId="0" xfId="0" applyFont="1" applyAlignment="1">
      <alignment horizontal="left" vertical="center" wrapText="1"/>
    </xf>
    <xf numFmtId="0" fontId="35" fillId="0" borderId="147" xfId="0" applyFont="1" applyBorder="1" applyAlignment="1">
      <alignment horizontal="left" vertical="center" wrapText="1"/>
    </xf>
    <xf numFmtId="0" fontId="35" fillId="0" borderId="152" xfId="0" applyFont="1" applyBorder="1" applyAlignment="1">
      <alignment horizontal="left" vertical="center" wrapText="1"/>
    </xf>
    <xf numFmtId="0" fontId="35" fillId="0" borderId="148" xfId="0" applyFont="1" applyBorder="1" applyAlignment="1">
      <alignment horizontal="left" vertical="center" wrapText="1"/>
    </xf>
    <xf numFmtId="0" fontId="35" fillId="0" borderId="149" xfId="0" applyFont="1" applyBorder="1" applyAlignment="1">
      <alignment horizontal="left" vertical="center" wrapText="1"/>
    </xf>
    <xf numFmtId="0" fontId="47" fillId="5" borderId="44" xfId="0" applyFont="1" applyFill="1" applyBorder="1" applyAlignment="1">
      <alignment horizontal="center"/>
    </xf>
    <xf numFmtId="0" fontId="47" fillId="5" borderId="220" xfId="0" applyFont="1" applyFill="1" applyBorder="1" applyAlignment="1">
      <alignment horizontal="center"/>
    </xf>
    <xf numFmtId="0" fontId="14" fillId="8" borderId="20" xfId="16" applyNumberFormat="1" applyFont="1" applyFill="1" applyBorder="1" applyAlignment="1">
      <alignment horizontal="left"/>
    </xf>
    <xf numFmtId="0" fontId="14" fillId="8" borderId="19" xfId="16" applyNumberFormat="1" applyFont="1" applyFill="1" applyBorder="1" applyAlignment="1">
      <alignment horizontal="left"/>
    </xf>
    <xf numFmtId="0" fontId="10" fillId="84" borderId="114" xfId="0" applyFont="1" applyFill="1" applyBorder="1" applyAlignment="1">
      <alignment horizontal="center" vertical="center" wrapText="1"/>
    </xf>
    <xf numFmtId="0" fontId="10" fillId="84" borderId="111" xfId="0" applyFont="1" applyFill="1" applyBorder="1" applyAlignment="1">
      <alignment horizontal="center" vertical="center" wrapText="1"/>
    </xf>
    <xf numFmtId="0" fontId="10" fillId="84" borderId="270" xfId="0" applyFont="1" applyFill="1" applyBorder="1" applyAlignment="1">
      <alignment horizontal="center" vertical="center" wrapText="1"/>
    </xf>
    <xf numFmtId="0" fontId="35" fillId="8" borderId="170" xfId="0" applyFont="1" applyFill="1" applyBorder="1" applyAlignment="1">
      <alignment horizontal="center" vertical="center" wrapText="1"/>
    </xf>
    <xf numFmtId="0" fontId="0" fillId="8" borderId="171" xfId="0" applyFill="1" applyBorder="1" applyAlignment="1">
      <alignment horizontal="center" vertical="center" wrapText="1"/>
    </xf>
    <xf numFmtId="0" fontId="0" fillId="8" borderId="172" xfId="0" applyFill="1" applyBorder="1" applyAlignment="1">
      <alignment horizontal="center" vertical="center" wrapText="1"/>
    </xf>
    <xf numFmtId="0" fontId="35" fillId="8" borderId="112" xfId="0" applyFont="1" applyFill="1" applyBorder="1" applyAlignment="1">
      <alignment horizontal="center" vertical="center" wrapText="1"/>
    </xf>
    <xf numFmtId="0" fontId="35" fillId="8" borderId="126" xfId="0" applyFont="1" applyFill="1" applyBorder="1" applyAlignment="1">
      <alignment horizontal="center" vertical="center" wrapText="1"/>
    </xf>
    <xf numFmtId="0" fontId="35" fillId="8" borderId="136" xfId="0" applyFont="1" applyFill="1" applyBorder="1" applyAlignment="1">
      <alignment horizontal="center" vertical="center" wrapText="1"/>
    </xf>
    <xf numFmtId="0" fontId="9" fillId="8" borderId="115" xfId="0" applyFont="1" applyFill="1" applyBorder="1" applyAlignment="1">
      <alignment horizontal="center" vertical="center" wrapText="1"/>
    </xf>
    <xf numFmtId="0" fontId="9" fillId="8" borderId="169" xfId="0" applyFont="1" applyFill="1" applyBorder="1" applyAlignment="1">
      <alignment horizontal="center" vertical="center" wrapText="1"/>
    </xf>
    <xf numFmtId="0" fontId="9" fillId="8" borderId="135" xfId="0" applyFont="1" applyFill="1" applyBorder="1" applyAlignment="1">
      <alignment horizontal="center" vertical="center" wrapText="1"/>
    </xf>
    <xf numFmtId="188" fontId="10" fillId="12" borderId="135" xfId="0" applyNumberFormat="1" applyFont="1" applyFill="1" applyBorder="1" applyAlignment="1">
      <alignment horizontal="center" vertical="center"/>
    </xf>
    <xf numFmtId="188" fontId="10" fillId="12" borderId="110" xfId="0" applyNumberFormat="1" applyFont="1" applyFill="1" applyBorder="1" applyAlignment="1">
      <alignment horizontal="center" vertical="center"/>
    </xf>
    <xf numFmtId="188" fontId="10" fillId="12" borderId="136" xfId="0" applyNumberFormat="1" applyFont="1" applyFill="1" applyBorder="1" applyAlignment="1">
      <alignment horizontal="center" vertical="center"/>
    </xf>
    <xf numFmtId="0" fontId="47" fillId="5" borderId="212" xfId="0" applyFont="1" applyFill="1" applyBorder="1" applyAlignment="1">
      <alignment horizontal="center"/>
    </xf>
    <xf numFmtId="0" fontId="47" fillId="5" borderId="109" xfId="0" applyFont="1" applyFill="1" applyBorder="1" applyAlignment="1">
      <alignment horizontal="center"/>
    </xf>
    <xf numFmtId="0" fontId="46" fillId="18" borderId="42" xfId="0" applyFont="1" applyFill="1" applyBorder="1" applyAlignment="1">
      <alignment horizontal="center"/>
    </xf>
    <xf numFmtId="0" fontId="46" fillId="18" borderId="0" xfId="0" applyFont="1" applyFill="1" applyAlignment="1">
      <alignment horizontal="center"/>
    </xf>
    <xf numFmtId="0" fontId="46" fillId="18" borderId="43" xfId="0" applyFont="1" applyFill="1" applyBorder="1" applyAlignment="1">
      <alignment horizontal="center"/>
    </xf>
    <xf numFmtId="0" fontId="28" fillId="31" borderId="219" xfId="0" applyFont="1" applyFill="1" applyBorder="1" applyAlignment="1">
      <alignment horizontal="center"/>
    </xf>
    <xf numFmtId="0" fontId="28" fillId="31" borderId="44" xfId="0" applyFont="1" applyFill="1" applyBorder="1" applyAlignment="1">
      <alignment horizontal="center"/>
    </xf>
    <xf numFmtId="0" fontId="28" fillId="31" borderId="220" xfId="0" applyFont="1" applyFill="1" applyBorder="1" applyAlignment="1">
      <alignment horizontal="center"/>
    </xf>
    <xf numFmtId="0" fontId="14" fillId="0" borderId="115" xfId="0" applyFont="1" applyBorder="1" applyAlignment="1">
      <alignment horizontal="center" vertical="center" wrapText="1"/>
    </xf>
    <xf numFmtId="0" fontId="14" fillId="0" borderId="169" xfId="0" applyFont="1" applyBorder="1" applyAlignment="1">
      <alignment horizontal="center" vertical="center" wrapText="1"/>
    </xf>
    <xf numFmtId="0" fontId="14" fillId="0" borderId="213" xfId="0" applyFont="1" applyBorder="1" applyAlignment="1">
      <alignment horizontal="center" vertical="center" wrapText="1"/>
    </xf>
    <xf numFmtId="0" fontId="14" fillId="0" borderId="113" xfId="0" applyFont="1" applyBorder="1" applyAlignment="1">
      <alignment horizontal="center" vertical="center" wrapText="1"/>
    </xf>
    <xf numFmtId="0" fontId="14" fillId="0" borderId="0" xfId="0" applyFont="1" applyAlignment="1">
      <alignment horizontal="center" vertical="center" wrapText="1"/>
    </xf>
    <xf numFmtId="0" fontId="14" fillId="0" borderId="43" xfId="0" applyFont="1" applyBorder="1" applyAlignment="1">
      <alignment horizontal="center" vertical="center" wrapText="1"/>
    </xf>
    <xf numFmtId="0" fontId="14" fillId="0" borderId="112" xfId="0" applyFont="1" applyBorder="1" applyAlignment="1">
      <alignment horizontal="center" vertical="center" wrapText="1"/>
    </xf>
    <xf numFmtId="0" fontId="14" fillId="0" borderId="126" xfId="0" applyFont="1" applyBorder="1" applyAlignment="1">
      <alignment horizontal="center" vertical="center" wrapText="1"/>
    </xf>
    <xf numFmtId="0" fontId="14" fillId="0" borderId="215" xfId="0" applyFont="1" applyBorder="1" applyAlignment="1">
      <alignment horizontal="center" vertical="center" wrapText="1"/>
    </xf>
    <xf numFmtId="0" fontId="47" fillId="5" borderId="126" xfId="0" applyFont="1" applyFill="1" applyBorder="1" applyAlignment="1">
      <alignment horizontal="center"/>
    </xf>
    <xf numFmtId="0" fontId="47" fillId="5" borderId="215" xfId="0" applyFont="1" applyFill="1" applyBorder="1" applyAlignment="1">
      <alignment horizontal="center"/>
    </xf>
    <xf numFmtId="0" fontId="9" fillId="0" borderId="48" xfId="0" applyFont="1" applyBorder="1" applyAlignment="1">
      <alignment horizontal="left"/>
    </xf>
    <xf numFmtId="0" fontId="9" fillId="0" borderId="49" xfId="0" applyFont="1" applyBorder="1" applyAlignment="1">
      <alignment horizontal="left"/>
    </xf>
    <xf numFmtId="0" fontId="9" fillId="0" borderId="48" xfId="0" applyFont="1" applyBorder="1" applyAlignment="1">
      <alignment horizontal="left" indent="1"/>
    </xf>
    <xf numFmtId="0" fontId="9" fillId="0" borderId="49" xfId="0" applyFont="1" applyBorder="1" applyAlignment="1">
      <alignment horizontal="left" indent="1"/>
    </xf>
    <xf numFmtId="0" fontId="47" fillId="5" borderId="207" xfId="0" applyFont="1" applyFill="1" applyBorder="1" applyAlignment="1">
      <alignment horizontal="center"/>
    </xf>
    <xf numFmtId="0" fontId="47" fillId="5" borderId="17" xfId="0" applyFont="1" applyFill="1" applyBorder="1" applyAlignment="1">
      <alignment horizontal="center"/>
    </xf>
    <xf numFmtId="0" fontId="47" fillId="5" borderId="27" xfId="0" applyFont="1" applyFill="1" applyBorder="1" applyAlignment="1">
      <alignment horizontal="center"/>
    </xf>
    <xf numFmtId="0" fontId="47" fillId="5" borderId="22" xfId="0" applyFont="1" applyFill="1" applyBorder="1" applyAlignment="1">
      <alignment horizontal="center"/>
    </xf>
    <xf numFmtId="0" fontId="35" fillId="0" borderId="226" xfId="0" applyFont="1" applyBorder="1" applyAlignment="1">
      <alignment horizontal="center" vertical="center" wrapText="1"/>
    </xf>
    <xf numFmtId="0" fontId="116" fillId="0" borderId="227" xfId="0" applyFont="1" applyBorder="1" applyAlignment="1">
      <alignment horizontal="center" vertical="center" wrapText="1"/>
    </xf>
    <xf numFmtId="0" fontId="116" fillId="0" borderId="228" xfId="0" applyFont="1" applyBorder="1" applyAlignment="1">
      <alignment horizontal="center" vertical="center" wrapText="1"/>
    </xf>
    <xf numFmtId="0" fontId="47" fillId="30" borderId="23" xfId="0" applyFont="1" applyFill="1" applyBorder="1" applyAlignment="1">
      <alignment horizontal="center" vertical="center" wrapText="1"/>
    </xf>
    <xf numFmtId="0" fontId="47" fillId="30" borderId="208" xfId="0" applyFont="1" applyFill="1" applyBorder="1" applyAlignment="1">
      <alignment horizontal="center" vertical="center" wrapText="1"/>
    </xf>
    <xf numFmtId="0" fontId="124" fillId="0" borderId="226" xfId="0" applyFont="1" applyBorder="1" applyAlignment="1">
      <alignment horizontal="center" vertical="center" wrapText="1"/>
    </xf>
    <xf numFmtId="0" fontId="22" fillId="0" borderId="302" xfId="0" applyFont="1" applyBorder="1" applyAlignment="1">
      <alignment horizontal="center" vertical="center" wrapText="1"/>
    </xf>
    <xf numFmtId="0" fontId="22" fillId="0" borderId="303" xfId="0" applyFont="1" applyBorder="1" applyAlignment="1">
      <alignment horizontal="center" vertical="center" wrapText="1"/>
    </xf>
    <xf numFmtId="0" fontId="22" fillId="0" borderId="42" xfId="0" applyFont="1" applyBorder="1" applyAlignment="1">
      <alignment horizontal="center" vertical="center" wrapText="1"/>
    </xf>
    <xf numFmtId="0" fontId="22" fillId="0" borderId="304" xfId="0" applyFont="1" applyBorder="1" applyAlignment="1">
      <alignment horizontal="center" vertical="center" wrapText="1"/>
    </xf>
    <xf numFmtId="0" fontId="22" fillId="0" borderId="305"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306" xfId="0" applyFont="1" applyBorder="1" applyAlignment="1">
      <alignment horizontal="center" vertical="center" wrapText="1"/>
    </xf>
    <xf numFmtId="0" fontId="22" fillId="0" borderId="19" xfId="0" applyFont="1" applyBorder="1" applyAlignment="1">
      <alignment horizontal="center" vertical="center" wrapText="1"/>
    </xf>
    <xf numFmtId="0" fontId="110" fillId="0" borderId="151" xfId="0" applyFont="1" applyBorder="1" applyAlignment="1">
      <alignment horizontal="center" vertical="center" wrapText="1"/>
    </xf>
    <xf numFmtId="0" fontId="110" fillId="0" borderId="0" xfId="0" applyFont="1" applyAlignment="1">
      <alignment horizontal="center" vertical="center" wrapText="1"/>
    </xf>
    <xf numFmtId="0" fontId="110" fillId="0" borderId="147" xfId="0" applyFont="1" applyBorder="1" applyAlignment="1">
      <alignment horizontal="center" vertical="center" wrapText="1"/>
    </xf>
    <xf numFmtId="0" fontId="35" fillId="0" borderId="197" xfId="0" applyFont="1" applyBorder="1" applyAlignment="1">
      <alignment horizontal="left" vertical="center" wrapText="1"/>
    </xf>
    <xf numFmtId="0" fontId="9" fillId="0" borderId="145" xfId="0" applyFont="1" applyBorder="1" applyAlignment="1">
      <alignment horizontal="left" vertical="center"/>
    </xf>
    <xf numFmtId="0" fontId="9" fillId="0" borderId="146" xfId="0" applyFont="1" applyBorder="1" applyAlignment="1">
      <alignment horizontal="left" vertical="center"/>
    </xf>
    <xf numFmtId="0" fontId="9" fillId="0" borderId="42" xfId="0" applyFont="1" applyBorder="1" applyAlignment="1">
      <alignment horizontal="left" vertical="center"/>
    </xf>
    <xf numFmtId="0" fontId="9" fillId="0" borderId="0" xfId="0" applyFont="1" applyAlignment="1">
      <alignment horizontal="left" vertical="center"/>
    </xf>
    <xf numFmtId="0" fontId="9" fillId="0" borderId="147" xfId="0" applyFont="1" applyBorder="1" applyAlignment="1">
      <alignment horizontal="left" vertical="center"/>
    </xf>
    <xf numFmtId="0" fontId="9" fillId="0" borderId="176" xfId="0" applyFont="1" applyBorder="1" applyAlignment="1">
      <alignment horizontal="left" vertical="center"/>
    </xf>
    <xf numFmtId="0" fontId="9" fillId="0" borderId="148" xfId="0" applyFont="1" applyBorder="1" applyAlignment="1">
      <alignment horizontal="left" vertical="center"/>
    </xf>
    <xf numFmtId="0" fontId="9" fillId="0" borderId="149" xfId="0" applyFont="1" applyBorder="1" applyAlignment="1">
      <alignment horizontal="left" vertical="center"/>
    </xf>
    <xf numFmtId="0" fontId="81" fillId="8" borderId="46" xfId="0" applyFont="1" applyFill="1" applyBorder="1" applyAlignment="1">
      <alignment horizontal="center"/>
    </xf>
    <xf numFmtId="0" fontId="28" fillId="8" borderId="46" xfId="0" applyFont="1" applyFill="1" applyBorder="1" applyAlignment="1">
      <alignment horizontal="center"/>
    </xf>
    <xf numFmtId="0" fontId="47" fillId="80" borderId="51" xfId="0" applyFont="1" applyFill="1" applyBorder="1" applyAlignment="1">
      <alignment horizontal="center" vertical="center" wrapText="1"/>
    </xf>
    <xf numFmtId="0" fontId="47" fillId="80" borderId="57" xfId="0" applyFont="1" applyFill="1" applyBorder="1" applyAlignment="1">
      <alignment horizontal="center" vertical="center" wrapText="1"/>
    </xf>
    <xf numFmtId="0" fontId="68" fillId="0" borderId="145" xfId="0" applyFont="1" applyBorder="1" applyAlignment="1">
      <alignment horizontal="left" vertical="center"/>
    </xf>
    <xf numFmtId="0" fontId="68" fillId="0" borderId="146" xfId="0" applyFont="1" applyBorder="1" applyAlignment="1">
      <alignment horizontal="left" vertical="center"/>
    </xf>
    <xf numFmtId="0" fontId="68" fillId="0" borderId="151" xfId="0" applyFont="1" applyBorder="1" applyAlignment="1">
      <alignment horizontal="left" vertical="center"/>
    </xf>
    <xf numFmtId="0" fontId="68" fillId="0" borderId="0" xfId="0" applyFont="1" applyAlignment="1">
      <alignment horizontal="left" vertical="center"/>
    </xf>
    <xf numFmtId="0" fontId="68" fillId="0" borderId="147" xfId="0" applyFont="1" applyBorder="1" applyAlignment="1">
      <alignment horizontal="left" vertical="center"/>
    </xf>
    <xf numFmtId="0" fontId="68" fillId="0" borderId="152" xfId="0" applyFont="1" applyBorder="1" applyAlignment="1">
      <alignment horizontal="left" vertical="center"/>
    </xf>
    <xf numFmtId="0" fontId="68" fillId="0" borderId="148" xfId="0" applyFont="1" applyBorder="1" applyAlignment="1">
      <alignment horizontal="left" vertical="center"/>
    </xf>
    <xf numFmtId="0" fontId="68" fillId="0" borderId="149" xfId="0" applyFont="1" applyBorder="1" applyAlignment="1">
      <alignment horizontal="left" vertical="center"/>
    </xf>
    <xf numFmtId="0" fontId="9" fillId="0" borderId="42" xfId="0" applyFont="1" applyBorder="1" applyAlignment="1">
      <alignment horizontal="left" vertical="center" wrapText="1"/>
    </xf>
    <xf numFmtId="0" fontId="0" fillId="0" borderId="2" xfId="0" applyBorder="1" applyAlignment="1">
      <alignment horizontal="left" vertical="center" wrapText="1"/>
    </xf>
    <xf numFmtId="0" fontId="0" fillId="0" borderId="47" xfId="0" applyBorder="1" applyAlignment="1">
      <alignment horizontal="left" vertical="center" wrapText="1"/>
    </xf>
    <xf numFmtId="0" fontId="0" fillId="0" borderId="222" xfId="0" applyBorder="1" applyAlignment="1">
      <alignment horizontal="left" vertical="center" wrapText="1"/>
    </xf>
    <xf numFmtId="0" fontId="0" fillId="0" borderId="38" xfId="0" applyBorder="1" applyAlignment="1">
      <alignment horizontal="left" vertical="center" wrapText="1"/>
    </xf>
    <xf numFmtId="0" fontId="0" fillId="0" borderId="45" xfId="0" applyBorder="1" applyAlignment="1">
      <alignment horizontal="left" vertical="center" wrapText="1"/>
    </xf>
    <xf numFmtId="0" fontId="0" fillId="0" borderId="223" xfId="0" applyBorder="1" applyAlignment="1">
      <alignment horizontal="left" vertical="center" wrapText="1"/>
    </xf>
    <xf numFmtId="0" fontId="0" fillId="0" borderId="224" xfId="0" applyBorder="1" applyAlignment="1">
      <alignment horizontal="left" vertical="center" wrapText="1"/>
    </xf>
    <xf numFmtId="0" fontId="0" fillId="0" borderId="225" xfId="0" applyBorder="1" applyAlignment="1">
      <alignment horizontal="left" vertical="center" wrapText="1"/>
    </xf>
    <xf numFmtId="0" fontId="47" fillId="30" borderId="219" xfId="0" applyFont="1" applyFill="1" applyBorder="1" applyAlignment="1">
      <alignment horizontal="center"/>
    </xf>
    <xf numFmtId="0" fontId="47" fillId="30" borderId="44" xfId="0" applyFont="1" applyFill="1" applyBorder="1" applyAlignment="1">
      <alignment horizontal="center"/>
    </xf>
    <xf numFmtId="0" fontId="0" fillId="0" borderId="197" xfId="0" applyBorder="1" applyAlignment="1">
      <alignment horizontal="center"/>
    </xf>
    <xf numFmtId="0" fontId="0" fillId="0" borderId="145" xfId="0" applyBorder="1" applyAlignment="1">
      <alignment horizontal="center"/>
    </xf>
    <xf numFmtId="0" fontId="0" fillId="0" borderId="221" xfId="0" applyBorder="1" applyAlignment="1">
      <alignment horizontal="center"/>
    </xf>
    <xf numFmtId="0" fontId="0" fillId="0" borderId="42" xfId="0" applyBorder="1" applyAlignment="1">
      <alignment horizontal="center"/>
    </xf>
    <xf numFmtId="0" fontId="0" fillId="0" borderId="0" xfId="0" applyAlignment="1">
      <alignment horizontal="center"/>
    </xf>
    <xf numFmtId="0" fontId="0" fillId="0" borderId="43" xfId="0" applyBorder="1" applyAlignment="1">
      <alignment horizontal="center"/>
    </xf>
    <xf numFmtId="0" fontId="0" fillId="0" borderId="56"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49" fillId="82" borderId="57" xfId="0" applyFont="1" applyFill="1" applyBorder="1" applyAlignment="1">
      <alignment horizontal="center" vertical="center" wrapText="1"/>
    </xf>
    <xf numFmtId="0" fontId="49" fillId="82" borderId="59" xfId="0" applyFont="1" applyFill="1" applyBorder="1" applyAlignment="1">
      <alignment horizontal="center" vertical="center" wrapText="1"/>
    </xf>
    <xf numFmtId="0" fontId="110" fillId="0" borderId="150" xfId="0" applyFont="1" applyBorder="1" applyAlignment="1">
      <alignment horizontal="center" vertical="center" wrapText="1"/>
    </xf>
    <xf numFmtId="0" fontId="110" fillId="0" borderId="145" xfId="0" applyFont="1" applyBorder="1" applyAlignment="1">
      <alignment horizontal="center" vertical="center" wrapText="1"/>
    </xf>
    <xf numFmtId="0" fontId="110" fillId="0" borderId="146" xfId="0" applyFont="1" applyBorder="1" applyAlignment="1">
      <alignment horizontal="center" vertical="center" wrapText="1"/>
    </xf>
    <xf numFmtId="0" fontId="110" fillId="0" borderId="151" xfId="0" applyFont="1" applyBorder="1" applyAlignment="1">
      <alignment horizontal="center" vertical="center"/>
    </xf>
    <xf numFmtId="0" fontId="110" fillId="0" borderId="0" xfId="0" applyFont="1" applyAlignment="1">
      <alignment horizontal="center" vertical="center"/>
    </xf>
    <xf numFmtId="0" fontId="110" fillId="0" borderId="147" xfId="0" applyFont="1" applyBorder="1" applyAlignment="1">
      <alignment horizontal="center" vertical="center"/>
    </xf>
    <xf numFmtId="0" fontId="10" fillId="0" borderId="203" xfId="0" applyFont="1" applyBorder="1" applyAlignment="1">
      <alignment horizontal="center" vertical="center"/>
    </xf>
    <xf numFmtId="0" fontId="10" fillId="0" borderId="54" xfId="0" applyFont="1" applyBorder="1" applyAlignment="1">
      <alignment horizontal="center" vertical="center"/>
    </xf>
    <xf numFmtId="0" fontId="10" fillId="0" borderId="204" xfId="0" applyFont="1" applyBorder="1" applyAlignment="1">
      <alignment horizontal="center" vertical="center"/>
    </xf>
    <xf numFmtId="0" fontId="28" fillId="31" borderId="27" xfId="0" applyFont="1" applyFill="1" applyBorder="1" applyAlignment="1">
      <alignment horizontal="center"/>
    </xf>
    <xf numFmtId="0" fontId="28" fillId="31" borderId="21" xfId="0" applyFont="1" applyFill="1" applyBorder="1" applyAlignment="1">
      <alignment horizontal="center"/>
    </xf>
    <xf numFmtId="0" fontId="28" fillId="31" borderId="20" xfId="0" applyFont="1" applyFill="1" applyBorder="1" applyAlignment="1">
      <alignment horizontal="center"/>
    </xf>
    <xf numFmtId="0" fontId="28" fillId="31" borderId="18" xfId="0" applyFont="1" applyFill="1" applyBorder="1" applyAlignment="1">
      <alignment horizontal="center"/>
    </xf>
    <xf numFmtId="14" fontId="14" fillId="0" borderId="20" xfId="0" applyNumberFormat="1" applyFont="1" applyBorder="1" applyAlignment="1">
      <alignment horizontal="center"/>
    </xf>
    <xf numFmtId="14" fontId="14" fillId="0" borderId="19" xfId="0" applyNumberFormat="1" applyFont="1" applyBorder="1" applyAlignment="1">
      <alignment horizontal="center"/>
    </xf>
    <xf numFmtId="0" fontId="9" fillId="0" borderId="17" xfId="0" applyFont="1" applyBorder="1" applyAlignment="1">
      <alignment horizontal="left"/>
    </xf>
    <xf numFmtId="0" fontId="9" fillId="0" borderId="17" xfId="0" quotePrefix="1" applyFont="1" applyBorder="1" applyAlignment="1">
      <alignment horizontal="left"/>
    </xf>
    <xf numFmtId="0" fontId="66" fillId="8" borderId="17" xfId="0" applyFont="1" applyFill="1" applyBorder="1" applyAlignment="1">
      <alignment horizontal="center" vertical="center" wrapText="1"/>
    </xf>
    <xf numFmtId="0" fontId="47" fillId="5" borderId="39" xfId="0" applyFont="1" applyFill="1" applyBorder="1" applyAlignment="1">
      <alignment horizontal="center"/>
    </xf>
    <xf numFmtId="0" fontId="47" fillId="5" borderId="40" xfId="0" applyFont="1" applyFill="1" applyBorder="1" applyAlignment="1">
      <alignment horizontal="center"/>
    </xf>
    <xf numFmtId="0" fontId="47" fillId="5" borderId="41" xfId="0" applyFont="1" applyFill="1" applyBorder="1" applyAlignment="1">
      <alignment horizontal="center"/>
    </xf>
    <xf numFmtId="0" fontId="28" fillId="31" borderId="198" xfId="0" applyFont="1" applyFill="1" applyBorder="1" applyAlignment="1">
      <alignment horizontal="center" vertical="center" wrapText="1"/>
    </xf>
    <xf numFmtId="0" fontId="28" fillId="31" borderId="199" xfId="0" applyFont="1" applyFill="1" applyBorder="1" applyAlignment="1">
      <alignment horizontal="center" vertical="center" wrapText="1"/>
    </xf>
    <xf numFmtId="0" fontId="28" fillId="31" borderId="209" xfId="0" applyFont="1" applyFill="1" applyBorder="1" applyAlignment="1">
      <alignment horizontal="center" vertical="center" wrapText="1"/>
    </xf>
    <xf numFmtId="0" fontId="47" fillId="5" borderId="219" xfId="0" applyFont="1" applyFill="1" applyBorder="1" applyAlignment="1">
      <alignment horizontal="center"/>
    </xf>
    <xf numFmtId="0" fontId="10" fillId="8" borderId="114"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9" fillId="8" borderId="247" xfId="0" applyFont="1" applyFill="1" applyBorder="1" applyAlignment="1">
      <alignment horizontal="center" vertical="center" wrapText="1"/>
    </xf>
    <xf numFmtId="0" fontId="0" fillId="8" borderId="245" xfId="0" applyFill="1" applyBorder="1" applyAlignment="1">
      <alignment horizontal="center" vertical="center" wrapText="1"/>
    </xf>
    <xf numFmtId="0" fontId="0" fillId="8" borderId="246" xfId="0" applyFill="1" applyBorder="1" applyAlignment="1">
      <alignment horizontal="center" vertical="center" wrapText="1"/>
    </xf>
    <xf numFmtId="0" fontId="9" fillId="8" borderId="242" xfId="0" applyFont="1" applyFill="1" applyBorder="1" applyAlignment="1">
      <alignment horizontal="center" vertical="center" wrapText="1"/>
    </xf>
    <xf numFmtId="0" fontId="0" fillId="8" borderId="243" xfId="0" applyFill="1" applyBorder="1" applyAlignment="1">
      <alignment horizontal="center" vertical="center" wrapText="1"/>
    </xf>
    <xf numFmtId="0" fontId="0" fillId="8" borderId="244" xfId="0" applyFill="1" applyBorder="1" applyAlignment="1">
      <alignment horizontal="center" vertical="center" wrapText="1"/>
    </xf>
    <xf numFmtId="0" fontId="47" fillId="5" borderId="42" xfId="0" applyFont="1" applyFill="1" applyBorder="1" applyAlignment="1">
      <alignment horizontal="center"/>
    </xf>
    <xf numFmtId="0" fontId="47" fillId="5" borderId="0" xfId="0" applyFont="1" applyFill="1" applyAlignment="1">
      <alignment horizontal="center"/>
    </xf>
    <xf numFmtId="0" fontId="47" fillId="5" borderId="110" xfId="0" applyFont="1" applyFill="1" applyBorder="1" applyAlignment="1">
      <alignment horizontal="center"/>
    </xf>
    <xf numFmtId="0" fontId="28" fillId="31" borderId="125" xfId="0" applyFont="1" applyFill="1" applyBorder="1" applyAlignment="1">
      <alignment horizontal="center"/>
    </xf>
    <xf numFmtId="0" fontId="28" fillId="31" borderId="109" xfId="0" applyFont="1" applyFill="1" applyBorder="1" applyAlignment="1">
      <alignment horizontal="center"/>
    </xf>
    <xf numFmtId="0" fontId="28" fillId="31" borderId="173" xfId="0" applyFont="1" applyFill="1" applyBorder="1" applyAlignment="1">
      <alignment horizontal="center"/>
    </xf>
    <xf numFmtId="0" fontId="14" fillId="0" borderId="48" xfId="0" applyFont="1" applyBorder="1" applyAlignment="1">
      <alignment horizontal="left"/>
    </xf>
    <xf numFmtId="0" fontId="14" fillId="0" borderId="49" xfId="0" applyFont="1"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9" fillId="16" borderId="48" xfId="0" applyFont="1" applyFill="1" applyBorder="1" applyAlignment="1">
      <alignment horizontal="left"/>
    </xf>
    <xf numFmtId="0" fontId="9" fillId="16" borderId="49" xfId="0" applyFont="1" applyFill="1" applyBorder="1" applyAlignment="1">
      <alignment horizontal="left"/>
    </xf>
    <xf numFmtId="0" fontId="28" fillId="31" borderId="112" xfId="0" applyFont="1" applyFill="1" applyBorder="1" applyAlignment="1">
      <alignment horizontal="center"/>
    </xf>
    <xf numFmtId="0" fontId="28" fillId="31" borderId="126" xfId="0" applyFont="1" applyFill="1" applyBorder="1" applyAlignment="1">
      <alignment horizontal="center"/>
    </xf>
    <xf numFmtId="0" fontId="28" fillId="31" borderId="136" xfId="0" applyFont="1" applyFill="1" applyBorder="1" applyAlignment="1">
      <alignment horizontal="center"/>
    </xf>
    <xf numFmtId="170" fontId="45" fillId="12" borderId="115" xfId="16" applyNumberFormat="1" applyFont="1" applyFill="1" applyBorder="1" applyAlignment="1">
      <alignment horizontal="center" vertical="center"/>
    </xf>
    <xf numFmtId="170" fontId="45" fillId="12" borderId="135" xfId="16" applyNumberFormat="1" applyFont="1" applyFill="1" applyBorder="1" applyAlignment="1">
      <alignment horizontal="center" vertical="center"/>
    </xf>
    <xf numFmtId="170" fontId="45" fillId="12" borderId="112" xfId="16" applyNumberFormat="1" applyFont="1" applyFill="1" applyBorder="1" applyAlignment="1">
      <alignment horizontal="center" vertical="center"/>
    </xf>
    <xf numFmtId="170" fontId="45" fillId="12" borderId="136" xfId="16" applyNumberFormat="1" applyFont="1" applyFill="1" applyBorder="1" applyAlignment="1">
      <alignment horizontal="center" vertical="center"/>
    </xf>
    <xf numFmtId="170" fontId="45" fillId="12" borderId="113" xfId="16" applyNumberFormat="1" applyFont="1" applyFill="1" applyBorder="1" applyAlignment="1">
      <alignment horizontal="center" vertical="center"/>
    </xf>
    <xf numFmtId="170" fontId="45" fillId="12" borderId="110" xfId="16" applyNumberFormat="1" applyFont="1" applyFill="1" applyBorder="1" applyAlignment="1">
      <alignment horizontal="center" vertical="center"/>
    </xf>
    <xf numFmtId="0" fontId="47" fillId="5" borderId="21" xfId="0" applyFont="1" applyFill="1" applyBorder="1" applyAlignment="1">
      <alignment horizontal="center"/>
    </xf>
    <xf numFmtId="0" fontId="47" fillId="5" borderId="115" xfId="0" applyFont="1" applyFill="1" applyBorder="1" applyAlignment="1">
      <alignment horizontal="center"/>
    </xf>
    <xf numFmtId="0" fontId="47" fillId="5" borderId="169" xfId="0" applyFont="1" applyFill="1" applyBorder="1" applyAlignment="1">
      <alignment horizontal="center"/>
    </xf>
    <xf numFmtId="0" fontId="47" fillId="5" borderId="213" xfId="0" applyFont="1" applyFill="1" applyBorder="1" applyAlignment="1">
      <alignment horizontal="center"/>
    </xf>
    <xf numFmtId="170" fontId="10" fillId="0" borderId="114" xfId="16" applyNumberFormat="1" applyFont="1" applyBorder="1" applyAlignment="1">
      <alignment horizontal="center" vertical="center" wrapText="1"/>
    </xf>
    <xf numFmtId="170" fontId="10" fillId="0" borderId="194" xfId="16" applyNumberFormat="1" applyFont="1" applyBorder="1" applyAlignment="1">
      <alignment horizontal="center" vertical="center" wrapText="1"/>
    </xf>
    <xf numFmtId="170" fontId="10" fillId="0" borderId="111" xfId="16" applyNumberFormat="1" applyFont="1" applyBorder="1" applyAlignment="1">
      <alignment horizontal="center" vertical="center" wrapText="1"/>
    </xf>
    <xf numFmtId="170" fontId="10" fillId="0" borderId="193" xfId="16" applyNumberFormat="1" applyFont="1" applyBorder="1" applyAlignment="1">
      <alignment horizontal="center" vertical="center" wrapText="1"/>
    </xf>
    <xf numFmtId="9" fontId="45" fillId="12" borderId="216" xfId="16" applyFont="1" applyFill="1" applyBorder="1" applyAlignment="1">
      <alignment horizontal="center" vertical="center"/>
    </xf>
    <xf numFmtId="9" fontId="45" fillId="12" borderId="217" xfId="16" applyFont="1" applyFill="1" applyBorder="1" applyAlignment="1">
      <alignment horizontal="center" vertical="center"/>
    </xf>
    <xf numFmtId="9" fontId="45" fillId="12" borderId="218" xfId="16" applyFont="1" applyFill="1" applyBorder="1" applyAlignment="1">
      <alignment horizontal="center" vertical="center"/>
    </xf>
    <xf numFmtId="0" fontId="14" fillId="0" borderId="18" xfId="0" applyFont="1" applyBorder="1" applyAlignment="1">
      <alignment horizontal="center"/>
    </xf>
    <xf numFmtId="0" fontId="14" fillId="0" borderId="19" xfId="0" applyFont="1" applyBorder="1" applyAlignment="1">
      <alignment horizontal="center"/>
    </xf>
    <xf numFmtId="0" fontId="47" fillId="5" borderId="210" xfId="0" applyFont="1" applyFill="1" applyBorder="1" applyAlignment="1">
      <alignment horizontal="center"/>
    </xf>
    <xf numFmtId="0" fontId="11" fillId="0" borderId="67" xfId="11" applyBorder="1" applyAlignment="1" applyProtection="1">
      <alignment horizontal="center"/>
    </xf>
    <xf numFmtId="0" fontId="11" fillId="0" borderId="68" xfId="11" applyBorder="1" applyAlignment="1" applyProtection="1">
      <alignment horizontal="center"/>
    </xf>
    <xf numFmtId="0" fontId="14" fillId="23" borderId="62" xfId="0" applyFont="1" applyFill="1" applyBorder="1" applyAlignment="1">
      <alignment horizontal="center"/>
    </xf>
    <xf numFmtId="0" fontId="14" fillId="23" borderId="63" xfId="0" applyFont="1" applyFill="1" applyBorder="1" applyAlignment="1">
      <alignment horizontal="center"/>
    </xf>
    <xf numFmtId="0" fontId="63" fillId="0" borderId="67" xfId="0" applyFont="1" applyBorder="1" applyAlignment="1">
      <alignment horizontal="center"/>
    </xf>
    <xf numFmtId="0" fontId="14" fillId="0" borderId="69" xfId="0" applyFont="1" applyBorder="1" applyAlignment="1">
      <alignment horizontal="center"/>
    </xf>
    <xf numFmtId="0" fontId="14" fillId="0" borderId="68" xfId="0" applyFont="1" applyBorder="1" applyAlignment="1">
      <alignment horizontal="center"/>
    </xf>
    <xf numFmtId="0" fontId="14" fillId="0" borderId="67" xfId="0" applyFont="1" applyBorder="1" applyAlignment="1">
      <alignment horizontal="center" vertical="center"/>
    </xf>
    <xf numFmtId="0" fontId="14" fillId="0" borderId="68" xfId="0" applyFont="1" applyBorder="1" applyAlignment="1">
      <alignment horizontal="center" vertical="center"/>
    </xf>
    <xf numFmtId="0" fontId="14" fillId="23" borderId="64" xfId="0" applyFont="1" applyFill="1" applyBorder="1" applyAlignment="1">
      <alignment horizontal="center"/>
    </xf>
    <xf numFmtId="0" fontId="14" fillId="23" borderId="65" xfId="0" applyFont="1" applyFill="1" applyBorder="1" applyAlignment="1">
      <alignment horizontal="center"/>
    </xf>
    <xf numFmtId="0" fontId="14" fillId="23" borderId="66" xfId="0" applyFont="1" applyFill="1" applyBorder="1" applyAlignment="1">
      <alignment horizontal="center"/>
    </xf>
    <xf numFmtId="0" fontId="108" fillId="0" borderId="56" xfId="0" applyFont="1"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10" fontId="63" fillId="0" borderId="67" xfId="16" applyNumberFormat="1" applyFont="1" applyBorder="1" applyAlignment="1">
      <alignment horizontal="center"/>
    </xf>
    <xf numFmtId="10" fontId="63" fillId="0" borderId="69" xfId="16" applyNumberFormat="1" applyFont="1" applyBorder="1" applyAlignment="1">
      <alignment horizontal="center"/>
    </xf>
    <xf numFmtId="10" fontId="63" fillId="0" borderId="68" xfId="16" applyNumberFormat="1" applyFont="1" applyBorder="1" applyAlignment="1">
      <alignment horizontal="center"/>
    </xf>
    <xf numFmtId="0" fontId="63" fillId="0" borderId="69" xfId="0" applyFont="1" applyBorder="1" applyAlignment="1">
      <alignment horizontal="center"/>
    </xf>
    <xf numFmtId="0" fontId="63" fillId="0" borderId="68" xfId="0" applyFont="1" applyBorder="1" applyAlignment="1">
      <alignment horizontal="center"/>
    </xf>
    <xf numFmtId="0" fontId="134" fillId="0" borderId="53" xfId="11" applyFont="1" applyBorder="1" applyAlignment="1" applyProtection="1">
      <alignment horizontal="center" vertical="center" wrapText="1"/>
    </xf>
    <xf numFmtId="0" fontId="135" fillId="0" borderId="54" xfId="11" applyFont="1" applyBorder="1" applyAlignment="1" applyProtection="1">
      <alignment horizontal="center" vertical="center"/>
    </xf>
    <xf numFmtId="0" fontId="135" fillId="0" borderId="42" xfId="11" applyFont="1" applyBorder="1" applyAlignment="1" applyProtection="1">
      <alignment horizontal="center" vertical="center"/>
    </xf>
    <xf numFmtId="0" fontId="135" fillId="0" borderId="0" xfId="11" applyFont="1" applyBorder="1" applyAlignment="1" applyProtection="1">
      <alignment horizontal="center" vertical="center"/>
    </xf>
    <xf numFmtId="0" fontId="135" fillId="0" borderId="56" xfId="11" applyFont="1" applyBorder="1" applyAlignment="1" applyProtection="1">
      <alignment horizontal="center" vertical="center"/>
    </xf>
    <xf numFmtId="0" fontId="135" fillId="0" borderId="60" xfId="11" applyFont="1" applyBorder="1" applyAlignment="1" applyProtection="1">
      <alignment horizontal="center" vertical="center"/>
    </xf>
    <xf numFmtId="0" fontId="0" fillId="0" borderId="271" xfId="0" applyBorder="1" applyAlignment="1">
      <alignment horizontal="center" vertical="center" wrapText="1"/>
    </xf>
    <xf numFmtId="0" fontId="0" fillId="0" borderId="272" xfId="0" applyBorder="1" applyAlignment="1">
      <alignment horizontal="center" vertical="center" wrapText="1"/>
    </xf>
    <xf numFmtId="0" fontId="0" fillId="0" borderId="273" xfId="0" applyBorder="1" applyAlignment="1">
      <alignment horizontal="center" vertical="center" wrapText="1"/>
    </xf>
    <xf numFmtId="0" fontId="0" fillId="0" borderId="240" xfId="0" applyBorder="1" applyAlignment="1">
      <alignment horizontal="center" vertical="center" wrapText="1"/>
    </xf>
    <xf numFmtId="0" fontId="0" fillId="0" borderId="101" xfId="0" applyBorder="1" applyAlignment="1">
      <alignment horizontal="center" vertical="center" wrapText="1"/>
    </xf>
    <xf numFmtId="0" fontId="0" fillId="0" borderId="241" xfId="0" applyBorder="1" applyAlignment="1">
      <alignment horizontal="center" vertical="center" wrapText="1"/>
    </xf>
    <xf numFmtId="0" fontId="14" fillId="0" borderId="70" xfId="0" applyFont="1" applyBorder="1" applyAlignment="1">
      <alignment horizontal="center" vertical="center"/>
    </xf>
    <xf numFmtId="0" fontId="14" fillId="0" borderId="71" xfId="0" applyFont="1" applyBorder="1" applyAlignment="1">
      <alignment horizontal="center" vertical="center"/>
    </xf>
    <xf numFmtId="10" fontId="14" fillId="0" borderId="70" xfId="16" applyNumberFormat="1" applyFont="1" applyBorder="1" applyAlignment="1">
      <alignment horizontal="center"/>
    </xf>
    <xf numFmtId="10" fontId="14" fillId="0" borderId="72" xfId="16" applyNumberFormat="1" applyFont="1" applyBorder="1" applyAlignment="1">
      <alignment horizontal="center"/>
    </xf>
    <xf numFmtId="0" fontId="32" fillId="5" borderId="57" xfId="0" applyFont="1" applyFill="1" applyBorder="1" applyAlignment="1">
      <alignment horizontal="center"/>
    </xf>
    <xf numFmtId="0" fontId="32" fillId="5" borderId="58" xfId="0" applyFont="1" applyFill="1" applyBorder="1" applyAlignment="1">
      <alignment horizontal="center"/>
    </xf>
    <xf numFmtId="0" fontId="32" fillId="5" borderId="59" xfId="0" applyFont="1" applyFill="1" applyBorder="1" applyAlignment="1">
      <alignment horizontal="center"/>
    </xf>
    <xf numFmtId="10" fontId="14" fillId="0" borderId="71" xfId="16" applyNumberFormat="1" applyFont="1" applyBorder="1" applyAlignment="1">
      <alignment horizontal="center"/>
    </xf>
    <xf numFmtId="0" fontId="14" fillId="0" borderId="67" xfId="0" applyFont="1" applyBorder="1" applyAlignment="1">
      <alignment horizontal="center"/>
    </xf>
    <xf numFmtId="10" fontId="14" fillId="0" borderId="67" xfId="16" applyNumberFormat="1" applyFont="1" applyBorder="1" applyAlignment="1">
      <alignment horizontal="center"/>
    </xf>
    <xf numFmtId="10" fontId="14" fillId="0" borderId="69" xfId="16" applyNumberFormat="1" applyFont="1" applyBorder="1" applyAlignment="1">
      <alignment horizontal="center"/>
    </xf>
    <xf numFmtId="10" fontId="14" fillId="0" borderId="68" xfId="16" applyNumberFormat="1" applyFont="1" applyBorder="1" applyAlignment="1">
      <alignment horizontal="center"/>
    </xf>
    <xf numFmtId="10" fontId="127" fillId="0" borderId="67" xfId="16" applyNumberFormat="1" applyFont="1" applyBorder="1" applyAlignment="1">
      <alignment horizontal="center"/>
    </xf>
    <xf numFmtId="0" fontId="14" fillId="14" borderId="57" xfId="0" applyFont="1" applyFill="1" applyBorder="1" applyAlignment="1">
      <alignment horizontal="center"/>
    </xf>
    <xf numFmtId="0" fontId="14" fillId="14" borderId="58" xfId="0" applyFont="1" applyFill="1" applyBorder="1" applyAlignment="1">
      <alignment horizontal="center"/>
    </xf>
    <xf numFmtId="0" fontId="14" fillId="14" borderId="59" xfId="0" applyFont="1" applyFill="1" applyBorder="1" applyAlignment="1">
      <alignment horizontal="center"/>
    </xf>
    <xf numFmtId="0" fontId="10" fillId="0" borderId="57" xfId="0" applyFont="1" applyBorder="1" applyAlignment="1">
      <alignment horizontal="center" vertical="center"/>
    </xf>
    <xf numFmtId="0" fontId="10" fillId="0" borderId="59" xfId="0" applyFont="1" applyBorder="1" applyAlignment="1">
      <alignment horizontal="center" vertical="center"/>
    </xf>
    <xf numFmtId="0" fontId="0" fillId="0" borderId="176" xfId="0" applyBorder="1" applyAlignment="1">
      <alignment horizontal="center" vertical="center" wrapText="1"/>
    </xf>
    <xf numFmtId="0" fontId="0" fillId="0" borderId="148" xfId="0" applyBorder="1" applyAlignment="1">
      <alignment horizontal="center" vertical="center" wrapText="1"/>
    </xf>
    <xf numFmtId="0" fontId="0" fillId="0" borderId="79" xfId="0" applyBorder="1" applyAlignment="1">
      <alignment horizontal="center" vertical="center" wrapText="1"/>
    </xf>
    <xf numFmtId="0" fontId="0" fillId="0" borderId="82" xfId="0" applyBorder="1" applyAlignment="1">
      <alignment horizontal="center" vertical="center" wrapText="1"/>
    </xf>
    <xf numFmtId="0" fontId="0" fillId="0" borderId="33" xfId="0" applyBorder="1" applyAlignment="1">
      <alignment horizontal="center" vertical="center" wrapText="1"/>
    </xf>
    <xf numFmtId="0" fontId="35" fillId="0" borderId="82" xfId="0" applyFont="1" applyBorder="1" applyAlignment="1">
      <alignment horizontal="center" vertical="center" wrapText="1"/>
    </xf>
    <xf numFmtId="0" fontId="32" fillId="5" borderId="53" xfId="0" applyFont="1" applyFill="1" applyBorder="1" applyAlignment="1">
      <alignment horizontal="center"/>
    </xf>
    <xf numFmtId="0" fontId="32" fillId="5" borderId="54" xfId="0" applyFont="1" applyFill="1" applyBorder="1" applyAlignment="1">
      <alignment horizontal="center"/>
    </xf>
    <xf numFmtId="0" fontId="32" fillId="5" borderId="57" xfId="0" applyFont="1" applyFill="1" applyBorder="1" applyAlignment="1">
      <alignment horizontal="center" vertical="center"/>
    </xf>
    <xf numFmtId="0" fontId="32" fillId="5" borderId="58" xfId="0" applyFont="1" applyFill="1" applyBorder="1" applyAlignment="1">
      <alignment horizontal="center" vertical="center"/>
    </xf>
    <xf numFmtId="0" fontId="32" fillId="5" borderId="61" xfId="0" applyFont="1" applyFill="1" applyBorder="1" applyAlignment="1">
      <alignment horizontal="center" vertical="center"/>
    </xf>
    <xf numFmtId="0" fontId="14" fillId="14" borderId="53" xfId="0" applyFont="1" applyFill="1" applyBorder="1" applyAlignment="1">
      <alignment horizontal="center"/>
    </xf>
    <xf numFmtId="0" fontId="14" fillId="14" borderId="54" xfId="0" applyFont="1" applyFill="1" applyBorder="1" applyAlignment="1">
      <alignment horizontal="center"/>
    </xf>
    <xf numFmtId="0" fontId="14" fillId="14" borderId="55" xfId="0" applyFont="1" applyFill="1" applyBorder="1" applyAlignment="1">
      <alignment horizontal="center"/>
    </xf>
    <xf numFmtId="0" fontId="14" fillId="0" borderId="69" xfId="0" applyFont="1" applyBorder="1" applyAlignment="1">
      <alignment horizontal="center" vertical="center"/>
    </xf>
    <xf numFmtId="0" fontId="32" fillId="5" borderId="42" xfId="0" applyFont="1" applyFill="1" applyBorder="1" applyAlignment="1">
      <alignment horizontal="center"/>
    </xf>
    <xf numFmtId="0" fontId="32" fillId="5" borderId="0" xfId="0" applyFont="1" applyFill="1" applyAlignment="1">
      <alignment horizontal="center"/>
    </xf>
    <xf numFmtId="0" fontId="32" fillId="5" borderId="43" xfId="0" applyFont="1" applyFill="1" applyBorder="1" applyAlignment="1">
      <alignment horizontal="center"/>
    </xf>
    <xf numFmtId="0" fontId="46" fillId="5" borderId="0" xfId="0" applyFont="1" applyFill="1" applyAlignment="1">
      <alignment horizontal="center"/>
    </xf>
    <xf numFmtId="0" fontId="32" fillId="18" borderId="42" xfId="0" applyFont="1" applyFill="1" applyBorder="1" applyAlignment="1">
      <alignment horizontal="center"/>
    </xf>
    <xf numFmtId="0" fontId="32" fillId="18" borderId="0" xfId="0" applyFont="1" applyFill="1" applyAlignment="1">
      <alignment horizontal="center"/>
    </xf>
    <xf numFmtId="0" fontId="46" fillId="5" borderId="53" xfId="0" applyFont="1" applyFill="1" applyBorder="1" applyAlignment="1">
      <alignment horizontal="center"/>
    </xf>
    <xf numFmtId="0" fontId="46" fillId="5" borderId="54" xfId="0" applyFont="1" applyFill="1" applyBorder="1" applyAlignment="1">
      <alignment horizontal="center"/>
    </xf>
    <xf numFmtId="0" fontId="46" fillId="30" borderId="58" xfId="0" applyFont="1" applyFill="1" applyBorder="1" applyAlignment="1">
      <alignment horizontal="center"/>
    </xf>
    <xf numFmtId="0" fontId="46" fillId="30" borderId="59" xfId="0" applyFont="1" applyFill="1" applyBorder="1" applyAlignment="1">
      <alignment horizontal="center"/>
    </xf>
    <xf numFmtId="0" fontId="82" fillId="0" borderId="95" xfId="0" applyFont="1" applyBorder="1" applyAlignment="1">
      <alignment horizontal="center" vertical="center" wrapText="1"/>
    </xf>
    <xf numFmtId="0" fontId="36" fillId="0" borderId="96" xfId="0" applyFont="1" applyBorder="1" applyAlignment="1">
      <alignment horizontal="center" vertical="center" wrapText="1"/>
    </xf>
    <xf numFmtId="0" fontId="36" fillId="0" borderId="230" xfId="0" applyFont="1" applyBorder="1" applyAlignment="1">
      <alignment horizontal="center" vertical="center" wrapText="1"/>
    </xf>
    <xf numFmtId="0" fontId="50" fillId="5" borderId="50" xfId="0" applyFont="1" applyFill="1" applyBorder="1" applyAlignment="1">
      <alignment horizontal="center"/>
    </xf>
    <xf numFmtId="0" fontId="9" fillId="44" borderId="252" xfId="0" applyFont="1" applyFill="1" applyBorder="1" applyAlignment="1">
      <alignment horizontal="center" vertical="center" wrapText="1"/>
    </xf>
    <xf numFmtId="0" fontId="9" fillId="44" borderId="253" xfId="0" applyFont="1" applyFill="1" applyBorder="1" applyAlignment="1">
      <alignment horizontal="center" vertical="center" wrapText="1"/>
    </xf>
    <xf numFmtId="0" fontId="9" fillId="38" borderId="252" xfId="0" applyFont="1" applyFill="1" applyBorder="1" applyAlignment="1">
      <alignment horizontal="center" vertical="center" wrapText="1"/>
    </xf>
    <xf numFmtId="0" fontId="9" fillId="38" borderId="253" xfId="0" applyFont="1" applyFill="1" applyBorder="1" applyAlignment="1">
      <alignment horizontal="center" vertical="center" wrapText="1"/>
    </xf>
    <xf numFmtId="0" fontId="9" fillId="43" borderId="252" xfId="0" applyFont="1" applyFill="1" applyBorder="1" applyAlignment="1">
      <alignment horizontal="center" vertical="center" wrapText="1"/>
    </xf>
    <xf numFmtId="0" fontId="9" fillId="43" borderId="261" xfId="0" applyFont="1" applyFill="1" applyBorder="1" applyAlignment="1">
      <alignment horizontal="center" vertical="center" wrapText="1"/>
    </xf>
    <xf numFmtId="0" fontId="71" fillId="0" borderId="262" xfId="0" applyFont="1" applyBorder="1" applyAlignment="1">
      <alignment horizontal="center" vertical="center" wrapText="1"/>
    </xf>
    <xf numFmtId="0" fontId="71" fillId="0" borderId="263" xfId="0" applyFont="1" applyBorder="1" applyAlignment="1">
      <alignment horizontal="center" vertical="center" wrapText="1"/>
    </xf>
    <xf numFmtId="0" fontId="71" fillId="0" borderId="264" xfId="0" applyFont="1" applyBorder="1" applyAlignment="1">
      <alignment horizontal="center" vertical="center" wrapText="1"/>
    </xf>
    <xf numFmtId="0" fontId="71" fillId="0" borderId="265" xfId="0" applyFont="1" applyBorder="1" applyAlignment="1">
      <alignment horizontal="center" vertical="center" wrapText="1"/>
    </xf>
    <xf numFmtId="0" fontId="71" fillId="0" borderId="266" xfId="0" applyFont="1" applyBorder="1" applyAlignment="1">
      <alignment horizontal="center" vertical="center" wrapText="1"/>
    </xf>
    <xf numFmtId="0" fontId="71" fillId="0" borderId="61" xfId="0" applyFont="1" applyBorder="1" applyAlignment="1">
      <alignment horizontal="center" vertical="center" wrapText="1"/>
    </xf>
    <xf numFmtId="9" fontId="79" fillId="30" borderId="166" xfId="16" applyFont="1" applyFill="1" applyBorder="1" applyAlignment="1">
      <alignment horizontal="center" vertical="center"/>
    </xf>
    <xf numFmtId="9" fontId="79" fillId="30" borderId="101" xfId="16" applyFont="1" applyFill="1" applyBorder="1" applyAlignment="1">
      <alignment horizontal="center" vertical="center"/>
    </xf>
    <xf numFmtId="9" fontId="79" fillId="30" borderId="191" xfId="16" applyFont="1" applyFill="1" applyBorder="1" applyAlignment="1">
      <alignment horizontal="center" vertical="center"/>
    </xf>
    <xf numFmtId="9" fontId="79" fillId="30" borderId="102" xfId="16" applyFont="1" applyFill="1" applyBorder="1" applyAlignment="1">
      <alignment horizontal="center" vertical="center"/>
    </xf>
    <xf numFmtId="9" fontId="79" fillId="30" borderId="189" xfId="16" applyFont="1" applyFill="1" applyBorder="1" applyAlignment="1">
      <alignment horizontal="center" vertical="center"/>
    </xf>
    <xf numFmtId="9" fontId="79" fillId="30" borderId="168" xfId="16" applyFont="1" applyFill="1" applyBorder="1" applyAlignment="1">
      <alignment horizontal="center" vertical="center"/>
    </xf>
    <xf numFmtId="0" fontId="79" fillId="30" borderId="102" xfId="0" applyFont="1" applyFill="1" applyBorder="1" applyAlignment="1">
      <alignment horizontal="center" vertical="center"/>
    </xf>
    <xf numFmtId="0" fontId="79" fillId="30" borderId="189" xfId="0" applyFont="1" applyFill="1" applyBorder="1" applyAlignment="1">
      <alignment horizontal="center" vertical="center"/>
    </xf>
    <xf numFmtId="0" fontId="79" fillId="30" borderId="38" xfId="0" applyFont="1" applyFill="1" applyBorder="1" applyAlignment="1">
      <alignment horizontal="center" vertical="center"/>
    </xf>
    <xf numFmtId="0" fontId="79" fillId="30" borderId="38" xfId="33" applyFont="1" applyFill="1" applyBorder="1" applyAlignment="1">
      <alignment horizontal="center" vertical="center"/>
    </xf>
    <xf numFmtId="9" fontId="76" fillId="34" borderId="36" xfId="16" quotePrefix="1" applyFont="1" applyFill="1" applyBorder="1" applyAlignment="1">
      <alignment horizontal="center" vertical="center" wrapText="1"/>
    </xf>
    <xf numFmtId="9" fontId="76" fillId="34" borderId="37" xfId="16" applyFont="1" applyFill="1" applyBorder="1" applyAlignment="1">
      <alignment horizontal="center" vertical="center" wrapText="1"/>
    </xf>
    <xf numFmtId="179" fontId="0" fillId="0" borderId="36" xfId="0" applyNumberFormat="1" applyBorder="1" applyAlignment="1">
      <alignment horizontal="center" vertical="center"/>
    </xf>
    <xf numFmtId="179" fontId="0" fillId="0" borderId="37" xfId="0" applyNumberFormat="1" applyBorder="1" applyAlignment="1">
      <alignment horizontal="center" vertical="center"/>
    </xf>
    <xf numFmtId="0" fontId="64" fillId="0" borderId="36" xfId="0" applyFont="1" applyBorder="1" applyAlignment="1">
      <alignment horizontal="center" vertical="center"/>
    </xf>
    <xf numFmtId="0" fontId="64" fillId="0" borderId="1" xfId="0" applyFont="1" applyBorder="1" applyAlignment="1">
      <alignment horizontal="center" vertical="center"/>
    </xf>
    <xf numFmtId="0" fontId="64" fillId="0" borderId="37" xfId="0" applyFont="1" applyBorder="1" applyAlignment="1">
      <alignment horizontal="center" vertical="center"/>
    </xf>
    <xf numFmtId="0" fontId="79" fillId="30" borderId="28" xfId="0" applyFont="1" applyFill="1" applyBorder="1" applyAlignment="1">
      <alignment horizontal="center" vertical="center"/>
    </xf>
    <xf numFmtId="0" fontId="79" fillId="30" borderId="5" xfId="0" applyFont="1" applyFill="1" applyBorder="1" applyAlignment="1">
      <alignment horizontal="center" vertical="center"/>
    </xf>
    <xf numFmtId="0" fontId="79" fillId="30" borderId="29" xfId="0" applyFont="1" applyFill="1" applyBorder="1" applyAlignment="1">
      <alignment horizontal="center" vertical="center"/>
    </xf>
    <xf numFmtId="9" fontId="76" fillId="12" borderId="32" xfId="16" applyFont="1" applyFill="1" applyBorder="1" applyAlignment="1">
      <alignment horizontal="center" vertical="center"/>
    </xf>
    <xf numFmtId="9" fontId="76" fillId="12" borderId="2" xfId="16" applyFont="1" applyFill="1" applyBorder="1" applyAlignment="1">
      <alignment horizontal="center" vertical="center"/>
    </xf>
    <xf numFmtId="0" fontId="79" fillId="30" borderId="3" xfId="0" applyFont="1" applyFill="1" applyBorder="1" applyAlignment="1">
      <alignment horizontal="center" vertical="center"/>
    </xf>
    <xf numFmtId="0" fontId="79" fillId="30" borderId="3" xfId="0" quotePrefix="1" applyFont="1" applyFill="1" applyBorder="1" applyAlignment="1">
      <alignment horizontal="center" vertical="center"/>
    </xf>
    <xf numFmtId="2" fontId="76" fillId="12" borderId="2" xfId="0" applyNumberFormat="1" applyFont="1" applyFill="1" applyBorder="1" applyAlignment="1">
      <alignment horizontal="center" vertical="center"/>
    </xf>
    <xf numFmtId="0" fontId="17" fillId="18" borderId="97" xfId="1" applyFill="1" applyBorder="1" applyAlignment="1">
      <alignment horizontal="center" vertical="center" readingOrder="1"/>
    </xf>
    <xf numFmtId="0" fontId="53" fillId="18" borderId="97" xfId="26" applyFont="1" applyFill="1" applyBorder="1" applyAlignment="1">
      <alignment horizontal="center"/>
    </xf>
    <xf numFmtId="0" fontId="28" fillId="5" borderId="121" xfId="26" applyFont="1" applyFill="1" applyBorder="1" applyAlignment="1">
      <alignment horizontal="center" vertical="center"/>
    </xf>
    <xf numFmtId="0" fontId="28" fillId="5" borderId="24" xfId="26" applyFont="1" applyFill="1" applyBorder="1" applyAlignment="1">
      <alignment horizontal="center" vertical="center"/>
    </xf>
    <xf numFmtId="0" fontId="28" fillId="5" borderId="25" xfId="26" applyFont="1" applyFill="1" applyBorder="1" applyAlignment="1">
      <alignment horizontal="center" vertical="center"/>
    </xf>
    <xf numFmtId="0" fontId="30" fillId="0" borderId="122" xfId="26" applyFont="1" applyBorder="1" applyAlignment="1">
      <alignment horizontal="center" vertical="center" wrapText="1"/>
    </xf>
    <xf numFmtId="0" fontId="30" fillId="0" borderId="123" xfId="26" applyFont="1" applyBorder="1" applyAlignment="1">
      <alignment horizontal="center" vertical="center" wrapText="1"/>
    </xf>
    <xf numFmtId="0" fontId="30" fillId="0" borderId="124" xfId="26" applyFont="1" applyBorder="1" applyAlignment="1">
      <alignment horizontal="center" vertical="center" wrapText="1"/>
    </xf>
    <xf numFmtId="0" fontId="9" fillId="38" borderId="180" xfId="0" applyFont="1" applyFill="1" applyBorder="1" applyAlignment="1">
      <alignment horizontal="center"/>
    </xf>
    <xf numFmtId="0" fontId="9" fillId="38" borderId="181" xfId="0" applyFont="1" applyFill="1" applyBorder="1" applyAlignment="1">
      <alignment horizontal="center"/>
    </xf>
    <xf numFmtId="0" fontId="9" fillId="38" borderId="163" xfId="0" applyFont="1" applyFill="1" applyBorder="1" applyAlignment="1">
      <alignment horizontal="center"/>
    </xf>
    <xf numFmtId="0" fontId="64" fillId="0" borderId="3" xfId="29" applyFont="1" applyBorder="1" applyAlignment="1">
      <alignment horizontal="center" vertical="center"/>
    </xf>
    <xf numFmtId="0" fontId="64" fillId="0" borderId="2" xfId="29" applyFont="1" applyBorder="1" applyAlignment="1">
      <alignment horizontal="center" vertical="center"/>
    </xf>
    <xf numFmtId="0" fontId="55" fillId="35" borderId="0" xfId="0" applyFont="1" applyFill="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56" fillId="0" borderId="114" xfId="0" applyFont="1" applyBorder="1" applyAlignment="1">
      <alignment horizontal="center" vertical="center" wrapText="1"/>
    </xf>
    <xf numFmtId="0" fontId="56" fillId="0" borderId="111" xfId="0" applyFont="1" applyBorder="1" applyAlignment="1">
      <alignment horizontal="center" vertical="center" wrapText="1"/>
    </xf>
    <xf numFmtId="0" fontId="61" fillId="27" borderId="113" xfId="0" applyFont="1" applyFill="1" applyBorder="1" applyAlignment="1">
      <alignment horizontal="center"/>
    </xf>
    <xf numFmtId="0" fontId="61" fillId="27" borderId="125" xfId="0" applyFont="1" applyFill="1" applyBorder="1" applyAlignment="1">
      <alignment horizontal="center"/>
    </xf>
    <xf numFmtId="0" fontId="54" fillId="12" borderId="180" xfId="0" applyFont="1" applyFill="1" applyBorder="1" applyAlignment="1">
      <alignment horizontal="center"/>
    </xf>
    <xf numFmtId="0" fontId="54" fillId="12" borderId="181" xfId="0" applyFont="1" applyFill="1" applyBorder="1" applyAlignment="1">
      <alignment horizontal="center"/>
    </xf>
    <xf numFmtId="0" fontId="54" fillId="12" borderId="163" xfId="0" applyFont="1" applyFill="1" applyBorder="1" applyAlignment="1">
      <alignment horizontal="center"/>
    </xf>
    <xf numFmtId="0" fontId="54" fillId="38" borderId="180" xfId="0" applyFont="1" applyFill="1" applyBorder="1" applyAlignment="1">
      <alignment horizontal="center"/>
    </xf>
    <xf numFmtId="0" fontId="54" fillId="38" borderId="181" xfId="0" applyFont="1" applyFill="1" applyBorder="1" applyAlignment="1">
      <alignment horizontal="center"/>
    </xf>
    <xf numFmtId="0" fontId="54" fillId="38" borderId="163" xfId="0" applyFont="1" applyFill="1" applyBorder="1" applyAlignment="1">
      <alignment horizontal="center"/>
    </xf>
    <xf numFmtId="0" fontId="56" fillId="0" borderId="111" xfId="0" applyFont="1" applyBorder="1" applyAlignment="1">
      <alignment horizontal="center" vertical="center"/>
    </xf>
    <xf numFmtId="0" fontId="56" fillId="0" borderId="114" xfId="0" applyFont="1" applyBorder="1" applyAlignment="1">
      <alignment horizontal="center" vertical="center"/>
    </xf>
    <xf numFmtId="0" fontId="56" fillId="0" borderId="182" xfId="0" applyFont="1" applyBorder="1" applyAlignment="1">
      <alignment horizontal="center" vertical="center"/>
    </xf>
    <xf numFmtId="0" fontId="56" fillId="0" borderId="153" xfId="0" applyFont="1" applyBorder="1" applyAlignment="1">
      <alignment horizontal="center" vertical="center"/>
    </xf>
    <xf numFmtId="0" fontId="56" fillId="0" borderId="103" xfId="0" applyFont="1" applyBorder="1" applyAlignment="1">
      <alignment horizontal="center" vertical="center"/>
    </xf>
    <xf numFmtId="0" fontId="76" fillId="7" borderId="0" xfId="0" applyFont="1" applyFill="1" applyAlignment="1">
      <alignment horizontal="center"/>
    </xf>
    <xf numFmtId="0" fontId="44" fillId="0" borderId="0" xfId="0" applyFont="1" applyAlignment="1">
      <alignment horizontal="center"/>
    </xf>
    <xf numFmtId="0" fontId="10" fillId="0" borderId="0" xfId="0" applyFont="1" applyAlignment="1">
      <alignment horizontal="center"/>
    </xf>
    <xf numFmtId="0" fontId="40" fillId="0" borderId="0" xfId="0" applyFont="1" applyAlignment="1">
      <alignment horizontal="center"/>
    </xf>
    <xf numFmtId="0" fontId="14" fillId="0" borderId="3" xfId="0" applyFont="1" applyBorder="1" applyAlignment="1">
      <alignment horizontal="center"/>
    </xf>
    <xf numFmtId="0" fontId="14" fillId="0" borderId="2" xfId="0" applyFont="1" applyBorder="1" applyAlignment="1">
      <alignment horizontal="center"/>
    </xf>
    <xf numFmtId="0" fontId="14" fillId="0" borderId="28" xfId="0" applyFont="1" applyBorder="1" applyAlignment="1">
      <alignment horizontal="center"/>
    </xf>
    <xf numFmtId="0" fontId="14" fillId="0" borderId="5" xfId="0" applyFont="1" applyBorder="1" applyAlignment="1">
      <alignment horizontal="center"/>
    </xf>
    <xf numFmtId="0" fontId="14" fillId="0" borderId="29" xfId="0" applyFont="1" applyBorder="1" applyAlignment="1">
      <alignment horizontal="center"/>
    </xf>
    <xf numFmtId="172" fontId="36" fillId="19" borderId="0" xfId="0" applyNumberFormat="1" applyFont="1" applyFill="1" applyAlignment="1">
      <alignment horizontal="center"/>
    </xf>
    <xf numFmtId="0" fontId="36" fillId="0" borderId="0" xfId="0" applyFont="1" applyAlignment="1">
      <alignment horizontal="center"/>
    </xf>
    <xf numFmtId="0" fontId="24" fillId="0" borderId="0" xfId="0" applyFont="1" applyAlignment="1">
      <alignment horizontal="center"/>
    </xf>
    <xf numFmtId="172" fontId="24" fillId="0" borderId="0" xfId="0" applyNumberFormat="1" applyFont="1" applyAlignment="1">
      <alignment horizontal="center"/>
    </xf>
  </cellXfs>
  <cellStyles count="78">
    <cellStyle name="20% - Accent1" xfId="51" builtinId="30" customBuiltin="1"/>
    <cellStyle name="20% - Accent2" xfId="55" builtinId="34" customBuiltin="1"/>
    <cellStyle name="20% - Accent3" xfId="59" builtinId="38" customBuiltin="1"/>
    <cellStyle name="20% - Accent4" xfId="63" builtinId="42" customBuiltin="1"/>
    <cellStyle name="20% - Accent5" xfId="67" builtinId="46" customBuiltin="1"/>
    <cellStyle name="20% - Accent6" xfId="71" builtinId="50" customBuiltin="1"/>
    <cellStyle name="40% - Accent1" xfId="52" builtinId="31" customBuiltin="1"/>
    <cellStyle name="40% - Accent2" xfId="56" builtinId="35" customBuiltin="1"/>
    <cellStyle name="40% - Accent3" xfId="60" builtinId="39" customBuiltin="1"/>
    <cellStyle name="40% - Accent4" xfId="64" builtinId="43" customBuiltin="1"/>
    <cellStyle name="40% - Accent5" xfId="68" builtinId="47" customBuiltin="1"/>
    <cellStyle name="40% - Accent6" xfId="72" builtinId="51" customBuiltin="1"/>
    <cellStyle name="60% - Accent1" xfId="53" builtinId="32" customBuiltin="1"/>
    <cellStyle name="60% - Accent2" xfId="57" builtinId="36" customBuiltin="1"/>
    <cellStyle name="60% - Accent3" xfId="61" builtinId="40" customBuiltin="1"/>
    <cellStyle name="60% - Accent4" xfId="65" builtinId="44" customBuiltin="1"/>
    <cellStyle name="60% - Accent5" xfId="69" builtinId="48" customBuiltin="1"/>
    <cellStyle name="60% - Accent6" xfId="73" builtinId="52" customBuiltin="1"/>
    <cellStyle name="Accent1" xfId="50" builtinId="29" customBuiltin="1"/>
    <cellStyle name="Accent2" xfId="54" builtinId="33" customBuiltin="1"/>
    <cellStyle name="Accent3" xfId="58" builtinId="37" customBuiltin="1"/>
    <cellStyle name="Accent4" xfId="62" builtinId="41" customBuiltin="1"/>
    <cellStyle name="Accent5" xfId="66" builtinId="45" customBuiltin="1"/>
    <cellStyle name="Accent6" xfId="70" builtinId="49" customBuiltin="1"/>
    <cellStyle name="Bad" xfId="40" builtinId="27" customBuiltin="1"/>
    <cellStyle name="blp_title_header_row_left" xfId="1" xr:uid="{00000000-0005-0000-0000-000000000000}"/>
    <cellStyle name="Calculation" xfId="44" builtinId="22" customBuiltin="1"/>
    <cellStyle name="Check Cell" xfId="46" builtinId="23" customBuiltin="1"/>
    <cellStyle name="Comma" xfId="76" builtinId="3"/>
    <cellStyle name="Currency" xfId="77" builtinId="4"/>
    <cellStyle name="Explanatory Text" xfId="48" builtinId="53" customBuiltin="1"/>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Good" xfId="39"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xfId="11" builtinId="8"/>
    <cellStyle name="Input" xfId="42" builtinId="20" customBuiltin="1"/>
    <cellStyle name="Linked Cell" xfId="45" builtinId="24" customBuiltin="1"/>
    <cellStyle name="Moneda 2" xfId="12" xr:uid="{00000000-0005-0000-0000-00000B000000}"/>
    <cellStyle name="Moneda 2 2" xfId="13" xr:uid="{00000000-0005-0000-0000-00000C000000}"/>
    <cellStyle name="Neutral" xfId="41" builtinId="28" customBuiltin="1"/>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74" xr:uid="{73A91F6A-58AC-44E8-A0A0-B8E0C82FA265}"/>
    <cellStyle name="Normal 5" xfId="30" xr:uid="{E3BE1569-E214-4855-8BF5-B868B88B5743}"/>
    <cellStyle name="Normal 9" xfId="33" xr:uid="{CACD4D4E-2C7F-4816-9692-26D0FDD559DC}"/>
    <cellStyle name="Nota 2" xfId="75" xr:uid="{85989609-6E36-447B-9036-00DC4C6EA92B}"/>
    <cellStyle name="Output" xfId="43" builtinId="21" customBuiltin="1"/>
    <cellStyle name="Percent"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Title" xfId="34" builtinId="15" customBuiltin="1"/>
    <cellStyle name="Total" xfId="49" builtinId="25" customBuiltin="1"/>
    <cellStyle name="Warning Text" xfId="47" builtinId="11" customBuiltin="1"/>
  </cellStyles>
  <dxfs count="598">
    <dxf>
      <numFmt numFmtId="3" formatCode="#,##0"/>
      <fill>
        <patternFill patternType="solid">
          <fgColor indexed="64"/>
          <bgColor theme="0"/>
        </patternFill>
      </fill>
      <alignment horizontal="center" vertical="bottom" textRotation="0" wrapText="0" indent="0" justifyLastLine="0" shrinkToFit="0" readingOrder="0"/>
      <border>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left style="thin">
          <color indexed="64"/>
        </left>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7" tint="0.59999389629810485"/>
        </patternFill>
      </fill>
      <alignment horizontal="center"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color rgb="FF000000"/>
        <name val="Helvetica Neue"/>
        <family val="2"/>
      </font>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Helvetica Neue"/>
        <family val="2"/>
        <scheme val="none"/>
      </font>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font>
      <numFmt numFmtId="3" formatCode="#,##0"/>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font>
      <fill>
        <patternFill patternType="solid">
          <fgColor indexed="64"/>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7" tint="0.59999389629810485"/>
        </patternFill>
      </fill>
      <alignment horizontal="center" vertical="center" textRotation="0" wrapText="0" indent="0" justifyLastLine="0" shrinkToFit="0" readingOrder="0"/>
    </dxf>
    <dxf>
      <font>
        <strike val="0"/>
        <outline val="0"/>
        <shadow val="0"/>
        <u val="none"/>
        <vertAlign val="baseline"/>
        <sz val="10"/>
        <color theme="1"/>
        <name val="Arial"/>
        <family val="2"/>
        <scheme val="none"/>
      </font>
      <fill>
        <patternFill patternType="solid">
          <fgColor indexed="64"/>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Helvetica Neue"/>
        <family val="2"/>
      </font>
      <numFmt numFmtId="185" formatCode="#,##0_ ;\-#,##0\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dxf>
    <dxf>
      <numFmt numFmtId="14" formatCode="0.00%"/>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family val="2"/>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64" formatCode="_-&quot;€&quot;* #,##0.00_-;\-&quot;€&quot;* #,##0.00_-;_-&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numFmt numFmtId="193" formatCode="dd/mm/yyyy"/>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val="0"/>
        <family val="2"/>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185" formatCode="#,##0_ ;\-#,##0\ "/>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numFmt numFmtId="0" formatCode="General"/>
      <fill>
        <patternFill>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Helvetica Neue"/>
        <family val="2"/>
        <scheme val="none"/>
      </font>
      <numFmt numFmtId="0" formatCode="General"/>
      <fill>
        <patternFill>
          <bgColor theme="0"/>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Helvetica Neue"/>
        <family val="2"/>
        <scheme val="none"/>
      </font>
      <numFmt numFmtId="170"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70"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70"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Helvetica Neue"/>
        <family val="2"/>
        <scheme val="none"/>
      </font>
      <numFmt numFmtId="170" formatCode="0.0%"/>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Helvetica Neue"/>
        <family val="2"/>
        <scheme val="none"/>
      </font>
      <numFmt numFmtId="193" formatCode="dd/mm/yyyy"/>
      <fill>
        <patternFill>
          <fgColor indexed="64"/>
          <bgColor theme="0"/>
        </patternFill>
      </fill>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Helvetica Neue"/>
        <family val="2"/>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0"/>
        <color theme="1"/>
      </font>
      <fill>
        <patternFill patternType="solid">
          <fgColor indexed="64"/>
          <bgColor theme="3" tint="0.79998168889431442"/>
        </patternFill>
      </fill>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theme="1"/>
        <family val="2"/>
      </font>
      <numFmt numFmtId="185" formatCode="#,##0_ ;\-#,##0\ "/>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Helvetica Neue"/>
        <family val="2"/>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patternFill>
      </fill>
      <alignment vertical="center" textRotation="0" wrapText="0" indent="0" justifyLastLine="0" shrinkToFit="0" readingOrder="0"/>
    </dxf>
    <dxf>
      <font>
        <strike val="0"/>
        <outline val="0"/>
        <shadow val="0"/>
        <u val="none"/>
        <vertAlign val="baseline"/>
        <sz val="10"/>
        <color theme="1"/>
      </font>
      <fill>
        <patternFill patternType="solid">
          <fgColor indexed="64"/>
          <bgColor theme="3" tint="0.79998168889431442"/>
        </patternFill>
      </fill>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center"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color rgb="FF9C0006"/>
      </font>
      <fill>
        <patternFill>
          <bgColor rgb="FFFFC7CE"/>
        </patternFill>
      </fill>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s>
  <tableStyles count="1" defaultTableStyle="TableStyleMedium9" defaultPivotStyle="PivotStyleLight16">
    <tableStyle name="Invisible" pivot="0" table="0" count="0" xr9:uid="{7B8256E5-5961-45BC-8E74-75040304E975}"/>
  </tableStyles>
  <colors>
    <mruColors>
      <color rgb="FFFFEC9C"/>
      <color rgb="FFFFC7CE"/>
      <color rgb="FFC6F0CE"/>
      <color rgb="FF1F497D"/>
      <color rgb="FF00B050"/>
      <color rgb="FFFF0000"/>
      <color rgb="FFFFFFFF"/>
      <color rgb="FFF2F2F2"/>
      <color rgb="FF4D4D4D"/>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Segments!$C$15:$C$16</c:f>
              <c:strCache>
                <c:ptCount val="2"/>
                <c:pt idx="0">
                  <c:v>Spodumene</c:v>
                </c:pt>
                <c:pt idx="1">
                  <c:v>Tantalite</c:v>
                </c:pt>
              </c:strCache>
            </c:strRef>
          </c:cat>
          <c:val>
            <c:numRef>
              <c:f>Segments!$D$15:$D$16</c:f>
              <c:numCache>
                <c:formatCode>"$"#,##0.00</c:formatCode>
                <c:ptCount val="2"/>
                <c:pt idx="0">
                  <c:v>4315.5330000000004</c:v>
                </c:pt>
                <c:pt idx="1">
                  <c:v>2.0630000000000002</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3975159355080616"/>
          <c:y val="0.73646744865654679"/>
          <c:w val="0.72049681289838774"/>
          <c:h val="0.22165110804448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Pilgan</c:v>
                </c:pt>
                <c:pt idx="1">
                  <c:v>Ngungaju</c:v>
                </c:pt>
              </c:strCache>
            </c:strRef>
          </c:cat>
          <c:val>
            <c:numRef>
              <c:f>Segments!$D$5:$D$6</c:f>
              <c:numCache>
                <c:formatCode>"$"#,##0.00</c:formatCode>
                <c:ptCount val="2"/>
                <c:pt idx="0">
                  <c:v>2829.4811724137935</c:v>
                </c:pt>
                <c:pt idx="1">
                  <c:v>1488.114827586207</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Peers!$C$21</c:f>
              <c:numCache>
                <c:formatCode>0.00</c:formatCode>
                <c:ptCount val="1"/>
                <c:pt idx="0">
                  <c:v>-0.81927905250588939</c:v>
                </c:pt>
              </c:numCache>
            </c:numRef>
          </c:xVal>
          <c:yVal>
            <c:numRef>
              <c:f>Peers!$C$40</c:f>
              <c:numCache>
                <c:formatCode>0.0</c:formatCode>
                <c:ptCount val="1"/>
                <c:pt idx="0">
                  <c:v>2.8360473747055219</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ALBEMARLE CORPORATION (XNYS:ALB)</c:v>
                </c:pt>
              </c:strCache>
            </c:strRef>
          </c:tx>
          <c:spPr>
            <a:ln w="25400" cap="rnd">
              <a:solidFill>
                <a:srgbClr val="FFFFFF"/>
              </a:solidFill>
              <a:prstDash val="solid"/>
              <a:round/>
            </a:ln>
            <a:effectLst/>
          </c:spPr>
          <c:marker>
            <c:symbol val="circle"/>
            <c:size val="5"/>
            <c:spPr>
              <a:solidFill>
                <a:srgbClr val="00B0F0"/>
              </a:solidFill>
              <a:ln w="9525">
                <a:solidFill>
                  <a:srgbClr val="00B0F0"/>
                </a:solidFill>
                <a:prstDash val="solid"/>
              </a:ln>
              <a:effectLst/>
            </c:spPr>
          </c:marker>
          <c:xVal>
            <c:numRef>
              <c:f>Peers!$D$21</c:f>
              <c:numCache>
                <c:formatCode>0.00</c:formatCode>
                <c:ptCount val="1"/>
                <c:pt idx="0">
                  <c:v>3.6234939759036147</c:v>
                </c:pt>
              </c:numCache>
            </c:numRef>
          </c:xVal>
          <c:yVal>
            <c:numRef>
              <c:f>Peers!$D$40</c:f>
              <c:numCache>
                <c:formatCode>0.0</c:formatCode>
                <c:ptCount val="1"/>
                <c:pt idx="0">
                  <c:v>21.233334137613255</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Peers!$E$21</c:f>
              <c:numCache>
                <c:formatCode>0.00</c:formatCode>
                <c:ptCount val="1"/>
                <c:pt idx="0">
                  <c:v>1.1779179810725553</c:v>
                </c:pt>
              </c:numCache>
            </c:numRef>
          </c:xVal>
          <c:yVal>
            <c:numRef>
              <c:f>Peers!$E$40</c:f>
              <c:numCache>
                <c:formatCode>0.0</c:formatCode>
                <c:ptCount val="1"/>
                <c:pt idx="0">
                  <c:v>5.5492975564668772</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Peers!$F$21</c:f>
              <c:numCache>
                <c:formatCode>0.00</c:formatCode>
                <c:ptCount val="1"/>
                <c:pt idx="0">
                  <c:v>1.0799156983367511</c:v>
                </c:pt>
              </c:numCache>
            </c:numRef>
          </c:xVal>
          <c:yVal>
            <c:numRef>
              <c:f>Peers!$F$40</c:f>
              <c:numCache>
                <c:formatCode>0.0</c:formatCode>
                <c:ptCount val="1"/>
                <c:pt idx="0">
                  <c:v>8.9591934381408063</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Arcadium Lithium (XASX:LTM)</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-0.54726735598227472</c:v>
                </c:pt>
              </c:numCache>
            </c:numRef>
          </c:xVal>
          <c:yVal>
            <c:numRef>
              <c:f>Peers!$G$40</c:f>
              <c:numCache>
                <c:formatCode>0.0</c:formatCode>
                <c:ptCount val="1"/>
                <c:pt idx="0">
                  <c:v>2.8727134416543576</c:v>
                </c:pt>
              </c:numCache>
            </c:numRef>
          </c:yVal>
          <c:smooth val="0"/>
          <c:extLst xmlns:c15="http://schemas.microsoft.com/office/drawing/2012/chart">
            <c:ext xmlns:c16="http://schemas.microsoft.com/office/drawing/2014/chart" uri="{C3380CC4-5D6E-409C-BE32-E72D297353CC}">
              <c16:uniqueId val="{00000005-B547-4DF9-892F-3129917FB3B3}"/>
            </c:ext>
          </c:extLst>
        </c:ser>
        <c:dLbls>
          <c:showLegendKey val="0"/>
          <c:showVal val="0"/>
          <c:showCatName val="0"/>
          <c:showSerName val="0"/>
          <c:showPercent val="0"/>
          <c:showBubbleSize val="0"/>
        </c:dLbls>
        <c:axId val="1571673951"/>
        <c:axId val="1289766175"/>
        <c:extLst>
          <c:ext xmlns:c15="http://schemas.microsoft.com/office/drawing/2012/chart" uri="{02D57815-91ED-43cb-92C2-25804820EDAC}">
            <c15:filteredScatterSeries>
              <c15:ser>
                <c:idx val="5"/>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6-B547-4DF9-892F-3129917FB3B3}"/>
                  </c:ext>
                </c:extLst>
              </c15:ser>
            </c15:filteredScatterSeries>
          </c:ext>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PILBARA MINERALS LIMITED (XASX:PLS)</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Peers!$C$47</c:f>
              <c:numCache>
                <c:formatCode>0%</c:formatCode>
                <c:ptCount val="1"/>
                <c:pt idx="0">
                  <c:v>2.6826923076923075</c:v>
                </c:pt>
              </c:numCache>
            </c:numRef>
          </c:xVal>
          <c:yVal>
            <c:numRef>
              <c:f>Peers!$C$52</c:f>
              <c:numCache>
                <c:formatCode>0.00%</c:formatCode>
                <c:ptCount val="1"/>
                <c:pt idx="0">
                  <c:v>-182.93157894736842</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ALBEMARLE CORPORATION (XNYS:ALB)</c:v>
                </c:pt>
              </c:strCache>
            </c:strRef>
          </c:tx>
          <c:spPr>
            <a:ln w="25400" cap="rnd">
              <a:noFill/>
              <a:round/>
            </a:ln>
            <a:effectLst/>
          </c:spPr>
          <c:marker>
            <c:symbol val="circle"/>
            <c:size val="5"/>
            <c:spPr>
              <a:solidFill>
                <a:srgbClr val="00B0F0"/>
              </a:solidFill>
              <a:ln w="9525">
                <a:solidFill>
                  <a:srgbClr val="00B0F0"/>
                </a:solidFill>
                <a:prstDash val="solid"/>
              </a:ln>
              <a:effectLst/>
            </c:spPr>
          </c:marker>
          <c:xVal>
            <c:numRef>
              <c:f>Peers!$D$47</c:f>
              <c:numCache>
                <c:formatCode>0%</c:formatCode>
                <c:ptCount val="1"/>
                <c:pt idx="0">
                  <c:v>-0.12956070132291941</c:v>
                </c:pt>
              </c:numCache>
            </c:numRef>
          </c:xVal>
          <c:yVal>
            <c:numRef>
              <c:f>Peers!$D$52</c:f>
              <c:numCache>
                <c:formatCode>0.00%</c:formatCode>
                <c:ptCount val="1"/>
                <c:pt idx="0">
                  <c:v>1.7491322460199576</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Sociedad Quimica y Minera de Chile SA (XNYS:SQM)</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Peers!$E$47</c:f>
              <c:numCache>
                <c:formatCode>0%</c:formatCode>
                <c:ptCount val="1"/>
                <c:pt idx="0">
                  <c:v>-8.8907653149700172E-2</c:v>
                </c:pt>
              </c:numCache>
            </c:numRef>
          </c:xVal>
          <c:yVal>
            <c:numRef>
              <c:f>Peers!$E$52</c:f>
              <c:numCache>
                <c:formatCode>0.00%</c:formatCode>
                <c:ptCount val="1"/>
                <c:pt idx="0">
                  <c:v>8.8994731002558591</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Mineral (XASX:MIN)</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Peers!$F$47</c:f>
              <c:numCache>
                <c:formatCode>0%</c:formatCode>
                <c:ptCount val="1"/>
                <c:pt idx="0">
                  <c:v>0.76513075965130772</c:v>
                </c:pt>
              </c:numCache>
            </c:numRef>
          </c:xVal>
          <c:yVal>
            <c:numRef>
              <c:f>Peers!$F$52</c:f>
              <c:numCache>
                <c:formatCode>0.00%</c:formatCode>
                <c:ptCount val="1"/>
                <c:pt idx="0">
                  <c:v>1.2766565758493105</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Arcadium Lithium (XASX:LTM)</c:v>
                </c:pt>
              </c:strCache>
            </c:strRef>
          </c:tx>
          <c:spPr>
            <a:ln w="25400" cap="rnd">
              <a:noFill/>
              <a:round/>
            </a:ln>
            <a:effectLst/>
          </c:spPr>
          <c:marker>
            <c:symbol val="circle"/>
            <c:size val="2"/>
            <c:spPr>
              <a:noFill/>
              <a:ln w="25400">
                <a:noFill/>
              </a:ln>
              <a:effectLst/>
            </c:spPr>
          </c:marker>
          <c:xVal>
            <c:numRef>
              <c:f>Peers!$G$47</c:f>
              <c:numCache>
                <c:formatCode>0%</c:formatCode>
                <c:ptCount val="1"/>
                <c:pt idx="0">
                  <c:v>-0.32871287128712867</c:v>
                </c:pt>
              </c:numCache>
            </c:numRef>
          </c:xVal>
          <c:yVal>
            <c:numRef>
              <c:f>Peers!$G$52</c:f>
              <c:numCache>
                <c:formatCode>0.00%</c:formatCode>
                <c:ptCount val="1"/>
                <c:pt idx="0">
                  <c:v>-27.807935076645627</c:v>
                </c:pt>
              </c:numCache>
            </c:numRef>
          </c:yVal>
          <c:smooth val="0"/>
          <c:extLst>
            <c:ext xmlns:c16="http://schemas.microsoft.com/office/drawing/2014/chart" uri="{C3380CC4-5D6E-409C-BE32-E72D297353CC}">
              <c16:uniqueId val="{00000005-A0AB-4E28-9E73-D8DF3D5B0514}"/>
            </c:ext>
          </c:extLst>
        </c:ser>
        <c:dLbls>
          <c:showLegendKey val="0"/>
          <c:showVal val="0"/>
          <c:showCatName val="0"/>
          <c:showSerName val="0"/>
          <c:showPercent val="0"/>
          <c:showBubbleSize val="0"/>
        </c:dLbls>
        <c:axId val="581212960"/>
        <c:axId val="581217120"/>
        <c:extLst>
          <c:ext xmlns:c15="http://schemas.microsoft.com/office/drawing/2012/chart" uri="{02D57815-91ED-43cb-92C2-25804820EDAC}">
            <c15:filteredScatterSeries>
              <c15:ser>
                <c:idx val="6"/>
                <c:order val="5"/>
                <c:tx>
                  <c:strRef>
                    <c:extLst>
                      <c:ext uri="{02D57815-91ED-43cb-92C2-25804820EDAC}">
                        <c15:formulaRef>
                          <c15:sqref>Peers!#REF!</c15:sqref>
                        </c15:formulaRef>
                      </c:ext>
                    </c:extLst>
                    <c:strCache>
                      <c:ptCount val="1"/>
                      <c:pt idx="0">
                        <c:v>#REF!</c:v>
                      </c:pt>
                    </c:strCache>
                  </c:strRef>
                </c:tx>
                <c:spPr>
                  <a:ln w="25400" cap="rnd">
                    <a:noFill/>
                    <a:round/>
                  </a:ln>
                  <a:effectLst/>
                </c:spPr>
                <c:marker>
                  <c:symbol val="circle"/>
                  <c:size val="2"/>
                  <c:spPr>
                    <a:noFill/>
                    <a:ln w="25400">
                      <a:noFill/>
                    </a:ln>
                    <a:effectLst/>
                  </c:spPr>
                </c:marker>
                <c:xVal>
                  <c:strRef>
                    <c:extLst>
                      <c:ext uri="{02D57815-91ED-43cb-92C2-25804820EDAC}">
                        <c15:formulaRef>
                          <c15:sqref>Peers!#REF!</c15:sqref>
                        </c15:formulaRef>
                      </c:ext>
                    </c:extLst>
                    <c:strCache>
                      <c:ptCount val="1"/>
                      <c:pt idx="0">
                        <c:v>#REF!</c:v>
                      </c:pt>
                    </c:strCache>
                  </c:strRef>
                </c:xVal>
                <c:yVal>
                  <c:numRef>
                    <c:extLst>
                      <c:ext uri="{02D57815-91ED-43cb-92C2-25804820EDAC}">
                        <c15:formulaRef>
                          <c15:sqref>Peers!#REF!</c15:sqref>
                        </c15:formulaRef>
                      </c:ext>
                    </c:extLst>
                    <c:numCache>
                      <c:formatCode>General</c:formatCode>
                      <c:ptCount val="1"/>
                      <c:pt idx="0">
                        <c:v>1</c:v>
                      </c:pt>
                    </c:numCache>
                  </c:numRef>
                </c:yVal>
                <c:smooth val="0"/>
                <c:extLst>
                  <c:ext xmlns:c16="http://schemas.microsoft.com/office/drawing/2014/chart" uri="{C3380CC4-5D6E-409C-BE32-E72D297353CC}">
                    <c16:uniqueId val="{00000006-A0AB-4E28-9E73-D8DF3D5B0514}"/>
                  </c:ext>
                </c:extLst>
              </c15:ser>
            </c15:filteredScatterSeries>
          </c:ext>
        </c:extLst>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9729146861805613"/>
          <c:h val="0.5891577603668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on BEV</a:t>
            </a:r>
            <a:r>
              <a:rPr lang="en-GB" baseline="0"/>
              <a:t> and Ore Processed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Assumptions!$B$167</c:f>
              <c:strCache>
                <c:ptCount val="1"/>
                <c:pt idx="0">
                  <c:v>BEV (Data from the US)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1"/>
            <c:dispEq val="1"/>
            <c:trendlineLbl>
              <c:layout>
                <c:manualLayout>
                  <c:x val="2.7059930008748907E-2"/>
                  <c:y val="-4.26866433362496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Assumptions!$C$167:$O$167</c:f>
              <c:numCache>
                <c:formatCode>#,##0</c:formatCode>
                <c:ptCount val="13"/>
                <c:pt idx="0">
                  <c:v>68247</c:v>
                </c:pt>
                <c:pt idx="1">
                  <c:v>33312</c:v>
                </c:pt>
                <c:pt idx="2">
                  <c:v>70410</c:v>
                </c:pt>
                <c:pt idx="3">
                  <c:v>86010</c:v>
                </c:pt>
                <c:pt idx="4">
                  <c:v>98692</c:v>
                </c:pt>
                <c:pt idx="5">
                  <c:v>118235</c:v>
                </c:pt>
                <c:pt idx="6">
                  <c:v>122744</c:v>
                </c:pt>
                <c:pt idx="7">
                  <c:v>148691</c:v>
                </c:pt>
                <c:pt idx="8">
                  <c:v>178697</c:v>
                </c:pt>
                <c:pt idx="9">
                  <c:v>196788</c:v>
                </c:pt>
                <c:pt idx="10">
                  <c:v>205682</c:v>
                </c:pt>
                <c:pt idx="11">
                  <c:v>226789</c:v>
                </c:pt>
                <c:pt idx="12">
                  <c:v>258885</c:v>
                </c:pt>
              </c:numCache>
            </c:numRef>
          </c:val>
          <c:smooth val="0"/>
          <c:extLst>
            <c:ext xmlns:c16="http://schemas.microsoft.com/office/drawing/2014/chart" uri="{C3380CC4-5D6E-409C-BE32-E72D297353CC}">
              <c16:uniqueId val="{00000000-7F03-0446-BF42-4955D8613BF6}"/>
            </c:ext>
          </c:extLst>
        </c:ser>
        <c:ser>
          <c:idx val="1"/>
          <c:order val="1"/>
          <c:tx>
            <c:strRef>
              <c:f>Assumptions!$B$169</c:f>
              <c:strCache>
                <c:ptCount val="1"/>
                <c:pt idx="0">
                  <c:v>Ore Processed</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poly"/>
            <c:order val="2"/>
            <c:dispRSqr val="1"/>
            <c:dispEq val="1"/>
            <c:trendlineLbl>
              <c:layout>
                <c:manualLayout>
                  <c:x val="-5.4922572178477687E-2"/>
                  <c:y val="-5.59492563429571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Assumptions!$C$169:$O$169</c:f>
              <c:numCache>
                <c:formatCode>#,##0</c:formatCode>
                <c:ptCount val="13"/>
                <c:pt idx="0">
                  <c:v>202596</c:v>
                </c:pt>
                <c:pt idx="1">
                  <c:v>102251</c:v>
                </c:pt>
                <c:pt idx="2">
                  <c:v>137407</c:v>
                </c:pt>
                <c:pt idx="3">
                  <c:v>199961</c:v>
                </c:pt>
                <c:pt idx="4">
                  <c:v>360227</c:v>
                </c:pt>
                <c:pt idx="5">
                  <c:v>381973</c:v>
                </c:pt>
                <c:pt idx="6">
                  <c:v>415277</c:v>
                </c:pt>
                <c:pt idx="7">
                  <c:v>422111</c:v>
                </c:pt>
                <c:pt idx="8">
                  <c:v>443691</c:v>
                </c:pt>
                <c:pt idx="9">
                  <c:v>566027</c:v>
                </c:pt>
                <c:pt idx="10">
                  <c:v>613202</c:v>
                </c:pt>
                <c:pt idx="11">
                  <c:v>792428</c:v>
                </c:pt>
                <c:pt idx="12">
                  <c:v>801968</c:v>
                </c:pt>
              </c:numCache>
            </c:numRef>
          </c:val>
          <c:smooth val="0"/>
          <c:extLst>
            <c:ext xmlns:c16="http://schemas.microsoft.com/office/drawing/2014/chart" uri="{C3380CC4-5D6E-409C-BE32-E72D297353CC}">
              <c16:uniqueId val="{00000001-7F03-0446-BF42-4955D8613BF6}"/>
            </c:ext>
          </c:extLst>
        </c:ser>
        <c:dLbls>
          <c:showLegendKey val="0"/>
          <c:showVal val="0"/>
          <c:showCatName val="0"/>
          <c:showSerName val="0"/>
          <c:showPercent val="0"/>
          <c:showBubbleSize val="0"/>
        </c:dLbls>
        <c:smooth val="0"/>
        <c:axId val="851734016"/>
        <c:axId val="909134864"/>
      </c:lineChart>
      <c:catAx>
        <c:axId val="8517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134864"/>
        <c:crosses val="autoZero"/>
        <c:auto val="1"/>
        <c:lblAlgn val="ctr"/>
        <c:lblOffset val="100"/>
        <c:noMultiLvlLbl val="0"/>
      </c:catAx>
      <c:valAx>
        <c:axId val="909134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3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Lithium Market Price</c:v>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4"/>
            <c:dispRSqr val="1"/>
            <c:dispEq val="1"/>
            <c:trendlineLbl>
              <c:layout>
                <c:manualLayout>
                  <c:x val="-0.26946872265966754"/>
                  <c:y val="-0.503439778361038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Assumptions!$E$103:$AF$103</c:f>
              <c:strCache>
                <c:ptCount val="28"/>
                <c:pt idx="0">
                  <c:v>Q1 FY17</c:v>
                </c:pt>
                <c:pt idx="1">
                  <c:v>Q2 FY17</c:v>
                </c:pt>
                <c:pt idx="2">
                  <c:v>Q3 FY17</c:v>
                </c:pt>
                <c:pt idx="3">
                  <c:v>Q4 FY17</c:v>
                </c:pt>
                <c:pt idx="4">
                  <c:v>Q1 FY18</c:v>
                </c:pt>
                <c:pt idx="5">
                  <c:v>Q2 FY18</c:v>
                </c:pt>
                <c:pt idx="6">
                  <c:v>Q3 FY18</c:v>
                </c:pt>
                <c:pt idx="7">
                  <c:v>Q4 FY18</c:v>
                </c:pt>
                <c:pt idx="8">
                  <c:v>Q1 FY19</c:v>
                </c:pt>
                <c:pt idx="9">
                  <c:v>Q2 FY19</c:v>
                </c:pt>
                <c:pt idx="10">
                  <c:v>Q3 FY19</c:v>
                </c:pt>
                <c:pt idx="11">
                  <c:v>Q4 FY19</c:v>
                </c:pt>
                <c:pt idx="12">
                  <c:v>Q1 FY20</c:v>
                </c:pt>
                <c:pt idx="13">
                  <c:v>Q2 FY20</c:v>
                </c:pt>
                <c:pt idx="14">
                  <c:v>Q3 FY20</c:v>
                </c:pt>
                <c:pt idx="15">
                  <c:v>Q4 FY20</c:v>
                </c:pt>
                <c:pt idx="16">
                  <c:v>Q1 FY21</c:v>
                </c:pt>
                <c:pt idx="17">
                  <c:v>Q2 FY21</c:v>
                </c:pt>
                <c:pt idx="18">
                  <c:v>Q3 FY21</c:v>
                </c:pt>
                <c:pt idx="19">
                  <c:v>Q4 FY21</c:v>
                </c:pt>
                <c:pt idx="20">
                  <c:v>Q1 FY22</c:v>
                </c:pt>
                <c:pt idx="21">
                  <c:v>Q2 FY22</c:v>
                </c:pt>
                <c:pt idx="22">
                  <c:v>Q3 FY22</c:v>
                </c:pt>
                <c:pt idx="23">
                  <c:v>Q4 FY22</c:v>
                </c:pt>
                <c:pt idx="24">
                  <c:v>Q1 FY23</c:v>
                </c:pt>
                <c:pt idx="25">
                  <c:v>Q2 FY23</c:v>
                </c:pt>
                <c:pt idx="26">
                  <c:v>Q3 FY23</c:v>
                </c:pt>
                <c:pt idx="27">
                  <c:v>Q4 FY23</c:v>
                </c:pt>
              </c:strCache>
            </c:strRef>
          </c:cat>
          <c:val>
            <c:numRef>
              <c:f>Assumptions!$E$112:$AF$112</c:f>
              <c:numCache>
                <c:formatCode>[$$-C09]#,##0</c:formatCode>
                <c:ptCount val="28"/>
                <c:pt idx="0">
                  <c:v>16000</c:v>
                </c:pt>
                <c:pt idx="1">
                  <c:v>19000</c:v>
                </c:pt>
                <c:pt idx="2">
                  <c:v>23084.600000000002</c:v>
                </c:pt>
                <c:pt idx="3">
                  <c:v>25704</c:v>
                </c:pt>
                <c:pt idx="4">
                  <c:v>24460.149999999998</c:v>
                </c:pt>
                <c:pt idx="5">
                  <c:v>21795.200000000001</c:v>
                </c:pt>
                <c:pt idx="6">
                  <c:v>14406</c:v>
                </c:pt>
                <c:pt idx="7">
                  <c:v>11466.78</c:v>
                </c:pt>
                <c:pt idx="8">
                  <c:v>11441.039999999999</c:v>
                </c:pt>
                <c:pt idx="9">
                  <c:v>11068.300000000001</c:v>
                </c:pt>
                <c:pt idx="10">
                  <c:v>9262.5</c:v>
                </c:pt>
                <c:pt idx="11">
                  <c:v>7809.9999999999991</c:v>
                </c:pt>
                <c:pt idx="12">
                  <c:v>6873.5999999999995</c:v>
                </c:pt>
                <c:pt idx="13">
                  <c:v>6095.52</c:v>
                </c:pt>
                <c:pt idx="14">
                  <c:v>5675.55</c:v>
                </c:pt>
                <c:pt idx="15">
                  <c:v>6266.5</c:v>
                </c:pt>
                <c:pt idx="16">
                  <c:v>10177.200000000001</c:v>
                </c:pt>
                <c:pt idx="17">
                  <c:v>13699.8</c:v>
                </c:pt>
                <c:pt idx="18">
                  <c:v>18540</c:v>
                </c:pt>
                <c:pt idx="19">
                  <c:v>33313.200000000004</c:v>
                </c:pt>
                <c:pt idx="20">
                  <c:v>62960.000000000007</c:v>
                </c:pt>
                <c:pt idx="21">
                  <c:v>71366.399999999994</c:v>
                </c:pt>
                <c:pt idx="22">
                  <c:v>71540</c:v>
                </c:pt>
                <c:pt idx="23">
                  <c:v>78173.600000000006</c:v>
                </c:pt>
                <c:pt idx="24">
                  <c:v>56979</c:v>
                </c:pt>
                <c:pt idx="25">
                  <c:v>37102</c:v>
                </c:pt>
                <c:pt idx="26">
                  <c:v>32476.999999999996</c:v>
                </c:pt>
                <c:pt idx="27">
                  <c:v>18379.400000000001</c:v>
                </c:pt>
              </c:numCache>
            </c:numRef>
          </c:val>
          <c:smooth val="0"/>
          <c:extLst>
            <c:ext xmlns:c16="http://schemas.microsoft.com/office/drawing/2014/chart" uri="{C3380CC4-5D6E-409C-BE32-E72D297353CC}">
              <c16:uniqueId val="{00000000-68EC-734B-8C19-915441732C5A}"/>
            </c:ext>
          </c:extLst>
        </c:ser>
        <c:dLbls>
          <c:showLegendKey val="0"/>
          <c:showVal val="0"/>
          <c:showCatName val="0"/>
          <c:showSerName val="0"/>
          <c:showPercent val="0"/>
          <c:showBubbleSize val="0"/>
        </c:dLbls>
        <c:smooth val="0"/>
        <c:axId val="692375808"/>
        <c:axId val="682342592"/>
      </c:lineChart>
      <c:catAx>
        <c:axId val="69237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42592"/>
        <c:crosses val="autoZero"/>
        <c:auto val="1"/>
        <c:lblAlgn val="ctr"/>
        <c:lblOffset val="100"/>
        <c:noMultiLvlLbl val="0"/>
      </c:catAx>
      <c:valAx>
        <c:axId val="682342592"/>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7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17</xdr:row>
      <xdr:rowOff>0</xdr:rowOff>
    </xdr:from>
    <xdr:to>
      <xdr:col>13</xdr:col>
      <xdr:colOff>304800</xdr:colOff>
      <xdr:row>18</xdr:row>
      <xdr:rowOff>168610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17</xdr:row>
      <xdr:rowOff>0</xdr:rowOff>
    </xdr:from>
    <xdr:to>
      <xdr:col>13</xdr:col>
      <xdr:colOff>304800</xdr:colOff>
      <xdr:row>18</xdr:row>
      <xdr:rowOff>168610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488783</xdr:colOff>
      <xdr:row>3</xdr:row>
      <xdr:rowOff>96754</xdr:rowOff>
    </xdr:from>
    <xdr:to>
      <xdr:col>2</xdr:col>
      <xdr:colOff>984083</xdr:colOff>
      <xdr:row>13</xdr:row>
      <xdr:rowOff>105776</xdr:rowOff>
    </xdr:to>
    <xdr:pic>
      <xdr:nvPicPr>
        <xdr:cNvPr id="2" name="Imagem 1">
          <a:extLst>
            <a:ext uri="{FF2B5EF4-FFF2-40B4-BE49-F238E27FC236}">
              <a16:creationId xmlns:a16="http://schemas.microsoft.com/office/drawing/2014/main" id="{F781CF58-8517-FFE1-4CED-734D4D96E1AE}"/>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520867" y="754480"/>
          <a:ext cx="1955132" cy="1910012"/>
        </a:xfrm>
        <a:prstGeom prst="rect">
          <a:avLst/>
        </a:prstGeom>
      </xdr:spPr>
    </xdr:pic>
    <xdr:clientData/>
  </xdr:twoCellAnchor>
  <xdr:twoCellAnchor editAs="oneCell">
    <xdr:from>
      <xdr:col>7</xdr:col>
      <xdr:colOff>554957</xdr:colOff>
      <xdr:row>85</xdr:row>
      <xdr:rowOff>97757</xdr:rowOff>
    </xdr:from>
    <xdr:to>
      <xdr:col>12</xdr:col>
      <xdr:colOff>1155032</xdr:colOff>
      <xdr:row>107</xdr:row>
      <xdr:rowOff>141622</xdr:rowOff>
    </xdr:to>
    <xdr:pic>
      <xdr:nvPicPr>
        <xdr:cNvPr id="6" name="Imagem 2">
          <a:extLst>
            <a:ext uri="{FF2B5EF4-FFF2-40B4-BE49-F238E27FC236}">
              <a16:creationId xmlns:a16="http://schemas.microsoft.com/office/drawing/2014/main" id="{FB2D4F7A-D31A-9ADC-0ECC-054AF3D9C87A}"/>
            </a:ext>
            <a:ext uri="{147F2762-F138-4A5C-976F-8EAC2B608ADB}">
              <a16:predDERef xmlns:a16="http://schemas.microsoft.com/office/drawing/2014/main" pred="{F781CF58-8517-FFE1-4CED-734D4D96E1AE}"/>
            </a:ext>
          </a:extLst>
        </xdr:cNvPr>
        <xdr:cNvPicPr>
          <a:picLocks noChangeAspect="1"/>
        </xdr:cNvPicPr>
      </xdr:nvPicPr>
      <xdr:blipFill>
        <a:blip xmlns:r="http://schemas.openxmlformats.org/officeDocument/2006/relationships" r:embed="rId2"/>
        <a:stretch>
          <a:fillRect/>
        </a:stretch>
      </xdr:blipFill>
      <xdr:spPr>
        <a:xfrm>
          <a:off x="9329989" y="22235862"/>
          <a:ext cx="7578390" cy="3749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22</xdr:row>
      <xdr:rowOff>76200</xdr:rowOff>
    </xdr:from>
    <xdr:to>
      <xdr:col>11</xdr:col>
      <xdr:colOff>666750</xdr:colOff>
      <xdr:row>25</xdr:row>
      <xdr:rowOff>666750</xdr:rowOff>
    </xdr:to>
    <xdr:graphicFrame macro="">
      <xdr:nvGraphicFramePr>
        <xdr:cNvPr id="2"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22</xdr:row>
      <xdr:rowOff>66675</xdr:rowOff>
    </xdr:from>
    <xdr:to>
      <xdr:col>15</xdr:col>
      <xdr:colOff>714375</xdr:colOff>
      <xdr:row>25</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21</xdr:row>
      <xdr:rowOff>247650</xdr:rowOff>
    </xdr:from>
    <xdr:to>
      <xdr:col>11</xdr:col>
      <xdr:colOff>714375</xdr:colOff>
      <xdr:row>26</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40</xdr:row>
      <xdr:rowOff>28575</xdr:rowOff>
    </xdr:from>
    <xdr:to>
      <xdr:col>15</xdr:col>
      <xdr:colOff>742950</xdr:colOff>
      <xdr:row>42</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9</xdr:col>
      <xdr:colOff>76200</xdr:colOff>
      <xdr:row>31</xdr:row>
      <xdr:rowOff>57150</xdr:rowOff>
    </xdr:from>
    <xdr:to>
      <xdr:col>16</xdr:col>
      <xdr:colOff>1457325</xdr:colOff>
      <xdr:row>47</xdr:row>
      <xdr:rowOff>140759</xdr:rowOff>
    </xdr:to>
    <xdr:pic>
      <xdr:nvPicPr>
        <xdr:cNvPr id="6" name="Picture 5">
          <a:extLst>
            <a:ext uri="{FF2B5EF4-FFF2-40B4-BE49-F238E27FC236}">
              <a16:creationId xmlns:a16="http://schemas.microsoft.com/office/drawing/2014/main" id="{CB7DB8BF-AA07-808D-074C-5B32500B9D7B}"/>
            </a:ext>
            <a:ext uri="{147F2762-F138-4A5C-976F-8EAC2B608ADB}">
              <a16:predDERef xmlns:a16="http://schemas.microsoft.com/office/drawing/2014/main" pred="{CFD345A1-04B3-7D1E-8DCA-7D82EE779CAA}"/>
            </a:ext>
          </a:extLst>
        </xdr:cNvPr>
        <xdr:cNvPicPr>
          <a:picLocks noChangeAspect="1"/>
        </xdr:cNvPicPr>
      </xdr:nvPicPr>
      <xdr:blipFill>
        <a:blip xmlns:r="http://schemas.openxmlformats.org/officeDocument/2006/relationships" r:embed="rId3"/>
        <a:stretch>
          <a:fillRect/>
        </a:stretch>
      </xdr:blipFill>
      <xdr:spPr>
        <a:xfrm>
          <a:off x="10258425" y="8572500"/>
          <a:ext cx="6715125" cy="3343275"/>
        </a:xfrm>
        <a:prstGeom prst="rect">
          <a:avLst/>
        </a:prstGeom>
      </xdr:spPr>
    </xdr:pic>
    <xdr:clientData/>
  </xdr:twoCellAnchor>
  <xdr:twoCellAnchor editAs="oneCell">
    <xdr:from>
      <xdr:col>16</xdr:col>
      <xdr:colOff>314325</xdr:colOff>
      <xdr:row>5</xdr:row>
      <xdr:rowOff>0</xdr:rowOff>
    </xdr:from>
    <xdr:to>
      <xdr:col>24</xdr:col>
      <xdr:colOff>476250</xdr:colOff>
      <xdr:row>24</xdr:row>
      <xdr:rowOff>0</xdr:rowOff>
    </xdr:to>
    <xdr:pic>
      <xdr:nvPicPr>
        <xdr:cNvPr id="7" name="Picture 6">
          <a:extLst>
            <a:ext uri="{FF2B5EF4-FFF2-40B4-BE49-F238E27FC236}">
              <a16:creationId xmlns:a16="http://schemas.microsoft.com/office/drawing/2014/main" id="{02A59C19-13EF-5A26-3EF9-2FE96F5720A8}"/>
            </a:ext>
            <a:ext uri="{147F2762-F138-4A5C-976F-8EAC2B608ADB}">
              <a16:predDERef xmlns:a16="http://schemas.microsoft.com/office/drawing/2014/main" pred="{CB7DB8BF-AA07-808D-074C-5B32500B9D7B}"/>
            </a:ext>
          </a:extLst>
        </xdr:cNvPr>
        <xdr:cNvPicPr>
          <a:picLocks noChangeAspect="1"/>
        </xdr:cNvPicPr>
      </xdr:nvPicPr>
      <xdr:blipFill>
        <a:blip xmlns:r="http://schemas.openxmlformats.org/officeDocument/2006/relationships" r:embed="rId4"/>
        <a:stretch>
          <a:fillRect/>
        </a:stretch>
      </xdr:blipFill>
      <xdr:spPr>
        <a:xfrm>
          <a:off x="15830550" y="923925"/>
          <a:ext cx="7058025" cy="446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24</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24</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538302</xdr:colOff>
      <xdr:row>17</xdr:row>
      <xdr:rowOff>132229</xdr:rowOff>
    </xdr:from>
    <xdr:to>
      <xdr:col>18</xdr:col>
      <xdr:colOff>711993</xdr:colOff>
      <xdr:row>37</xdr:row>
      <xdr:rowOff>19051</xdr:rowOff>
    </xdr:to>
    <xdr:graphicFrame macro="">
      <xdr:nvGraphicFramePr>
        <xdr:cNvPr id="2"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335756</xdr:colOff>
      <xdr:row>36</xdr:row>
      <xdr:rowOff>66675</xdr:rowOff>
    </xdr:from>
    <xdr:to>
      <xdr:col>20</xdr:col>
      <xdr:colOff>721518</xdr:colOff>
      <xdr:row>54</xdr:row>
      <xdr:rowOff>76200</xdr:rowOff>
    </xdr:to>
    <xdr:graphicFrame macro="">
      <xdr:nvGraphicFramePr>
        <xdr:cNvPr id="5"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33797</xdr:colOff>
      <xdr:row>66</xdr:row>
      <xdr:rowOff>13082</xdr:rowOff>
    </xdr:from>
    <xdr:to>
      <xdr:col>3</xdr:col>
      <xdr:colOff>75509</xdr:colOff>
      <xdr:row>92</xdr:row>
      <xdr:rowOff>2891</xdr:rowOff>
    </xdr:to>
    <xdr:pic>
      <xdr:nvPicPr>
        <xdr:cNvPr id="2" name="Picture 1">
          <a:extLst>
            <a:ext uri="{FF2B5EF4-FFF2-40B4-BE49-F238E27FC236}">
              <a16:creationId xmlns:a16="http://schemas.microsoft.com/office/drawing/2014/main" id="{F83E4686-656B-6F0B-0AE3-CD2D18C19D8C}"/>
            </a:ext>
          </a:extLst>
        </xdr:cNvPr>
        <xdr:cNvPicPr>
          <a:picLocks noChangeAspect="1"/>
        </xdr:cNvPicPr>
      </xdr:nvPicPr>
      <xdr:blipFill>
        <a:blip xmlns:r="http://schemas.openxmlformats.org/officeDocument/2006/relationships" r:embed="rId1"/>
        <a:stretch>
          <a:fillRect/>
        </a:stretch>
      </xdr:blipFill>
      <xdr:spPr>
        <a:xfrm>
          <a:off x="1399047" y="10617582"/>
          <a:ext cx="7700678" cy="4117309"/>
        </a:xfrm>
        <a:prstGeom prst="rect">
          <a:avLst/>
        </a:prstGeom>
      </xdr:spPr>
    </xdr:pic>
    <xdr:clientData/>
  </xdr:twoCellAnchor>
  <xdr:twoCellAnchor editAs="oneCell">
    <xdr:from>
      <xdr:col>0</xdr:col>
      <xdr:colOff>1225633</xdr:colOff>
      <xdr:row>38</xdr:row>
      <xdr:rowOff>140360</xdr:rowOff>
    </xdr:from>
    <xdr:to>
      <xdr:col>3</xdr:col>
      <xdr:colOff>946332</xdr:colOff>
      <xdr:row>63</xdr:row>
      <xdr:rowOff>90703</xdr:rowOff>
    </xdr:to>
    <xdr:pic>
      <xdr:nvPicPr>
        <xdr:cNvPr id="4" name="Picture 2">
          <a:extLst>
            <a:ext uri="{FF2B5EF4-FFF2-40B4-BE49-F238E27FC236}">
              <a16:creationId xmlns:a16="http://schemas.microsoft.com/office/drawing/2014/main" id="{E5D62FA8-86A5-7DB2-74A0-C587BA13ECA3}"/>
            </a:ext>
          </a:extLst>
        </xdr:cNvPr>
        <xdr:cNvPicPr>
          <a:picLocks noChangeAspect="1"/>
        </xdr:cNvPicPr>
      </xdr:nvPicPr>
      <xdr:blipFill>
        <a:blip xmlns:r="http://schemas.openxmlformats.org/officeDocument/2006/relationships" r:embed="rId2"/>
        <a:stretch>
          <a:fillRect/>
        </a:stretch>
      </xdr:blipFill>
      <xdr:spPr>
        <a:xfrm>
          <a:off x="1225633" y="6299860"/>
          <a:ext cx="8742029" cy="3919093"/>
        </a:xfrm>
        <a:prstGeom prst="rect">
          <a:avLst/>
        </a:prstGeom>
      </xdr:spPr>
    </xdr:pic>
    <xdr:clientData/>
  </xdr:twoCellAnchor>
  <xdr:twoCellAnchor>
    <xdr:from>
      <xdr:col>10</xdr:col>
      <xdr:colOff>690563</xdr:colOff>
      <xdr:row>186</xdr:row>
      <xdr:rowOff>136525</xdr:rowOff>
    </xdr:from>
    <xdr:to>
      <xdr:col>13</xdr:col>
      <xdr:colOff>329974</xdr:colOff>
      <xdr:row>202</xdr:row>
      <xdr:rowOff>146957</xdr:rowOff>
    </xdr:to>
    <xdr:graphicFrame macro="">
      <xdr:nvGraphicFramePr>
        <xdr:cNvPr id="7" name="Chart 6">
          <a:extLst>
            <a:ext uri="{FF2B5EF4-FFF2-40B4-BE49-F238E27FC236}">
              <a16:creationId xmlns:a16="http://schemas.microsoft.com/office/drawing/2014/main" id="{75485623-E30C-0AFC-4E8D-CA8B1A117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1217635</xdr:colOff>
      <xdr:row>188</xdr:row>
      <xdr:rowOff>95150</xdr:rowOff>
    </xdr:from>
    <xdr:to>
      <xdr:col>22</xdr:col>
      <xdr:colOff>84110</xdr:colOff>
      <xdr:row>205</xdr:row>
      <xdr:rowOff>84056</xdr:rowOff>
    </xdr:to>
    <xdr:graphicFrame macro="">
      <xdr:nvGraphicFramePr>
        <xdr:cNvPr id="3" name="Chart 2">
          <a:extLst>
            <a:ext uri="{FF2B5EF4-FFF2-40B4-BE49-F238E27FC236}">
              <a16:creationId xmlns:a16="http://schemas.microsoft.com/office/drawing/2014/main" id="{CE55B7E5-1E74-1033-632A-EFF06089B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fons\AppData\Local\Microsoft\Windows\INetCache\Content.Outlook\XHQIGWWU\LTM%20IS%20(AUD).xls" TargetMode="External"/><Relationship Id="rId1" Type="http://schemas.openxmlformats.org/officeDocument/2006/relationships/externalLinkPath" Target="file:///C:\Users\afons\AppData\Local\Microsoft\Windows\INetCache\Content.Outlook\XHQIGWWU\LTM%20IS%20(AUD).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hdisegutl.sharepoint.com/Users/goncaloraposo/Desktop/Pilbara%20Minerals%20OFFLINE.xlsx" TargetMode="External"/><Relationship Id="rId1" Type="http://schemas.openxmlformats.org/officeDocument/2006/relationships/externalLinkPath" Target="/Users/goncaloraposo/Desktop/Pilbara%20Minerals%20OFFL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cadium Lithium PLC | Income S"/>
    </sheetNames>
    <sheetDataSet>
      <sheetData sheetId="0">
        <row r="38">
          <cell r="B38">
            <v>28.8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Acuerdo"/>
      <sheetName val="Segments"/>
      <sheetName val="Peers"/>
      <sheetName val="SARD"/>
      <sheetName val="ESG"/>
      <sheetName val="DCF"/>
      <sheetName val="Assumptions"/>
      <sheetName val="Fin. Data"/>
      <sheetName val="Sector Impact"/>
      <sheetName val="Inputs (AUD)"/>
    </sheetNames>
    <sheetDataSet>
      <sheetData sheetId="0"/>
      <sheetData sheetId="1"/>
      <sheetData sheetId="2"/>
      <sheetData sheetId="3"/>
      <sheetData sheetId="4"/>
      <sheetData sheetId="5"/>
      <sheetData sheetId="6"/>
      <sheetData sheetId="7">
        <row r="182">
          <cell r="U182">
            <v>0.40692169061165018</v>
          </cell>
          <cell r="V182">
            <v>0.19813857193062867</v>
          </cell>
          <cell r="W182">
            <v>0.12220070343408884</v>
          </cell>
          <cell r="X182">
            <v>-8.6028584563467736E-2</v>
          </cell>
          <cell r="Y182">
            <v>0.20099173729455844</v>
          </cell>
          <cell r="Z182">
            <v>0.11512577611331931</v>
          </cell>
          <cell r="AA182">
            <v>8.5566695144856597E-2</v>
          </cell>
          <cell r="AB182">
            <v>0.16578895324677778</v>
          </cell>
          <cell r="AC182">
            <v>0.1078881592346197</v>
          </cell>
          <cell r="AD182">
            <v>0.10268237773318856</v>
          </cell>
          <cell r="AE182">
            <v>9.7920406435489604E-2</v>
          </cell>
          <cell r="AF182">
            <v>9.3553839288429974E-2</v>
          </cell>
          <cell r="AG182">
            <v>8.953966934261004E-2</v>
          </cell>
          <cell r="AH182">
            <v>8.5839975654545708E-2</v>
          </cell>
          <cell r="AI182">
            <v>8.2421459834404631E-2</v>
          </cell>
          <cell r="AJ182">
            <v>7.9254928894747945E-2</v>
          </cell>
          <cell r="AK182">
            <v>7.6314788700239999E-2</v>
          </cell>
          <cell r="AL182">
            <v>7.3578577024861813E-2</v>
          </cell>
          <cell r="AM182">
            <v>7.1026546922421718E-2</v>
          </cell>
          <cell r="AN182">
            <v>6.8641301869392879E-2</v>
          </cell>
          <cell r="AO182">
            <v>6.6407479723034513E-2</v>
          </cell>
          <cell r="AP182">
            <v>6.431148068089243E-2</v>
          </cell>
          <cell r="AQ182">
            <v>6.2341233900014559E-2</v>
          </cell>
        </row>
      </sheetData>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Gonçalo Torres Raposo" id="{A3FDCCA8-5BEA-C441-AE6A-3868AA545572}" userId="S::l61123@aln.iseg.ulisboa.pt::be831743-e4fe-456f-bc29-0dcd3a154b2f" providerId="AD"/>
  <person displayName="DAVID FILIPE DE SOUSA TITA" id="{6D2C5BD9-1C3E-4972-9F97-1CA81A3CC14E}" userId="S::david.tita@aln.iseg.ulisboa.pt::2b554b1a-dfdf-4fc2-8414-05963e9f059c" providerId="AD"/>
  <person displayName="VITOR MANUEL SILVA PEREIRA" id="{BEA38C63-3C5A-41E4-814F-2AAFF6D4FFD3}" userId="S::vitorpereira@aln.iseg.ulisboa.pt::ef4115d5-a5da-4591-a5cb-bde354ff32a7" providerId="AD"/>
  <person displayName="Afonso Rafael Costa Simões" id="{81FA3967-5FE6-4FF1-9D68-592095C0B127}" userId="S::afonso_simoes@aln.iseg.ulisboa.pt::7d795103-2611-439a-9d29-5532e66c07f8" providerId="AD"/>
  <person displayName="Beatriz Filipa Cardoso Lagadoiro" id="{D03EAF95-B72C-4150-BA5F-499FA4D3D7A9}" userId="S::beatrizlagadoiro@aln.iseg.ulisboa.pt::a8c570e4-6299-437b-9a9e-cfb79c30391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https://www.bing.com/financeapi/forcetrigger?t=aa8lr7&amp;q=XASX%3aPLS&amp;form=skydnc</v>
    <v>Learn more on Bing</v>
  </rv>
  <rv s="1">
    <v>en-US</v>
    <v>aa8lr7</v>
    <v>268435456</v>
    <v>1</v>
    <v>Powered by Refinitiv</v>
    <v>0</v>
    <v>1</v>
    <v>PILBARA MINERALS LIMITED (XASX:PLS)</v>
    <v>3</v>
    <v>4</v>
    <v>Finance</v>
    <v>5</v>
    <v>5.43</v>
    <v>3.1</v>
    <v>1.9342999999999999</v>
    <v>0.08</v>
    <v>2.1333000000000001E-2</v>
    <v>AUD</v>
    <v>Pilbara Minerals Limited is an Australia-based lithium company. The Company is primarily engaged in the exploration, development, and mining of minerals in Australia. Its 100% owned Pilgangoora hard-rock lithium operation is located approximately 120 kilometers (kms) from Port Hedland in Western Australia’s resource-rich Pilbara region. The operation consists of two processing plants: the Pilgan Plant, located on the northern side of the Pilgangoora area and produces spodumene and tantalite concentrates, and the Ngungaju Plant is located to the south produces spodumene concentrate. It owns 70% of the Mt Francisco project, which is located 50 km south-west of the Pilgangoora Project and hosts the large occurrence of outcropping pegmatites located nearby to Port Hedland. It is also pursuing a proposed downstream joint venture (JV) for the development of an approximately 43,000 tons per annum (tpa) lithium carbonate equivalent (LCE) lithium chemical conversion facility in South Korea.</v>
    <v>768</v>
    <v>Australian Securities Exchange</v>
    <v>XASX</v>
    <v>XASX</v>
    <v>Level 2, 146 Colin Street, West Perth, PERTH, WESTERN AUSTRALIA, 6005 AU</v>
    <v>3.91</v>
    <v>Metals &amp; Mining</v>
    <v>Stock</v>
    <v>45379.333344907405</v>
    <v>0</v>
    <v>3.83</v>
    <v>11526260000</v>
    <v>PILBARA MINERALS LIMITED</v>
    <v>PILBARA MINERALS LIMITED</v>
    <v>3.9</v>
    <v>8.39</v>
    <v>3.75</v>
    <v>3.83</v>
    <v>3009468000</v>
    <v>PLS</v>
    <v>PILBARA MINERALS LIMITED (XASX:PLS)</v>
    <v>24266361</v>
    <v>22091840</v>
    <v>2005</v>
  </rv>
  <rv s="2">
    <v>1</v>
  </rv>
  <rv s="0">
    <v>https://www.bing.com/financeapi/forcetrigger?t=a1n977&amp;q=XNYS%3aALB&amp;form=skydnc</v>
    <v>Learn more on Bing</v>
  </rv>
  <rv s="3">
    <v>pt-BR</v>
    <v>a1n977</v>
    <v>268435456</v>
    <v>1</v>
    <v>Da plataforma Refinitiv</v>
    <v>6</v>
    <v>7</v>
    <v>ALBEMARLE CORPORATION (XNYS:ALB)</v>
    <v>3</v>
    <v>8</v>
    <v>Finance</v>
    <v>9</v>
    <v>247.44</v>
    <v>106.69</v>
    <v>XNYS</v>
    <v>117524700</v>
    <v>4.6469999999999997E-4</v>
    <v>0.06</v>
    <v>132.79</v>
    <v>1993</v>
    <v>126.88</v>
    <v>1.6202000000000001</v>
    <v>New York Stock Exchange</v>
    <v>15174789264</v>
    <v>A Albemarle Corporation é uma desenvolvedora, fabricante e comerciante global de produtos químicos especiais de engenharia avançada. A Companhia opera em três segmentos: Lítio e Materiais Avançados, Especialidades de Bromo e Soluções de Refino. O segmento de lítio e materiais avançados consiste em duas categorias de produtos: soluções de lítio e catalisadores de desempenho. O negócio de bromo e bromo inclui produtos usados em soluções de segurança contra incêndio e outras aplicações químicas especiais. A Companhia atende a vários mercados finais, incluindo refino de petróleo, eletrônicos de consumo, armazenamento de energia, construção, automotivo, lubrificantes, produtos farmacêuticos, proteção de culturas, segurança de alimentos e serviços de química personalizada. Em 31 de dezembro de 2016, a Companhia e suas joint ventures operavam 31 instalações de produção e pesquisa e desenvolvimento (P&amp;D), além de vários escritórios administrativos e de vendas em todo o mundo.</v>
    <v>XNYS</v>
    <v>131.74</v>
    <v>9000</v>
    <v>45383.841106897657</v>
    <v>3</v>
    <v>4268399</v>
    <v>USD</v>
    <v>ALBEMARLE CORPORATION</v>
    <v>ALBEMARLE CORPORATION</v>
    <v>9.8788999999999998</v>
    <v>132.06</v>
    <v>129.12</v>
    <v>129.18</v>
    <v>4250 Congress Street, Suite 900, CHARLOTTE, NC, 28209 US</v>
    <v>Chemicals</v>
    <v>ALB</v>
    <v>Ações</v>
    <v>ALBEMARLE CORPORATION (XNYS:ALB)</v>
    <v>-2.62</v>
    <v>-1.9887999999999999E-2</v>
    <v>2086000</v>
  </rv>
  <rv s="2">
    <v>4</v>
  </rv>
  <rv s="0">
    <v>https://www.bing.com/financeapi/forcetrigger?t=a23ih7&amp;q=XNYS%3aSQM&amp;form=skydnc</v>
    <v>Learn more on Bing</v>
  </rv>
  <rv s="3">
    <v>pt-BR</v>
    <v>a23ih7</v>
    <v>268435456</v>
    <v>1</v>
    <v>Da plataforma Refinitiv</v>
    <v>6</v>
    <v>7</v>
    <v>Sociedad Quimica y Minera de Chile SA (XNYS:SQM)</v>
    <v>3</v>
    <v>8</v>
    <v>Finance</v>
    <v>9</v>
    <v>83.67</v>
    <v>38.5</v>
    <v>XNYS</v>
    <v>285638500</v>
    <v>2.2459999999999997E-3</v>
    <v>0.11</v>
    <v>49.945500000000003</v>
    <v>1968</v>
    <v>48.71</v>
    <v>1.0865</v>
    <v>New York Stock Exchange</v>
    <v>13487710000</v>
    <v>A Sociedad Química y Minera de Chile S.A. (SQM), é uma produtora de nitrato de potássio e iodo. A Companhia produz nutrientes vegetais especiais, derivados de iodo, lítio e seus derivados, cloreto de potássio, sulfato de potássio e certos produtos químicos industriais. Seus segmentos incluem nutrientes de plantas especiais, produtos químicos industriais, iodo e derivados, lítio e derivados, potássio e outros produtos e serviços. Nutrientes vegetais especiais são fertilizantes que permitem que agricultores melhorarem os rendimentos e a qualidade de certas culturas. Os produtos químicos industriais têm uma variedade de aplicações em processos químicos, como a fabricação de vidro e nitratos industriais. O iodo e seus derivados são usados nas indústrias de contraste de raios X e biocidas, entre outras. O lítio e seus derivados são usados em baterias, graxas e fritas para produção de cerâmica. O cloreto de potássio é um fertilizante commodity que é produzido e vendido pela Companhia em todo o mundo.</v>
    <v>XNYS</v>
    <v>49.16</v>
    <v>7682</v>
    <v>45383.83473200156</v>
    <v>6</v>
    <v>1397585</v>
    <v>USD</v>
    <v>Sociedad Quimica y Minera de Chile SA</v>
    <v>Sociedad Quimica y Minera de Chile SA</v>
    <v>6.9768999999999997</v>
    <v>49.72</v>
    <v>48.98</v>
    <v>49.09</v>
    <v>El Trovador 4285, SANTIAGO, SANTIAGO CL</v>
    <v>Chemicals</v>
    <v>SQM</v>
    <v>Ações</v>
    <v>Sociedad Quimica y Minera de Chile SA (XNYS:SQM)</v>
    <v>-0.18</v>
    <v>-3.6620000000000003E-3</v>
    <v>641838</v>
  </rv>
  <rv s="2">
    <v>7</v>
  </rv>
  <rv s="0">
    <v>https://www.bing.com/financeapi/forcetrigger?t=aa7ooc&amp;q=XASX%3aMIN&amp;form=skydnc</v>
    <v>Learn more on Bing</v>
  </rv>
  <rv s="4">
    <v>pt-BR</v>
    <v>aa7ooc</v>
    <v>268435456</v>
    <v>1</v>
    <v>Da plataforma Refinitiv</v>
    <v>10</v>
    <v>11</v>
    <v>Mineral (XASX:MIN)</v>
    <v>3</v>
    <v>12</v>
    <v>Finance</v>
    <v>13</v>
    <v>85.52</v>
    <v>52.52</v>
    <v>XASX</v>
    <v>195186400</v>
    <v>70.959999999999994</v>
    <v>2006</v>
    <v>69.754999999999995</v>
    <v>1.526</v>
    <v>Australian Securities Exchange</v>
    <v>13832860000</v>
    <v>Mineral Resources Ltd is an Australia-based diversified resources company. The Company operates through six segments: Mining Services, Iron Ore, Lithium, Energy, Other Commodities, and Central. Mining Services division provides full pit-to-port solutions. The Company’s subsidiary, Crushing Mining Services (CSI), provides crushing, screening and processing solutions for the mining companies. The Company operates three iron ore hubs across Western Australia in the Yilgarn, Pilbara and Ashburton regions. Its three iron ore hubs include Onslow Iron, Yilgarn Hub, and Pilbara Hub. The Company owns two hard rock lithium mines in Western Australia, which are Mt Marion in the Goldfields region, and Wodgina in the Pilbara region. The Mt Marion lithium is located approximately 40 kilometers (km) south-west of Kalgoorlie, Western Australia. The Wodgina lithium is located 120km south of Port Hedland in the Pilbara region of Western Australia. Energy segment includes two wells in the Perth Basin.</v>
    <v>XASX</v>
    <v>68.3</v>
    <v>5687</v>
    <v>45379.333333333336</v>
    <v>9</v>
    <v>967330</v>
    <v>AUD</v>
    <v>Mineral</v>
    <v>Mineral</v>
    <v>35.89</v>
    <v>70.25</v>
    <v>70.87</v>
    <v>20 Walters Drive, Osborne Park, PERTH, WESTERN AUSTRALIA, 6017 AU</v>
    <v>Metals &amp; Mining</v>
    <v>MIN</v>
    <v>Ações</v>
    <v>Mineral (XASX:MIN)</v>
    <v>2.57</v>
    <v>3.7628000000000002E-2</v>
    <v>1304616</v>
  </rv>
  <rv s="2">
    <v>10</v>
  </rv>
  <rv s="5">
    <v>pt-BR</v>
    <v>cbx2rw</v>
    <v>268435456</v>
    <v>1</v>
    <v>Da plataforma Refinitiv</v>
    <v>14</v>
    <v>15</v>
    <v>Arcadium Lithium (XASX:LTM)</v>
    <v>16</v>
    <v>17</v>
    <v>Finance</v>
    <v>13</v>
    <v>11.57</v>
    <v>6.2</v>
    <v>XASX</v>
    <v>1074398000</v>
    <v>6.8049999999999997</v>
    <v>2023</v>
    <v>6.69</v>
    <v>-2.9750000000000001</v>
    <v>Australian Securities Exchange</v>
    <v>4630654000</v>
    <v>Arcadium Lithium PLC is a global lithium chemicals producer with a diversified product offering. The Company’s diverse set of products include lithium hydroxide, carbonate, spodumene and specialties. The Company produces a diverse set of lithium products, such as lithium specialties, lithium hydroxide, lithium carbonate, and spodumene. The Company’s products applications include butyllithium, purified metals, specialty organics, battery grade lithium hydroxide, other lithium hydroxide, battery grade lithium carbonate, other lithium carbonate, and intermediate product for conversion to lithium hydroxide/carbonate. It also focuses on conventional brine extraction, direct lithium brine extraction, hard rock mining, chemical processing and production of battery grade and specialty lithium products. It has a presence in three lithium extraction geographies, including the South American Lithium Triangle, Western Australia and Canada.</v>
    <v>XASX</v>
    <v>6.26</v>
    <v>2909</v>
    <v>45379.333333333336</v>
    <v>14235210</v>
    <v>AUD</v>
    <v>Arcadium Lithium</v>
    <v>Arcadium Lithium</v>
    <v>6.7</v>
    <v>6.78</v>
    <v>Suite 12, Gateway Hub, Shannon Airport House, SHANNON, CLARE, V14 E370 IE</v>
    <v>Chemicals</v>
    <v>LTM</v>
    <v>Ações</v>
    <v>Arcadium Lithium (XASX:LTM)</v>
    <v>0.52</v>
    <v>8.3066999999999988E-2</v>
    <v>2249634</v>
  </rv>
  <rv s="2">
    <v>12</v>
  </rv>
  <rv s="6">
    <v>0</v>
    <v>5</v>
  </rv>
  <rv s="6">
    <v>1</v>
    <v>5</v>
  </rv>
  <rv s="6">
    <v>2</v>
    <v>5</v>
  </rv>
  <rv s="6">
    <v>3</v>
    <v>5</v>
  </rv>
  <rv s="7">
    <v>12</v>
    <v>Descrição</v>
    <v>0</v>
  </rv>
  <rv s="7">
    <v>12</v>
    <v>Moeda</v>
    <v>0</v>
  </rv>
  <rv s="8">
    <v>pt-BR</v>
    <v>avykh7</v>
    <v>268435456</v>
    <v>1</v>
    <v>Da plataforma Refinitiv</v>
    <v>18</v>
    <v>19</v>
    <v>USD/AUD</v>
    <v>20</v>
    <v>21</v>
    <v>Finance</v>
    <v>22</v>
    <v>1.5946</v>
    <v>1.4489000000000001</v>
    <v>1.5429999999999999</v>
    <v>1.5295000000000001</v>
    <v>USD</v>
    <v>1.5354000000000001</v>
    <v>45383.841828703706</v>
    <v>AUD</v>
    <v>US Dollar/Australian Dollar FX Cross Rate</v>
    <v>1.5306999999999999</v>
    <v>1.5410999999999999</v>
    <v>USDAUD</v>
    <v>Par de Moedas</v>
    <v>USD/AUD</v>
    <v>5.7000000000000002E-3</v>
    <v>3.7119999999999996E-3</v>
  </rv>
  <rv s="2">
    <v>20</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Média de volume"/>
    <k n="Moeda" t="s"/>
    <k n="Nome" t="s"/>
    <k n="Nome oficial" t="s"/>
    <k n="Pendência"/>
    <k n="Preço"/>
    <k n="Sede" t="s"/>
    <k n="Setor" t="s"/>
    <k n="Símbolo do ticker" t="s"/>
    <k n="Tipo de instrumento" t="s"/>
    <k n="UniqueName" t="s"/>
    <k n="Variação"/>
    <k n="Variação (%)"/>
    <k n="Volume"/>
  </s>
  <s t="_localImage">
    <k n="_rvRel:LocalImageIdentifier" t="i"/>
    <k n="CalcOrigin" t="i"/>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lto"/>
    <k n="Baixo"/>
    <k n="Da moeda" t="s"/>
    <k n="Fechamento anterior"/>
    <k n="Hora da última transação"/>
    <k n="Moeda" t="s"/>
    <k n="Nome" t="s"/>
    <k n="Pendência"/>
    <k n="Preço"/>
    <k n="Símbolo do ticker" t="s"/>
    <k n="Tipo de instrumento" t="s"/>
    <k n="UniqueName" t="s"/>
    <k n="Variação"/>
    <k n="Variação (%)"/>
  </s>
</rvStructures>
</file>

<file path=xl/richData/rdsupportingpropertybag.xml><?xml version="1.0" encoding="utf-8"?>
<supportingPropertyBags xmlns="http://schemas.microsoft.com/office/spreadsheetml/2017/richdata2">
  <spbArrays count="5">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ExchangeID</v>
      <v t="s">%ProviderInfo</v>
    </a>
    <a count="28">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Pendência</v>
      <v t="s">Alto</v>
      <v t="s">Baixo</v>
      <v t="s">52 semanas de alta</v>
      <v t="s">52 semanas de baixa</v>
      <v t="s">Tipo de instrumento</v>
      <v t="s">_Flags</v>
      <v t="s">UniqueName</v>
      <v t="s">_DisplayString</v>
      <v t="s">%ProviderInfo</v>
    </a>
  </spbArrays>
  <spbData count="23">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Delayed 20 minutes</v>
      <v>from previous close</v>
      <v>from previous close</v>
      <v>GMT</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1</v>
      <v>Name</v>
      <v>LearnMoreOnLink</v>
    </spb>
    <spb s="7">
      <v>2</v>
      <v>10</v>
      <v>2</v>
      <v>3</v>
      <v>10</v>
      <v>10</v>
      <v>4</v>
      <v>10</v>
      <v>10</v>
      <v>4</v>
      <v>5</v>
      <v>4</v>
      <v>9</v>
      <v>10</v>
      <v>10</v>
      <v>8</v>
      <v>4</v>
      <v>10</v>
      <v>11</v>
      <v>7</v>
      <v>10</v>
      <v>10</v>
      <v>5</v>
    </spb>
    <spb s="8">
      <v xml:space="preserve">no fechamento </v>
      <v xml:space="preserve">do fechamento anterior </v>
      <v>Origem : Nasdaq Última venda</v>
      <v xml:space="preserve">do fechamento anterior </v>
      <v>GMT</v>
      <v>Tempo Real Nasdaq Última venda</v>
      <v xml:space="preserve">do fechamento </v>
      <v xml:space="preserve">do fechamento </v>
    </spb>
    <spb s="9">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2</v>
      <v>1</v>
      <v>2</v>
      <v>3</v>
      <v>1</v>
      <v>1</v>
      <v>4</v>
      <v>1</v>
      <v>1</v>
      <v>4</v>
      <v>5</v>
      <v>4</v>
      <v>9</v>
      <v>1</v>
      <v>1</v>
      <v>8</v>
      <v>4</v>
      <v>1</v>
      <v>6</v>
      <v>7</v>
    </spb>
    <spb s="11">
      <v>Atraso de 20 minutos</v>
      <v xml:space="preserve">do fechamento anterior </v>
      <v xml:space="preserve">do fechamento anterior </v>
      <v>GMT</v>
    </spb>
    <spb s="12">
      <v>High</v>
      <v>Beta</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spb>
    <spb s="13">
      <v>3</v>
      <v>Name</v>
    </spb>
    <spb s="14">
      <v>2</v>
      <v>2</v>
      <v>2</v>
    </spb>
    <spb s="15">
      <v>1</v>
      <v>2</v>
      <v>3</v>
      <v>1</v>
      <v>1</v>
      <v>4</v>
      <v>1</v>
      <v>1</v>
      <v>4</v>
      <v>5</v>
      <v>4</v>
      <v>9</v>
      <v>1</v>
      <v>1</v>
      <v>8</v>
      <v>4</v>
      <v>1</v>
      <v>11</v>
      <v>7</v>
    </spb>
    <spb s="16">
      <v>High</v>
      <v>Name</v>
      <v>Low</v>
      <v>Currency</v>
      <v>Price</v>
      <v>From currency</v>
      <v>Change</v>
      <v>Open</v>
      <v>UniqueName</v>
      <v>Change (%)</v>
      <v>%ProviderInfo</v>
      <v>Ticker symbol</v>
      <v>52 week high</v>
      <v>52 week low</v>
      <v>Previous close</v>
      <v>Instrument type</v>
      <v>Last trade time</v>
    </spb>
    <spb s="13">
      <v>4</v>
      <v>Name</v>
    </spb>
    <spb s="17">
      <v>2</v>
      <v>2</v>
    </spb>
    <spb s="18">
      <v>1</v>
      <v>3</v>
      <v>1</v>
      <v>1</v>
      <v>1</v>
      <v>1</v>
      <v>5</v>
      <v>9</v>
      <v>1</v>
      <v>1</v>
      <v>1</v>
      <v>7</v>
    </spb>
    <spb s="19">
      <v>GMT</v>
    </spb>
  </spbData>
</supportingPropertyBags>
</file>

<file path=xl/richData/rdsupportingpropertybagstructure.xml><?xml version="1.0" encoding="utf-8"?>
<spbStructures xmlns="http://schemas.microsoft.com/office/spreadsheetml/2017/richdata2" count="20">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s>
  <s>
    <k n="ExchangeID" t="spb"/>
    <k n="UniqueName" t="spb"/>
    <k n="`%ProviderInfo"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Nome" t="s"/>
    <k n="Baixo" t="s"/>
    <k n="Moeda" t="s"/>
    <k n="Preço" t="s"/>
    <k n="Da moeda" t="s"/>
    <k n="Variação" t="s"/>
    <k n="Pendência" t="s"/>
    <k n="UniqueName" t="s"/>
    <k n="Variação (%)" t="s"/>
    <k n="%ProviderInfo" t="s"/>
    <k n="Símbolo do ticker" t="s"/>
    <k n="52 semanas de alta" t="s"/>
    <k n="52 semanas de baixa" t="s"/>
    <k n="Fechamento anterior" t="s"/>
    <k n="Tipo de instrumento" t="s"/>
    <k n="Hora da última transação" t="s"/>
  </s>
  <s>
    <k n="UniqueName" t="spb"/>
    <k n="`%ProviderInfo" t="spb"/>
  </s>
  <s>
    <k n="Alto" t="i"/>
    <k n="Nome" t="i"/>
    <k n="Baixo" t="i"/>
    <k n="Preço" t="i"/>
    <k n="Variação" t="i"/>
    <k n="Pendência" t="i"/>
    <k n="Variação (%)" t="i"/>
    <k n="`%EntityServiceId" t="i"/>
    <k n="52 semanas de alta" t="i"/>
    <k n="52 semanas de baixa" t="i"/>
    <k n="Fechamento anterior" t="i"/>
    <k n="Hora da última transação" t="i"/>
  </s>
  <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m/d/yyyy\ h:mm"/>
    </x:dxf>
    <x:dxf>
      <x:numFmt numFmtId="0" formatCode="General"/>
    </x:dxf>
  </dxfs>
  <richProperties>
    <rPr n="NumberFormat" t="s"/>
    <rPr n="IsTitleField" t="b"/>
  </richProperties>
  <richStyles>
    <rSty dxfid="6">
      <rpv i="0">_-[$$-en-AU]* #,##0.00_-;-[$$-en-AU]* #,##0.00_-;_-[$$-en-AU]* "-"??_-;_-@_-</rpv>
    </rSty>
    <rSty dxfid="0">
      <rpv i="0">#,##0.00</rpv>
    </rSty>
    <rSty>
      <rpv i="1">1</rpv>
    </rSty>
    <rSty dxfid="1">
      <rpv i="0">#,##0</rpv>
    </rSty>
    <rSty dxfid="2"/>
    <rSty dxfid="6">
      <rpv i="0">_-[$$-en-AU]* #,##0_-;-[$$-en-AU]* #,##0_-;_-[$$-en-AU]* "-"_-;_-@_-</rpv>
    </rSty>
    <rSty dxfid="5"/>
    <rSty dxfid="4">
      <rpv i="0">0</rpv>
    </rSty>
    <rSty dxfid="3">
      <rpv i="0">0.00</rpv>
    </rSty>
    <rSty dxfid="6">
      <rpv i="0">_([$$-en-US]* #,##0.00_);_([$$-en-US]* (#,##0.00);_([$$-en-US]* "-"??_);_(@_)</rpv>
    </rSty>
    <rSty dxfid="6">
      <rpv i="0">_([$$-en-US]* #,##0_);_([$$-en-US]* (#,##0);_([$$-en-US]*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392FE1-6FB1-7F4D-844E-74D260B0D314}" name="Table10" displayName="Table10" ref="A123:AB138" totalsRowCount="1" headerRowDxfId="561" dataDxfId="560" headerRowBorderDxfId="558" tableBorderDxfId="559" totalsRowBorderDxfId="557" headerRowCellStyle="Normal 3" dataCellStyle="Normal 3">
  <autoFilter ref="A123:AB137" xr:uid="{4B392FE1-6FB1-7F4D-844E-74D260B0D314}"/>
  <tableColumns count="28">
    <tableColumn id="1" xr3:uid="{CD3FFBD5-B525-F04D-A55A-BF951C8D09D3}" name="Percentage" dataDxfId="555" totalsRowDxfId="556" dataCellStyle="Normal 3"/>
    <tableColumn id="2" xr3:uid="{7BF1564A-33DC-4A4E-9A82-344CB57F2215}" name="Sensitivity Analysis" totalsRowLabel="Average" dataDxfId="553" totalsRowDxfId="554" dataCellStyle="Normal 3"/>
    <tableColumn id="3" xr3:uid="{D775465C-764E-6248-9448-28F3F7867764}" name="2024" totalsRowFunction="custom" dataDxfId="551" totalsRowDxfId="552" dataCellStyle="Normal 3">
      <totalsRowFormula>AVERAGE(C135:C137)</totalsRowFormula>
    </tableColumn>
    <tableColumn id="4" xr3:uid="{42C97816-AC6B-E14A-B73C-A0A910E202A6}" name="2025" totalsRowFunction="custom" dataDxfId="549" totalsRowDxfId="550" dataCellStyle="Normal 3">
      <totalsRowFormula>AVERAGE(D135:D137)</totalsRowFormula>
    </tableColumn>
    <tableColumn id="5" xr3:uid="{1743EC22-75CB-5549-A100-10AACB2AA2D6}" name="2026" totalsRowFunction="custom" dataDxfId="547" totalsRowDxfId="548" dataCellStyle="Normal 3">
      <totalsRowFormula>AVERAGE(E135:E137)</totalsRowFormula>
    </tableColumn>
    <tableColumn id="6" xr3:uid="{F877799F-624F-494B-84B5-52A8C5A7109D}" name="2027" totalsRowFunction="custom" dataDxfId="545" totalsRowDxfId="546" dataCellStyle="Normal 3">
      <totalsRowFormula>AVERAGE(F135:F137)</totalsRowFormula>
    </tableColumn>
    <tableColumn id="7" xr3:uid="{625F792D-9923-B34D-B3AF-8BC76D27EB7A}" name="2028" totalsRowFunction="custom" dataDxfId="543" totalsRowDxfId="544" dataCellStyle="Normal 3">
      <totalsRowFormula>AVERAGE(G135:G137)</totalsRowFormula>
    </tableColumn>
    <tableColumn id="8" xr3:uid="{F8EA5A3E-E7E2-C045-8799-6BA8005DA9CF}" name="2029" totalsRowFunction="custom" dataDxfId="541" totalsRowDxfId="542" dataCellStyle="Normal 3">
      <totalsRowFormula>AVERAGE(H135:H137)</totalsRowFormula>
    </tableColumn>
    <tableColumn id="9" xr3:uid="{745D099B-85F4-E044-9F25-0881460D6618}" name="2030" totalsRowFunction="custom" dataDxfId="539" totalsRowDxfId="540" dataCellStyle="Normal 3">
      <totalsRowFormula>AVERAGE(I135:I137)</totalsRowFormula>
    </tableColumn>
    <tableColumn id="10" xr3:uid="{2088DD1A-EED8-D94C-BB33-19E2357ED71D}" name="2031" totalsRowFunction="custom" dataDxfId="537" totalsRowDxfId="538" dataCellStyle="Normal 3">
      <totalsRowFormula>AVERAGE(J135:J137)</totalsRowFormula>
    </tableColumn>
    <tableColumn id="11" xr3:uid="{5E70CB42-2AAF-6240-A37E-9F76D6438239}" name="2032" totalsRowFunction="custom" dataDxfId="535" totalsRowDxfId="536" dataCellStyle="Normal 3">
      <totalsRowFormula>AVERAGE(K135:K137)</totalsRowFormula>
    </tableColumn>
    <tableColumn id="12" xr3:uid="{EBB57585-BC3A-C24B-8074-755D6ABED6F4}" name="2033" totalsRowFunction="custom" dataDxfId="533" totalsRowDxfId="534" dataCellStyle="Normal 3">
      <totalsRowFormula>AVERAGE(L135:L137)</totalsRowFormula>
    </tableColumn>
    <tableColumn id="13" xr3:uid="{CD1973BA-6806-584D-8FD0-4B31EA445805}" name="2034" totalsRowFunction="custom" dataDxfId="531" totalsRowDxfId="532" dataCellStyle="Normal 3">
      <totalsRowFormula>AVERAGE(M135:M137)</totalsRowFormula>
    </tableColumn>
    <tableColumn id="14" xr3:uid="{534CEAD8-F9B2-B34E-B534-0A9388A199D5}" name="2035" totalsRowFunction="custom" dataDxfId="529" totalsRowDxfId="530" dataCellStyle="Normal 3">
      <totalsRowFormula>AVERAGE(N135:N137)</totalsRowFormula>
    </tableColumn>
    <tableColumn id="15" xr3:uid="{06152C5A-2930-364C-914E-8EB51895C50F}" name="2036" totalsRowFunction="custom" dataDxfId="527" totalsRowDxfId="528" dataCellStyle="Normal 3">
      <totalsRowFormula>AVERAGE(O135:O137)</totalsRowFormula>
    </tableColumn>
    <tableColumn id="16" xr3:uid="{5A0D272D-8E49-3248-BE8A-58B833828C13}" name="2037" totalsRowFunction="custom" dataDxfId="525" totalsRowDxfId="526" dataCellStyle="Normal 3">
      <totalsRowFormula>AVERAGE(P135:P137)</totalsRowFormula>
    </tableColumn>
    <tableColumn id="17" xr3:uid="{7DFF635A-A1F3-9142-B518-64C7574F7399}" name="2038" totalsRowFunction="custom" dataDxfId="523" totalsRowDxfId="524" dataCellStyle="Normal 3">
      <totalsRowFormula>AVERAGE(Q135:Q137)</totalsRowFormula>
    </tableColumn>
    <tableColumn id="18" xr3:uid="{CB718415-58A1-E445-956B-65AA9333CF52}" name="2039" totalsRowFunction="custom" dataDxfId="521" totalsRowDxfId="522" dataCellStyle="Normal 3">
      <totalsRowFormula>AVERAGE(R135:R137)</totalsRowFormula>
    </tableColumn>
    <tableColumn id="19" xr3:uid="{A2660590-F457-CE41-9650-9802BE482DFD}" name="2040" totalsRowFunction="custom" dataDxfId="519" totalsRowDxfId="520" dataCellStyle="Normal 3">
      <totalsRowFormula>AVERAGE(S135:S137)</totalsRowFormula>
    </tableColumn>
    <tableColumn id="20" xr3:uid="{DB61D7EA-0BB7-1F46-B28F-9E5B6A8FC6C8}" name="2041" totalsRowFunction="custom" dataDxfId="517" totalsRowDxfId="518" dataCellStyle="Normal 3">
      <totalsRowFormula>AVERAGE(T135:T137)</totalsRowFormula>
    </tableColumn>
    <tableColumn id="21" xr3:uid="{226189F1-A260-C24D-A251-4C7A9A625D18}" name="2042" totalsRowFunction="custom" dataDxfId="515" totalsRowDxfId="516" dataCellStyle="Normal 3">
      <totalsRowFormula>AVERAGE(U135:U137)</totalsRowFormula>
    </tableColumn>
    <tableColumn id="22" xr3:uid="{24AD8E1E-DA9A-EB4F-87A5-60C0EE90FE62}" name="2043" totalsRowFunction="custom" dataDxfId="513" totalsRowDxfId="514" dataCellStyle="Normal 3">
      <totalsRowFormula>AVERAGE(V135:V137)</totalsRowFormula>
    </tableColumn>
    <tableColumn id="23" xr3:uid="{D1CC09EB-0058-B246-8117-92E2E914BF91}" name="2044" totalsRowFunction="custom" dataDxfId="511" totalsRowDxfId="512" dataCellStyle="Normal 3">
      <totalsRowFormula>AVERAGE(W135:W137)</totalsRowFormula>
    </tableColumn>
    <tableColumn id="24" xr3:uid="{5E876349-BCCB-3645-8E20-1B1767F64C9E}" name="2045" totalsRowFunction="custom" dataDxfId="509" totalsRowDxfId="510" dataCellStyle="Normal 3">
      <totalsRowFormula>AVERAGE(X135:X137)</totalsRowFormula>
    </tableColumn>
    <tableColumn id="25" xr3:uid="{5292DCB8-45F9-1845-8FA8-524539C35490}" name="2046" totalsRowFunction="custom" dataDxfId="507" totalsRowDxfId="508" dataCellStyle="Normal 3">
      <totalsRowFormula>AVERAGE(Y135:Y137)</totalsRowFormula>
    </tableColumn>
    <tableColumn id="26" xr3:uid="{F6429627-199C-B14D-823B-BD232C59FDDE}" name="2047" totalsRowFunction="custom" dataDxfId="505" totalsRowDxfId="506" dataCellStyle="Normal 3">
      <totalsRowFormula>AVERAGE(Z135:Z137)</totalsRowFormula>
    </tableColumn>
    <tableColumn id="27" xr3:uid="{852FF7E6-3F4D-7A47-931A-34639D1F69A6}" name="2048" totalsRowFunction="custom" dataDxfId="503" totalsRowDxfId="504" dataCellStyle="Normal 3">
      <totalsRowFormula>AVERAGE(AA135:AA137)</totalsRowFormula>
    </tableColumn>
    <tableColumn id="28" xr3:uid="{660EF726-D2E3-D747-8E96-E6CCAEFF8F78}" name="2049" totalsRowFunction="custom" dataDxfId="501" totalsRowDxfId="502" dataCellStyle="Normal 3">
      <totalsRowFormula>AVERAGE(AB135:AB137)</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3F7216-F4F4-FB46-A065-425E6FDC81F1}" name="Table2" displayName="Table2" ref="B97:AB101" totalsRowShown="0" headerRowDxfId="488" dataDxfId="487" tableBorderDxfId="486" headerRowCellStyle="Normal 3" dataCellStyle="Normal 3">
  <autoFilter ref="B97:AB101" xr:uid="{833F7216-F4F4-FB46-A065-425E6FDC81F1}"/>
  <tableColumns count="27">
    <tableColumn id="1" xr3:uid="{71A637A3-460C-5D43-86DB-29B8BF0DF356}" name="Year (Quarterly)" dataDxfId="485"/>
    <tableColumn id="2" xr3:uid="{05CF97E5-68D3-4C49-8D99-9D91B6D0B608}" name="Units" dataDxfId="484" dataCellStyle="Normal 3"/>
    <tableColumn id="3" xr3:uid="{8FACD053-C4B9-C940-915A-15DCC389BFA5}" name="April Q FY17" dataDxfId="483" dataCellStyle="Normal 3"/>
    <tableColumn id="5" xr3:uid="{8F082C91-33CF-2D47-BFFD-BCD00A60A076}" name="September Q FY17" dataDxfId="482" dataCellStyle="Normal 3"/>
    <tableColumn id="6" xr3:uid="{42F873B3-CD1D-2D44-9F9E-E98559D78907}" name="December Q FY17" dataDxfId="481" dataCellStyle="Normal 3"/>
    <tableColumn id="7" xr3:uid="{4F995E60-38FC-0A44-BDA7-810DF0B7D36B}" name="April Q FY18" dataDxfId="480" dataCellStyle="Normal 3"/>
    <tableColumn id="9" xr3:uid="{378B1417-647E-6344-A915-FF3C67CD4FE3}" name="September Q FY18" dataDxfId="479" dataCellStyle="Normal 3"/>
    <tableColumn id="10" xr3:uid="{5EAA558A-091E-4946-8EEA-81DE3B59160E}" name="December Q FY18" dataDxfId="478" dataCellStyle="Normal 3"/>
    <tableColumn id="11" xr3:uid="{DE56F713-4DFB-7240-BC5C-E63858AFEB6F}" name="April Q FY19" dataDxfId="477" dataCellStyle="Normal 3"/>
    <tableColumn id="13" xr3:uid="{20ACB9E2-1BE6-B442-83D1-12F4E94D3A33}" name="September Q FY19" dataDxfId="476" dataCellStyle="Normal 3"/>
    <tableColumn id="14" xr3:uid="{966C6140-ABC3-A046-955B-2487EAE728B5}" name="December Q FY19" dataDxfId="475" dataCellStyle="Normal 3"/>
    <tableColumn id="15" xr3:uid="{1874C1E0-CDF9-6246-8734-F2F415740C7F}" name="April Q FY20" dataDxfId="474" dataCellStyle="Normal 3"/>
    <tableColumn id="17" xr3:uid="{868FBB8B-CBCB-4042-8612-E2A84D7F9C8F}" name="September Q FY20" dataDxfId="473" dataCellStyle="Normal 3"/>
    <tableColumn id="18" xr3:uid="{758AD42B-F4CF-1443-9E92-24E9BBEE8A8B}" name="December Q FY20" dataDxfId="472" dataCellStyle="Normal 3"/>
    <tableColumn id="19" xr3:uid="{864B3B69-9A2D-AD4C-ABBB-8376356EB07A}" name="April Q FY21" dataDxfId="471" dataCellStyle="Normal 3"/>
    <tableColumn id="21" xr3:uid="{E4B64EDB-1B11-A242-8F4C-CA45DF10F114}" name="September Q FY21" dataDxfId="470" dataCellStyle="Normal 3"/>
    <tableColumn id="22" xr3:uid="{63B41F1D-D81C-CD4D-90CE-631B6474DDC0}" name="December Q FY21" dataDxfId="469" dataCellStyle="Normal 3"/>
    <tableColumn id="23" xr3:uid="{6AA450FF-E644-134C-A765-FC861110BB00}" name="April Q FY22" dataDxfId="468" dataCellStyle="Normal 3"/>
    <tableColumn id="25" xr3:uid="{6BCB2684-6352-6442-8EEE-2897525658D5}" name="September Q FY22" dataDxfId="467" dataCellStyle="Normal 3"/>
    <tableColumn id="26" xr3:uid="{DDD379EB-FA81-8E42-AC3D-43DDB232DCBE}" name="December Q FY22" dataDxfId="466" dataCellStyle="Normal 3"/>
    <tableColumn id="27" xr3:uid="{774D7972-87EF-6C44-AFE5-D2D25322FA8E}" name="April Q FY23" dataDxfId="465" dataCellStyle="Normal 3"/>
    <tableColumn id="29" xr3:uid="{6C0C9A5A-2BB8-FC4C-9CEB-B2F77FDF0635}" name="September Q FY23" dataDxfId="464" dataCellStyle="Normal 3"/>
    <tableColumn id="30" xr3:uid="{31344851-3A3F-5F4B-BF02-8C9A47F9BB59}" name="December Q FY23" dataDxfId="463" dataCellStyle="Normal 3"/>
    <tableColumn id="31" xr3:uid="{BC9EB918-7E0B-6D4C-AB48-94B907612374}" name="April Q FY24" dataDxfId="462" dataCellStyle="Normal 3"/>
    <tableColumn id="33" xr3:uid="{17B691A9-148F-BF45-8B39-5D3E6638BEBB}" name="September Q FY24" dataDxfId="461" dataCellStyle="Normal 3"/>
    <tableColumn id="34" xr3:uid="{62445E63-73EE-2341-803C-05ED3887E703}" name="December Q FY24" dataDxfId="460" dataCellStyle="Normal 3"/>
    <tableColumn id="4" xr3:uid="{29C74CDC-7B03-4C44-8450-60A03C9FA495}" name="Average" dataDxfId="459" dataCellStyle="Normal 3">
      <calculatedColumnFormula>AVERAGE(Table2[[#This Row],[April Q FY17]]:Table2[[#This Row],[December Q FY24]])</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1BED1-BB6C-514E-9BBB-7962E3C1DE39}" name="Table1" displayName="Table1" ref="B103:AI111" totalsRowShown="0" headerRowDxfId="458" dataDxfId="457" headerRowBorderDxfId="455" tableBorderDxfId="456" totalsRowBorderDxfId="454" headerRowCellStyle="Normal 3" dataCellStyle="Normal 3">
  <autoFilter ref="B103:AI111" xr:uid="{63B1BED1-BB6C-514E-9BBB-7962E3C1DE39}"/>
  <tableColumns count="34">
    <tableColumn id="1" xr3:uid="{157942A6-4817-F949-91BC-77E861358319}" name="Exploration (Quarter Basis)" dataDxfId="453" dataCellStyle="Normal 3"/>
    <tableColumn id="2" xr3:uid="{B18272AF-4E66-E044-8DD7-BB921D054E37}" name="Units" dataDxfId="452" dataCellStyle="Normal 3"/>
    <tableColumn id="34" xr3:uid="{CC7E481D-F51C-1142-B495-264D52BBB033}" name="Sparkline" dataDxfId="451" dataCellStyle="Normal 3"/>
    <tableColumn id="3" xr3:uid="{896AB175-E59F-FD4B-84FD-CAFA22E95FCF}" name="Q1 FY17" dataDxfId="450" dataCellStyle="Normal 3"/>
    <tableColumn id="4" xr3:uid="{ABD1C41A-57AB-0841-B210-CEE472B499F0}" name="Q2 FY17" dataDxfId="449" dataCellStyle="Normal 3"/>
    <tableColumn id="5" xr3:uid="{886687CC-9C09-894D-938B-56A5491C93EC}" name="Q3 FY17" dataDxfId="448" dataCellStyle="Normal 3"/>
    <tableColumn id="6" xr3:uid="{1B9426D2-3CE2-E143-BCBD-F11B5DB4C6EA}" name="Q4 FY17" dataDxfId="447" dataCellStyle="Normal 3"/>
    <tableColumn id="7" xr3:uid="{45DDD2DB-7699-F944-B54F-8E799A938A43}" name="Q1 FY18" dataDxfId="446" dataCellStyle="Normal 3"/>
    <tableColumn id="8" xr3:uid="{F4D4B296-A532-5A40-82C2-C996C7B2CE58}" name="Q2 FY18" dataDxfId="445" dataCellStyle="Normal 3"/>
    <tableColumn id="9" xr3:uid="{AF7B3887-273F-514E-BDB1-CE02F36CB243}" name="Q3 FY18" dataDxfId="444" dataCellStyle="Normal 3"/>
    <tableColumn id="10" xr3:uid="{E037D84B-AB8B-8A42-B50B-79726D931F64}" name="Q4 FY18" dataDxfId="443" dataCellStyle="Normal 3"/>
    <tableColumn id="11" xr3:uid="{23158DB9-04A7-4543-B267-07EF05EB2F88}" name="Q1 FY19" dataDxfId="442" dataCellStyle="Normal 3"/>
    <tableColumn id="12" xr3:uid="{0E901526-F3B1-014A-936E-619D83E33E98}" name="Q2 FY19" dataDxfId="441" dataCellStyle="Normal 3"/>
    <tableColumn id="13" xr3:uid="{222EAC6D-DEBD-CA46-834D-742BE135879B}" name="Q3 FY19" dataDxfId="440" dataCellStyle="Normal 3"/>
    <tableColumn id="14" xr3:uid="{6C6E0A42-3430-BA48-AE5F-1B8AEDBF68AA}" name="Q4 FY19" dataDxfId="439" dataCellStyle="Normal 3"/>
    <tableColumn id="15" xr3:uid="{502FAB96-5A80-2D46-B150-E275CF62264C}" name="Q1 FY20" dataDxfId="438" dataCellStyle="Normal 3"/>
    <tableColumn id="16" xr3:uid="{61B86250-8A24-C54D-A318-3DC17303B252}" name="Q2 FY20" dataDxfId="437" dataCellStyle="Normal 3"/>
    <tableColumn id="17" xr3:uid="{BEC8D1CB-EE56-ED40-897C-D8C7CE956639}" name="Q3 FY20" dataDxfId="436" dataCellStyle="Normal 3"/>
    <tableColumn id="18" xr3:uid="{31233E0C-2B2C-C348-B744-84BAC93DD18C}" name="Q4 FY20" dataDxfId="435" dataCellStyle="Normal 3"/>
    <tableColumn id="19" xr3:uid="{26A0673D-1496-4C49-A644-9C5713B33933}" name="Q1 FY21" dataDxfId="434" dataCellStyle="Normal 3"/>
    <tableColumn id="20" xr3:uid="{6EEB138E-C8DC-0641-8D2D-513B60679EE6}" name="Q2 FY21" dataDxfId="433" dataCellStyle="Normal 3"/>
    <tableColumn id="21" xr3:uid="{87DBDED1-80E1-A444-8A7F-0988F5B915FF}" name="Q3 FY21" dataDxfId="432" dataCellStyle="Normal 3"/>
    <tableColumn id="22" xr3:uid="{2A80FA85-41BF-4749-A75B-6ECD24729A87}" name="Q4 FY21" dataDxfId="431" dataCellStyle="Normal 3"/>
    <tableColumn id="23" xr3:uid="{C4CA5512-4355-5F42-9072-7D19068DAEF5}" name="Q1 FY22" dataDxfId="430" dataCellStyle="Normal 3"/>
    <tableColumn id="24" xr3:uid="{E96CE0C2-E553-F94E-990D-59FEF3EB840C}" name="Q2 FY22" dataDxfId="429" dataCellStyle="Normal 3"/>
    <tableColumn id="25" xr3:uid="{AA0E8374-AEE0-2744-9E93-8657C8A83C70}" name="Q3 FY22" dataDxfId="428" dataCellStyle="Normal 3"/>
    <tableColumn id="26" xr3:uid="{5D97FAB2-B1B9-1E4C-BF0C-E9CC4EA45F01}" name="Q4 FY22" dataDxfId="427" dataCellStyle="Normal 3"/>
    <tableColumn id="27" xr3:uid="{DC4BE277-2A45-A643-9AED-D04749F1E31F}" name="Q1 FY23" dataDxfId="426" dataCellStyle="Normal 3"/>
    <tableColumn id="28" xr3:uid="{CA0532E7-BE13-8343-8FDD-113F0CFF9308}" name="Q2 FY23" dataDxfId="425" dataCellStyle="Normal 3"/>
    <tableColumn id="29" xr3:uid="{477AB49D-52F9-4749-B2A8-E1617DB3BD91}" name="Q3 FY23" dataDxfId="424" dataCellStyle="Normal 3"/>
    <tableColumn id="30" xr3:uid="{99079340-396B-C647-92E0-1375114D472C}" name="Q4 FY23" dataDxfId="423" dataCellStyle="Normal 3"/>
    <tableColumn id="31" xr3:uid="{FD70F57A-EEE6-1B45-89C1-B5CEF6337E67}" name="Q1 FY24" dataDxfId="422" dataCellStyle="Normal 3"/>
    <tableColumn id="32" xr3:uid="{148DC0F7-3F73-7C4B-BAE7-2E1053698908}" name="Q2 FY24" dataDxfId="421" dataCellStyle="Normal 3"/>
    <tableColumn id="33" xr3:uid="{B5F548CB-BDF2-BB4C-82CE-8C5C76FF3EC0}" name="Total" dataDxfId="420" dataCellStyle="Normal 3">
      <calculatedColumnFormula>SUM(Table1[[#This Row],[Q1 FY17]]:Table1[[#This Row],[Q2 FY24]])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AFDA4D-7C4D-C148-9EBC-13706F72B364}" name="Table3" displayName="Table3" ref="B138:F145" totalsRowShown="0" headerRowDxfId="419" dataDxfId="418" headerRowBorderDxfId="416" tableBorderDxfId="417" totalsRowBorderDxfId="415">
  <autoFilter ref="B138:F145" xr:uid="{98AFDA4D-7C4D-C148-9EBC-13706F72B364}"/>
  <tableColumns count="5">
    <tableColumn id="1" xr3:uid="{1DB62EFA-BA0E-4B46-814D-2FC59AD28214}" name="FY QoQ (Previous Quarter Comparison)" dataDxfId="414"/>
    <tableColumn id="2" xr3:uid="{77BEDA54-75AB-A245-9FAA-6F69C4721E8D}" name="Q1" dataDxfId="413"/>
    <tableColumn id="3" xr3:uid="{0609ACF6-7DBA-284B-B00B-86E42E9AF874}" name="Q2" dataDxfId="412"/>
    <tableColumn id="4" xr3:uid="{7FC64730-E000-424E-B1C4-D1EF0FA5D67E}" name="Q3" dataDxfId="411"/>
    <tableColumn id="5" xr3:uid="{2206692F-96DA-094B-8571-80A4F9559BB3}" name="Q4" dataDxfId="4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22530B-B206-4B4C-8FEF-524B6EC4BC5A}" name="Table4" displayName="Table4" ref="B121:AN129" totalsRowShown="0" headerRowDxfId="409" dataDxfId="408" headerRowBorderDxfId="406" tableBorderDxfId="407" totalsRowBorderDxfId="405" headerRowCellStyle="Normal 3">
  <autoFilter ref="B121:AN129" xr:uid="{FD22530B-B206-4B4C-8FEF-524B6EC4BC5A}"/>
  <tableColumns count="39">
    <tableColumn id="1" xr3:uid="{D5FDF731-4D8B-A144-A7EA-A4104BDF0D83}" name="Exploration (Yearly Basis)" dataDxfId="404" dataCellStyle="Normal 3"/>
    <tableColumn id="2" xr3:uid="{F940F872-A9C2-0E42-B544-CA2B07BAF7BE}" name="Units" dataDxfId="403" dataCellStyle="Normal 3"/>
    <tableColumn id="12" xr3:uid="{6B67E654-C05E-0148-9995-E427A2B62B10}" name="Sparkline" dataDxfId="402" dataCellStyle="Normal 3"/>
    <tableColumn id="3" xr3:uid="{5BBD180A-422F-C64E-903F-CAF0EE4BA8DC}" name="2017" dataDxfId="401">
      <calculatedColumnFormula>SUM(E104:H104)</calculatedColumnFormula>
    </tableColumn>
    <tableColumn id="4" xr3:uid="{CD5F2BCD-D2A6-F649-9833-7377FAC453DB}" name="2018" dataDxfId="400">
      <calculatedColumnFormula>SUM(I104:L104)</calculatedColumnFormula>
    </tableColumn>
    <tableColumn id="5" xr3:uid="{1AFA747A-B2C6-7247-942D-BAF255F821E8}" name="2019" dataDxfId="399">
      <calculatedColumnFormula>SUM(M104:P104)</calculatedColumnFormula>
    </tableColumn>
    <tableColumn id="6" xr3:uid="{C0454CF5-EFAC-1943-81DB-93A676CB1E05}" name="2020" dataDxfId="398">
      <calculatedColumnFormula>SUM(Q104:T104)</calculatedColumnFormula>
    </tableColumn>
    <tableColumn id="7" xr3:uid="{5AADB8C3-C546-DC47-BF19-79F27F8FCB3D}" name="2021" dataDxfId="397">
      <calculatedColumnFormula>SUM(U104:X104)</calculatedColumnFormula>
    </tableColumn>
    <tableColumn id="8" xr3:uid="{3F6350BD-82BB-9946-B7FE-B17795DEAC4B}" name="2022" dataDxfId="396">
      <calculatedColumnFormula>SUM(Y104:AB104)</calculatedColumnFormula>
    </tableColumn>
    <tableColumn id="9" xr3:uid="{1D7AFDF7-8B3D-7D4E-BC09-781902B2E999}" name="2023" dataDxfId="395">
      <calculatedColumnFormula>SUM(AC104:AF104)</calculatedColumnFormula>
    </tableColumn>
    <tableColumn id="10" xr3:uid="{B04A92AE-74F9-1445-8171-3F4C9099F330}" name="2024 (Q1+Q2)" dataDxfId="394">
      <calculatedColumnFormula>SUM(AG104:AH104)</calculatedColumnFormula>
    </tableColumn>
    <tableColumn id="11" xr3:uid="{D00BFD62-60A6-6A46-A5CF-DD1EC2CFE69D}" name="Total" dataDxfId="393">
      <calculatedColumnFormula>SUM(E122:L122)</calculatedColumnFormula>
    </tableColumn>
    <tableColumn id="13" xr3:uid="{41F35349-37F4-BC40-8F53-8DAFB781CCD0}" name="2024 (Q3+Q4)" dataDxfId="392"/>
    <tableColumn id="14" xr3:uid="{6EF2D089-1E6B-3D4C-8EF3-7913365119D3}" name="2025" dataDxfId="391"/>
    <tableColumn id="15" xr3:uid="{64E800A8-08EA-D442-B4E0-E84CCF5F0DAA}" name="2026" dataDxfId="390"/>
    <tableColumn id="16" xr3:uid="{C4F1D371-204E-0D4B-A0F9-EDB28B7BAB92}" name="2027" dataDxfId="389"/>
    <tableColumn id="17" xr3:uid="{1F5532C6-C904-8948-97E9-756B5D846B60}" name="2028" dataDxfId="388"/>
    <tableColumn id="18" xr3:uid="{9D74AFF8-922B-8B46-8AE9-2047E5825E5F}" name="2029" dataDxfId="387"/>
    <tableColumn id="19" xr3:uid="{F47660E5-4280-2F44-A2D8-990AE52FB1B8}" name="2030" dataDxfId="386"/>
    <tableColumn id="20" xr3:uid="{89986CF9-FBC5-2C40-BE51-ECC5BBB79A49}" name="2031" dataDxfId="385"/>
    <tableColumn id="21" xr3:uid="{D2AD117E-9EF5-DA47-A98A-BF1C794B6459}" name="2032" dataDxfId="384"/>
    <tableColumn id="22" xr3:uid="{78A69CFF-9EF3-D64E-A551-9C4AA7ACAB54}" name="2033" dataDxfId="383"/>
    <tableColumn id="23" xr3:uid="{4D1753DB-A606-7F40-9F9F-C45B82366BB7}" name="2034" dataDxfId="382"/>
    <tableColumn id="24" xr3:uid="{E5229688-767F-394E-9859-87A5725F0AB5}" name="2035" dataDxfId="381"/>
    <tableColumn id="25" xr3:uid="{12238113-DDE8-F24A-9739-592198D7632A}" name="2036" dataDxfId="380"/>
    <tableColumn id="26" xr3:uid="{22BE6D4C-4421-114B-99E8-F6C318624777}" name="2037" dataDxfId="379"/>
    <tableColumn id="27" xr3:uid="{BDEDD532-BC23-FC44-B804-52096B36A41C}" name="2038" dataDxfId="378"/>
    <tableColumn id="28" xr3:uid="{46F7570A-2C25-DA4B-AFC5-AA7422EE786F}" name="2039" dataDxfId="377"/>
    <tableColumn id="29" xr3:uid="{7B45D117-11A8-3640-A54B-820712A7E3E0}" name="2040" dataDxfId="376"/>
    <tableColumn id="30" xr3:uid="{D91CEFC8-6380-3D43-B594-5F7B49770B54}" name="2041" dataDxfId="375"/>
    <tableColumn id="31" xr3:uid="{F5E3654B-BF77-BE4B-BF2B-74B5AE1E6C7D}" name="2042" dataDxfId="374"/>
    <tableColumn id="32" xr3:uid="{33A34BB5-F895-9342-AA90-D5401ACA803A}" name="2043" dataDxfId="373"/>
    <tableColumn id="33" xr3:uid="{F01520E3-243D-1A48-A6AC-C4D7567E70E4}" name="2044" dataDxfId="372"/>
    <tableColumn id="34" xr3:uid="{0F4D32BE-DB48-7542-BA77-10324390C7B0}" name="2045" dataDxfId="371"/>
    <tableColumn id="35" xr3:uid="{6654E2D5-157E-7946-97D7-EB35A8A18F76}" name="2046" dataDxfId="370"/>
    <tableColumn id="36" xr3:uid="{1EB5B7A9-DCB5-FA46-A92F-FF70B57AD156}" name="2047" dataDxfId="369"/>
    <tableColumn id="37" xr3:uid="{2602CD84-E008-3843-B555-EB5DC564F1B8}" name="2048" dataDxfId="368"/>
    <tableColumn id="38" xr3:uid="{671F1DAD-7574-3145-B4C6-C3FDAA6953B0}" name="2049" dataDxfId="367"/>
    <tableColumn id="39" xr3:uid="{34178EA3-9BA2-C445-92D5-E059B915D2F4}" name="CAGR" dataDxfId="36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597304-1DB8-3C42-8CD5-1F2B7B4C6C73}" name="Table5" displayName="Table5" ref="B151:K156" totalsRowShown="0" headerRowDxfId="365" dataDxfId="364" headerRowBorderDxfId="363" headerRowCellStyle="Normal 3">
  <autoFilter ref="B151:K156" xr:uid="{05597304-1DB8-3C42-8CD5-1F2B7B4C6C73}"/>
  <tableColumns count="10">
    <tableColumn id="1" xr3:uid="{699FFB91-D171-464C-8AD6-6AF92795A52C}" name="Correlation Analysis" dataDxfId="362"/>
    <tableColumn id="2" xr3:uid="{280CA184-BEF1-D442-B2C4-C803027DC417}" name="2015" dataDxfId="361"/>
    <tableColumn id="3" xr3:uid="{0CC2DF49-2D2F-AE4D-ADC8-E97F6A30DA53}" name="2016" dataDxfId="360"/>
    <tableColumn id="4" xr3:uid="{D9E2839A-4C29-2C40-924A-4BB1F6392DB9}" name="2017" dataDxfId="359"/>
    <tableColumn id="5" xr3:uid="{01359A4A-8D7C-9841-91C5-2A8F9C9CB4C1}" name="2018" dataDxfId="358"/>
    <tableColumn id="6" xr3:uid="{4C9B8DF5-C4E4-0D43-9EAE-C09645DFEAD6}" name="2019" dataDxfId="357"/>
    <tableColumn id="7" xr3:uid="{35C8E67A-3714-A649-8F37-3D2E28E59963}" name="2020" dataDxfId="356"/>
    <tableColumn id="8" xr3:uid="{F6A6CE73-6491-984C-825B-0774F27ABFE2}" name="2021" dataDxfId="355"/>
    <tableColumn id="9" xr3:uid="{DFE6D07D-73CC-C54C-81E0-808FDCFE674D}" name="2022" dataDxfId="354"/>
    <tableColumn id="10" xr3:uid="{D5BFA34A-5D7A-BA41-95D3-F2D3AA2DEA6B}" name="2023" dataDxfId="35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7DBB0D-FCB7-7242-A54F-9626B7347EE3}" name="Table6" displayName="Table6" ref="B132:AL135" totalsRowShown="0" headerRowDxfId="352" dataDxfId="351">
  <autoFilter ref="B132:AL135" xr:uid="{FD7DBB0D-FCB7-7242-A54F-9626B7347EE3}"/>
  <tableColumns count="37">
    <tableColumn id="1" xr3:uid="{6CAF9465-8F13-3942-8E09-930954AC910C}" name="Exploration (Yearly Basis)" dataDxfId="350" dataCellStyle="Normal 3"/>
    <tableColumn id="2" xr3:uid="{703B2C59-8109-5545-BAB3-262B07538BC5}" name="Units" dataDxfId="349" dataCellStyle="Normal 3"/>
    <tableColumn id="12" xr3:uid="{572596AD-E810-164F-BB1C-DE6077077363}" name="Sparkline" dataDxfId="348" dataCellStyle="Normal 3"/>
    <tableColumn id="3" xr3:uid="{30657019-F5E5-7842-BA84-DBFDAC57AF2C}" name="2017" dataDxfId="347">
      <calculatedColumnFormula>IFERROR(E127/E121,"-")</calculatedColumnFormula>
    </tableColumn>
    <tableColumn id="4" xr3:uid="{A1546E26-69C7-BF40-A368-4980D75817E0}" name="2018" dataDxfId="346">
      <calculatedColumnFormula>IFERROR(F127/F121,"-")</calculatedColumnFormula>
    </tableColumn>
    <tableColumn id="5" xr3:uid="{0EA5314F-BDE5-BC40-8A89-67AF430FE660}" name="2019" dataDxfId="345">
      <calculatedColumnFormula>IFERROR(G127/G121,"-")</calculatedColumnFormula>
    </tableColumn>
    <tableColumn id="6" xr3:uid="{FE47B21E-8374-5D44-8909-93FCB6DE91D3}" name="2020" dataDxfId="344">
      <calculatedColumnFormula>IFERROR(H127/H121,"-")</calculatedColumnFormula>
    </tableColumn>
    <tableColumn id="7" xr3:uid="{89E5FBA9-962C-5E4B-B39F-A73147B1B653}" name="2021" dataDxfId="343">
      <calculatedColumnFormula>IFERROR(I127/I121,"-")</calculatedColumnFormula>
    </tableColumn>
    <tableColumn id="8" xr3:uid="{2335E6E2-6623-3E44-8508-8D1922F721F3}" name="2022" dataDxfId="342">
      <calculatedColumnFormula>IFERROR(J127/J121,"-")</calculatedColumnFormula>
    </tableColumn>
    <tableColumn id="9" xr3:uid="{08163B98-3B08-FC4B-A1FC-EFBD180E97EE}" name="2023" dataDxfId="341">
      <calculatedColumnFormula>IFERROR(K127/K121,"-")</calculatedColumnFormula>
    </tableColumn>
    <tableColumn id="10" xr3:uid="{1A72024C-9430-B948-81EF-E51ABD295B7C}" name="2024 (Q1+Q2)" dataDxfId="340">
      <calculatedColumnFormula>IFERROR(L127/L121,"-")</calculatedColumnFormula>
    </tableColumn>
    <tableColumn id="11" xr3:uid="{DA6EEA40-CC4A-2445-954B-5D34A1CE6A70}" name="2024 Q3+Q4)" dataDxfId="339"/>
    <tableColumn id="13" xr3:uid="{EF79FAAB-AF35-BE4C-8281-11F72B6966BA}" name="2025" dataDxfId="338"/>
    <tableColumn id="14" xr3:uid="{5F7AC628-61EF-F842-8B6F-9145CDC834D8}" name="2026" dataDxfId="337"/>
    <tableColumn id="15" xr3:uid="{BE91347B-D318-BF47-BACD-C12C856B0566}" name="2027" dataDxfId="336"/>
    <tableColumn id="16" xr3:uid="{8B03C456-4891-9E47-8D36-9BC5A3C9811E}" name="2028" dataDxfId="335"/>
    <tableColumn id="17" xr3:uid="{5A78BD37-6090-3B45-87B2-4E7D4974C5B0}" name="2029" dataDxfId="334"/>
    <tableColumn id="18" xr3:uid="{DEED7F39-35CF-9249-AF7B-AFC0AB437DCE}" name="2030" dataDxfId="333"/>
    <tableColumn id="19" xr3:uid="{8D1AC4F4-FD97-194E-8B35-94EAD25308D4}" name="2031" dataDxfId="332"/>
    <tableColumn id="20" xr3:uid="{D3662D8F-3734-D44D-8DB7-57120B1D6E27}" name="2032" dataDxfId="331"/>
    <tableColumn id="21" xr3:uid="{F73A50D9-1362-BC49-8979-E880F67017A5}" name="2033" dataDxfId="330"/>
    <tableColumn id="22" xr3:uid="{4E225303-50FF-9A4E-81F6-5DC01E10B484}" name="2034" dataDxfId="329"/>
    <tableColumn id="23" xr3:uid="{0A1515DA-9B08-CC4A-A201-316E79EEBB0B}" name="2035" dataDxfId="328"/>
    <tableColumn id="24" xr3:uid="{CC190A2A-1501-1A43-B004-82FB4A1E5918}" name="2036" dataDxfId="327"/>
    <tableColumn id="25" xr3:uid="{3E9F1611-4DC2-3F47-9665-1EDCE1AA0E49}" name="2037" dataDxfId="326"/>
    <tableColumn id="26" xr3:uid="{DC049DB7-7F55-BE4B-9D89-37565AAC697D}" name="2038" dataDxfId="325"/>
    <tableColumn id="27" xr3:uid="{61C57879-3FA5-B841-98E1-938B6CF3DFC2}" name="2039" dataDxfId="324"/>
    <tableColumn id="28" xr3:uid="{A767C38E-9852-4C42-A4D9-15AA18F2C463}" name="2040" dataDxfId="323"/>
    <tableColumn id="29" xr3:uid="{56C48D70-E7DC-EB49-B608-A50DC61F516E}" name="2041" dataDxfId="322"/>
    <tableColumn id="30" xr3:uid="{2F1C17C1-DE96-784B-AA85-77E492DC09E7}" name="2042" dataDxfId="321"/>
    <tableColumn id="31" xr3:uid="{CEAE2C6D-E539-5D42-BE01-CAE7214D99D5}" name="2043" dataDxfId="320"/>
    <tableColumn id="32" xr3:uid="{981A167E-66D2-134A-B83B-BB6868CE298F}" name="2044" dataDxfId="319"/>
    <tableColumn id="33" xr3:uid="{E135F1F3-E7BF-B64E-91B7-A463D1CABCE9}" name="2045" dataDxfId="318"/>
    <tableColumn id="34" xr3:uid="{3B83BBA6-A48C-AA45-BEA3-90F759D802B6}" name="2046" dataDxfId="317"/>
    <tableColumn id="35" xr3:uid="{FB9472BB-E10C-7848-8242-EEFB304C33F4}" name="2047" dataDxfId="316"/>
    <tableColumn id="36" xr3:uid="{8D5FAD5A-71F5-9B4F-951D-53F757877145}" name="2048" dataDxfId="315"/>
    <tableColumn id="37" xr3:uid="{FD25D8FF-9A1C-E94C-BF41-B08DEEA65C8B}" name="2049" dataDxfId="31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6A8870-61DB-B646-A1D9-3DD79B71365C}" name="Table8" displayName="Table8" ref="B148:AC149" totalsRowShown="0" headerRowDxfId="313" dataDxfId="312" headerRowBorderDxfId="310" tableBorderDxfId="311" totalsRowBorderDxfId="309">
  <autoFilter ref="B148:AC149" xr:uid="{326A8870-61DB-B646-A1D9-3DD79B71365C}"/>
  <tableColumns count="28">
    <tableColumn id="1" xr3:uid="{DA0D7FA4-AEBF-764E-AB14-81359B585283}" name="Quarter on Quarter Basis" dataDxfId="308" dataCellStyle="Normal 3"/>
    <tableColumn id="2" xr3:uid="{ECC2BE5A-C3C2-EB4F-B2CC-CB9B8DE77F1E}" name="Q1 2017 /Q3 2017 (Pilbara)" dataDxfId="307"/>
    <tableColumn id="3" xr3:uid="{4AC59620-4ED0-8B4C-9248-338FB5A9BB50}" name="Q2 2017" dataDxfId="306"/>
    <tableColumn id="4" xr3:uid="{AD5D1178-14BB-1C43-8ADD-92EE3FC0812D}" name="Q3 2017" dataDxfId="305"/>
    <tableColumn id="5" xr3:uid="{F8392530-D036-3944-98FE-FD2CA27247E1}" name="Q4 2017" dataDxfId="304"/>
    <tableColumn id="6" xr3:uid="{EB21F366-8AAF-6043-BD13-F1F4C2E34D83}" name="Q1 2018" dataDxfId="303"/>
    <tableColumn id="7" xr3:uid="{6CFEFA7A-9ECD-3B42-9489-9C636D28372A}" name="Q2 2018" dataDxfId="302"/>
    <tableColumn id="8" xr3:uid="{3197D815-7076-594A-826B-1184D3FD0AA1}" name="Q3 2018" dataDxfId="301"/>
    <tableColumn id="9" xr3:uid="{8B2DAA1F-F694-1D41-9230-309D08A4CC36}" name="Q4 2018" dataDxfId="300"/>
    <tableColumn id="10" xr3:uid="{40FA8D7A-457F-5249-B448-79A03A5B545B}" name="Q1 2019" dataDxfId="299"/>
    <tableColumn id="11" xr3:uid="{0FEBF352-E76E-BF4B-9CE8-E1F98BD83AD5}" name="Q2 2019" dataDxfId="298"/>
    <tableColumn id="12" xr3:uid="{5012A935-F6BF-2445-9943-A32E232C71D1}" name="Q3 2019" dataDxfId="297"/>
    <tableColumn id="13" xr3:uid="{B30B7210-E957-E647-9FF2-268043DF7ED3}" name="Q4 2019" dataDxfId="296"/>
    <tableColumn id="14" xr3:uid="{055CE672-8A42-4E49-AEBB-C3094D36781B}" name="Q1 2020" dataDxfId="295"/>
    <tableColumn id="15" xr3:uid="{79AB1B01-D73A-1A44-BA63-0C8C87875000}" name="Q2 2020" dataDxfId="294"/>
    <tableColumn id="16" xr3:uid="{0095E539-D192-7449-ABE8-5F77A1425000}" name="Q3 2020" dataDxfId="293"/>
    <tableColumn id="17" xr3:uid="{E98C7F83-EE57-FD46-9AE4-171B7F9A3122}" name="Q4 2020" dataDxfId="292"/>
    <tableColumn id="18" xr3:uid="{BE5931CA-0052-4D42-AF97-690DD517F9A3}" name="Q1 2021" dataDxfId="291"/>
    <tableColumn id="19" xr3:uid="{6DCD30B1-5A3A-E749-9381-F33AE5FE8BE4}" name="Q2 2021" dataDxfId="290"/>
    <tableColumn id="20" xr3:uid="{F5B17F6D-C81E-6843-929A-36DEFE21617F}" name="Q3 2021" dataDxfId="289"/>
    <tableColumn id="21" xr3:uid="{36195878-C99C-BF45-BC77-641F50BC991A}" name="Q4 2021" dataDxfId="288"/>
    <tableColumn id="22" xr3:uid="{9C933CF9-69BD-3F41-AA28-DD03B7229689}" name="Q1 2022" dataDxfId="287"/>
    <tableColumn id="23" xr3:uid="{F2F6C965-FD85-5F47-AF21-A49C8873A7E5}" name="Q2 2022" dataDxfId="286"/>
    <tableColumn id="24" xr3:uid="{982C6946-53A1-7440-8D75-A7FDD4B2950C}" name="Q3 2022" dataDxfId="285"/>
    <tableColumn id="25" xr3:uid="{337C938F-A354-FF44-B2B1-364E1AB2C02D}" name="Q4 2022" dataDxfId="284"/>
    <tableColumn id="26" xr3:uid="{2E256538-DDFC-474F-B4D0-E1728173D7A4}" name="Q1 2023" dataDxfId="283"/>
    <tableColumn id="27" xr3:uid="{DEF7A9B4-6C93-0E48-A6AE-8DFF8095F2CB}" name="Q2 2023" dataDxfId="282"/>
    <tableColumn id="28" xr3:uid="{C1008F62-808D-4B4E-9E9B-33BE293F2C9F}" name="Q3 2023" dataDxfId="28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BEABC2-E9C5-FC48-AE98-CC93680E8349}" name="Table9" displayName="Table9" ref="S176:AR180" totalsRowShown="0" headerRowDxfId="280" dataDxfId="279" headerRowBorderDxfId="277" tableBorderDxfId="278" totalsRowBorderDxfId="276" headerRowCellStyle="Normal 3">
  <autoFilter ref="S176:AR180" xr:uid="{47BEABC2-E9C5-FC48-AE98-CC93680E8349}"/>
  <tableColumns count="26">
    <tableColumn id="1" xr3:uid="{D1E7AC99-14AC-D44A-A5AE-3DB783919D9A}" name="2024" dataDxfId="275"/>
    <tableColumn id="2" xr3:uid="{FAE4A170-7A01-D14D-B8D7-3634D90E7961}" name="2025" dataDxfId="274"/>
    <tableColumn id="3" xr3:uid="{6DB1A251-E90D-BE47-86E9-2421E4D78F6F}" name="2026" dataDxfId="273"/>
    <tableColumn id="4" xr3:uid="{C1220FDF-8E22-6B45-A77B-BE9038FE62E5}" name="2027" dataDxfId="272"/>
    <tableColumn id="5" xr3:uid="{AAAB54A7-0C63-3249-BB1D-4101A2CF705A}" name="2028" dataDxfId="271"/>
    <tableColumn id="6" xr3:uid="{BAB87C73-7C7B-5145-BA4C-57C79C5613F8}" name="2029" dataDxfId="270"/>
    <tableColumn id="7" xr3:uid="{B9B1C839-3254-A341-9461-AA8BABB8B324}" name="2030" dataDxfId="269"/>
    <tableColumn id="8" xr3:uid="{3DD3DA32-4241-764B-8E11-CB3C2A48870B}" name="2031" dataDxfId="268">
      <calculatedColumnFormula>Z176+2%</calculatedColumnFormula>
    </tableColumn>
    <tableColumn id="9" xr3:uid="{6F79A909-86F3-0A4E-A46E-EA4551B40E64}" name="2032" dataDxfId="267">
      <calculatedColumnFormula>AA176+2%</calculatedColumnFormula>
    </tableColumn>
    <tableColumn id="10" xr3:uid="{524754A7-9917-B144-8E36-784DED4EEF92}" name="2033" dataDxfId="266">
      <calculatedColumnFormula>AB176+2%</calculatedColumnFormula>
    </tableColumn>
    <tableColumn id="11" xr3:uid="{32E44535-C3AF-1A4A-A749-787FBAA2CE80}" name="2034" dataDxfId="265">
      <calculatedColumnFormula>AC176+2%</calculatedColumnFormula>
    </tableColumn>
    <tableColumn id="12" xr3:uid="{4ABB6015-3527-714E-9960-52FEE4E5F8C9}" name="2035" dataDxfId="264">
      <calculatedColumnFormula>AD176+2%</calculatedColumnFormula>
    </tableColumn>
    <tableColumn id="13" xr3:uid="{7F024528-7CE4-4447-9CAB-93C45FC139A5}" name="2036" dataDxfId="263">
      <calculatedColumnFormula>AE176+2%</calculatedColumnFormula>
    </tableColumn>
    <tableColumn id="14" xr3:uid="{73FCEA31-04BA-7C47-ABA7-7587F185D1B8}" name="2037" dataDxfId="262">
      <calculatedColumnFormula>AF176+2%</calculatedColumnFormula>
    </tableColumn>
    <tableColumn id="15" xr3:uid="{AEF1D16B-F7AF-3441-B239-47340B423216}" name="2038" dataDxfId="261">
      <calculatedColumnFormula>AG176+2%</calculatedColumnFormula>
    </tableColumn>
    <tableColumn id="16" xr3:uid="{EE81F531-C22F-CF4E-9B78-4B2097344470}" name="2039" dataDxfId="260">
      <calculatedColumnFormula>AH176+2%</calculatedColumnFormula>
    </tableColumn>
    <tableColumn id="17" xr3:uid="{96F0121A-5C8F-BD49-8B43-3A874FF0FE1F}" name="2040" dataDxfId="259">
      <calculatedColumnFormula>AI176+2%</calculatedColumnFormula>
    </tableColumn>
    <tableColumn id="18" xr3:uid="{EEDCDDD0-CA8D-8543-8223-AB6176F77D24}" name="2041" dataDxfId="258">
      <calculatedColumnFormula>AJ176+2%</calculatedColumnFormula>
    </tableColumn>
    <tableColumn id="19" xr3:uid="{5A68DB6F-C6B6-F149-8EAA-74AE6055C7D4}" name="2042" dataDxfId="257">
      <calculatedColumnFormula>AK176+2%</calculatedColumnFormula>
    </tableColumn>
    <tableColumn id="20" xr3:uid="{9D09AFDA-5B2B-6940-B28D-1A0D1F36B790}" name="2043" dataDxfId="256">
      <calculatedColumnFormula>AL176+2%</calculatedColumnFormula>
    </tableColumn>
    <tableColumn id="21" xr3:uid="{F201C580-F5F7-A445-815B-236A7B270027}" name="2044" dataDxfId="255">
      <calculatedColumnFormula>AM176+2%</calculatedColumnFormula>
    </tableColumn>
    <tableColumn id="22" xr3:uid="{4ECDA9CF-8255-FE47-8E8F-786CE9C3BD05}" name="2045" dataDxfId="254">
      <calculatedColumnFormula>AN176+2%</calculatedColumnFormula>
    </tableColumn>
    <tableColumn id="23" xr3:uid="{A092E2B7-43E8-0749-BF77-3D1E0F164F2E}" name="2046" dataDxfId="253">
      <calculatedColumnFormula>AO176+2%</calculatedColumnFormula>
    </tableColumn>
    <tableColumn id="24" xr3:uid="{2BAA45B3-92BE-9341-9947-EF3676B4483D}" name="2047" dataDxfId="252">
      <calculatedColumnFormula>AP176+2%</calculatedColumnFormula>
    </tableColumn>
    <tableColumn id="25" xr3:uid="{5BD08B61-7B06-AF4E-BF67-7A0236680326}" name="2048" dataDxfId="251">
      <calculatedColumnFormula>AQ176+2%</calculatedColumnFormula>
    </tableColumn>
    <tableColumn id="26" xr3:uid="{F51FB6F2-5EFD-134C-A626-B6A6D37E0201}" name="2049" dataDxfId="250">
      <calculatedColumnFormula>AR176+2%</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74D2AD-18E9-BE4B-8728-C61AD57E0DC1}" name="Table7" displayName="Table7" ref="B166:DS170" totalsRowCount="1" headerRowDxfId="249" dataDxfId="248" totalsRowDxfId="247" headerRowBorderDxfId="245" tableBorderDxfId="246" totalsRowBorderDxfId="244">
  <autoFilter ref="B166:DS169" xr:uid="{F874D2AD-18E9-BE4B-8728-C61AD57E0DC1}"/>
  <tableColumns count="122">
    <tableColumn id="1" xr3:uid="{0ED19CBB-FF84-CA41-8CCE-918DD2461FD1}" name="Data on Battery Eletric Vehicles" totalsRowLabel="YoY Growth" dataDxfId="242" totalsRowDxfId="243" dataCellStyle="Normal 3">
      <calculatedColumnFormula>F159</calculatedColumnFormula>
    </tableColumn>
    <tableColumn id="2" xr3:uid="{FF10EFA5-DAAE-E047-A3D0-594F1DC0C890}" name="Q1 2020" totalsRowLabel="-" dataDxfId="240" totalsRowDxfId="241"/>
    <tableColumn id="3" xr3:uid="{473F2F5B-522A-F04C-B2A6-4B3DD816C461}" name="Q2 2020" totalsRowFunction="custom" dataDxfId="238" totalsRowDxfId="239">
      <totalsRowFormula>D169/C169-1</totalsRowFormula>
    </tableColumn>
    <tableColumn id="4" xr3:uid="{E6743EB3-20BC-0E4D-AE79-B039E8CFD862}" name="Q3 2020" totalsRowFunction="custom" dataDxfId="236" totalsRowDxfId="237">
      <totalsRowFormula>E169/D169-1</totalsRowFormula>
    </tableColumn>
    <tableColumn id="5" xr3:uid="{8F4E44FB-83CD-AD4C-AA68-4D7BD0228F11}" name="Q4 2020" totalsRowFunction="custom" dataDxfId="234" totalsRowDxfId="235">
      <totalsRowFormula>F169/E169-1</totalsRowFormula>
    </tableColumn>
    <tableColumn id="6" xr3:uid="{798457ED-8AFA-F141-B566-A1225D3E429D}" name="Q1 2021" totalsRowFunction="custom" dataDxfId="232" totalsRowDxfId="233">
      <totalsRowFormula>G169/F169-1</totalsRowFormula>
    </tableColumn>
    <tableColumn id="7" xr3:uid="{A2ECBFA9-DD66-3346-BF08-80EF80C10D9D}" name="Q2 2021" totalsRowFunction="custom" dataDxfId="230" totalsRowDxfId="231">
      <totalsRowFormula>H169/G169-1</totalsRowFormula>
    </tableColumn>
    <tableColumn id="8" xr3:uid="{1CEC58FE-2A9B-9644-A770-7B2976B1740A}" name="Q3 2021" totalsRowFunction="custom" dataDxfId="228" totalsRowDxfId="229">
      <totalsRowFormula>I169/H169-1</totalsRowFormula>
    </tableColumn>
    <tableColumn id="9" xr3:uid="{918E4559-448E-9A45-91FD-E99B63880C43}" name="Q4 2021" totalsRowFunction="custom" dataDxfId="226" totalsRowDxfId="227">
      <totalsRowFormula>J169/I169-1</totalsRowFormula>
    </tableColumn>
    <tableColumn id="10" xr3:uid="{86F59424-639D-924B-B939-780409F4F727}" name="Q1 2022" totalsRowFunction="custom" dataDxfId="224" totalsRowDxfId="225">
      <totalsRowFormula>K169/J169-1</totalsRowFormula>
    </tableColumn>
    <tableColumn id="11" xr3:uid="{6DC7AAC1-CE82-CC45-8648-2D80D45A6648}" name="Q2 2022" totalsRowFunction="custom" dataDxfId="222" totalsRowDxfId="223">
      <totalsRowFormula>L169/K169-1</totalsRowFormula>
    </tableColumn>
    <tableColumn id="12" xr3:uid="{0DEA5A61-94C1-6947-8EA6-599F8D1340BE}" name="Q3 2022" totalsRowFunction="custom" dataDxfId="220" totalsRowDxfId="221">
      <totalsRowFormula>M169/L169-1</totalsRowFormula>
    </tableColumn>
    <tableColumn id="13" xr3:uid="{466BD58D-1A16-AF4D-93D3-6F21BD227B2E}" name="Q4 2022" totalsRowFunction="custom" dataDxfId="218" totalsRowDxfId="219">
      <totalsRowFormula>N169/M169-1</totalsRowFormula>
    </tableColumn>
    <tableColumn id="14" xr3:uid="{66B57258-BB29-FD42-B889-73F294331C8B}" name="Q1 2023" totalsRowFunction="custom" dataDxfId="216" totalsRowDxfId="217">
      <totalsRowFormula>O169/N169-1</totalsRowFormula>
    </tableColumn>
    <tableColumn id="15" xr3:uid="{801A542F-4752-7743-A2DF-62FB00A0D5A5}" name="Q2 2023" totalsRowFunction="custom" dataDxfId="214" totalsRowDxfId="215" dataCellStyle="Normal 3">
      <totalsRowFormula>P169/O169-1</totalsRowFormula>
    </tableColumn>
    <tableColumn id="16" xr3:uid="{D3A87E11-5908-9D46-8186-F14F12BC44E8}" name="Q3 2023" totalsRowFunction="custom" dataDxfId="212" totalsRowDxfId="213" dataCellStyle="Normal 3">
      <totalsRowFormula>Q169/P169-1</totalsRowFormula>
    </tableColumn>
    <tableColumn id="17" xr3:uid="{B1F75B33-3121-C845-90DC-F2D62F311401}" name="Q4 2023" totalsRowFunction="custom" dataDxfId="210" totalsRowDxfId="211">
      <totalsRowFormula>R169/Q169-1</totalsRowFormula>
    </tableColumn>
    <tableColumn id="18" xr3:uid="{34D0E61F-52EB-F645-8194-249B4914000D}" name="Q1 2024" totalsRowFunction="custom" dataDxfId="208" totalsRowDxfId="209">
      <totalsRowFormula>S169/R169-1</totalsRowFormula>
    </tableColumn>
    <tableColumn id="19" xr3:uid="{278B987C-8912-094B-9A8A-3AF21AADFC56}" name="Q2 2024" totalsRowFunction="custom" dataDxfId="206" totalsRowDxfId="207">
      <totalsRowFormula>T169/S169-1</totalsRowFormula>
    </tableColumn>
    <tableColumn id="20" xr3:uid="{B695485B-5B58-F84A-8213-87B7CBA2CA66}" name="Q3 2024" totalsRowFunction="custom" dataDxfId="204" totalsRowDxfId="205">
      <totalsRowFormula>U169/T169-1</totalsRowFormula>
    </tableColumn>
    <tableColumn id="21" xr3:uid="{174C8F27-D08F-F44B-9797-9AC1D7F61941}" name="Q4 2024" totalsRowFunction="custom" dataDxfId="202" totalsRowDxfId="203">
      <totalsRowFormula>V169/U169-1</totalsRowFormula>
    </tableColumn>
    <tableColumn id="22" xr3:uid="{7C602D0F-A9C8-A440-B0A6-A475A4E9C10D}" name="Q1 2025" totalsRowFunction="custom" dataDxfId="200" totalsRowDxfId="201">
      <totalsRowFormula>W169/V169-1</totalsRowFormula>
    </tableColumn>
    <tableColumn id="23" xr3:uid="{EAACAE9D-9AAC-1B4F-AABD-73C65DDEBB6D}" name="Q2 2025" totalsRowFunction="custom" dataDxfId="198" totalsRowDxfId="199">
      <totalsRowFormula>X169/W169-1</totalsRowFormula>
    </tableColumn>
    <tableColumn id="24" xr3:uid="{C9BFD5E2-C5D7-AF48-BB78-161FFDF5FCC0}" name="Q3 2025" totalsRowFunction="custom" dataDxfId="196" totalsRowDxfId="197">
      <totalsRowFormula>Y169/X169-1</totalsRowFormula>
    </tableColumn>
    <tableColumn id="25" xr3:uid="{BD75FB9D-EC75-BF49-A42D-C2310B0B2B09}" name="Q4 2025" totalsRowFunction="custom" dataDxfId="194" totalsRowDxfId="195">
      <totalsRowFormula>Z169/Y169-1</totalsRowFormula>
    </tableColumn>
    <tableColumn id="26" xr3:uid="{C3449707-525F-564C-B47C-1E3828E6E9F7}" name="Q1 2026" totalsRowFunction="custom" dataDxfId="192" totalsRowDxfId="193">
      <totalsRowFormula>AA169/Z169-1</totalsRowFormula>
    </tableColumn>
    <tableColumn id="27" xr3:uid="{B6419556-8700-5245-A972-AE6BA9E5158F}" name="Q2 2026" totalsRowFunction="custom" dataDxfId="190" totalsRowDxfId="191">
      <totalsRowFormula>AB169/AA169-1</totalsRowFormula>
    </tableColumn>
    <tableColumn id="28" xr3:uid="{E636361D-F212-814F-BA2F-EF115AAA64F2}" name="Q3 2026" totalsRowFunction="custom" dataDxfId="188" totalsRowDxfId="189">
      <totalsRowFormula>AC169/AB169-1</totalsRowFormula>
    </tableColumn>
    <tableColumn id="29" xr3:uid="{105B4F1B-1ACA-AF4D-B964-03B2660C3E5D}" name="Q4 2026" totalsRowFunction="custom" dataDxfId="186" totalsRowDxfId="187">
      <totalsRowFormula>AD169/AC169-1</totalsRowFormula>
    </tableColumn>
    <tableColumn id="30" xr3:uid="{522C95FE-4BE9-2240-A216-862E55AD142E}" name="Q1 2027" totalsRowFunction="custom" dataDxfId="184" totalsRowDxfId="185">
      <totalsRowFormula>AE169/AD169-1</totalsRowFormula>
    </tableColumn>
    <tableColumn id="31" xr3:uid="{6175510D-EA31-E24E-BD14-BFD392CA6019}" name="Q2 2027" totalsRowFunction="custom" dataDxfId="182" totalsRowDxfId="183">
      <totalsRowFormula>AF169/AE169-1</totalsRowFormula>
    </tableColumn>
    <tableColumn id="32" xr3:uid="{DBC00604-F37C-1647-B52A-21E0BE1CD739}" name="Q3 2027" totalsRowFunction="custom" dataDxfId="180" totalsRowDxfId="181">
      <totalsRowFormula>AG169/AF169-1</totalsRowFormula>
    </tableColumn>
    <tableColumn id="33" xr3:uid="{46EAF3D9-D082-CF49-9F1C-D20A02B062FD}" name="Q4 2027" totalsRowFunction="custom" dataDxfId="178" totalsRowDxfId="179">
      <totalsRowFormula>AH169/AG169-1</totalsRowFormula>
    </tableColumn>
    <tableColumn id="34" xr3:uid="{C598F125-7EF1-694F-A9EE-EE53E3BA88C5}" name="Q1 2028" totalsRowFunction="custom" dataDxfId="176" totalsRowDxfId="177">
      <totalsRowFormula>AI169/AH169-1</totalsRowFormula>
    </tableColumn>
    <tableColumn id="35" xr3:uid="{16B751EF-A14E-5A47-9492-38F230215D7D}" name="Q2 2028" totalsRowFunction="custom" dataDxfId="174" totalsRowDxfId="175">
      <totalsRowFormula>AJ169/AI169-1</totalsRowFormula>
    </tableColumn>
    <tableColumn id="36" xr3:uid="{81DB00D9-EED1-4746-8C30-ECB416A700A1}" name="Q3 2028" totalsRowFunction="custom" dataDxfId="172" totalsRowDxfId="173">
      <totalsRowFormula>AK169/AJ169-1</totalsRowFormula>
    </tableColumn>
    <tableColumn id="37" xr3:uid="{D2A73B0C-58DC-0B4B-8530-FF927589863A}" name="Q4 2028" totalsRowFunction="custom" dataDxfId="170" totalsRowDxfId="171">
      <totalsRowFormula>AL169/AK169-1</totalsRowFormula>
    </tableColumn>
    <tableColumn id="38" xr3:uid="{747C5654-B884-8044-AD12-D8742FD811D6}" name="Q1 2029" totalsRowFunction="custom" dataDxfId="168" totalsRowDxfId="169">
      <totalsRowFormula>AM169/AL169-1</totalsRowFormula>
    </tableColumn>
    <tableColumn id="39" xr3:uid="{DFFD3A56-2EAC-D84D-962E-44A5E47589CF}" name="Q2 2029" totalsRowFunction="custom" dataDxfId="166" totalsRowDxfId="167">
      <totalsRowFormula>AN169/AM169-1</totalsRowFormula>
    </tableColumn>
    <tableColumn id="40" xr3:uid="{8EFAAA2F-31A1-7F42-91F9-F20302CAACDF}" name="Q3 2029" totalsRowFunction="custom" dataDxfId="164" totalsRowDxfId="165">
      <totalsRowFormula>AO169/AN169-1</totalsRowFormula>
    </tableColumn>
    <tableColumn id="41" xr3:uid="{22A71666-3486-0F47-87B5-F411C60DC3D3}" name="Q4 2029" totalsRowFunction="custom" dataDxfId="162" totalsRowDxfId="163">
      <totalsRowFormula>AP169/AO169-1</totalsRowFormula>
    </tableColumn>
    <tableColumn id="42" xr3:uid="{4635217C-0AFA-0547-B545-C5625D0DBB30}" name="Q1 2030" totalsRowFunction="custom" dataDxfId="160" totalsRowDxfId="161">
      <totalsRowFormula>AQ169/AP169-1</totalsRowFormula>
    </tableColumn>
    <tableColumn id="43" xr3:uid="{AB00C6B1-A7CE-8D46-B9AC-D115FAB3194A}" name="Q2 2030" totalsRowFunction="custom" dataDxfId="158" totalsRowDxfId="159">
      <totalsRowFormula>AR169/AQ169-1</totalsRowFormula>
    </tableColumn>
    <tableColumn id="44" xr3:uid="{D13B5618-CFA3-FC4F-9F48-3DA36E6896CB}" name="Q3 2030" totalsRowFunction="custom" dataDxfId="156" totalsRowDxfId="157">
      <totalsRowFormula>AS169/AR169-1</totalsRowFormula>
    </tableColumn>
    <tableColumn id="45" xr3:uid="{641028A2-B576-9043-A00F-F029AD006FFE}" name="Q4 2030" totalsRowFunction="custom" dataDxfId="154" totalsRowDxfId="155">
      <totalsRowFormula>AT169/AS169-1</totalsRowFormula>
    </tableColumn>
    <tableColumn id="46" xr3:uid="{1F85E95C-EC78-2D4E-A78B-CDD9A04ADA81}" name="Q1 2031" totalsRowFunction="custom" dataDxfId="152" totalsRowDxfId="153">
      <totalsRowFormula>AU169/AT169-1</totalsRowFormula>
    </tableColumn>
    <tableColumn id="66" xr3:uid="{84ED4086-C2D2-1F4A-AE93-BF9DF5846211}" name="Q2 2031" totalsRowFunction="custom" dataDxfId="150" totalsRowDxfId="151">
      <totalsRowFormula>AV169/AU169-1</totalsRowFormula>
    </tableColumn>
    <tableColumn id="67" xr3:uid="{75B8B435-2835-FF49-964E-1D30F66E5523}" name="Q3 2031" totalsRowFunction="custom" dataDxfId="148" totalsRowDxfId="149">
      <totalsRowFormula>AW169/AV169-1</totalsRowFormula>
    </tableColumn>
    <tableColumn id="68" xr3:uid="{6F8F869A-1564-7043-86AE-C6E4495FACD4}" name="Q4 2031" totalsRowFunction="custom" dataDxfId="146" totalsRowDxfId="147">
      <totalsRowFormula>AX169/AW169-1</totalsRowFormula>
    </tableColumn>
    <tableColumn id="69" xr3:uid="{73A8F391-227A-F947-9A20-A7AA92C41E33}" name="Q1 2032" totalsRowFunction="custom" dataDxfId="144" totalsRowDxfId="145">
      <totalsRowFormula>AY169/AX169-1</totalsRowFormula>
    </tableColumn>
    <tableColumn id="70" xr3:uid="{32C7D24F-B1A3-FD4A-BBA2-07B6D9D4CCB9}" name="Q2 2032" totalsRowFunction="custom" dataDxfId="142" totalsRowDxfId="143">
      <totalsRowFormula>AZ169/AY169-1</totalsRowFormula>
    </tableColumn>
    <tableColumn id="71" xr3:uid="{B9CF274F-ED68-7C4B-89AD-5F2F0C22045B}" name="Q3 2032" totalsRowFunction="custom" dataDxfId="140" totalsRowDxfId="141">
      <totalsRowFormula>BA169/AZ169-1</totalsRowFormula>
    </tableColumn>
    <tableColumn id="72" xr3:uid="{37167544-6775-3643-B3D0-56E25BA0B1B4}" name="Q4 2032" totalsRowFunction="custom" dataDxfId="138" totalsRowDxfId="139">
      <totalsRowFormula>BB169/BA169-1</totalsRowFormula>
    </tableColumn>
    <tableColumn id="73" xr3:uid="{370C5845-8ECD-454A-AC1D-0BA1EC3ACCCD}" name="Q1 2033" totalsRowFunction="custom" dataDxfId="136" totalsRowDxfId="137">
      <totalsRowFormula>BC169/BB169-1</totalsRowFormula>
    </tableColumn>
    <tableColumn id="74" xr3:uid="{C40A15AF-9AEE-674F-904B-2D0AE1D3E6E8}" name="Q2 2033" totalsRowFunction="custom" dataDxfId="134" totalsRowDxfId="135">
      <totalsRowFormula>BD169/BC169-1</totalsRowFormula>
    </tableColumn>
    <tableColumn id="75" xr3:uid="{F80B2CED-0F24-084A-A207-49B9C0ADC933}" name="Q3 2033" totalsRowFunction="custom" dataDxfId="132" totalsRowDxfId="133">
      <totalsRowFormula>BE169/BD169-1</totalsRowFormula>
    </tableColumn>
    <tableColumn id="86" xr3:uid="{983A8F06-D99F-084D-B74B-6DC6051B624B}" name="Q4 2033" totalsRowFunction="custom" dataDxfId="130" totalsRowDxfId="131">
      <totalsRowFormula>BF169/BE169-1</totalsRowFormula>
    </tableColumn>
    <tableColumn id="87" xr3:uid="{1F1BF308-940F-4841-8617-A0B2EA882ABC}" name="Q1 2034" totalsRowFunction="custom" dataDxfId="128" totalsRowDxfId="129">
      <totalsRowFormula>BG169/BF169-1</totalsRowFormula>
    </tableColumn>
    <tableColumn id="88" xr3:uid="{EB088407-D244-1340-A0C7-7990B835168F}" name="Q2 2034" totalsRowFunction="custom" dataDxfId="126" totalsRowDxfId="127">
      <totalsRowFormula>BH169/BG169-1</totalsRowFormula>
    </tableColumn>
    <tableColumn id="89" xr3:uid="{0B6610D8-CE48-FE4C-8247-826F17B04A36}" name="Q3 2034" totalsRowFunction="custom" dataDxfId="124" totalsRowDxfId="125">
      <totalsRowFormula>BI169/BH169-1</totalsRowFormula>
    </tableColumn>
    <tableColumn id="90" xr3:uid="{FBC3C919-6A0A-AB4F-A6F1-A3F6A29F92D9}" name="Q4 2034" totalsRowFunction="custom" dataDxfId="122" totalsRowDxfId="123">
      <totalsRowFormula>BJ169/BI169-1</totalsRowFormula>
    </tableColumn>
    <tableColumn id="91" xr3:uid="{DE4423E8-EDE8-BE4B-9F74-8C7628F3CC06}" name="Q1 2035" totalsRowFunction="custom" dataDxfId="120" totalsRowDxfId="121">
      <totalsRowFormula>BK169/BJ169-1</totalsRowFormula>
    </tableColumn>
    <tableColumn id="92" xr3:uid="{091E90A9-D970-9D47-AAE0-46CFF52E1885}" name="Q2 2035" totalsRowFunction="custom" dataDxfId="118" totalsRowDxfId="119">
      <totalsRowFormula>BL169/BK169-1</totalsRowFormula>
    </tableColumn>
    <tableColumn id="93" xr3:uid="{0DFB7DA4-E32C-C34E-820E-A7A1DCBF8721}" name="Q3 2035" totalsRowFunction="custom" dataDxfId="116" totalsRowDxfId="117">
      <totalsRowFormula>BM169/BL169-1</totalsRowFormula>
    </tableColumn>
    <tableColumn id="94" xr3:uid="{7236F353-F206-AD4B-A6EA-DFC153A369CC}" name="Q4 2035" totalsRowFunction="custom" dataDxfId="114" totalsRowDxfId="115">
      <totalsRowFormula>BN169/BM169-1</totalsRowFormula>
    </tableColumn>
    <tableColumn id="95" xr3:uid="{CD2EA701-53FE-FD48-994F-9400CE3334F8}" name="Q1 2036" totalsRowFunction="custom" dataDxfId="112" totalsRowDxfId="113">
      <totalsRowFormula>BO169/BN169-1</totalsRowFormula>
    </tableColumn>
    <tableColumn id="96" xr3:uid="{3AFCEC33-4FCE-3342-A30F-31B3A4CC04D9}" name="Q2 2036" totalsRowFunction="custom" dataDxfId="110" totalsRowDxfId="111">
      <totalsRowFormula>BP169/BO169-1</totalsRowFormula>
    </tableColumn>
    <tableColumn id="97" xr3:uid="{C3C39590-4570-E048-9548-90AC610A9463}" name="Q3 2036" totalsRowFunction="custom" dataDxfId="108" totalsRowDxfId="109">
      <totalsRowFormula>BQ169/BP169-1</totalsRowFormula>
    </tableColumn>
    <tableColumn id="98" xr3:uid="{8D18AFAC-0C2C-0F46-BB73-1BC7677B0DDE}" name="Q4 2036" totalsRowFunction="custom" dataDxfId="106" totalsRowDxfId="107">
      <totalsRowFormula>BR169/BQ169-1</totalsRowFormula>
    </tableColumn>
    <tableColumn id="99" xr3:uid="{651AFC0A-9B38-B948-93B5-585AF5FB8B20}" name="Q1 2037" totalsRowFunction="custom" dataDxfId="104" totalsRowDxfId="105">
      <totalsRowFormula>BS169/BR169-1</totalsRowFormula>
    </tableColumn>
    <tableColumn id="100" xr3:uid="{C37ACA4E-BFA0-4640-B915-DB9A18CDD9C1}" name="Q2 2037" totalsRowFunction="custom" dataDxfId="102" totalsRowDxfId="103">
      <totalsRowFormula>BT169/BS169-1</totalsRowFormula>
    </tableColumn>
    <tableColumn id="101" xr3:uid="{A97D7A40-CA27-0D40-B59F-B35C01A7E492}" name="Q3 2037" totalsRowFunction="custom" dataDxfId="100" totalsRowDxfId="101">
      <totalsRowFormula>BU169/BT169-1</totalsRowFormula>
    </tableColumn>
    <tableColumn id="102" xr3:uid="{6A0FDC48-512D-074D-9103-A9A2C492233F}" name="Q4 2037" totalsRowFunction="custom" dataDxfId="98" totalsRowDxfId="99">
      <totalsRowFormula>BV169/BU169-1</totalsRowFormula>
    </tableColumn>
    <tableColumn id="103" xr3:uid="{64969319-90DB-634F-A4C6-EF075EE01CAD}" name="Q1 2038" totalsRowFunction="custom" dataDxfId="96" totalsRowDxfId="97">
      <totalsRowFormula>BW169/BV169-1</totalsRowFormula>
    </tableColumn>
    <tableColumn id="104" xr3:uid="{340C1BF5-1B11-524C-97B6-57B6C91F10C2}" name="Q2 2038" totalsRowFunction="custom" dataDxfId="94" totalsRowDxfId="95">
      <totalsRowFormula>BX169/BW169-1</totalsRowFormula>
    </tableColumn>
    <tableColumn id="105" xr3:uid="{CEDD81C9-0802-5B47-9B8B-5376BC49A48F}" name="Q3 2038" totalsRowFunction="custom" dataDxfId="92" totalsRowDxfId="93">
      <totalsRowFormula>BY169/BX169-1</totalsRowFormula>
    </tableColumn>
    <tableColumn id="106" xr3:uid="{983A41CE-5697-434D-AA07-4855258A90FE}" name="Q4 2038" totalsRowFunction="custom" dataDxfId="90" totalsRowDxfId="91">
      <totalsRowFormula>BZ169/BY169-1</totalsRowFormula>
    </tableColumn>
    <tableColumn id="107" xr3:uid="{0527C35B-E074-7847-81FA-EA5C82DF1765}" name="Q1 2039" totalsRowFunction="custom" dataDxfId="88" totalsRowDxfId="89">
      <totalsRowFormula>CA169/BZ169-1</totalsRowFormula>
    </tableColumn>
    <tableColumn id="108" xr3:uid="{23455324-BBAF-EA49-B4DB-99452CD1A4F1}" name="Q2 2039" totalsRowFunction="custom" dataDxfId="86" totalsRowDxfId="87">
      <totalsRowFormula>CB169/CA169-1</totalsRowFormula>
    </tableColumn>
    <tableColumn id="109" xr3:uid="{F29FE8E7-C5C1-0449-989C-AA1A8A4DD513}" name="Q3 2039" totalsRowFunction="custom" dataDxfId="84" totalsRowDxfId="85">
      <totalsRowFormula>CC169/CB169-1</totalsRowFormula>
    </tableColumn>
    <tableColumn id="110" xr3:uid="{F5C757CB-6065-B44C-A34F-F22935402286}" name="Q4 2039" totalsRowFunction="custom" dataDxfId="82" totalsRowDxfId="83">
      <totalsRowFormula>CD169/CC169-1</totalsRowFormula>
    </tableColumn>
    <tableColumn id="111" xr3:uid="{252C2099-B54F-3742-B777-148C1139B229}" name="Q1 2040" totalsRowFunction="custom" dataDxfId="80" totalsRowDxfId="81">
      <totalsRowFormula>CE169/CD169-1</totalsRowFormula>
    </tableColumn>
    <tableColumn id="112" xr3:uid="{D8AC8885-59C8-E147-AB6D-C06408ED1D46}" name="Q2 2040" totalsRowFunction="custom" dataDxfId="78" totalsRowDxfId="79">
      <totalsRowFormula>CF169/CE169-1</totalsRowFormula>
    </tableColumn>
    <tableColumn id="113" xr3:uid="{9723AAA6-1961-864F-AB74-9F16DB1389B7}" name="Q3 2040" totalsRowFunction="custom" dataDxfId="76" totalsRowDxfId="77">
      <totalsRowFormula>CG169/CF169-1</totalsRowFormula>
    </tableColumn>
    <tableColumn id="114" xr3:uid="{9A6C73E4-70E2-1F44-A394-C775E5FFA141}" name="Q4 2040" totalsRowFunction="custom" dataDxfId="74" totalsRowDxfId="75">
      <totalsRowFormula>CH169/CG169-1</totalsRowFormula>
    </tableColumn>
    <tableColumn id="115" xr3:uid="{CD595F5A-E3E7-C846-A229-BB1DAA79B6BF}" name="Q1 2041" totalsRowFunction="custom" dataDxfId="72" totalsRowDxfId="73">
      <totalsRowFormula>CI169/CH169-1</totalsRowFormula>
    </tableColumn>
    <tableColumn id="116" xr3:uid="{6B51CF72-0385-4C4D-8714-2F07A25B54E7}" name="Q2 2041" totalsRowFunction="custom" dataDxfId="70" totalsRowDxfId="71">
      <totalsRowFormula>CJ169/CI169-1</totalsRowFormula>
    </tableColumn>
    <tableColumn id="117" xr3:uid="{95710F10-4762-C34E-B47B-3BDC15E4C479}" name="Q3 2041" totalsRowFunction="custom" dataDxfId="68" totalsRowDxfId="69">
      <totalsRowFormula>CK169/CJ169-1</totalsRowFormula>
    </tableColumn>
    <tableColumn id="118" xr3:uid="{20C69DF2-FA19-0342-A230-E69AAEB5F962}" name="Q4 2041" totalsRowFunction="custom" dataDxfId="66" totalsRowDxfId="67">
      <totalsRowFormula>CL169/CK169-1</totalsRowFormula>
    </tableColumn>
    <tableColumn id="119" xr3:uid="{63C71303-0693-0949-B70C-D98F1120623A}" name="Q1 2042" totalsRowFunction="custom" dataDxfId="64" totalsRowDxfId="65">
      <totalsRowFormula>CM169/CL169-1</totalsRowFormula>
    </tableColumn>
    <tableColumn id="120" xr3:uid="{0D0E7DEB-DDDC-4A4A-96FB-27537C13B292}" name="Q2 2042" totalsRowFunction="custom" dataDxfId="62" totalsRowDxfId="63">
      <totalsRowFormula>CN169/CM169-1</totalsRowFormula>
    </tableColumn>
    <tableColumn id="121" xr3:uid="{70258403-74B7-A34C-A975-0DE0261CBCD5}" name="Q3 2042" totalsRowFunction="custom" dataDxfId="60" totalsRowDxfId="61">
      <totalsRowFormula>CO169/CN169-1</totalsRowFormula>
    </tableColumn>
    <tableColumn id="122" xr3:uid="{8AF56F9D-9D5E-EA4D-811A-DA90E71F1B1F}" name="Q4 2042" totalsRowFunction="custom" dataDxfId="58" totalsRowDxfId="59">
      <totalsRowFormula>CP169/CO169-1</totalsRowFormula>
    </tableColumn>
    <tableColumn id="123" xr3:uid="{AA8EBAA3-484D-C545-8F5D-F9BB9BA11668}" name="Q1 2043" totalsRowFunction="custom" dataDxfId="56" totalsRowDxfId="57">
      <totalsRowFormula>CQ169/CP169-1</totalsRowFormula>
    </tableColumn>
    <tableColumn id="124" xr3:uid="{7D95F78C-252E-7849-B160-8BB73ABE82B8}" name="Q2 2043" totalsRowFunction="custom" dataDxfId="54" totalsRowDxfId="55">
      <totalsRowFormula>CR169/CQ169-1</totalsRowFormula>
    </tableColumn>
    <tableColumn id="125" xr3:uid="{6824987F-288E-F84E-B653-213803AE01CE}" name="Q3 2043" totalsRowFunction="custom" dataDxfId="52" totalsRowDxfId="53">
      <totalsRowFormula>CS169/CR169-1</totalsRowFormula>
    </tableColumn>
    <tableColumn id="126" xr3:uid="{068F8924-03AC-A84E-87F7-D8F9188B3A60}" name="Q4 2043" totalsRowFunction="custom" dataDxfId="50" totalsRowDxfId="51">
      <totalsRowFormula>CT169/CS169-1</totalsRowFormula>
    </tableColumn>
    <tableColumn id="127" xr3:uid="{A470AE7A-B84E-674A-ADF2-F971B7B7800F}" name="Q1 2044" totalsRowFunction="custom" dataDxfId="48" totalsRowDxfId="49">
      <totalsRowFormula>CU169/CT169-1</totalsRowFormula>
    </tableColumn>
    <tableColumn id="128" xr3:uid="{4771A513-F647-7D48-ABD1-E454F4C281D5}" name="Q2 2044" totalsRowFunction="custom" dataDxfId="46" totalsRowDxfId="47">
      <totalsRowFormula>CV169/CU169-1</totalsRowFormula>
    </tableColumn>
    <tableColumn id="129" xr3:uid="{2EB48A28-A358-3840-A6C0-E9192CD37035}" name="Q3 2044" totalsRowFunction="custom" dataDxfId="44" totalsRowDxfId="45">
      <totalsRowFormula>CW169/CV169-1</totalsRowFormula>
    </tableColumn>
    <tableColumn id="130" xr3:uid="{8FEEFA02-BDAE-454A-8ACB-75D726CB4ECE}" name="Q4 2044" totalsRowFunction="custom" dataDxfId="42" totalsRowDxfId="43">
      <totalsRowFormula>CX169/CW169-1</totalsRowFormula>
    </tableColumn>
    <tableColumn id="131" xr3:uid="{029126A4-CD2F-5141-A3F5-A17AF36A69F7}" name="Q1 2045" totalsRowFunction="custom" dataDxfId="40" totalsRowDxfId="41">
      <totalsRowFormula>CY169/CX169-1</totalsRowFormula>
    </tableColumn>
    <tableColumn id="132" xr3:uid="{E4A65D51-19D4-E24B-BCB1-1F805C8FAAA0}" name="Q2 2045" totalsRowFunction="custom" dataDxfId="38" totalsRowDxfId="39">
      <totalsRowFormula>CZ169/CY169-1</totalsRowFormula>
    </tableColumn>
    <tableColumn id="133" xr3:uid="{BF80789C-D100-564B-BB80-AAE15259B79F}" name="Q3 2045" totalsRowFunction="custom" dataDxfId="36" totalsRowDxfId="37">
      <totalsRowFormula>DA169/CZ169-1</totalsRowFormula>
    </tableColumn>
    <tableColumn id="134" xr3:uid="{2A2D2577-97D4-514C-8C4C-06184D3A0E95}" name="Q4 2045" totalsRowFunction="custom" dataDxfId="34" totalsRowDxfId="35">
      <totalsRowFormula>DB169/DA169-1</totalsRowFormula>
    </tableColumn>
    <tableColumn id="135" xr3:uid="{A3326C2C-10F8-6D42-993F-7D6CEB0D58F3}" name="Q1 2046" totalsRowFunction="custom" dataDxfId="32" totalsRowDxfId="33">
      <totalsRowFormula>DC169/DB169-1</totalsRowFormula>
    </tableColumn>
    <tableColumn id="136" xr3:uid="{F9C2066B-57FA-F349-B22F-AC7BDE9C4B4E}" name="Q2 2046" totalsRowFunction="custom" dataDxfId="30" totalsRowDxfId="31">
      <totalsRowFormula>DD169/DC169-1</totalsRowFormula>
    </tableColumn>
    <tableColumn id="137" xr3:uid="{A99C37CF-A580-4143-B646-37921A9B754C}" name="Q3 2046" totalsRowFunction="custom" dataDxfId="28" totalsRowDxfId="29">
      <totalsRowFormula>DE169/DD169-1</totalsRowFormula>
    </tableColumn>
    <tableColumn id="138" xr3:uid="{EE4BBFCF-1486-4847-8A47-9E21A708028E}" name="Q4 2046" totalsRowFunction="custom" dataDxfId="26" totalsRowDxfId="27">
      <totalsRowFormula>DF169/DE169-1</totalsRowFormula>
    </tableColumn>
    <tableColumn id="139" xr3:uid="{9F309202-EE65-BB40-AF70-6802014E435B}" name="Q1 2047" totalsRowFunction="custom" dataDxfId="24" totalsRowDxfId="25">
      <totalsRowFormula>DG169/DF169-1</totalsRowFormula>
    </tableColumn>
    <tableColumn id="140" xr3:uid="{84909ED7-B1B5-F245-AADB-BBD6E9B20C42}" name="Q2 2047" totalsRowFunction="custom" dataDxfId="22" totalsRowDxfId="23">
      <totalsRowFormula>DH169/DG169-1</totalsRowFormula>
    </tableColumn>
    <tableColumn id="141" xr3:uid="{6E973867-6A77-E947-B8A0-7F6EA7D7E2DB}" name="Q3 2047" totalsRowFunction="custom" dataDxfId="20" totalsRowDxfId="21">
      <totalsRowFormula>DI169/DH169-1</totalsRowFormula>
    </tableColumn>
    <tableColumn id="142" xr3:uid="{08DDBCAE-5C8B-EE45-9035-818554F33E63}" name="Q4 2047" totalsRowFunction="custom" dataDxfId="18" totalsRowDxfId="19">
      <totalsRowFormula>DJ169/DI169-1</totalsRowFormula>
    </tableColumn>
    <tableColumn id="143" xr3:uid="{176323D6-111A-BF42-B3F8-1D943FAEFC6D}" name="Q1 2048" totalsRowFunction="custom" dataDxfId="16" totalsRowDxfId="17">
      <totalsRowFormula>DK169/DJ169-1</totalsRowFormula>
    </tableColumn>
    <tableColumn id="144" xr3:uid="{1D9A01AB-4F62-9648-BC41-FFA3541A0D63}" name="Q2 2048" totalsRowFunction="custom" dataDxfId="14" totalsRowDxfId="15">
      <totalsRowFormula>DL169/DK169-1</totalsRowFormula>
    </tableColumn>
    <tableColumn id="145" xr3:uid="{1C1A0335-3D20-2E43-AA4B-3DFCECED123B}" name="Q3 2048" totalsRowFunction="custom" dataDxfId="12" totalsRowDxfId="13">
      <totalsRowFormula>DM169/DL169-1</totalsRowFormula>
    </tableColumn>
    <tableColumn id="146" xr3:uid="{F5F55171-8AEA-A147-A558-386C644866B7}" name="Q4 2048" totalsRowFunction="custom" dataDxfId="10" totalsRowDxfId="11">
      <totalsRowFormula>DN169/DM169-1</totalsRowFormula>
    </tableColumn>
    <tableColumn id="147" xr3:uid="{D3CD753F-8AC0-C740-847B-5638EA355F24}" name="Q1 2049" totalsRowFunction="custom" dataDxfId="8" totalsRowDxfId="9">
      <totalsRowFormula>DO169/DN169-1</totalsRowFormula>
    </tableColumn>
    <tableColumn id="148" xr3:uid="{C3C295DD-6069-664A-BE3D-AE87212579B8}" name="Q2 2049" totalsRowFunction="custom" dataDxfId="6" totalsRowDxfId="7">
      <totalsRowFormula>DP169/DO169-1</totalsRowFormula>
    </tableColumn>
    <tableColumn id="149" xr3:uid="{0FD97CE2-6A05-0A45-9F2D-4FD9F81E14B8}" name="Q3 2049" totalsRowFunction="custom" dataDxfId="4" totalsRowDxfId="5">
      <totalsRowFormula>DQ169/DP169-1</totalsRowFormula>
    </tableColumn>
    <tableColumn id="150" xr3:uid="{65F568AE-DC98-BD4C-9A58-0A49C6765BD6}" name="Q4 2049" totalsRowFunction="custom" dataDxfId="2" totalsRowDxfId="3">
      <totalsRowFormula>DR169/DQ169-1</totalsRowFormula>
    </tableColumn>
    <tableColumn id="47" xr3:uid="{64C32E21-6774-6548-8874-BAA1096FB0CC}" name="CAGR" dataDxfId="0" totalsRow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 ref="E28" dT="2024-03-26T17:19:20.93" personId="{D03EAF95-B72C-4150-BA5F-499FA4D3D7A9}" id="{F2F4E2E4-3A3A-4B47-8880-B593D8A97CA7}">
    <text>above US industry average (32.28%)</text>
  </threadedComment>
  <threadedComment ref="E29" dT="2024-03-26T17:17:38.72" personId="{D03EAF95-B72C-4150-BA5F-499FA4D3D7A9}" id="{910EDA9F-A006-4908-880D-7AB146FB4D6F}">
    <text>well above US industry average (19.23%)</text>
  </threadedComment>
  <threadedComment ref="C43" dT="2024-03-12T09:48:00.84" personId="{A3FDCCA8-5BEA-C441-AE6A-3868AA545572}" id="{09A8A31E-8D47-8C45-A833-79089C2EDE8A}">
    <text>https://www.theverge.com/2023/10/26/23934172/ford-12-billion-ev-investment-postpone-q3-earnings</text>
    <extLst>
      <x:ext xmlns:xltc2="http://schemas.microsoft.com/office/spreadsheetml/2020/threadedcomments2" uri="{F7C98A9C-CBB3-438F-8F68-D28B6AF4A901}">
        <xltc2:checksum>2206940590</xltc2:checksum>
        <xltc2:hyperlink startIndex="0" length="95" url="https://www.theverge.com/2023/10/26/23934172/ford-12-billion-ev-investment-postpone-q3-earnings"/>
      </x:ext>
    </extLst>
  </threadedComment>
  <threadedComment ref="D47" dT="2024-03-26T17:01:48.13" personId="{D03EAF95-B72C-4150-BA5F-499FA4D3D7A9}" id="{7444AB9C-2329-4F49-A9C5-8ABB5BF68676}">
    <text>Acquisition of their biggest operation (Pilgangoora Op.) and start of the company as a lithium explorer</text>
  </threadedComment>
  <threadedComment ref="C54" dT="2024-03-26T16:58:57.93" personId="{D03EAF95-B72C-4150-BA5F-499FA4D3D7A9}" id="{477D8F2E-2AFE-4D66-B0A6-F51B466FA634}">
    <text>Sales growth due to increase of the lithium price and demand</text>
  </threadedComment>
  <threadedComment ref="C55" dT="2024-03-26T16:58:52.28" personId="{D03EAF95-B72C-4150-BA5F-499FA4D3D7A9}" id="{665EDD97-46DA-4F30-8CF6-11C2B5FF8A72}">
    <text xml:space="preserve">Sales growth due to mostly the increase of the lithium price but also due to the increase in production </text>
  </threadedComment>
  <threadedComment ref="E55" dT="2024-03-26T17:00:57.08" personId="{D03EAF95-B72C-4150-BA5F-499FA4D3D7A9}" id="{D6629377-BD9E-4BAE-8494-AB42E2D7F546}">
    <text>in the previous years they issued shares and payed no dividends 
2023 they did not issue any shares and payed dividends</text>
  </threadedComment>
  <threadedComment ref="G55" dT="2024-03-26T17:02:10.74" personId="{D03EAF95-B72C-4150-BA5F-499FA4D3D7A9}" id="{FB23E616-09F3-4BF0-AD2C-CBA0C410E552}">
    <text>High increase in assets</text>
  </threadedComment>
  <threadedComment ref="I55" dT="2024-03-26T17:02:45.07" personId="{D03EAF95-B72C-4150-BA5F-499FA4D3D7A9}" id="{5F5FE2F1-C1FA-4F7B-96F2-B21F2147FEC7}">
    <text>investment in capital expenditure in order to grow - increase of capacity operarions, eg.: the "P1000" expansion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4-03-14T00:04:49.90" personId="{BEA38C63-3C5A-41E4-814F-2AAFF6D4FFD3}" id="{9FEAFEE5-C28A-4B91-A37D-17F8AABC322E}">
    <text>The Pilgan plant is the main and first plant of the Pilgangoora operation.</text>
  </threadedComment>
  <threadedComment ref="L5" dT="2024-03-29T21:32:48.50" personId="{BEA38C63-3C5A-41E4-814F-2AAFF6D4FFD3}" id="{0706D5EB-C771-45C4-9BA6-F72AA504616B}">
    <text>Increase in lithium prices and production.</text>
  </threadedComment>
  <threadedComment ref="O5" dT="2024-03-29T21:10:10.95" personId="{BEA38C63-3C5A-41E4-814F-2AAFF6D4FFD3}" id="{E758E1E0-FB5D-4B1C-910F-2DEDA9692D50}">
    <text>Commercial production at Pilgangoora declared</text>
  </threadedComment>
  <threadedComment ref="C6" dT="2024-03-14T00:41:39.56" personId="{BEA38C63-3C5A-41E4-814F-2AAFF6D4FFD3}" id="{EA4EBF37-B958-4A52-9E05-7DF38326D799}">
    <text>This is the second plant of the Pilgangoora Operation, that started its operation in 2022, after being bought in 2021. Before being named Ngungaju this plant belonged to Altura Lithium Operations Pty Ltd.</text>
  </threadedComment>
  <threadedComment ref="K8" dT="2024-03-29T21:27:54.16" personId="{BEA38C63-3C5A-41E4-814F-2AAFF6D4FFD3}" id="{C5485CFD-9B98-4CCB-9838-58860A861AA3}">
    <text>Changes in lithium prices between loading and delivery.</text>
  </threadedComment>
  <threadedComment ref="M8" dT="2024-03-29T21:28:01.17" personId="{BEA38C63-3C5A-41E4-814F-2AAFF6D4FFD3}" id="{B074A748-C219-4CF8-BD22-67CFF44A36F3}">
    <text>Changes in lithium prices between loading and delivery.</text>
  </threadedComment>
  <threadedComment ref="L15" dT="2024-03-29T21:39:50.16" personId="{BEA38C63-3C5A-41E4-814F-2AAFF6D4FFD3}" id="{ABAC8D56-453A-48F8-AB5E-D026F87EBE21}">
    <text>Increase in lithium prices and production.</text>
  </threadedComment>
  <threadedComment ref="O15" dT="2024-03-29T21:10:21.70" personId="{BEA38C63-3C5A-41E4-814F-2AAFF6D4FFD3}" id="{6C8B54F1-DE04-44C8-8530-9246F0C108E5}">
    <text>Commercial production at Pilgangoora declared </text>
  </threadedComment>
  <threadedComment ref="C17" dT="2024-03-14T00:48:14.06" personId="{BEA38C63-3C5A-41E4-814F-2AAFF6D4FFD3}" id="{3EC785AD-B17D-47BD-9CA8-A765F5CE7464}">
    <text>This category exists because the sales of the by-product are credited to the costs of producing spodumene concentrate.</text>
  </threadedComment>
  <threadedComment ref="C18" dT="2024-03-14T00:50:28.34" personId="{BEA38C63-3C5A-41E4-814F-2AAFF6D4FFD3}" id="{AD4A0F99-86A8-46AC-9838-4C2407680A53}">
    <text>This category exists because costumer sales contracts can contain provisional pricing at the time the product is delivered to the vessel, with the final pricing determined at a later time when the relevant pricing information is available.</text>
  </threadedComment>
  <threadedComment ref="C19" dT="2024-03-14T00:51:52.49" personId="{BEA38C63-3C5A-41E4-814F-2AAFF6D4FFD3}" id="{F9D3EFBE-A790-4650-A729-BA5DE6083378}">
    <text>This category exists because the group holds derivative financial instruments to hedge its foreign currency risk exposure.</text>
  </threadedComment>
</ThreadedComments>
</file>

<file path=xl/threadedComments/threadedComment3.xml><?xml version="1.0" encoding="utf-8"?>
<ThreadedComments xmlns="http://schemas.microsoft.com/office/spreadsheetml/2018/threadedcomments" xmlns:x="http://schemas.openxmlformats.org/spreadsheetml/2006/main">
  <threadedComment ref="I3" dT="2024-03-25T12:27:00.08" personId="{81FA3967-5FE6-4FF1-9D68-592095C0B127}" id="{F2EBB7DA-A7F9-45CA-893F-BDB994819B23}">
    <text>The company has not disclosed its annual report yet nor mentions when will it do so, although it has already disclosed the Q4 Report.</text>
  </threadedComment>
</ThreadedComments>
</file>

<file path=xl/threadedComments/threadedComment4.xml><?xml version="1.0" encoding="utf-8"?>
<ThreadedComments xmlns="http://schemas.microsoft.com/office/spreadsheetml/2018/threadedcomments" xmlns:x="http://schemas.openxmlformats.org/spreadsheetml/2006/main">
  <threadedComment ref="G5" dT="2024-03-08T18:16:16.38" personId="{A3FDCCA8-5BEA-C441-AE6A-3868AA545572}" id="{FDF93925-47D3-AC40-A764-2C591E3D35FE}">
    <text>Supply has caught up to demand, bringing the growth down, said by the CEO Dale Henderson himself.</text>
  </threadedComment>
  <threadedComment ref="G6" dT="2024-03-30T15:59:08.16" personId="{81FA3967-5FE6-4FF1-9D68-592095C0B127}" id="{1A32BBA2-B535-42E6-8952-D4ED201C7DF0}">
    <text xml:space="preserve">H1 FY24: 757
H1 FY23: 2180 </text>
  </threadedComment>
  <threadedComment ref="G7" dT="2024-03-30T16:12:18.26" personId="{81FA3967-5FE6-4FF1-9D68-592095C0B127}" id="{BAEDF2A0-7406-402C-B5D1-58053A6F13E9}">
    <text xml:space="preserve">Gross Margin H1 FY24: 63,67%
Gross Margin H1 FY23: 84,72% </text>
  </threadedComment>
  <threadedComment ref="G8" dT="2024-03-31T17:25:15.38" personId="{81FA3967-5FE6-4FF1-9D68-592095C0B127}" id="{EF01E75A-6721-4895-BC8A-3D2AFAAE96F5}">
    <text>H1 FY24: 482
H1 FY23: 1847</text>
  </threadedComment>
  <threadedComment ref="G12" dT="2024-03-30T16:01:13.41" personId="{81FA3967-5FE6-4FF1-9D68-592095C0B127}" id="{6C1975B9-4012-41FC-9B6F-6A2A6F073955}">
    <text xml:space="preserve">H1 FY24: 415
H1 FY23: 1812
EBITDA Margin H1 FY24: 55%
EBITDA Margin H1 FY23: 83% </text>
  </threadedComment>
  <threadedComment ref="G43" dT="2024-03-30T15:58:21.92" personId="{81FA3967-5FE6-4FF1-9D68-592095C0B127}" id="{CC85FE1E-1E5A-4EE8-A18F-44CE52BB0445}">
    <text>H1 FY24: 2144
H1 FY23: 2226</text>
  </threadedComment>
  <threadedComment ref="C50" dT="2024-03-29T11:09:31.90" personId="{81FA3967-5FE6-4FF1-9D68-592095C0B127}" id="{ACCC4418-AAB1-451D-A392-9BCC1F6B20BA}">
    <text>Inicial Value: 4,1%</text>
  </threadedComment>
  <threadedComment ref="D50" dT="2024-03-29T11:09:49.06" personId="{81FA3967-5FE6-4FF1-9D68-592095C0B127}" id="{FAE75CD3-5FA1-4F1D-B954-C1CD75BE6609}">
    <text>Inicial Value: 4,5%</text>
  </threadedComment>
  <threadedComment ref="C53" dT="2024-03-12T10:24:40.48" personId="{A3FDCCA8-5BEA-C441-AE6A-3868AA545572}" id="{9C381B3F-0E54-5540-A19D-4306BDFF261F}">
    <text>The company is growing and is expected to increase their assets. At the moment they have grown the depreciations, but we believe they have yet to do them in total. In the future whilst having more equipment, they will need to depreciate more.</text>
  </threadedComment>
  <threadedComment ref="C55" dT="2024-03-12T10:29:41.46" personId="{A3FDCCA8-5BEA-C441-AE6A-3868AA545572}" id="{1A3D7FB5-704E-1440-A729-52C6843F0803}">
    <text>In current terms, the company is growing and must conserve it’s funds; After the company growth’s stabilizes, then the stock-based compensation might start. Although there hasn’t been any stock-based compensation, the comapny has offered stock option to it’s board, which has been used by some board members. This demonstrates belief in the company. Inciating monetary compensation early on in the company might introduce the tendency to make board members follow more short-term projects over long-term projects as it would benefit them more in the short run.</text>
  </threadedComment>
  <threadedComment ref="C56" dT="2024-03-11T15:41:23.99" personId="{A3FDCCA8-5BEA-C441-AE6A-3868AA545572}" id="{A34F58E4-9B07-614B-A074-ED2F3174489D}">
    <text>* According to MINERALS RESOURCE RENT TAX (MRRT) of Australia</text>
  </threadedComment>
  <threadedComment ref="C57" dT="2024-03-14T12:08:06.16" personId="{A3FDCCA8-5BEA-C441-AE6A-3868AA545572}" id="{8701BAFA-DC25-624D-81C8-6BC76BE07520}">
    <text>Considering they got their contracts done between 2019 and January 2022</text>
  </threadedComment>
  <threadedComment ref="C60" dT="2024-03-12T10:31:40.79" personId="{A3FDCCA8-5BEA-C441-AE6A-3868AA545572}" id="{D9FDDA90-A1C1-B743-A513-FC9FF300C726}">
    <text>Expansion of the equipment would require an increase in Working Capital Flows, meaning that as the company grows this will also grow. The percentages of the short term and long term are different, since the must preserve cash for any possible unexpected short coming or expansion projects.</text>
  </threadedComment>
  <threadedComment ref="C62" dT="2024-03-12T10:18:23.52" personId="{A3FDCCA8-5BEA-C441-AE6A-3868AA545572}" id="{DEB0E2A5-DB01-8740-B7EF-106A0102FE0A}">
    <text>This is justified by the increase of plants and processing facilities with require constant maintenance in order to achieve the average life expectancy of heavy equipment and mining equipment which can last over 40 years</text>
  </threadedComment>
  <threadedComment ref="C63" dT="2024-03-12T10:34:09.86" personId="{A3FDCCA8-5BEA-C441-AE6A-3868AA545572}" id="{B877E35D-E73A-404A-9CE4-035E3656C213}">
    <text>Although this value in the modelling factors is 0, they have been manually inputed in the model. The model we followed as a consistend increase from 1 to 5% of Revenue to be invested over a period of 5 years, with an interval of 5 years. These expenditures would be related to market expansions and investments in the operation’s expansion.</text>
  </threadedComment>
  <threadedComment ref="C64" dT="2024-03-11T15:41:47.62" personId="{A3FDCCA8-5BEA-C441-AE6A-3868AA545572}" id="{653351EE-F88B-2C4B-A454-5479C4FFAE70}">
    <text xml:space="preserve">*Paying a sustainable dividend to shareholders, with a target dividend payout ratio of between 20-30% of free cash flow ( https://pilbaraminerals.com.au/investors/dividend-information/)
</text>
  </threadedComment>
  <threadedComment ref="C65" dT="2024-03-12T10:35:37.71" personId="{A3FDCCA8-5BEA-C441-AE6A-3868AA545572}" id="{5DF91892-7EDA-8944-A2AF-4E5D66993DB3}">
    <text>These have been picked after having considered the previous year’s repurchases</text>
  </threadedComment>
  <threadedComment ref="C66" dT="2024-03-12T10:20:42.18" personId="{A3FDCCA8-5BEA-C441-AE6A-3868AA545572}" id="{4EB16A53-D51E-7B47-A2C3-170FE49679FE}">
    <text>An increase in leases due to the possibility to lease their equipment since they have a long expected life and allows the company to have more cash available for investments and R&amp;D (Processing Investigation/ Chemicals; Acheiving a more efficient mining; Reducing Waste trough a cutting edge refinery)</text>
  </threadedComment>
  <threadedComment ref="C68" dT="2024-03-12T10:21:54.14" personId="{A3FDCCA8-5BEA-C441-AE6A-3868AA545572}" id="{5DF3215C-B723-8D4A-BBD6-C150C8D165C6}">
    <text xml:space="preserve">Has to be relatively higher than leases, plus any possible cost related to Property and Equipment Tax. </text>
  </threadedComment>
  <threadedComment ref="B116" dT="2024-03-28T23:57:15.50" personId="{A3FDCCA8-5BEA-C441-AE6A-3868AA545572}" id="{1A8B01AC-DBBF-1A46-BC3F-0ADD98C8965B}">
    <text>This value is for mining (general), not specifically Lithium, therefore we will use this as the lowest value possible for Pilbara</text>
  </threadedComment>
  <threadedComment ref="B134" dT="2024-03-31T23:10:17.43" personId="{A3FDCCA8-5BEA-C441-AE6A-3868AA545572}" id="{403A5BE2-3AB7-7142-9558-3B6BB433199A}">
    <text>Percentage of Ore Growth + Percentage of Lithium Price</text>
  </threadedComment>
</ThreadedComments>
</file>

<file path=xl/threadedComments/threadedComment5.xml><?xml version="1.0" encoding="utf-8"?>
<ThreadedComments xmlns="http://schemas.microsoft.com/office/spreadsheetml/2018/threadedcomments" xmlns:x="http://schemas.openxmlformats.org/spreadsheetml/2006/main">
  <threadedComment ref="S97" dT="2024-03-26T12:09:05.71" personId="{A3FDCCA8-5BEA-C441-AE6A-3868AA545572}" id="{B3FA1137-501E-AE43-82C0-070E25550CC1}">
    <text xml:space="preserve">European Green Deal, which aims to make Europe climate neutral by 2050, is driving electric
vehicle take up and therefore shifting market sentiment.
</text>
  </threadedComment>
  <threadedComment ref="T109" dT="2024-03-29T20:14:13.71" personId="{A3FDCCA8-5BEA-C441-AE6A-3868AA545572}" id="{307D0333-8DB1-D94F-BF8E-1CEA1F9C352A}">
    <text>These values are due to processing of reserves made by Pilbara. They extract in excess of their processing capacity, so that they can maintain their supply process.</text>
  </threadedComment>
  <threadedComment ref="B141" dT="2024-03-27T16:59:16.02" personId="{A3FDCCA8-5BEA-C441-AE6A-3868AA545572}" id="{3C7510B6-79EF-F046-AD2E-36E9F946A605}">
    <text xml:space="preserve">COVID YEAR
</text>
  </threadedComment>
  <threadedComment ref="B142" dT="2024-03-27T16:59:44.60" personId="{A3FDCCA8-5BEA-C441-AE6A-3868AA545572}" id="{F307B6ED-D40D-A448-B390-E9648EF32820}">
    <text>Big Improvement due to previous year lower performance</text>
  </threadedComment>
  <threadedComment ref="C160" dT="2024-03-27T23:54:23.11" personId="{A3FDCCA8-5BEA-C441-AE6A-3868AA545572}" id="{029D4353-250C-184A-A0F8-8F590EBF2764}">
    <text xml:space="preserve">&lt;80%
</text>
  </threadedComment>
  <threadedComment ref="B171" dT="2024-03-29T00:19:36.47" personId="{A3FDCCA8-5BEA-C441-AE6A-3868AA545572}" id="{4396B837-F4D2-DE48-B18C-91C88AAD0A29}">
    <text>If there is a bigger YoY increase on the BEV Sales then on the Ore Processed, then we are in a status of “Surplus of Demand”, if the YoY increase on Ore Processed is bigger then BEV Sales, then we are in a status of “Surplus of Supply”</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arketscreener.com/quote/stock/PILBARA-MINERALS-LIMITED-10354122/company/"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straitsresearch.com/report/lithium-market" TargetMode="External"/><Relationship Id="rId7" Type="http://schemas.openxmlformats.org/officeDocument/2006/relationships/vmlDrawing" Target="../drawings/vmlDrawing2.vml"/><Relationship Id="rId2" Type="http://schemas.openxmlformats.org/officeDocument/2006/relationships/hyperlink" Target="https://www.grandviewresearch.com/industry-analysis/lithium-market" TargetMode="External"/><Relationship Id="rId1" Type="http://schemas.openxmlformats.org/officeDocument/2006/relationships/hyperlink" Target="https://www.acumenresearchandconsulting.com/lithium-compounds-market"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ww.mordorintelligence.com/industry-reports/lithium-market" TargetMode="External"/><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hyperlink" Target="https://1pls.irmau.com/site/pdf/ff0c3ffb-b047-4066-bda0-b9df68c7a477/2023-Annual-Report-incorporating-Appendix-4E.pdf" TargetMode="External"/><Relationship Id="rId13" Type="http://schemas.microsoft.com/office/2017/10/relationships/threadedComment" Target="../threadedComments/threadedComment3.xml"/><Relationship Id="rId3" Type="http://schemas.openxmlformats.org/officeDocument/2006/relationships/hyperlink" Target="https://investingnews.com/top-australian-lithium-stocks" TargetMode="External"/><Relationship Id="rId7" Type="http://schemas.openxmlformats.org/officeDocument/2006/relationships/hyperlink" Target="https://www.insidermonkey.com/blog/lithium-stocks-list-5-biggest-lithium-stocks-2-1199319/4/" TargetMode="External"/><Relationship Id="rId12" Type="http://schemas.openxmlformats.org/officeDocument/2006/relationships/comments" Target="../comments3.xml"/><Relationship Id="rId2" Type="http://schemas.openxmlformats.org/officeDocument/2006/relationships/hyperlink" Target="https://www.ltresources.com.au/wp-content/uploads/2023/09/61171202-1.pdf" TargetMode="External"/><Relationship Id="rId1" Type="http://schemas.openxmlformats.org/officeDocument/2006/relationships/hyperlink" Target="https://www.reuters.com/markets/deals/liontown-gets-sweetened-43-bln-buyout-offer-albemarle-2023-09-03/" TargetMode="External"/><Relationship Id="rId6" Type="http://schemas.openxmlformats.org/officeDocument/2006/relationships/hyperlink" Target="https://www.forbes.com/advisor/investing/best-lithium-stocks/" TargetMode="External"/><Relationship Id="rId11" Type="http://schemas.openxmlformats.org/officeDocument/2006/relationships/vmlDrawing" Target="../drawings/vmlDrawing3.vml"/><Relationship Id="rId5" Type="http://schemas.openxmlformats.org/officeDocument/2006/relationships/hyperlink" Target="https://s3.ap-southeast-2.amazonaws.com/assets.mineralresources.com.au/app/uploads/2023/10/11192614/2023-Annual-Report.pdf" TargetMode="External"/><Relationship Id="rId10" Type="http://schemas.openxmlformats.org/officeDocument/2006/relationships/drawing" Target="../drawings/drawing3.xml"/><Relationship Id="rId4" Type="http://schemas.openxmlformats.org/officeDocument/2006/relationships/hyperlink" Target="https://www.nasdaq.com/articles/3-top-lithium-stocks-to-watch-for-the-coming-quarter" TargetMode="External"/><Relationship Id="rId9"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hyperlink" Target="https://www.fool.com.au/2023/12/07/pilbara-minerals-shares-have-dropped-34-in-4-months-heres-what-to-focus-on/" TargetMode="External"/><Relationship Id="rId7" Type="http://schemas.openxmlformats.org/officeDocument/2006/relationships/comments" Target="../comments5.xml"/><Relationship Id="rId2" Type="http://schemas.openxmlformats.org/officeDocument/2006/relationships/hyperlink" Target="https://www.nasdaq.com/articles/lithium-market-forecast%3A-top-trends-that-will-affect-lithium-in-2024" TargetMode="External"/><Relationship Id="rId1" Type="http://schemas.openxmlformats.org/officeDocument/2006/relationships/hyperlink" Target="https://www.statista.com/statistics/208725/net-profit-margin-of-the-top-mining-companies/" TargetMode="External"/><Relationship Id="rId6" Type="http://schemas.openxmlformats.org/officeDocument/2006/relationships/table" Target="../tables/table1.xml"/><Relationship Id="rId5" Type="http://schemas.openxmlformats.org/officeDocument/2006/relationships/vmlDrawing" Target="../drawings/vmlDrawing5.vm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comments" Target="../comments6.xml"/><Relationship Id="rId3" Type="http://schemas.openxmlformats.org/officeDocument/2006/relationships/vmlDrawing" Target="../drawings/vmlDrawing6.v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12"/>
  <sheetViews>
    <sheetView showGridLines="0" topLeftCell="C1" zoomScale="95" zoomScaleNormal="344" workbookViewId="0">
      <selection activeCell="G120" sqref="G120"/>
    </sheetView>
  </sheetViews>
  <sheetFormatPr defaultColWidth="11.42578125" defaultRowHeight="12.95"/>
  <cols>
    <col min="1" max="1" width="0.42578125" customWidth="1"/>
    <col min="2" max="2" width="21.28515625" bestFit="1" customWidth="1"/>
    <col min="3" max="3" width="23.42578125" customWidth="1"/>
    <col min="4" max="4" width="32" customWidth="1"/>
    <col min="5" max="5" width="20.28515625" bestFit="1" customWidth="1"/>
    <col min="6" max="6" width="17" bestFit="1" customWidth="1"/>
    <col min="7" max="7" width="13.42578125" bestFit="1" customWidth="1"/>
    <col min="8" max="8" width="24.7109375" customWidth="1"/>
    <col min="9" max="9" width="26.42578125" customWidth="1"/>
    <col min="10" max="10" width="10.28515625" customWidth="1"/>
    <col min="11" max="11" width="13.7109375" customWidth="1"/>
    <col min="12" max="12" width="26.7109375" bestFit="1" customWidth="1"/>
    <col min="13" max="13" width="31" customWidth="1"/>
  </cols>
  <sheetData>
    <row r="1" spans="2:17" ht="3.75" customHeight="1" thickBot="1"/>
    <row r="2" spans="2:17" ht="22.5" customHeight="1">
      <c r="B2" s="512">
        <v>45382</v>
      </c>
      <c r="C2" s="513" t="s">
        <v>0</v>
      </c>
      <c r="D2" s="840" t="s">
        <v>1</v>
      </c>
      <c r="E2" s="1247" t="e" vm="1">
        <f>'Inputs (AUD)'!H3</f>
        <v>#VALUE!</v>
      </c>
      <c r="F2" s="1248"/>
      <c r="G2" s="1248"/>
      <c r="H2" s="1248"/>
      <c r="I2" s="1248"/>
      <c r="J2" s="1248"/>
      <c r="K2" s="1249"/>
      <c r="L2" s="514" t="str" cm="1">
        <f t="array" ref="L2">_FV(E2,"Exchange abbreviation",TRUE)</f>
        <v>XASX</v>
      </c>
      <c r="M2" s="515" t="s">
        <v>2</v>
      </c>
    </row>
    <row r="3" spans="2:17" ht="26.25" customHeight="1">
      <c r="B3" s="1187"/>
      <c r="C3" s="1188"/>
      <c r="D3" s="1184" t="s">
        <v>3</v>
      </c>
      <c r="E3" s="1184"/>
      <c r="F3" s="1184"/>
      <c r="G3" s="1184"/>
      <c r="H3" s="1184" t="s">
        <v>4</v>
      </c>
      <c r="I3" s="1184"/>
      <c r="J3" s="1184"/>
      <c r="K3" s="1184"/>
      <c r="L3" s="1184"/>
      <c r="M3" s="1185"/>
    </row>
    <row r="4" spans="2:17" ht="14.1">
      <c r="B4" s="1189"/>
      <c r="C4" s="1190"/>
      <c r="D4" s="1258" t="s">
        <v>5</v>
      </c>
      <c r="E4" s="1258"/>
      <c r="F4" s="1258"/>
      <c r="G4" s="1258"/>
      <c r="H4" s="101" t="s">
        <v>6</v>
      </c>
      <c r="I4" s="102" t="s">
        <v>7</v>
      </c>
      <c r="J4" s="102" t="s">
        <v>8</v>
      </c>
      <c r="K4" s="1262" t="s">
        <v>9</v>
      </c>
      <c r="L4" s="1263"/>
      <c r="M4" s="1264"/>
    </row>
    <row r="5" spans="2:17" ht="14.1">
      <c r="B5" s="1189"/>
      <c r="C5" s="1190"/>
      <c r="D5" s="1258"/>
      <c r="E5" s="1258"/>
      <c r="F5" s="1258"/>
      <c r="G5" s="1258"/>
      <c r="H5" s="1047" t="s">
        <v>10</v>
      </c>
      <c r="I5" s="767" t="s">
        <v>11</v>
      </c>
      <c r="J5" s="511" t="s">
        <v>12</v>
      </c>
      <c r="K5" s="1181" t="s">
        <v>13</v>
      </c>
      <c r="L5" s="1182"/>
      <c r="M5" s="1183"/>
      <c r="N5" s="810"/>
    </row>
    <row r="6" spans="2:17" ht="14.1">
      <c r="B6" s="1189"/>
      <c r="C6" s="1190"/>
      <c r="D6" s="1258"/>
      <c r="E6" s="1258"/>
      <c r="F6" s="1258"/>
      <c r="G6" s="1258"/>
      <c r="H6" s="1047" t="s">
        <v>14</v>
      </c>
      <c r="I6" s="767" t="s">
        <v>15</v>
      </c>
      <c r="J6" s="511" t="s">
        <v>16</v>
      </c>
      <c r="K6" s="1181" t="s">
        <v>17</v>
      </c>
      <c r="L6" s="1182"/>
      <c r="M6" s="1183"/>
    </row>
    <row r="7" spans="2:17" ht="14.1">
      <c r="B7" s="1189"/>
      <c r="C7" s="1190"/>
      <c r="D7" s="1258"/>
      <c r="E7" s="1258"/>
      <c r="F7" s="1258"/>
      <c r="G7" s="1258"/>
      <c r="H7" s="1047" t="s">
        <v>18</v>
      </c>
      <c r="I7" s="767" t="s">
        <v>19</v>
      </c>
      <c r="J7" s="511" t="s">
        <v>16</v>
      </c>
      <c r="K7" s="1181" t="s">
        <v>20</v>
      </c>
      <c r="L7" s="1182"/>
      <c r="M7" s="1183"/>
    </row>
    <row r="8" spans="2:17" ht="14.1">
      <c r="B8" s="1189"/>
      <c r="C8" s="1190"/>
      <c r="D8" s="1258"/>
      <c r="E8" s="1258"/>
      <c r="F8" s="1258"/>
      <c r="G8" s="1258"/>
      <c r="H8" s="1047" t="s">
        <v>21</v>
      </c>
      <c r="I8" s="767" t="s">
        <v>22</v>
      </c>
      <c r="J8" s="511" t="s">
        <v>16</v>
      </c>
      <c r="K8" s="1181" t="s">
        <v>23</v>
      </c>
      <c r="L8" s="1182"/>
      <c r="M8" s="1183"/>
    </row>
    <row r="9" spans="2:17" ht="14.1">
      <c r="B9" s="1189"/>
      <c r="C9" s="1190"/>
      <c r="D9" s="1258"/>
      <c r="E9" s="1258"/>
      <c r="F9" s="1258"/>
      <c r="G9" s="1258"/>
      <c r="H9" s="1047" t="s">
        <v>24</v>
      </c>
      <c r="I9" s="767" t="s">
        <v>25</v>
      </c>
      <c r="J9" s="511" t="s">
        <v>16</v>
      </c>
      <c r="K9" s="1181" t="s">
        <v>26</v>
      </c>
      <c r="L9" s="1182"/>
      <c r="M9" s="1183"/>
    </row>
    <row r="10" spans="2:17" ht="14.1">
      <c r="B10" s="1189"/>
      <c r="C10" s="1190"/>
      <c r="D10" s="1258"/>
      <c r="E10" s="1258"/>
      <c r="F10" s="1258"/>
      <c r="G10" s="1258"/>
      <c r="H10" s="1047" t="s">
        <v>27</v>
      </c>
      <c r="I10" s="767" t="s">
        <v>11</v>
      </c>
      <c r="J10" s="511" t="s">
        <v>16</v>
      </c>
      <c r="K10" s="1181" t="s">
        <v>28</v>
      </c>
      <c r="L10" s="1182"/>
      <c r="M10" s="1183"/>
      <c r="O10" s="768" t="s">
        <v>29</v>
      </c>
    </row>
    <row r="11" spans="2:17" ht="26.85" customHeight="1">
      <c r="B11" s="1189"/>
      <c r="C11" s="1190"/>
      <c r="D11" s="1258"/>
      <c r="E11" s="1258"/>
      <c r="F11" s="1258"/>
      <c r="G11" s="1258"/>
      <c r="H11" s="1184" t="s">
        <v>30</v>
      </c>
      <c r="I11" s="1184"/>
      <c r="J11" s="1184"/>
      <c r="K11" s="1184"/>
      <c r="L11" s="1184"/>
      <c r="M11" s="1185"/>
      <c r="P11" s="299"/>
    </row>
    <row r="12" spans="2:17" ht="14.1">
      <c r="B12" s="1189"/>
      <c r="C12" s="1190"/>
      <c r="D12" s="1258"/>
      <c r="E12" s="1258"/>
      <c r="F12" s="1258"/>
      <c r="G12" s="1258"/>
      <c r="H12" s="1047" t="str">
        <f>H5</f>
        <v>Dale Henderson (M;)</v>
      </c>
      <c r="I12" s="1047" t="str">
        <f t="shared" ref="I12:J12" si="0">I5</f>
        <v>2 years</v>
      </c>
      <c r="J12" s="1047" t="str">
        <f t="shared" si="0"/>
        <v>YES</v>
      </c>
      <c r="K12" s="1181" t="str">
        <f>K5</f>
        <v>Chief Executive Officer of Pilbara Minerals</v>
      </c>
      <c r="L12" s="1182"/>
      <c r="M12" s="1183"/>
      <c r="P12" s="299"/>
    </row>
    <row r="13" spans="2:17" ht="14.1">
      <c r="B13" s="1189"/>
      <c r="C13" s="1190"/>
      <c r="D13" s="1258"/>
      <c r="E13" s="1258"/>
      <c r="F13" s="1258"/>
      <c r="G13" s="1258"/>
      <c r="H13" s="1047" t="s">
        <v>31</v>
      </c>
      <c r="I13" s="767" t="s">
        <v>32</v>
      </c>
      <c r="J13" s="511" t="s">
        <v>12</v>
      </c>
      <c r="K13" s="1186" t="s">
        <v>33</v>
      </c>
      <c r="L13" s="1182"/>
      <c r="M13" s="1183"/>
    </row>
    <row r="14" spans="2:17" ht="14.1">
      <c r="B14" s="1189"/>
      <c r="C14" s="1190"/>
      <c r="D14" s="1258"/>
      <c r="E14" s="1258"/>
      <c r="F14" s="1258"/>
      <c r="G14" s="1258"/>
      <c r="H14" s="1047" t="s">
        <v>34</v>
      </c>
      <c r="I14" s="767" t="s">
        <v>32</v>
      </c>
      <c r="J14" s="511" t="s">
        <v>12</v>
      </c>
      <c r="K14" s="1186" t="s">
        <v>35</v>
      </c>
      <c r="L14" s="1182"/>
      <c r="M14" s="1183"/>
      <c r="Q14" s="248"/>
    </row>
    <row r="15" spans="2:17" ht="14.1">
      <c r="B15" s="1189"/>
      <c r="C15" s="1190"/>
      <c r="D15" s="1258"/>
      <c r="E15" s="1258"/>
      <c r="F15" s="1258"/>
      <c r="G15" s="1258"/>
      <c r="H15" s="1047" t="s">
        <v>36</v>
      </c>
      <c r="I15" s="767" t="s">
        <v>32</v>
      </c>
      <c r="J15" s="511" t="s">
        <v>12</v>
      </c>
      <c r="K15" s="1186" t="s">
        <v>37</v>
      </c>
      <c r="L15" s="1182"/>
      <c r="M15" s="1183"/>
    </row>
    <row r="16" spans="2:17" ht="14.1">
      <c r="B16" s="1189"/>
      <c r="C16" s="1190"/>
      <c r="D16" s="1258"/>
      <c r="E16" s="1258"/>
      <c r="F16" s="1258"/>
      <c r="G16" s="1258"/>
      <c r="H16" s="1047" t="s">
        <v>38</v>
      </c>
      <c r="I16" s="767" t="s">
        <v>32</v>
      </c>
      <c r="J16" s="511" t="s">
        <v>12</v>
      </c>
      <c r="K16" s="1186" t="s">
        <v>39</v>
      </c>
      <c r="L16" s="1182"/>
      <c r="M16" s="1183"/>
    </row>
    <row r="17" spans="2:14" ht="14.1">
      <c r="B17" s="1191"/>
      <c r="C17" s="1192"/>
      <c r="D17" s="1258"/>
      <c r="E17" s="1258"/>
      <c r="F17" s="1258"/>
      <c r="G17" s="1258"/>
      <c r="H17" s="1047" t="s">
        <v>40</v>
      </c>
      <c r="I17" s="767" t="s">
        <v>32</v>
      </c>
      <c r="J17" s="511" t="s">
        <v>12</v>
      </c>
      <c r="K17" s="1186" t="s">
        <v>41</v>
      </c>
      <c r="L17" s="1182"/>
      <c r="M17" s="1183"/>
    </row>
    <row r="18" spans="2:14" ht="14.1">
      <c r="B18" s="1193" t="str" cm="1">
        <f t="array" ref="B18">_FV(E2,"Currency")&amp;" MILLIONS"</f>
        <v>AUD MILLIONS</v>
      </c>
      <c r="C18" s="1194"/>
      <c r="D18" s="1258"/>
      <c r="E18" s="1258"/>
      <c r="F18" s="1258"/>
      <c r="G18" s="1258"/>
      <c r="H18" s="1047" t="s">
        <v>42</v>
      </c>
      <c r="I18" s="1047" t="s">
        <v>43</v>
      </c>
      <c r="J18" s="511" t="s">
        <v>12</v>
      </c>
      <c r="K18" s="1186" t="s">
        <v>44</v>
      </c>
      <c r="L18" s="1182"/>
      <c r="M18" s="1183"/>
    </row>
    <row r="19" spans="2:14" ht="18">
      <c r="B19" s="1156" t="s">
        <v>45</v>
      </c>
      <c r="C19" s="1157"/>
      <c r="D19" s="1157"/>
      <c r="E19" s="1157"/>
      <c r="F19" s="1157"/>
      <c r="G19" s="1157"/>
      <c r="H19" s="1157"/>
      <c r="I19" s="1157"/>
      <c r="J19" s="1157"/>
      <c r="K19" s="1157"/>
      <c r="L19" s="1157"/>
      <c r="M19" s="1158"/>
    </row>
    <row r="20" spans="2:14" ht="15.95">
      <c r="B20" s="1177" t="s">
        <v>46</v>
      </c>
      <c r="C20" s="1178"/>
      <c r="D20" s="1179" t="s">
        <v>47</v>
      </c>
      <c r="E20" s="1180"/>
      <c r="F20" s="1259" t="s">
        <v>48</v>
      </c>
      <c r="G20" s="1260"/>
      <c r="H20" s="1261"/>
      <c r="I20" s="1179" t="s">
        <v>49</v>
      </c>
      <c r="J20" s="1295"/>
      <c r="K20" s="1180"/>
      <c r="L20" s="1179" t="s">
        <v>50</v>
      </c>
      <c r="M20" s="1308"/>
    </row>
    <row r="21" spans="2:14">
      <c r="B21" s="516" t="s">
        <v>51</v>
      </c>
      <c r="C21" s="781" cm="1">
        <f t="array" ref="C21">_FV(E2,"Price")</f>
        <v>3.83</v>
      </c>
      <c r="D21" s="12" t="s">
        <v>52</v>
      </c>
      <c r="E21" s="780">
        <f>_xlfn.XLOOKUP(D21,'Fin. Data'!A:A,'Fin. Data'!B:B,,0)</f>
        <v>5198.8</v>
      </c>
      <c r="F21" s="1250" t="s">
        <v>53</v>
      </c>
      <c r="G21" s="1251"/>
      <c r="H21" s="95" t="s">
        <v>54</v>
      </c>
      <c r="I21" t="s">
        <v>55</v>
      </c>
      <c r="J21" s="1306">
        <v>2023</v>
      </c>
      <c r="K21" s="1307"/>
      <c r="L21" s="11" t="s">
        <v>56</v>
      </c>
      <c r="M21" s="519">
        <f>'Inputs (AUD)'!B82</f>
        <v>0.90369999999999995</v>
      </c>
    </row>
    <row r="22" spans="2:14" ht="12.75" customHeight="1">
      <c r="B22" s="516" t="s">
        <v>57</v>
      </c>
      <c r="C22" s="668" cm="1">
        <f t="array" ref="C22">_FV(E2,"Shares outstanding",TRUE)</f>
        <v>3009468000</v>
      </c>
      <c r="D22" s="11" t="s">
        <v>58</v>
      </c>
      <c r="E22" s="780">
        <f>_xlfn.XLOOKUP(D22,'Fin. Data'!A:A,'Fin. Data'!B:B,,0)</f>
        <v>1808.8</v>
      </c>
      <c r="F22" s="1137" t="str">
        <f>Segments!C5</f>
        <v>Pilgan</v>
      </c>
      <c r="G22" s="1138"/>
      <c r="H22" s="861">
        <f>Segments!B5</f>
        <v>0.69622734844836931</v>
      </c>
      <c r="I22" s="11" t="s">
        <v>59</v>
      </c>
      <c r="J22" s="1254">
        <v>45107</v>
      </c>
      <c r="K22" s="1255"/>
      <c r="L22" s="11" t="s">
        <v>60</v>
      </c>
      <c r="M22" s="519">
        <f>'Inputs (AUD)'!B83</f>
        <v>9.6299999999999997E-2</v>
      </c>
    </row>
    <row r="23" spans="2:14" ht="12.75" customHeight="1">
      <c r="B23" s="516" t="s">
        <v>61</v>
      </c>
      <c r="C23" s="780">
        <f>C21*C22/1000000</f>
        <v>11526.26244</v>
      </c>
      <c r="D23" s="11" t="s">
        <v>62</v>
      </c>
      <c r="E23" s="283">
        <f>_xlfn.XLOOKUP("Cash &amp; Eq.",'Fin. Data'!A:A,'Fin. Data'!B:B,,0)*1000000/C22</f>
        <v>1.0004093746801761</v>
      </c>
      <c r="F23" s="1137" t="str">
        <f>Segments!C6</f>
        <v>Ngungaju</v>
      </c>
      <c r="G23" s="1138"/>
      <c r="H23" s="861">
        <f>Segments!B6</f>
        <v>0.36616827519413836</v>
      </c>
      <c r="I23" s="1256" t="s">
        <v>63</v>
      </c>
      <c r="J23" s="1256"/>
      <c r="K23" s="780">
        <f>_xlfn.XLOOKUP(I23,'Fin. Data'!A:A,'Fin. Data'!B:B,,0)</f>
        <v>3098.7000000000003</v>
      </c>
      <c r="L23" s="8" t="s">
        <v>64</v>
      </c>
      <c r="M23" s="518" cm="1">
        <f t="array" ref="M23">_FV(E2,"Beta")</f>
        <v>1.9342999999999999</v>
      </c>
    </row>
    <row r="24" spans="2:14" ht="12.75" customHeight="1">
      <c r="B24" s="517" t="s">
        <v>65</v>
      </c>
      <c r="C24" s="780">
        <f>'Fin. Data'!B58</f>
        <v>472</v>
      </c>
      <c r="D24" s="11" t="s">
        <v>66</v>
      </c>
      <c r="E24" s="283">
        <f>_xlfn.XLOOKUP("EBITDA",'Fin. Data'!A:A,'Fin. Data'!B:B,,0)/_xlfn.XLOOKUP("Net Financial Cost",'Fin. Data'!A:A,'Fin. Data'!B:B,,0)</f>
        <v>69.013363028953222</v>
      </c>
      <c r="F24" s="1137" t="str">
        <f>Segments!C7</f>
        <v>(elimination of by-product)</v>
      </c>
      <c r="G24" s="1138"/>
      <c r="H24" s="861">
        <f>Segments!B7</f>
        <v>-5.0762557950639507E-4</v>
      </c>
      <c r="I24" s="1257" t="s">
        <v>67</v>
      </c>
      <c r="J24" s="1257"/>
      <c r="K24" s="780">
        <f>_xlfn.XLOOKUP(I24,'Fin. Data'!A:A,'Fin. Data'!B:B,,0)</f>
        <v>1.5</v>
      </c>
      <c r="L24" s="11" t="s">
        <v>68</v>
      </c>
      <c r="M24" s="518" t="str">
        <f>'Inputs (AUD)'!B84</f>
        <v>None</v>
      </c>
    </row>
    <row r="25" spans="2:14" ht="12.75" customHeight="1">
      <c r="B25" s="517" t="s">
        <v>69</v>
      </c>
      <c r="C25" s="780">
        <f>'Fin. Data'!B39</f>
        <v>3010.7</v>
      </c>
      <c r="D25" s="11" t="s">
        <v>70</v>
      </c>
      <c r="E25" s="283">
        <f>_xlfn.XLOOKUP("Total Debt",'Fin. Data'!A:A,'Fin. Data'!B:B,,0)/_xlfn.XLOOKUP("EBITDA",'Fin. Data'!A:A,'Fin. Data'!B:B,,0)</f>
        <v>0.15232194145932162</v>
      </c>
      <c r="F25" s="1137" t="str">
        <f>Segments!C8</f>
        <v>(provisional price adjustment)</v>
      </c>
      <c r="G25" s="1138"/>
      <c r="H25" s="862">
        <f>Segments!B8</f>
        <v>-6.1659652673867915E-2</v>
      </c>
      <c r="I25" s="1257" t="s">
        <v>71</v>
      </c>
      <c r="J25" s="1257"/>
      <c r="K25" s="780">
        <f>_xlfn.XLOOKUP(I25,'Fin. Data'!A:A,'Fin. Data'!B:B,,0)</f>
        <v>3097.2000000000003</v>
      </c>
      <c r="L25" s="11" t="s">
        <v>72</v>
      </c>
      <c r="M25" s="518">
        <f>IFERROR((C21*C22/(E21-E22))/1000000,"")</f>
        <v>3.4000774159292035</v>
      </c>
    </row>
    <row r="26" spans="2:14" ht="12.75" customHeight="1">
      <c r="B26" s="517" t="s">
        <v>73</v>
      </c>
      <c r="C26" s="780">
        <f>C23+C24-C25</f>
        <v>8987.5624400000015</v>
      </c>
      <c r="D26" s="11" t="s">
        <v>74</v>
      </c>
      <c r="E26" s="283">
        <f>_xlfn.XLOOKUP("Other Assets",'Fin. Data'!A:A,'Fin. Data'!B:B,,0)/_xlfn.XLOOKUP("Total Assets",'Fin. Data'!A:A,'Fin. Data'!B:B,,0)</f>
        <v>7.8287297068554321E-2</v>
      </c>
      <c r="F26" s="1137" t="str">
        <f>Segments!C9</f>
        <v>(hedge close-outs)</v>
      </c>
      <c r="G26" s="1138"/>
      <c r="H26" s="862">
        <f>Segments!B9</f>
        <v>-2.2834538913326931E-4</v>
      </c>
      <c r="I26" s="1256" t="s">
        <v>75</v>
      </c>
      <c r="J26" s="1256"/>
      <c r="K26" s="780">
        <f>_xlfn.XLOOKUP(I26,'Fin. Data'!A:A,'Fin. Data'!B:B,,0)</f>
        <v>2391.1</v>
      </c>
      <c r="L26" s="11" t="s">
        <v>76</v>
      </c>
      <c r="M26" s="519">
        <f>IFERROR(K32/E21,"")</f>
        <v>0.1852158190351619</v>
      </c>
    </row>
    <row r="27" spans="2:14" ht="12.75" customHeight="1">
      <c r="B27" s="517" t="s">
        <v>77</v>
      </c>
      <c r="C27" s="112" t="s">
        <v>78</v>
      </c>
      <c r="D27" s="11" t="s">
        <v>79</v>
      </c>
      <c r="E27" s="283">
        <f>_xlfn.XLOOKUP(D27,'Fin. Data'!A:A,'Fin. Data'!B:B,,0)</f>
        <v>9.0790182349773027E-2</v>
      </c>
      <c r="F27" s="1252" t="s">
        <v>80</v>
      </c>
      <c r="G27" s="1253"/>
      <c r="H27" s="96" t="s">
        <v>54</v>
      </c>
      <c r="I27" s="1256" t="s">
        <v>81</v>
      </c>
      <c r="J27" s="1256"/>
      <c r="K27" s="781">
        <f>1000000*K26/C22</f>
        <v>0.79452580987736043</v>
      </c>
      <c r="L27" s="11" t="s">
        <v>82</v>
      </c>
      <c r="M27" s="520">
        <f>IFERROR(C23/K31,"")</f>
        <v>11.917555512665865</v>
      </c>
    </row>
    <row r="28" spans="2:14" ht="12.75" customHeight="1">
      <c r="B28" s="516" t="s">
        <v>83</v>
      </c>
      <c r="C28" s="113" t="s">
        <v>78</v>
      </c>
      <c r="D28" s="11" t="s">
        <v>84</v>
      </c>
      <c r="E28" s="365">
        <f>AVERAGE(_xlfn.XLOOKUP("EBITDA Margin",'Fin. Data'!A:A,'Fin. Data'!B:D,,0))</f>
        <v>0.39491807273979584</v>
      </c>
      <c r="F28" s="1137" t="str">
        <f>Segments!C15</f>
        <v>Spodumene</v>
      </c>
      <c r="G28" s="1138"/>
      <c r="H28" s="861">
        <f>Segments!B15</f>
        <v>1.0618879980630012</v>
      </c>
      <c r="I28" s="1256" t="s">
        <v>85</v>
      </c>
      <c r="J28" s="1256"/>
      <c r="K28" s="61">
        <f>K26/E21</f>
        <v>0.45993306147572516</v>
      </c>
      <c r="L28" s="11" t="s">
        <v>86</v>
      </c>
      <c r="M28" s="521">
        <f>IFERROR(C26/E21,"")</f>
        <v>1.7287763406940064</v>
      </c>
    </row>
    <row r="29" spans="2:14" ht="12.75" customHeight="1">
      <c r="B29" s="516" t="s">
        <v>87</v>
      </c>
      <c r="C29" s="15" t="s">
        <v>88</v>
      </c>
      <c r="D29" s="11" t="s">
        <v>89</v>
      </c>
      <c r="E29" s="365">
        <f>AVERAGE(_xlfn.XLOOKUP("Operating Margin",'Fin. Data'!A:A,'Fin. Data'!B:D,,0))</f>
        <v>0.40216289089516083</v>
      </c>
      <c r="F29" s="1137" t="str">
        <f>Segments!C16</f>
        <v>Tantalite</v>
      </c>
      <c r="G29" s="1138"/>
      <c r="H29" s="861">
        <f>Segments!B16</f>
        <v>5.0762557950639507E-4</v>
      </c>
      <c r="I29" s="1256" t="s">
        <v>90</v>
      </c>
      <c r="J29" s="1256"/>
      <c r="K29" s="61">
        <f>K26/(E21-(E22-C24))</f>
        <v>0.61913516312791295</v>
      </c>
      <c r="L29" s="11" t="s">
        <v>91</v>
      </c>
      <c r="M29" s="521">
        <f>IFERROR(C26/K30,"")</f>
        <v>7.1094758918918926</v>
      </c>
    </row>
    <row r="30" spans="2:14" ht="15.95">
      <c r="B30" s="1177" t="s">
        <v>92</v>
      </c>
      <c r="C30" s="1178"/>
      <c r="D30" s="11" t="s">
        <v>93</v>
      </c>
      <c r="E30" s="365">
        <f>AVERAGE(_xlfn.XLOOKUP("Net Income Margin",'Fin. Data'!A:A,'Fin. Data'!B:D,,0))</f>
        <v>0.25608103386385067</v>
      </c>
      <c r="F30" s="1137" t="str">
        <f>Segments!C17</f>
        <v>(elimination of by-product)</v>
      </c>
      <c r="G30" s="1138"/>
      <c r="H30" s="861">
        <f>Segments!B17</f>
        <v>-5.0762557950639507E-4</v>
      </c>
      <c r="I30" s="1256" t="s">
        <v>94</v>
      </c>
      <c r="J30" s="1256"/>
      <c r="K30" s="780">
        <f>AVERAGE(_xlfn.XLOOKUP("EBITDA",'Fin. Data'!A:A,'Fin. Data'!B:D,,0))</f>
        <v>1264.1666666666667</v>
      </c>
      <c r="L30" s="11" t="s">
        <v>95</v>
      </c>
      <c r="M30" s="520">
        <f>IFERROR(C23/K32,"")</f>
        <v>11.970362903728324</v>
      </c>
    </row>
    <row r="31" spans="2:14" ht="12.75" customHeight="1">
      <c r="B31" s="522" t="s">
        <v>96</v>
      </c>
      <c r="C31" s="598"/>
      <c r="D31" s="523"/>
      <c r="E31" s="118"/>
      <c r="F31" s="1137" t="str">
        <f>Segments!C18</f>
        <v>(provisional price adjustment)</v>
      </c>
      <c r="G31" s="1138"/>
      <c r="H31" s="862">
        <f>Segments!B18</f>
        <v>-6.1659652673867915E-2</v>
      </c>
      <c r="I31" s="1256" t="s">
        <v>97</v>
      </c>
      <c r="J31" s="1256"/>
      <c r="K31" s="780">
        <f>AVERAGE(_xlfn.XLOOKUP("Net Income",'Fin. Data'!A:A,'Fin. Data'!B:D,,0))</f>
        <v>967.16666666666652</v>
      </c>
      <c r="L31" s="11" t="s">
        <v>98</v>
      </c>
      <c r="M31" s="524" t="s">
        <v>78</v>
      </c>
    </row>
    <row r="32" spans="2:14" ht="12.75" customHeight="1">
      <c r="B32" s="522" t="s">
        <v>99</v>
      </c>
      <c r="C32" s="599"/>
      <c r="D32" s="11" t="s">
        <v>100</v>
      </c>
      <c r="E32" s="365">
        <f>-_xlfn.XLOOKUP("Net Financial Cost",'Fin. Data'!A:A,'Fin. Data'!B:B,,0)/AVERAGE(_xlfn.XLOOKUP("Net Debt",'Fin. Data'!A:A,'Fin. Data'!B:D,,0))</f>
        <v>5.0530817421315238E-2</v>
      </c>
      <c r="F32" s="1137" t="str">
        <f>Segments!C19</f>
        <v>(hedge close-outs)</v>
      </c>
      <c r="G32" s="1138"/>
      <c r="H32" s="862">
        <f>Segments!B19</f>
        <v>-2.2834538913326931E-4</v>
      </c>
      <c r="I32" s="1256" t="s">
        <v>101</v>
      </c>
      <c r="J32" s="1256"/>
      <c r="K32" s="780">
        <f>AVERAGE(_xlfn.XLOOKUP("Net Cash Flow",'Fin. Data'!A:A,'Fin. Data'!B:D,,0))</f>
        <v>962.89999999999975</v>
      </c>
      <c r="L32" s="11" t="s">
        <v>102</v>
      </c>
      <c r="M32" s="525">
        <f>-IFERROR(SUM(E53:E55)/(3*C23),"")</f>
        <v>2.4668302913752973E-3</v>
      </c>
    </row>
    <row r="33" spans="1:19" ht="12.6" customHeight="1">
      <c r="B33" s="522" t="s">
        <v>103</v>
      </c>
      <c r="C33" s="600"/>
      <c r="D33" s="115"/>
      <c r="E33" s="117"/>
      <c r="F33" s="1137"/>
      <c r="G33" s="1138"/>
      <c r="H33" s="16"/>
      <c r="I33" s="115"/>
      <c r="J33" s="116"/>
      <c r="K33" s="116"/>
      <c r="L33" s="11" t="s">
        <v>104</v>
      </c>
      <c r="M33" s="526">
        <f>-IFERROR(L54/C23,"")</f>
        <v>2.8612917822822017E-2</v>
      </c>
    </row>
    <row r="34" spans="1:19" ht="18.95" thickBot="1">
      <c r="B34" s="1156" t="s">
        <v>105</v>
      </c>
      <c r="C34" s="1157"/>
      <c r="D34" s="1157"/>
      <c r="E34" s="1157"/>
      <c r="F34" s="1157"/>
      <c r="G34" s="1157"/>
      <c r="H34" s="1157"/>
      <c r="I34" s="1157"/>
      <c r="J34" s="1157"/>
      <c r="K34" s="1157"/>
      <c r="L34" s="1157"/>
      <c r="M34" s="1158"/>
    </row>
    <row r="35" spans="1:19" ht="17.100000000000001" thickBot="1">
      <c r="B35" s="1154" t="s">
        <v>106</v>
      </c>
      <c r="C35" s="1155"/>
      <c r="D35" s="1155"/>
      <c r="E35" s="1155"/>
      <c r="F35" s="1155"/>
      <c r="G35" s="1155"/>
      <c r="H35" s="367" t="s">
        <v>107</v>
      </c>
      <c r="I35" s="1296" t="s">
        <v>108</v>
      </c>
      <c r="J35" s="1297"/>
      <c r="K35" s="1297"/>
      <c r="L35" s="1297"/>
      <c r="M35" s="1298"/>
      <c r="N35" s="10"/>
    </row>
    <row r="36" spans="1:19" ht="13.35" customHeight="1" thickBot="1">
      <c r="A36" s="10"/>
      <c r="B36" s="527" t="s">
        <v>109</v>
      </c>
      <c r="C36" s="1286" t="s">
        <v>110</v>
      </c>
      <c r="D36" s="1287"/>
      <c r="E36" s="1287"/>
      <c r="F36" s="1287"/>
      <c r="G36" s="1288"/>
      <c r="H36" s="1139" t="s">
        <v>111</v>
      </c>
      <c r="I36" s="1162" t="s">
        <v>112</v>
      </c>
      <c r="J36" s="1163"/>
      <c r="K36" s="1163"/>
      <c r="L36" s="1163"/>
      <c r="M36" s="1164"/>
    </row>
    <row r="37" spans="1:19" ht="56.1" customHeight="1" thickBot="1">
      <c r="A37" s="10"/>
      <c r="B37" s="669" t="s">
        <v>113</v>
      </c>
      <c r="C37" s="1142" t="s">
        <v>114</v>
      </c>
      <c r="D37" s="1143"/>
      <c r="E37" s="1143"/>
      <c r="F37" s="1143"/>
      <c r="G37" s="1144"/>
      <c r="H37" s="1140"/>
      <c r="I37" s="1165"/>
      <c r="J37" s="1166"/>
      <c r="K37" s="1166"/>
      <c r="L37" s="1166"/>
      <c r="M37" s="1167"/>
    </row>
    <row r="38" spans="1:19" ht="56.1" customHeight="1">
      <c r="A38" s="10"/>
      <c r="B38" s="669" t="s">
        <v>115</v>
      </c>
      <c r="C38" s="1142" t="s">
        <v>116</v>
      </c>
      <c r="D38" s="1143"/>
      <c r="E38" s="1143"/>
      <c r="F38" s="1143"/>
      <c r="G38" s="1144"/>
      <c r="H38" s="1140"/>
      <c r="I38" s="1165"/>
      <c r="J38" s="1166"/>
      <c r="K38" s="1166"/>
      <c r="L38" s="1166"/>
      <c r="M38" s="1167"/>
    </row>
    <row r="39" spans="1:19" ht="56.1" customHeight="1" thickBot="1">
      <c r="B39" s="669" t="s">
        <v>117</v>
      </c>
      <c r="C39" s="1145" t="s">
        <v>118</v>
      </c>
      <c r="D39" s="1146"/>
      <c r="E39" s="1146"/>
      <c r="F39" s="1146"/>
      <c r="G39" s="1147"/>
      <c r="H39" s="1141"/>
      <c r="I39" s="1168"/>
      <c r="J39" s="1169"/>
      <c r="K39" s="1169"/>
      <c r="L39" s="1169"/>
      <c r="M39" s="1170"/>
    </row>
    <row r="40" spans="1:19" ht="17.100000000000001" thickBot="1">
      <c r="B40" s="1274" t="s">
        <v>119</v>
      </c>
      <c r="C40" s="1275"/>
      <c r="D40" s="1275"/>
      <c r="E40" s="1275"/>
      <c r="F40" s="1275"/>
      <c r="G40" s="1276"/>
      <c r="H40" s="368" t="s">
        <v>120</v>
      </c>
      <c r="I40" s="1171" t="s">
        <v>121</v>
      </c>
      <c r="J40" s="1171"/>
      <c r="K40" s="1171"/>
      <c r="L40" s="1171"/>
      <c r="M40" s="1172"/>
    </row>
    <row r="41" spans="1:19" ht="13.35" customHeight="1" thickBot="1">
      <c r="B41" s="528" t="s">
        <v>122</v>
      </c>
      <c r="C41" s="1277" t="s">
        <v>110</v>
      </c>
      <c r="D41" s="1278"/>
      <c r="E41" s="1278"/>
      <c r="F41" s="1278"/>
      <c r="G41" s="1279"/>
      <c r="H41" s="1151">
        <f>DCF!D76</f>
        <v>4.223070770870871</v>
      </c>
      <c r="I41" s="1266" t="s">
        <v>123</v>
      </c>
      <c r="J41" s="1289">
        <f>DCF!F50</f>
        <v>9.5000000000000001E-2</v>
      </c>
      <c r="K41" s="1290"/>
      <c r="L41" s="1299" t="s">
        <v>124</v>
      </c>
      <c r="M41" s="1303">
        <f>SARD!AJ14</f>
        <v>0.52057586979833093</v>
      </c>
    </row>
    <row r="42" spans="1:19" ht="54.75" customHeight="1" thickBot="1">
      <c r="B42" s="669" t="s">
        <v>125</v>
      </c>
      <c r="C42" s="1148" t="s">
        <v>126</v>
      </c>
      <c r="D42" s="1149"/>
      <c r="E42" s="1149"/>
      <c r="F42" s="1149"/>
      <c r="G42" s="1150"/>
      <c r="H42" s="1152"/>
      <c r="I42" s="1267"/>
      <c r="J42" s="1291"/>
      <c r="K42" s="1292"/>
      <c r="L42" s="1300"/>
      <c r="M42" s="1304"/>
    </row>
    <row r="43" spans="1:19" ht="72.599999999999994" customHeight="1" thickBot="1">
      <c r="B43" s="670" t="s">
        <v>127</v>
      </c>
      <c r="C43" s="1271" t="s">
        <v>128</v>
      </c>
      <c r="D43" s="1272"/>
      <c r="E43" s="1272"/>
      <c r="F43" s="1272"/>
      <c r="G43" s="1273"/>
      <c r="H43" s="1152"/>
      <c r="I43" s="1266" t="s">
        <v>129</v>
      </c>
      <c r="J43" s="1293">
        <f>DCF!D75</f>
        <v>0.10262944409161112</v>
      </c>
      <c r="K43" s="1294"/>
      <c r="L43" s="1301" t="s">
        <v>130</v>
      </c>
      <c r="M43" s="1305">
        <f>SARD!AM14</f>
        <v>0.50668950772378318</v>
      </c>
    </row>
    <row r="44" spans="1:19" ht="39" customHeight="1" thickBot="1">
      <c r="B44" s="671" t="s">
        <v>131</v>
      </c>
      <c r="C44" s="1268" t="s">
        <v>132</v>
      </c>
      <c r="D44" s="1269"/>
      <c r="E44" s="1269"/>
      <c r="F44" s="1269"/>
      <c r="G44" s="1270"/>
      <c r="H44" s="1153"/>
      <c r="I44" s="1267"/>
      <c r="J44" s="1291"/>
      <c r="K44" s="1292"/>
      <c r="L44" s="1302"/>
      <c r="M44" s="1304"/>
    </row>
    <row r="45" spans="1:19" ht="18">
      <c r="B45" s="1156" t="s">
        <v>133</v>
      </c>
      <c r="C45" s="1157"/>
      <c r="D45" s="1157"/>
      <c r="E45" s="1157"/>
      <c r="F45" s="1157"/>
      <c r="G45" s="1157"/>
      <c r="H45" s="1157"/>
      <c r="I45" s="1157"/>
      <c r="J45" s="1157"/>
      <c r="K45" s="1157"/>
      <c r="L45" s="1157"/>
      <c r="M45" s="1158"/>
      <c r="N45" s="90"/>
      <c r="O45" s="90"/>
      <c r="P45" s="90"/>
      <c r="Q45" s="90"/>
      <c r="R45" s="90"/>
      <c r="S45" s="90"/>
    </row>
    <row r="46" spans="1:19">
      <c r="B46" s="529" t="s">
        <v>134</v>
      </c>
      <c r="C46" s="103" t="s">
        <v>135</v>
      </c>
      <c r="D46" s="103" t="s">
        <v>136</v>
      </c>
      <c r="E46" s="122" t="s">
        <v>137</v>
      </c>
      <c r="F46" s="103" t="s">
        <v>138</v>
      </c>
      <c r="G46" s="103" t="s">
        <v>79</v>
      </c>
      <c r="H46" s="121" t="s">
        <v>67</v>
      </c>
      <c r="I46" s="121" t="s">
        <v>139</v>
      </c>
      <c r="J46" s="1160" t="s">
        <v>140</v>
      </c>
      <c r="K46" s="1160"/>
      <c r="L46" s="1160"/>
      <c r="M46" s="1161"/>
      <c r="N46" s="90"/>
      <c r="O46" s="90"/>
      <c r="P46" s="90"/>
      <c r="Q46" s="90"/>
      <c r="R46" s="90"/>
      <c r="S46" s="90"/>
    </row>
    <row r="47" spans="1:19">
      <c r="B47" s="531">
        <f>B48-1</f>
        <v>2015</v>
      </c>
      <c r="C47" s="711" cm="1">
        <f t="array" ref="C47:C55">_xlfn.SORTBY(TRANSPOSE(_xlfn.XLOOKUP(C$46,'Fin. Data'!$A:$A,'Fin. Data'!$B:$J,,0)),$B$47:$B$55,-1)</f>
        <v>0.1</v>
      </c>
      <c r="D47" s="98" cm="1">
        <f t="array" ref="D47:D55">_xlfn.SORTBY(TRANSPOSE(_xlfn.XLOOKUP(D$46,'Fin. Data'!$A:$A,'Fin. Data'!$B:$J,,0)),$B$47:$B$55,-1)</f>
        <v>-52</v>
      </c>
      <c r="E47" s="120" cm="1">
        <f t="array" ref="E47:E55">_xlfn.SORTBY(TRANSPOSE(_xlfn.XLOOKUP(E$46,'Fin. Data'!$A:$A,'Fin. Data'!$B:$J,,0)),$B$47:$B$55,-1)</f>
        <v>5.2</v>
      </c>
      <c r="F47" s="119">
        <f>'Inputs (AUD)'!K77</f>
        <v>0.89999999999999991</v>
      </c>
      <c r="G47" s="98" t="str" cm="1">
        <f t="array" ref="G47:G55">_xlfn.SORTBY(TRANSPOSE(_xlfn.XLOOKUP(G$46,'Fin. Data'!$A:$A,'Fin. Data'!$B:$J,,0)),$B$47:$B$55,-1)</f>
        <v>-</v>
      </c>
      <c r="H47" s="711" cm="1">
        <f t="array" ref="H47:H55">_xlfn.SORTBY(TRANSPOSE(_xlfn.XLOOKUP(H$46,'Fin. Data'!$A:$A,'Fin. Data'!$B:$J,,0)),$B$47:$B$55,-1)</f>
        <v>0</v>
      </c>
      <c r="I47" s="120" cm="1">
        <f t="array" ref="I47:I55">_xlfn.SORTBY(TRANSPOSE(_xlfn.XLOOKUP(I$46,'Fin. Data'!$A:$A,'Fin. Data'!$B:$J,,0)),$B$47:$B$55,-1)</f>
        <v>-1.6</v>
      </c>
      <c r="J47" s="302"/>
      <c r="K47" s="115"/>
      <c r="L47" s="99">
        <f>J21</f>
        <v>2023</v>
      </c>
      <c r="M47" s="532">
        <f>L47-1</f>
        <v>2022</v>
      </c>
      <c r="N47" s="90"/>
      <c r="O47" s="90"/>
      <c r="P47" s="90"/>
      <c r="Q47" s="90"/>
      <c r="R47" s="90"/>
      <c r="S47" s="90"/>
    </row>
    <row r="48" spans="1:19">
      <c r="B48" s="531">
        <f>B49-1</f>
        <v>2016</v>
      </c>
      <c r="C48" s="711">
        <v>0</v>
      </c>
      <c r="D48" s="97" t="str">
        <v>-</v>
      </c>
      <c r="E48" s="120">
        <v>122.7</v>
      </c>
      <c r="F48" s="119">
        <f>'Inputs (AUD)'!J77</f>
        <v>2.0999999999999996</v>
      </c>
      <c r="G48" s="98" t="str">
        <v>-</v>
      </c>
      <c r="H48" s="711">
        <v>0.1</v>
      </c>
      <c r="I48" s="120">
        <v>-6.6</v>
      </c>
      <c r="J48" s="1173" t="s">
        <v>75</v>
      </c>
      <c r="K48" s="1174"/>
      <c r="L48" s="47">
        <f>_xlfn.XLOOKUP($J48,'Fin. Data'!$A:$A,'Fin. Data'!B:B,,0)</f>
        <v>2391.1</v>
      </c>
      <c r="M48" s="533">
        <f>_xlfn.XLOOKUP($J48,'Fin. Data'!$A:$A,'Fin. Data'!C:C,,0)</f>
        <v>561.79999999999995</v>
      </c>
      <c r="N48" s="18">
        <f t="shared" ref="N48:N56" si="1">(C48/C47)-1</f>
        <v>-1</v>
      </c>
      <c r="O48" s="18" t="e">
        <f t="shared" ref="O48:O56" si="2">(D48/D47)-1</f>
        <v>#VALUE!</v>
      </c>
      <c r="P48" s="508"/>
      <c r="Q48" s="17"/>
      <c r="R48" s="17"/>
      <c r="S48" s="17"/>
    </row>
    <row r="49" spans="2:19">
      <c r="B49" s="531">
        <f t="shared" ref="B49:B53" si="3">B50-1</f>
        <v>2017</v>
      </c>
      <c r="C49" s="711">
        <v>0</v>
      </c>
      <c r="D49" s="97" t="str">
        <v>-</v>
      </c>
      <c r="E49" s="120">
        <v>68.400000000000006</v>
      </c>
      <c r="F49" s="119">
        <f>'Inputs (AUD)'!I77</f>
        <v>96.8</v>
      </c>
      <c r="G49" s="98">
        <v>0.36968796433878154</v>
      </c>
      <c r="H49" s="711">
        <v>0.1</v>
      </c>
      <c r="I49" s="120">
        <v>-52.8</v>
      </c>
      <c r="J49" s="1173" t="s">
        <v>141</v>
      </c>
      <c r="K49" s="1174"/>
      <c r="L49" s="47">
        <f>_xlfn.XLOOKUP($J49,'Fin. Data'!$A:$A,'Fin. Data'!B:B,,0)</f>
        <v>3456.7</v>
      </c>
      <c r="M49" s="533">
        <f>_xlfn.XLOOKUP($J49,'Fin. Data'!$A:$A,'Fin. Data'!C:C,,0)</f>
        <v>647.6</v>
      </c>
      <c r="N49" s="18" t="e">
        <f t="shared" si="1"/>
        <v>#DIV/0!</v>
      </c>
      <c r="O49" s="18" t="e">
        <f t="shared" si="2"/>
        <v>#VALUE!</v>
      </c>
      <c r="P49" s="508"/>
      <c r="Q49" s="17">
        <f>F49/F48-1</f>
        <v>45.095238095238102</v>
      </c>
      <c r="R49" s="17">
        <f t="shared" ref="R49:S55" si="4">H49/H48-1</f>
        <v>0</v>
      </c>
      <c r="S49" s="17">
        <f t="shared" si="4"/>
        <v>7</v>
      </c>
    </row>
    <row r="50" spans="2:19">
      <c r="B50" s="531">
        <f t="shared" si="3"/>
        <v>2018</v>
      </c>
      <c r="C50" s="711">
        <v>10.199999999999999</v>
      </c>
      <c r="D50" s="97">
        <v>-1.6568627450980391</v>
      </c>
      <c r="E50" s="120">
        <v>156.4</v>
      </c>
      <c r="F50" s="119">
        <f>'Inputs (AUD)'!H77</f>
        <v>-12.899999999999999</v>
      </c>
      <c r="G50" s="98">
        <v>0.24661654135338343</v>
      </c>
      <c r="H50" s="711">
        <v>0.2</v>
      </c>
      <c r="I50" s="120">
        <v>-214.79999999999998</v>
      </c>
      <c r="J50" s="1173" t="s">
        <v>142</v>
      </c>
      <c r="K50" s="1174"/>
      <c r="L50" s="47">
        <f>_xlfn.XLOOKUP($J50,'Fin. Data'!$A:$A,'Fin. Data'!B:B,,0)</f>
        <v>-408</v>
      </c>
      <c r="M50" s="533">
        <f>_xlfn.XLOOKUP($J50,'Fin. Data'!$A:$A,'Fin. Data'!C:C,,0)</f>
        <v>-204.5</v>
      </c>
      <c r="N50" s="18" t="e">
        <f t="shared" si="1"/>
        <v>#DIV/0!</v>
      </c>
      <c r="O50" s="18" t="e">
        <f t="shared" si="2"/>
        <v>#VALUE!</v>
      </c>
      <c r="P50" s="508"/>
      <c r="Q50" s="17">
        <f t="shared" ref="Q50:Q55" si="5">F50/F49-1</f>
        <v>-1.1332644628099173</v>
      </c>
      <c r="R50" s="17">
        <f t="shared" si="4"/>
        <v>1</v>
      </c>
      <c r="S50" s="17">
        <f t="shared" si="4"/>
        <v>3.0681818181818183</v>
      </c>
    </row>
    <row r="51" spans="2:19">
      <c r="B51" s="531">
        <f t="shared" si="3"/>
        <v>2019</v>
      </c>
      <c r="C51" s="711">
        <v>42.8</v>
      </c>
      <c r="D51" s="97">
        <v>-0.43224299065420563</v>
      </c>
      <c r="E51" s="120">
        <v>60.7</v>
      </c>
      <c r="F51" s="119">
        <f>'Inputs (AUD)'!G77</f>
        <v>32.700000000000003</v>
      </c>
      <c r="G51" s="98">
        <v>0.23870856946591107</v>
      </c>
      <c r="H51" s="711">
        <v>0.2</v>
      </c>
      <c r="I51" s="120">
        <v>-178.3</v>
      </c>
      <c r="J51" s="1175" t="s">
        <v>143</v>
      </c>
      <c r="K51" s="1176"/>
      <c r="L51" s="47">
        <f>_xlfn.XLOOKUP($J51,'Fin. Data'!$A:$A,'Fin. Data'!B:B,,0)</f>
        <v>-385.5</v>
      </c>
      <c r="M51" s="533">
        <f>_xlfn.XLOOKUP($J51,'Fin. Data'!$A:$A,'Fin. Data'!C:C,,0)</f>
        <v>-128.30000000000001</v>
      </c>
      <c r="N51" s="18">
        <f t="shared" si="1"/>
        <v>3.1960784313725492</v>
      </c>
      <c r="O51" s="18">
        <f t="shared" si="2"/>
        <v>-0.73911961510811253</v>
      </c>
      <c r="P51" s="508"/>
      <c r="Q51" s="17">
        <f t="shared" si="5"/>
        <v>-3.5348837209302331</v>
      </c>
      <c r="R51" s="17">
        <f t="shared" si="4"/>
        <v>0</v>
      </c>
      <c r="S51" s="17">
        <f t="shared" si="4"/>
        <v>-0.16992551210428297</v>
      </c>
    </row>
    <row r="52" spans="2:19">
      <c r="B52" s="531">
        <f t="shared" si="3"/>
        <v>2020</v>
      </c>
      <c r="C52" s="711">
        <v>84.1</v>
      </c>
      <c r="D52" s="97">
        <v>-0.85136741973840668</v>
      </c>
      <c r="E52" s="120">
        <v>111.5</v>
      </c>
      <c r="F52" s="119">
        <f>'Inputs (AUD)'!F77</f>
        <v>-56.300000000000011</v>
      </c>
      <c r="G52" s="98">
        <v>0.29278008298755187</v>
      </c>
      <c r="H52" s="711">
        <v>0.6</v>
      </c>
      <c r="I52" s="120">
        <v>-22.6</v>
      </c>
      <c r="J52" s="1175" t="s">
        <v>144</v>
      </c>
      <c r="K52" s="1176"/>
      <c r="L52" s="47">
        <f>_xlfn.XLOOKUP($J52,'Fin. Data'!$A:$A,'Fin. Data'!B:B,,0)</f>
        <v>-22.4</v>
      </c>
      <c r="M52" s="533">
        <f>_xlfn.XLOOKUP($J52,'Fin. Data'!$A:$A,'Fin. Data'!C:C,,0)</f>
        <v>-76.2</v>
      </c>
      <c r="N52" s="18">
        <f t="shared" si="1"/>
        <v>0.9649532710280373</v>
      </c>
      <c r="O52" s="18">
        <f t="shared" si="2"/>
        <v>0.96965003052993537</v>
      </c>
      <c r="P52" s="508"/>
      <c r="Q52" s="17">
        <f t="shared" si="5"/>
        <v>-2.7217125382263001</v>
      </c>
      <c r="R52" s="17">
        <f t="shared" si="4"/>
        <v>1.9999999999999996</v>
      </c>
      <c r="S52" s="17">
        <f t="shared" si="4"/>
        <v>-0.87324733595064497</v>
      </c>
    </row>
    <row r="53" spans="2:19">
      <c r="B53" s="531">
        <f t="shared" si="3"/>
        <v>2021</v>
      </c>
      <c r="C53" s="711">
        <v>175.8</v>
      </c>
      <c r="D53" s="97">
        <v>-0.19908987485779292</v>
      </c>
      <c r="E53" s="120">
        <v>239.7</v>
      </c>
      <c r="F53" s="119">
        <f>'Inputs (AUD)'!E77</f>
        <v>22.599999999999994</v>
      </c>
      <c r="G53" s="98">
        <v>0.1757397072759819</v>
      </c>
      <c r="H53" s="711">
        <v>0.5</v>
      </c>
      <c r="I53" s="120">
        <v>-230.8</v>
      </c>
      <c r="J53" s="1173" t="s">
        <v>145</v>
      </c>
      <c r="K53" s="1174"/>
      <c r="L53" s="47">
        <f>_xlfn.XLOOKUP($J53,'Fin. Data'!$A:$A,'Fin. Data'!B:B,,0)</f>
        <v>-315.10000000000002</v>
      </c>
      <c r="M53" s="533">
        <f>_xlfn.XLOOKUP($J53,'Fin. Data'!$A:$A,'Fin. Data'!C:C,,0)</f>
        <v>45.5</v>
      </c>
      <c r="N53" s="18">
        <f t="shared" si="1"/>
        <v>1.0903686087990492</v>
      </c>
      <c r="O53" s="18">
        <f t="shared" si="2"/>
        <v>-0.76615281458742479</v>
      </c>
      <c r="P53" s="508"/>
      <c r="Q53" s="17">
        <f t="shared" si="5"/>
        <v>-1.4014209591474243</v>
      </c>
      <c r="R53" s="17">
        <f t="shared" si="4"/>
        <v>-0.16666666666666663</v>
      </c>
      <c r="S53" s="17">
        <f t="shared" si="4"/>
        <v>9.2123893805309738</v>
      </c>
    </row>
    <row r="54" spans="2:19">
      <c r="B54" s="531">
        <f>B55-1</f>
        <v>2022</v>
      </c>
      <c r="C54" s="711">
        <v>1189.5999999999999</v>
      </c>
      <c r="D54" s="97">
        <v>0.61524882313382656</v>
      </c>
      <c r="E54" s="120">
        <v>3.6</v>
      </c>
      <c r="F54" s="119">
        <f>'Inputs (AUD)'!D$77</f>
        <v>13.499999999999989</v>
      </c>
      <c r="G54" s="98">
        <v>0.14759401536595229</v>
      </c>
      <c r="H54" s="711">
        <v>0.7</v>
      </c>
      <c r="I54" s="120">
        <v>-204.5</v>
      </c>
      <c r="J54" s="1175" t="s">
        <v>146</v>
      </c>
      <c r="K54" s="1176"/>
      <c r="L54" s="47">
        <f>_xlfn.XLOOKUP($J54,'Fin. Data'!$A:$A,'Fin. Data'!B:B,,0)</f>
        <v>-329.8</v>
      </c>
      <c r="M54" s="533">
        <f>_xlfn.XLOOKUP($J54,'Fin. Data'!$A:$A,'Fin. Data'!C:C,,0)</f>
        <v>0</v>
      </c>
      <c r="N54" s="18">
        <f t="shared" si="1"/>
        <v>5.7667804323094414</v>
      </c>
      <c r="O54" s="18">
        <f t="shared" si="2"/>
        <v>-4.0903069459121921</v>
      </c>
      <c r="P54" s="508"/>
      <c r="Q54" s="17">
        <f t="shared" si="5"/>
        <v>-0.40265486725663746</v>
      </c>
      <c r="R54" s="17">
        <f t="shared" si="4"/>
        <v>0.39999999999999991</v>
      </c>
      <c r="S54" s="17">
        <f t="shared" si="4"/>
        <v>-0.11395147313691512</v>
      </c>
    </row>
    <row r="55" spans="2:19">
      <c r="B55" s="531">
        <f>J21</f>
        <v>2023</v>
      </c>
      <c r="C55" s="711">
        <v>4064</v>
      </c>
      <c r="D55" s="97">
        <v>0.79032972440944882</v>
      </c>
      <c r="E55" s="120">
        <v>-328.6</v>
      </c>
      <c r="F55" s="119">
        <f>'Inputs (AUD)'!C77</f>
        <v>492</v>
      </c>
      <c r="G55" s="98">
        <v>9.0790182349773027E-2</v>
      </c>
      <c r="H55" s="711">
        <v>1.5</v>
      </c>
      <c r="I55" s="120">
        <v>-407.9</v>
      </c>
      <c r="J55" s="1175" t="s">
        <v>147</v>
      </c>
      <c r="K55" s="1176"/>
      <c r="L55" s="47">
        <f>_xlfn.XLOOKUP($J55,'Fin. Data'!$A:$A,'Fin. Data'!B:B,,0)</f>
        <v>1.2</v>
      </c>
      <c r="M55" s="533">
        <f>_xlfn.XLOOKUP($J55,'Fin. Data'!$A:$A,'Fin. Data'!C:C,,0)</f>
        <v>3.6</v>
      </c>
      <c r="N55" s="18">
        <f t="shared" si="1"/>
        <v>2.4162743779421656</v>
      </c>
      <c r="O55" s="18">
        <f t="shared" si="2"/>
        <v>0.28456925831053459</v>
      </c>
      <c r="P55" s="508"/>
      <c r="Q55" s="17">
        <f t="shared" si="5"/>
        <v>35.444444444444471</v>
      </c>
      <c r="R55" s="17">
        <f t="shared" si="4"/>
        <v>1.1428571428571428</v>
      </c>
      <c r="S55" s="17">
        <f t="shared" si="4"/>
        <v>0.99462102689486542</v>
      </c>
    </row>
    <row r="56" spans="2:19">
      <c r="B56" s="534" t="s">
        <v>148</v>
      </c>
      <c r="C56" s="100">
        <f>IFERROR((C55/C47)^(1/8)-1,"")</f>
        <v>2.7680721713332388</v>
      </c>
      <c r="D56" s="100" t="str">
        <f>IFERROR((D55/D47)^(1/8)-1,"")</f>
        <v/>
      </c>
      <c r="E56" s="114"/>
      <c r="F56" s="100">
        <f>IFERROR((F55/F47)^(1/8)-1,"")</f>
        <v>1.1989498467610065</v>
      </c>
      <c r="G56" s="114"/>
      <c r="H56" s="100" t="str">
        <f>IFERROR((H55/H47)^(1/8)-1,"")</f>
        <v/>
      </c>
      <c r="I56" s="114"/>
      <c r="J56" s="1173" t="s">
        <v>149</v>
      </c>
      <c r="K56" s="1174"/>
      <c r="L56" s="47">
        <f>_xlfn.XLOOKUP($J56,'Fin. Data'!$A:$A,'Fin. Data'!B:B,,0)</f>
        <v>13.2</v>
      </c>
      <c r="M56" s="533">
        <f>_xlfn.XLOOKUP($J56,'Fin. Data'!$A:$A,'Fin. Data'!C:C,,0)</f>
        <v>3.4</v>
      </c>
      <c r="N56" s="18">
        <f t="shared" si="1"/>
        <v>-0.99931887987910106</v>
      </c>
      <c r="O56" s="18" t="e">
        <f t="shared" si="2"/>
        <v>#VALUE!</v>
      </c>
      <c r="P56" s="508"/>
      <c r="Q56" s="17"/>
      <c r="R56" s="17"/>
      <c r="S56" s="17"/>
    </row>
    <row r="57" spans="2:19">
      <c r="B57" s="534" t="s">
        <v>150</v>
      </c>
      <c r="C57" s="100" t="str">
        <f>IFERROR(AVERAGE(N48:N55),"")</f>
        <v/>
      </c>
      <c r="D57" s="100" t="str">
        <f>IFERROR(AVERAGE(O48:O55),"")</f>
        <v/>
      </c>
      <c r="E57" s="114"/>
      <c r="F57" s="100">
        <f>IFERROR(AVERAGE(Q48:Q55),"")</f>
        <v>10.192249427330296</v>
      </c>
      <c r="G57" s="114"/>
      <c r="H57" s="100">
        <f>IFERROR(AVERAGE(S48:S55),"")</f>
        <v>2.7311525577736875</v>
      </c>
      <c r="I57" s="114"/>
      <c r="J57" s="1280" t="s">
        <v>151</v>
      </c>
      <c r="K57" s="1281"/>
      <c r="L57" s="123">
        <f>L49-L50+L53-L54-L55</f>
        <v>3878.2000000000003</v>
      </c>
      <c r="M57" s="535">
        <f>M49-M50+M53-M54-M55</f>
        <v>894</v>
      </c>
      <c r="N57" s="90"/>
      <c r="O57" s="90"/>
      <c r="P57" s="90"/>
      <c r="Q57" s="90"/>
      <c r="R57" s="90"/>
      <c r="S57" s="90"/>
    </row>
    <row r="58" spans="2:19">
      <c r="B58" s="534" t="s">
        <v>152</v>
      </c>
      <c r="C58" s="100">
        <f>IFERROR(STDEV(C48:C55)/AVERAGE(C48:C55),"")</f>
        <v>2.0395588772319058</v>
      </c>
      <c r="D58" s="100">
        <f>IFERROR(STDEV(D47:D55)/AVERAGE(D47:D55),"")</f>
        <v>-2.5484747716508296</v>
      </c>
      <c r="E58" s="114"/>
      <c r="F58" s="100">
        <f>IFERROR(STDEV(F47:F55)/AVERAGE(F47:F55),"")</f>
        <v>2.51027775764654</v>
      </c>
      <c r="G58" s="114"/>
      <c r="H58" s="100">
        <f>IFERROR(STDEV(H47:H55)/AVERAGE(H47:H55),"")</f>
        <v>1.0824036368823298</v>
      </c>
      <c r="I58" s="114"/>
      <c r="J58" s="1282" t="s">
        <v>153</v>
      </c>
      <c r="K58" s="1283"/>
      <c r="L58" s="300">
        <f>IFERROR(SUM(I52:I55)/(C55-C51),"")</f>
        <v>-0.21530886302596239</v>
      </c>
      <c r="M58" s="536">
        <f>IFERROR((SUM(I52:I55)-SUM(H52:H55))/(C55-C51),"")</f>
        <v>-0.21612951357803639</v>
      </c>
      <c r="N58" s="90"/>
      <c r="O58" s="90"/>
      <c r="P58" s="90"/>
      <c r="Q58" s="90"/>
      <c r="R58" s="90"/>
      <c r="S58" s="90"/>
    </row>
    <row r="59" spans="2:19">
      <c r="B59" s="534" t="s">
        <v>154</v>
      </c>
      <c r="C59" s="100">
        <f>IFERROR(C55/C54-1,"")</f>
        <v>2.4162743779421656</v>
      </c>
      <c r="D59" s="100">
        <f>IFERROR(D55/D54-1,"")</f>
        <v>0.28456925831053459</v>
      </c>
      <c r="E59" s="114"/>
      <c r="F59" s="100">
        <f>IFERROR(1-(F55/F54),"")</f>
        <v>-35.444444444444471</v>
      </c>
      <c r="G59" s="114"/>
      <c r="H59" s="100">
        <f>IFERROR(1-(H55/H54),"")</f>
        <v>-1.1428571428571428</v>
      </c>
      <c r="I59" s="114"/>
      <c r="J59" s="1284" t="s">
        <v>155</v>
      </c>
      <c r="K59" s="1285"/>
      <c r="L59" s="301">
        <f>IFERROR(L58/E28,"")</f>
        <v>-0.54519880929284636</v>
      </c>
      <c r="M59" s="537">
        <f>IFERROR(M58/E28,"")</f>
        <v>-0.54727683663249338</v>
      </c>
      <c r="N59" s="90"/>
      <c r="O59" s="90"/>
      <c r="P59" s="90"/>
      <c r="Q59" s="90"/>
      <c r="R59" s="90"/>
      <c r="S59" s="90"/>
    </row>
    <row r="60" spans="2:19" ht="18">
      <c r="B60" s="1156" t="s">
        <v>156</v>
      </c>
      <c r="C60" s="1157"/>
      <c r="D60" s="1157"/>
      <c r="E60" s="1157"/>
      <c r="F60" s="1157"/>
      <c r="G60" s="1157"/>
      <c r="H60" s="1157"/>
      <c r="I60" s="1157"/>
      <c r="J60" s="1157"/>
      <c r="K60" s="1157"/>
      <c r="L60" s="1157"/>
      <c r="M60" s="1158"/>
      <c r="N60" s="90"/>
      <c r="O60" s="90"/>
      <c r="P60" s="90"/>
      <c r="Q60" s="90"/>
      <c r="R60" s="90"/>
      <c r="S60" s="90"/>
    </row>
    <row r="61" spans="2:19" ht="15.95">
      <c r="B61" s="1265" t="s">
        <v>157</v>
      </c>
      <c r="C61" s="1135"/>
      <c r="D61" s="1135"/>
      <c r="E61" s="1135"/>
      <c r="F61" s="1135"/>
      <c r="G61" s="1135"/>
      <c r="H61" s="1135"/>
      <c r="I61" s="1135"/>
      <c r="J61" s="1135" t="s">
        <v>158</v>
      </c>
      <c r="K61" s="1135"/>
      <c r="L61" s="1135"/>
      <c r="M61" s="1136"/>
      <c r="N61" s="90"/>
      <c r="O61" s="90"/>
      <c r="P61" s="90"/>
      <c r="Q61" s="90"/>
      <c r="R61" s="90"/>
      <c r="S61" s="90"/>
    </row>
    <row r="62" spans="2:19" ht="15.75" customHeight="1">
      <c r="B62" s="1159" t="s">
        <v>159</v>
      </c>
      <c r="C62" s="1160"/>
      <c r="D62" s="1160"/>
      <c r="E62" s="1160" t="s">
        <v>160</v>
      </c>
      <c r="F62" s="1160"/>
      <c r="G62" s="1160"/>
      <c r="H62" s="1160"/>
      <c r="I62" s="1160"/>
      <c r="J62" s="1160" t="s">
        <v>161</v>
      </c>
      <c r="K62" s="1160"/>
      <c r="L62" s="1160"/>
      <c r="M62" s="530" t="s">
        <v>162</v>
      </c>
      <c r="N62" s="90"/>
      <c r="O62" s="90"/>
      <c r="P62" s="90"/>
      <c r="Q62" s="90"/>
      <c r="R62" s="90"/>
      <c r="S62" s="90"/>
    </row>
    <row r="63" spans="2:19" ht="18.75" customHeight="1">
      <c r="B63" s="1126" t="s">
        <v>163</v>
      </c>
      <c r="C63" s="1127"/>
      <c r="D63" s="1128"/>
      <c r="E63" s="1126" t="s">
        <v>164</v>
      </c>
      <c r="F63" s="1127"/>
      <c r="G63" s="1127"/>
      <c r="H63" s="1127"/>
      <c r="I63" s="1128"/>
      <c r="J63" s="1241" t="s">
        <v>165</v>
      </c>
      <c r="K63" s="1242"/>
      <c r="L63" s="1243"/>
      <c r="M63" s="849">
        <v>0.25700000000000001</v>
      </c>
      <c r="N63" s="90"/>
      <c r="O63" s="90"/>
      <c r="P63" s="90"/>
      <c r="Q63" s="90"/>
      <c r="R63" s="90"/>
      <c r="S63" s="90"/>
    </row>
    <row r="64" spans="2:19" ht="18.75" customHeight="1">
      <c r="B64" s="1129"/>
      <c r="C64" s="1130"/>
      <c r="D64" s="1131"/>
      <c r="E64" s="1129"/>
      <c r="F64" s="1130"/>
      <c r="G64" s="1130"/>
      <c r="H64" s="1130"/>
      <c r="I64" s="1131"/>
      <c r="J64" s="1195" t="s">
        <v>166</v>
      </c>
      <c r="K64" s="1196"/>
      <c r="L64" s="1197"/>
      <c r="M64" s="849">
        <v>0.14030000000000001</v>
      </c>
      <c r="N64" s="90"/>
      <c r="O64" s="90"/>
    </row>
    <row r="65" spans="2:14" ht="18.75" customHeight="1">
      <c r="B65" s="1129"/>
      <c r="C65" s="1130"/>
      <c r="D65" s="1131"/>
      <c r="E65" s="1129"/>
      <c r="F65" s="1130"/>
      <c r="G65" s="1130"/>
      <c r="H65" s="1130"/>
      <c r="I65" s="1131"/>
      <c r="J65" s="1195" t="s">
        <v>167</v>
      </c>
      <c r="K65" s="1196"/>
      <c r="L65" s="1197"/>
      <c r="M65" s="849">
        <v>8.8700000000000001E-2</v>
      </c>
      <c r="N65" s="90"/>
    </row>
    <row r="66" spans="2:14" ht="18.75" customHeight="1">
      <c r="B66" s="1129"/>
      <c r="C66" s="1130"/>
      <c r="D66" s="1131"/>
      <c r="E66" s="1129"/>
      <c r="F66" s="1130"/>
      <c r="G66" s="1130"/>
      <c r="H66" s="1130"/>
      <c r="I66" s="1131"/>
      <c r="J66" s="1195" t="s">
        <v>168</v>
      </c>
      <c r="K66" s="1196"/>
      <c r="L66" s="1197"/>
      <c r="M66" s="849">
        <v>5.74E-2</v>
      </c>
    </row>
    <row r="67" spans="2:14" ht="18.75" customHeight="1">
      <c r="B67" s="1129"/>
      <c r="C67" s="1130"/>
      <c r="D67" s="1131"/>
      <c r="E67" s="1129"/>
      <c r="F67" s="1130"/>
      <c r="G67" s="1130"/>
      <c r="H67" s="1130"/>
      <c r="I67" s="1131"/>
      <c r="J67" s="1195" t="s">
        <v>169</v>
      </c>
      <c r="K67" s="1196"/>
      <c r="L67" s="1197"/>
      <c r="M67" s="849">
        <v>2.7300000000000001E-2</v>
      </c>
      <c r="N67" s="90"/>
    </row>
    <row r="68" spans="2:14" ht="18.75" customHeight="1">
      <c r="B68" s="1129"/>
      <c r="C68" s="1130"/>
      <c r="D68" s="1131"/>
      <c r="E68" s="1129"/>
      <c r="F68" s="1130"/>
      <c r="G68" s="1130"/>
      <c r="H68" s="1130"/>
      <c r="I68" s="1131"/>
      <c r="J68" s="1195" t="s">
        <v>170</v>
      </c>
      <c r="K68" s="1196"/>
      <c r="L68" s="1197"/>
      <c r="M68" s="849">
        <v>2.5899999999999999E-2</v>
      </c>
    </row>
    <row r="69" spans="2:14" ht="18.75" customHeight="1">
      <c r="B69" s="1129"/>
      <c r="C69" s="1130"/>
      <c r="D69" s="1131"/>
      <c r="E69" s="1129"/>
      <c r="F69" s="1130"/>
      <c r="G69" s="1130"/>
      <c r="H69" s="1130"/>
      <c r="I69" s="1131"/>
      <c r="J69" s="1244" t="s">
        <v>171</v>
      </c>
      <c r="K69" s="1245"/>
      <c r="L69" s="1246"/>
      <c r="M69" s="849">
        <v>2.5700000000000001E-2</v>
      </c>
      <c r="N69" s="90"/>
    </row>
    <row r="70" spans="2:14" ht="18.75" customHeight="1">
      <c r="B70" s="1129"/>
      <c r="C70" s="1130"/>
      <c r="D70" s="1131"/>
      <c r="E70" s="1129"/>
      <c r="F70" s="1130"/>
      <c r="G70" s="1130"/>
      <c r="H70" s="1130"/>
      <c r="I70" s="1131"/>
      <c r="J70" s="1195" t="s">
        <v>172</v>
      </c>
      <c r="K70" s="1196"/>
      <c r="L70" s="1197"/>
      <c r="M70" s="849">
        <v>1.52E-2</v>
      </c>
      <c r="N70" s="10"/>
    </row>
    <row r="71" spans="2:14" ht="18.75" customHeight="1">
      <c r="B71" s="1129"/>
      <c r="C71" s="1130"/>
      <c r="D71" s="1131"/>
      <c r="E71" s="1129"/>
      <c r="F71" s="1130"/>
      <c r="G71" s="1130"/>
      <c r="H71" s="1130"/>
      <c r="I71" s="1131"/>
      <c r="J71" s="1195" t="s">
        <v>173</v>
      </c>
      <c r="K71" s="1196"/>
      <c r="L71" s="1196"/>
      <c r="M71" s="849">
        <v>1.01E-2</v>
      </c>
      <c r="N71" s="90"/>
    </row>
    <row r="72" spans="2:14" ht="25.5" customHeight="1">
      <c r="B72" s="1132"/>
      <c r="C72" s="1133"/>
      <c r="D72" s="1134"/>
      <c r="E72" s="1132"/>
      <c r="F72" s="1133"/>
      <c r="G72" s="1133"/>
      <c r="H72" s="1133"/>
      <c r="I72" s="1134"/>
      <c r="J72" s="1195" t="s">
        <v>174</v>
      </c>
      <c r="K72" s="1196"/>
      <c r="L72" s="1197"/>
      <c r="M72" s="849">
        <v>5.7999999999999996E-3</v>
      </c>
    </row>
    <row r="73" spans="2:14" ht="15.75" customHeight="1">
      <c r="B73" s="1159" t="s">
        <v>175</v>
      </c>
      <c r="C73" s="1160"/>
      <c r="D73" s="1160"/>
      <c r="E73" s="1160" t="s">
        <v>176</v>
      </c>
      <c r="F73" s="1160"/>
      <c r="G73" s="1160"/>
      <c r="H73" s="1160"/>
      <c r="I73" s="1160"/>
      <c r="J73" s="1195" t="s">
        <v>177</v>
      </c>
      <c r="K73" s="1196"/>
      <c r="L73" s="1197"/>
      <c r="M73" s="849">
        <v>4.1999999999999997E-3</v>
      </c>
      <c r="N73" s="90"/>
    </row>
    <row r="74" spans="2:14" ht="19.5" customHeight="1">
      <c r="B74" s="1198" t="s">
        <v>178</v>
      </c>
      <c r="C74" s="1199"/>
      <c r="D74" s="1200"/>
      <c r="E74" s="1126" t="s">
        <v>179</v>
      </c>
      <c r="F74" s="1211"/>
      <c r="G74" s="1211"/>
      <c r="H74" s="1211"/>
      <c r="I74" s="1212"/>
      <c r="J74" s="1195" t="s">
        <v>180</v>
      </c>
      <c r="K74" s="1196"/>
      <c r="L74" s="1197"/>
      <c r="M74" s="849">
        <v>3.7000000000000002E-3</v>
      </c>
    </row>
    <row r="75" spans="2:14" ht="18" customHeight="1">
      <c r="B75" s="1201"/>
      <c r="C75" s="1202"/>
      <c r="D75" s="1203"/>
      <c r="E75" s="1213"/>
      <c r="F75" s="1214"/>
      <c r="G75" s="1214"/>
      <c r="H75" s="1214"/>
      <c r="I75" s="1215"/>
      <c r="J75" s="1195" t="s">
        <v>181</v>
      </c>
      <c r="K75" s="1196"/>
      <c r="L75" s="1197"/>
      <c r="M75" s="849">
        <v>3.5999999999999999E-3</v>
      </c>
      <c r="N75" s="90"/>
    </row>
    <row r="76" spans="2:14" ht="17.25" customHeight="1">
      <c r="B76" s="1201"/>
      <c r="C76" s="1202"/>
      <c r="D76" s="1203"/>
      <c r="E76" s="1213"/>
      <c r="F76" s="1214"/>
      <c r="G76" s="1214"/>
      <c r="H76" s="1214"/>
      <c r="I76" s="1215"/>
      <c r="J76" s="1195" t="s">
        <v>182</v>
      </c>
      <c r="K76" s="1196"/>
      <c r="L76" s="1197"/>
      <c r="M76" s="849">
        <v>3.0000000000000001E-3</v>
      </c>
    </row>
    <row r="77" spans="2:14" ht="18" customHeight="1">
      <c r="B77" s="1201"/>
      <c r="C77" s="1202"/>
      <c r="D77" s="1203"/>
      <c r="E77" s="1213"/>
      <c r="F77" s="1214"/>
      <c r="G77" s="1214"/>
      <c r="H77" s="1214"/>
      <c r="I77" s="1215"/>
      <c r="J77" s="1195" t="s">
        <v>183</v>
      </c>
      <c r="K77" s="1196"/>
      <c r="L77" s="1197"/>
      <c r="M77" s="848">
        <v>2.5999999999999999E-3</v>
      </c>
      <c r="N77" s="90"/>
    </row>
    <row r="78" spans="2:14" ht="18.75" customHeight="1">
      <c r="B78" s="1201"/>
      <c r="C78" s="1202"/>
      <c r="D78" s="1203"/>
      <c r="E78" s="1213"/>
      <c r="F78" s="1214"/>
      <c r="G78" s="1214"/>
      <c r="H78" s="1214"/>
      <c r="I78" s="1215"/>
      <c r="J78" s="1195" t="s">
        <v>184</v>
      </c>
      <c r="K78" s="1196"/>
      <c r="L78" s="1197"/>
      <c r="M78" s="849" t="s">
        <v>185</v>
      </c>
    </row>
    <row r="79" spans="2:14" ht="17.25" customHeight="1">
      <c r="B79" s="1201"/>
      <c r="C79" s="1202"/>
      <c r="D79" s="1203"/>
      <c r="E79" s="1213"/>
      <c r="F79" s="1214"/>
      <c r="G79" s="1214"/>
      <c r="H79" s="1214"/>
      <c r="I79" s="1215"/>
      <c r="J79" s="1195" t="s">
        <v>186</v>
      </c>
      <c r="K79" s="1196"/>
      <c r="L79" s="1197"/>
      <c r="M79" s="848">
        <v>2.2000000000000001E-3</v>
      </c>
      <c r="N79" s="90"/>
    </row>
    <row r="80" spans="2:14" ht="18.75" customHeight="1">
      <c r="B80" s="1201"/>
      <c r="C80" s="1202"/>
      <c r="D80" s="1203"/>
      <c r="E80" s="1213"/>
      <c r="F80" s="1214"/>
      <c r="G80" s="1214"/>
      <c r="H80" s="1214"/>
      <c r="I80" s="1215"/>
      <c r="J80" s="1195" t="s">
        <v>187</v>
      </c>
      <c r="K80" s="1196"/>
      <c r="L80" s="1197"/>
      <c r="M80" s="848">
        <v>1.6999999999999999E-3</v>
      </c>
    </row>
    <row r="81" spans="2:14" ht="17.25" customHeight="1">
      <c r="B81" s="1201"/>
      <c r="C81" s="1202"/>
      <c r="D81" s="1203"/>
      <c r="E81" s="1213"/>
      <c r="F81" s="1214"/>
      <c r="G81" s="1214"/>
      <c r="H81" s="1214"/>
      <c r="I81" s="1215"/>
      <c r="J81" s="1195" t="s">
        <v>188</v>
      </c>
      <c r="K81" s="1196"/>
      <c r="L81" s="1197"/>
      <c r="M81" s="848" t="s">
        <v>189</v>
      </c>
      <c r="N81" s="90"/>
    </row>
    <row r="82" spans="2:14" ht="17.25" customHeight="1">
      <c r="B82" s="1201"/>
      <c r="C82" s="1202"/>
      <c r="D82" s="1203"/>
      <c r="E82" s="1213"/>
      <c r="F82" s="1214"/>
      <c r="G82" s="1214"/>
      <c r="H82" s="1214"/>
      <c r="I82" s="1215"/>
      <c r="J82" s="1195" t="s">
        <v>190</v>
      </c>
      <c r="K82" s="1196"/>
      <c r="L82" s="1197"/>
      <c r="M82" s="848">
        <v>1.4E-3</v>
      </c>
    </row>
    <row r="83" spans="2:14" ht="17.25" customHeight="1">
      <c r="B83" s="1204"/>
      <c r="C83" s="1205"/>
      <c r="D83" s="1206"/>
      <c r="E83" s="1216"/>
      <c r="F83" s="1217"/>
      <c r="G83" s="1217"/>
      <c r="H83" s="1217"/>
      <c r="I83" s="1218"/>
      <c r="J83" s="1207" t="s">
        <v>191</v>
      </c>
      <c r="K83" s="1208"/>
      <c r="L83" s="1208"/>
      <c r="M83" s="850">
        <f>SUM(M63:M82)</f>
        <v>0.67580000000000018</v>
      </c>
    </row>
    <row r="84" spans="2:14" ht="15.95">
      <c r="B84" s="1228" t="s">
        <v>192</v>
      </c>
      <c r="C84" s="1229"/>
      <c r="D84" s="1229"/>
      <c r="E84" s="1229"/>
      <c r="F84" s="1229"/>
      <c r="G84" s="1135" t="s">
        <v>193</v>
      </c>
      <c r="H84" s="1135"/>
      <c r="I84" s="1135"/>
      <c r="J84" s="1135"/>
      <c r="K84" s="1135"/>
      <c r="L84" s="1135"/>
      <c r="M84" s="1136"/>
    </row>
    <row r="85" spans="2:14" s="10" customFormat="1">
      <c r="B85" s="1219" t="s">
        <v>194</v>
      </c>
      <c r="C85" s="1220"/>
      <c r="D85" s="1220"/>
      <c r="E85" s="1220"/>
      <c r="F85" s="1221"/>
      <c r="G85" s="1230"/>
      <c r="H85" s="1231"/>
      <c r="I85" s="1231"/>
      <c r="J85" s="1231"/>
      <c r="K85" s="1231"/>
      <c r="L85" s="1231"/>
      <c r="M85" s="1232"/>
    </row>
    <row r="86" spans="2:14">
      <c r="B86" s="1222"/>
      <c r="C86" s="1223"/>
      <c r="D86" s="1223"/>
      <c r="E86" s="1223"/>
      <c r="F86" s="1224"/>
      <c r="G86" s="1233"/>
      <c r="H86" s="1234"/>
      <c r="I86" s="1234"/>
      <c r="J86" s="1234"/>
      <c r="K86" s="1234"/>
      <c r="L86" s="1234"/>
      <c r="M86" s="1235"/>
    </row>
    <row r="87" spans="2:14">
      <c r="B87" s="1222"/>
      <c r="C87" s="1223"/>
      <c r="D87" s="1223"/>
      <c r="E87" s="1223"/>
      <c r="F87" s="1224"/>
      <c r="G87" s="1233"/>
      <c r="H87" s="1234"/>
      <c r="I87" s="1234"/>
      <c r="J87" s="1234"/>
      <c r="K87" s="1234"/>
      <c r="L87" s="1234"/>
      <c r="M87" s="1235"/>
    </row>
    <row r="88" spans="2:14">
      <c r="B88" s="1222"/>
      <c r="C88" s="1223"/>
      <c r="D88" s="1223"/>
      <c r="E88" s="1223"/>
      <c r="F88" s="1224"/>
      <c r="G88" s="1233"/>
      <c r="H88" s="1234"/>
      <c r="I88" s="1234"/>
      <c r="J88" s="1234"/>
      <c r="K88" s="1234"/>
      <c r="L88" s="1234"/>
      <c r="M88" s="1235"/>
    </row>
    <row r="89" spans="2:14">
      <c r="B89" s="1222"/>
      <c r="C89" s="1223"/>
      <c r="D89" s="1223"/>
      <c r="E89" s="1223"/>
      <c r="F89" s="1224"/>
      <c r="G89" s="1233"/>
      <c r="H89" s="1234"/>
      <c r="I89" s="1234"/>
      <c r="J89" s="1234"/>
      <c r="K89" s="1234"/>
      <c r="L89" s="1234"/>
      <c r="M89" s="1235"/>
    </row>
    <row r="90" spans="2:14">
      <c r="B90" s="1222"/>
      <c r="C90" s="1223"/>
      <c r="D90" s="1223"/>
      <c r="E90" s="1223"/>
      <c r="F90" s="1224"/>
      <c r="G90" s="1233"/>
      <c r="H90" s="1234"/>
      <c r="I90" s="1234"/>
      <c r="J90" s="1234"/>
      <c r="K90" s="1234"/>
      <c r="L90" s="1234"/>
      <c r="M90" s="1235"/>
    </row>
    <row r="91" spans="2:14">
      <c r="B91" s="1222"/>
      <c r="C91" s="1223"/>
      <c r="D91" s="1223"/>
      <c r="E91" s="1223"/>
      <c r="F91" s="1224"/>
      <c r="G91" s="1233"/>
      <c r="H91" s="1234"/>
      <c r="I91" s="1234"/>
      <c r="J91" s="1234"/>
      <c r="K91" s="1234"/>
      <c r="L91" s="1234"/>
      <c r="M91" s="1235"/>
    </row>
    <row r="92" spans="2:14">
      <c r="B92" s="1222"/>
      <c r="C92" s="1223"/>
      <c r="D92" s="1223"/>
      <c r="E92" s="1223"/>
      <c r="F92" s="1224"/>
      <c r="G92" s="1233"/>
      <c r="H92" s="1234"/>
      <c r="I92" s="1234"/>
      <c r="J92" s="1234"/>
      <c r="K92" s="1234"/>
      <c r="L92" s="1234"/>
      <c r="M92" s="1235"/>
    </row>
    <row r="93" spans="2:14">
      <c r="B93" s="1222"/>
      <c r="C93" s="1223"/>
      <c r="D93" s="1223"/>
      <c r="E93" s="1223"/>
      <c r="F93" s="1224"/>
      <c r="G93" s="1233"/>
      <c r="H93" s="1234"/>
      <c r="I93" s="1234"/>
      <c r="J93" s="1234"/>
      <c r="K93" s="1234"/>
      <c r="L93" s="1234"/>
      <c r="M93" s="1235"/>
    </row>
    <row r="94" spans="2:14">
      <c r="B94" s="1222"/>
      <c r="C94" s="1223"/>
      <c r="D94" s="1223"/>
      <c r="E94" s="1223"/>
      <c r="F94" s="1224"/>
      <c r="G94" s="1233"/>
      <c r="H94" s="1234"/>
      <c r="I94" s="1234"/>
      <c r="J94" s="1234"/>
      <c r="K94" s="1234"/>
      <c r="L94" s="1234"/>
      <c r="M94" s="1235"/>
    </row>
    <row r="95" spans="2:14">
      <c r="B95" s="1222"/>
      <c r="C95" s="1223"/>
      <c r="D95" s="1223"/>
      <c r="E95" s="1223"/>
      <c r="F95" s="1224"/>
      <c r="G95" s="1233"/>
      <c r="H95" s="1234"/>
      <c r="I95" s="1234"/>
      <c r="J95" s="1234"/>
      <c r="K95" s="1234"/>
      <c r="L95" s="1234"/>
      <c r="M95" s="1235"/>
    </row>
    <row r="96" spans="2:14">
      <c r="B96" s="1222"/>
      <c r="C96" s="1223"/>
      <c r="D96" s="1223"/>
      <c r="E96" s="1223"/>
      <c r="F96" s="1224"/>
      <c r="G96" s="1233"/>
      <c r="H96" s="1234"/>
      <c r="I96" s="1234"/>
      <c r="J96" s="1234"/>
      <c r="K96" s="1234"/>
      <c r="L96" s="1234"/>
      <c r="M96" s="1235"/>
    </row>
    <row r="97" spans="2:13">
      <c r="B97" s="1222"/>
      <c r="C97" s="1223"/>
      <c r="D97" s="1223"/>
      <c r="E97" s="1223"/>
      <c r="F97" s="1224"/>
      <c r="G97" s="1233"/>
      <c r="H97" s="1234"/>
      <c r="I97" s="1234"/>
      <c r="J97" s="1234"/>
      <c r="K97" s="1234"/>
      <c r="L97" s="1234"/>
      <c r="M97" s="1235"/>
    </row>
    <row r="98" spans="2:13">
      <c r="B98" s="1222"/>
      <c r="C98" s="1223"/>
      <c r="D98" s="1223"/>
      <c r="E98" s="1223"/>
      <c r="F98" s="1224"/>
      <c r="G98" s="1233"/>
      <c r="H98" s="1234"/>
      <c r="I98" s="1234"/>
      <c r="J98" s="1234"/>
      <c r="K98" s="1234"/>
      <c r="L98" s="1234"/>
      <c r="M98" s="1235"/>
    </row>
    <row r="99" spans="2:13">
      <c r="B99" s="1222"/>
      <c r="C99" s="1223"/>
      <c r="D99" s="1223"/>
      <c r="E99" s="1223"/>
      <c r="F99" s="1224"/>
      <c r="G99" s="1233"/>
      <c r="H99" s="1234"/>
      <c r="I99" s="1234"/>
      <c r="J99" s="1234"/>
      <c r="K99" s="1234"/>
      <c r="L99" s="1234"/>
      <c r="M99" s="1235"/>
    </row>
    <row r="100" spans="2:13">
      <c r="B100" s="1222"/>
      <c r="C100" s="1223"/>
      <c r="D100" s="1223"/>
      <c r="E100" s="1223"/>
      <c r="F100" s="1224"/>
      <c r="G100" s="1233"/>
      <c r="H100" s="1234"/>
      <c r="I100" s="1234"/>
      <c r="J100" s="1234"/>
      <c r="K100" s="1234"/>
      <c r="L100" s="1234"/>
      <c r="M100" s="1235"/>
    </row>
    <row r="101" spans="2:13">
      <c r="B101" s="1222"/>
      <c r="C101" s="1223"/>
      <c r="D101" s="1223"/>
      <c r="E101" s="1223"/>
      <c r="F101" s="1224"/>
      <c r="G101" s="1233"/>
      <c r="H101" s="1234"/>
      <c r="I101" s="1234"/>
      <c r="J101" s="1234"/>
      <c r="K101" s="1234"/>
      <c r="L101" s="1234"/>
      <c r="M101" s="1235"/>
    </row>
    <row r="102" spans="2:13">
      <c r="B102" s="1222"/>
      <c r="C102" s="1223"/>
      <c r="D102" s="1223"/>
      <c r="E102" s="1223"/>
      <c r="F102" s="1224"/>
      <c r="G102" s="1233"/>
      <c r="H102" s="1234"/>
      <c r="I102" s="1234"/>
      <c r="J102" s="1234"/>
      <c r="K102" s="1234"/>
      <c r="L102" s="1234"/>
      <c r="M102" s="1235"/>
    </row>
    <row r="103" spans="2:13">
      <c r="B103" s="1222"/>
      <c r="C103" s="1223"/>
      <c r="D103" s="1223"/>
      <c r="E103" s="1223"/>
      <c r="F103" s="1224"/>
      <c r="G103" s="1233"/>
      <c r="H103" s="1234"/>
      <c r="I103" s="1234"/>
      <c r="J103" s="1234"/>
      <c r="K103" s="1234"/>
      <c r="L103" s="1234"/>
      <c r="M103" s="1235"/>
    </row>
    <row r="104" spans="2:13">
      <c r="B104" s="1222"/>
      <c r="C104" s="1223"/>
      <c r="D104" s="1223"/>
      <c r="E104" s="1223"/>
      <c r="F104" s="1224"/>
      <c r="G104" s="1233"/>
      <c r="H104" s="1234"/>
      <c r="I104" s="1234"/>
      <c r="J104" s="1234"/>
      <c r="K104" s="1234"/>
      <c r="L104" s="1234"/>
      <c r="M104" s="1235"/>
    </row>
    <row r="105" spans="2:13">
      <c r="B105" s="1222"/>
      <c r="C105" s="1223"/>
      <c r="D105" s="1223"/>
      <c r="E105" s="1223"/>
      <c r="F105" s="1224"/>
      <c r="G105" s="1233"/>
      <c r="H105" s="1234"/>
      <c r="I105" s="1234"/>
      <c r="J105" s="1234"/>
      <c r="K105" s="1234"/>
      <c r="L105" s="1234"/>
      <c r="M105" s="1235"/>
    </row>
    <row r="106" spans="2:13">
      <c r="B106" s="1222"/>
      <c r="C106" s="1223"/>
      <c r="D106" s="1223"/>
      <c r="E106" s="1223"/>
      <c r="F106" s="1224"/>
      <c r="G106" s="1233"/>
      <c r="H106" s="1234"/>
      <c r="I106" s="1234"/>
      <c r="J106" s="1234"/>
      <c r="K106" s="1234"/>
      <c r="L106" s="1234"/>
      <c r="M106" s="1235"/>
    </row>
    <row r="107" spans="2:13">
      <c r="B107" s="1222"/>
      <c r="C107" s="1223"/>
      <c r="D107" s="1223"/>
      <c r="E107" s="1223"/>
      <c r="F107" s="1224"/>
      <c r="G107" s="1233"/>
      <c r="H107" s="1234"/>
      <c r="I107" s="1234"/>
      <c r="J107" s="1234"/>
      <c r="K107" s="1234"/>
      <c r="L107" s="1234"/>
      <c r="M107" s="1235"/>
    </row>
    <row r="108" spans="2:13" ht="14.1" thickBot="1">
      <c r="B108" s="1222"/>
      <c r="C108" s="1223"/>
      <c r="D108" s="1223"/>
      <c r="E108" s="1223"/>
      <c r="F108" s="1224"/>
      <c r="G108" s="1236"/>
      <c r="H108" s="1237"/>
      <c r="I108" s="1234"/>
      <c r="J108" s="1234"/>
      <c r="K108" s="1234"/>
      <c r="L108" s="1237"/>
      <c r="M108" s="1238"/>
    </row>
    <row r="109" spans="2:13" ht="32.85" customHeight="1" thickBot="1">
      <c r="B109" s="1225"/>
      <c r="C109" s="1226"/>
      <c r="D109" s="1226"/>
      <c r="E109" s="1226"/>
      <c r="F109" s="1227"/>
      <c r="G109" s="1209" t="e" vm="1">
        <f>'Inputs (AUD)'!H3</f>
        <v>#VALUE!</v>
      </c>
      <c r="H109" s="1210"/>
      <c r="I109" s="845" t="e" vm="2">
        <f>Peers!C2</f>
        <v>#VALUE!</v>
      </c>
      <c r="J109" s="1239" t="e" vm="3">
        <f>Peers!C3</f>
        <v>#VALUE!</v>
      </c>
      <c r="K109" s="1240"/>
      <c r="L109" s="846" t="e" vm="4">
        <f>Peers!C4</f>
        <v>#VALUE!</v>
      </c>
      <c r="M109" s="847" t="e" vm="5">
        <f>Peers!C5</f>
        <v>#VALUE!</v>
      </c>
    </row>
    <row r="112" spans="2:13">
      <c r="B112" t="s">
        <v>195</v>
      </c>
    </row>
  </sheetData>
  <mergeCells count="130">
    <mergeCell ref="C36:G36"/>
    <mergeCell ref="C37:G37"/>
    <mergeCell ref="I43:I44"/>
    <mergeCell ref="J56:K56"/>
    <mergeCell ref="J41:K42"/>
    <mergeCell ref="J43:K44"/>
    <mergeCell ref="K13:M13"/>
    <mergeCell ref="K14:M14"/>
    <mergeCell ref="K15:M15"/>
    <mergeCell ref="K16:M16"/>
    <mergeCell ref="K18:M18"/>
    <mergeCell ref="I20:K20"/>
    <mergeCell ref="I30:J30"/>
    <mergeCell ref="I31:J31"/>
    <mergeCell ref="I32:J32"/>
    <mergeCell ref="I35:M35"/>
    <mergeCell ref="L41:L42"/>
    <mergeCell ref="L43:L44"/>
    <mergeCell ref="M41:M42"/>
    <mergeCell ref="M43:M44"/>
    <mergeCell ref="J21:K21"/>
    <mergeCell ref="J54:K54"/>
    <mergeCell ref="L20:M20"/>
    <mergeCell ref="B20:C20"/>
    <mergeCell ref="B61:I61"/>
    <mergeCell ref="B60:M60"/>
    <mergeCell ref="B45:M45"/>
    <mergeCell ref="I41:I42"/>
    <mergeCell ref="C44:G44"/>
    <mergeCell ref="C43:G43"/>
    <mergeCell ref="B40:G40"/>
    <mergeCell ref="C41:G41"/>
    <mergeCell ref="J57:K57"/>
    <mergeCell ref="J58:K58"/>
    <mergeCell ref="J59:K59"/>
    <mergeCell ref="J55:K55"/>
    <mergeCell ref="E2:K2"/>
    <mergeCell ref="F21:G21"/>
    <mergeCell ref="F29:G29"/>
    <mergeCell ref="F27:G27"/>
    <mergeCell ref="J22:K22"/>
    <mergeCell ref="I23:J23"/>
    <mergeCell ref="I24:J24"/>
    <mergeCell ref="I25:J25"/>
    <mergeCell ref="I26:J26"/>
    <mergeCell ref="I27:J27"/>
    <mergeCell ref="I28:J28"/>
    <mergeCell ref="I29:J29"/>
    <mergeCell ref="F28:G28"/>
    <mergeCell ref="D4:G18"/>
    <mergeCell ref="D3:G3"/>
    <mergeCell ref="H3:M3"/>
    <mergeCell ref="F20:H20"/>
    <mergeCell ref="F23:G23"/>
    <mergeCell ref="F22:G22"/>
    <mergeCell ref="K9:M9"/>
    <mergeCell ref="K4:M4"/>
    <mergeCell ref="K6:M6"/>
    <mergeCell ref="K8:M8"/>
    <mergeCell ref="K5:M5"/>
    <mergeCell ref="G109:H109"/>
    <mergeCell ref="G84:M84"/>
    <mergeCell ref="E74:I83"/>
    <mergeCell ref="E63:I72"/>
    <mergeCell ref="J62:L62"/>
    <mergeCell ref="E73:I73"/>
    <mergeCell ref="B85:F109"/>
    <mergeCell ref="B84:F84"/>
    <mergeCell ref="G85:M108"/>
    <mergeCell ref="J76:L76"/>
    <mergeCell ref="J109:K109"/>
    <mergeCell ref="J63:L63"/>
    <mergeCell ref="J64:L64"/>
    <mergeCell ref="J65:L65"/>
    <mergeCell ref="J66:L66"/>
    <mergeCell ref="J67:L67"/>
    <mergeCell ref="J68:L68"/>
    <mergeCell ref="J69:L69"/>
    <mergeCell ref="J70:L70"/>
    <mergeCell ref="J71:L71"/>
    <mergeCell ref="J82:L82"/>
    <mergeCell ref="J73:L73"/>
    <mergeCell ref="J74:L74"/>
    <mergeCell ref="J72:L72"/>
    <mergeCell ref="J77:L77"/>
    <mergeCell ref="J75:L75"/>
    <mergeCell ref="B74:D83"/>
    <mergeCell ref="J78:L78"/>
    <mergeCell ref="J79:L79"/>
    <mergeCell ref="J80:L80"/>
    <mergeCell ref="J83:L83"/>
    <mergeCell ref="J81:L81"/>
    <mergeCell ref="B73:D73"/>
    <mergeCell ref="B30:C30"/>
    <mergeCell ref="D20:E20"/>
    <mergeCell ref="B19:M19"/>
    <mergeCell ref="F24:G24"/>
    <mergeCell ref="F25:G25"/>
    <mergeCell ref="F26:G26"/>
    <mergeCell ref="K7:M7"/>
    <mergeCell ref="H11:M11"/>
    <mergeCell ref="K10:M10"/>
    <mergeCell ref="K12:M12"/>
    <mergeCell ref="K17:M17"/>
    <mergeCell ref="B3:C17"/>
    <mergeCell ref="B18:C18"/>
    <mergeCell ref="B63:D72"/>
    <mergeCell ref="J61:M61"/>
    <mergeCell ref="F32:G32"/>
    <mergeCell ref="F30:G30"/>
    <mergeCell ref="F31:G31"/>
    <mergeCell ref="H36:H39"/>
    <mergeCell ref="C38:G38"/>
    <mergeCell ref="C39:G39"/>
    <mergeCell ref="C42:G42"/>
    <mergeCell ref="H41:H44"/>
    <mergeCell ref="B35:G35"/>
    <mergeCell ref="F33:G33"/>
    <mergeCell ref="B34:M34"/>
    <mergeCell ref="B62:D62"/>
    <mergeCell ref="E62:I62"/>
    <mergeCell ref="J46:M46"/>
    <mergeCell ref="I36:M39"/>
    <mergeCell ref="I40:M40"/>
    <mergeCell ref="J48:K48"/>
    <mergeCell ref="J49:K49"/>
    <mergeCell ref="J50:K50"/>
    <mergeCell ref="J51:K51"/>
    <mergeCell ref="J52:K52"/>
    <mergeCell ref="J53:K53"/>
  </mergeCells>
  <phoneticPr fontId="0" type="noConversion"/>
  <conditionalFormatting sqref="C47:C55 D47:E47">
    <cfRule type="dataBar" priority="13">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7:D55">
    <cfRule type="dataBar" priority="12">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8:D55">
    <cfRule type="dataBar" priority="21">
      <dataBar>
        <cfvo type="min"/>
        <cfvo type="max"/>
        <color rgb="FF63C384"/>
      </dataBar>
      <extLst>
        <ext xmlns:x14="http://schemas.microsoft.com/office/spreadsheetml/2009/9/main" uri="{B025F937-C7B1-47D3-B67F-A62EFF666E3E}">
          <x14:id>{16E131EF-4CFA-4C45-B407-C7FA5F1CCD58}</x14:id>
        </ext>
      </extLst>
    </cfRule>
    <cfRule type="dataBar" priority="19">
      <dataBar>
        <cfvo type="min"/>
        <cfvo type="max"/>
        <color rgb="FF638EC6"/>
      </dataBar>
      <extLst>
        <ext xmlns:x14="http://schemas.microsoft.com/office/spreadsheetml/2009/9/main" uri="{B025F937-C7B1-47D3-B67F-A62EFF666E3E}">
          <x14:id>{8F05AC94-FB75-41DC-A030-BD50695363B2}</x14:id>
        </ext>
      </extLst>
    </cfRule>
  </conditionalFormatting>
  <conditionalFormatting sqref="E47:E55">
    <cfRule type="dataBar" priority="1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5">
    <cfRule type="dataBar" priority="14">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6:E59 G56:G59 I56:I59">
    <cfRule type="dataBar" priority="16">
      <dataBar>
        <cfvo type="min"/>
        <cfvo type="max"/>
        <color rgb="FF638EC6"/>
      </dataBar>
      <extLst>
        <ext xmlns:x14="http://schemas.microsoft.com/office/spreadsheetml/2009/9/main" uri="{B025F937-C7B1-47D3-B67F-A62EFF666E3E}">
          <x14:id>{4382A5A4-8938-4754-913D-04C8EB3E9944}</x14:id>
        </ext>
      </extLst>
    </cfRule>
    <cfRule type="dataBar" priority="17">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7:F55">
    <cfRule type="dataBar" priority="18">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7:G55">
    <cfRule type="dataBar" priority="20">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2:H26">
    <cfRule type="dataBar" priority="10">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8:H32">
    <cfRule type="dataBar" priority="1">
      <dataBar>
        <cfvo type="min"/>
        <cfvo type="max"/>
        <color rgb="FF638EC6"/>
      </dataBar>
      <extLst>
        <ext xmlns:x14="http://schemas.microsoft.com/office/spreadsheetml/2009/9/main" uri="{B025F937-C7B1-47D3-B67F-A62EFF666E3E}">
          <x14:id>{26DE78C2-831B-4B37-86BF-38F13DBE5678}</x14:id>
        </ext>
      </extLst>
    </cfRule>
  </conditionalFormatting>
  <conditionalFormatting sqref="H47:H55">
    <cfRule type="dataBar" priority="23">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7:I55">
    <cfRule type="dataBar" priority="15">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3:K44">
    <cfRule type="cellIs" dxfId="597" priority="4" operator="greaterThan">
      <formula>0</formula>
    </cfRule>
    <cfRule type="cellIs" dxfId="596" priority="3" operator="lessThan">
      <formula>0</formula>
    </cfRule>
  </conditionalFormatting>
  <conditionalFormatting sqref="M41:M44">
    <cfRule type="cellIs" dxfId="595" priority="6" operator="greaterThan">
      <formula>0</formula>
    </cfRule>
    <cfRule type="cellIs" dxfId="594" priority="5" operator="lessThan">
      <formula>0</formula>
    </cfRule>
  </conditionalFormatting>
  <hyperlinks>
    <hyperlink ref="O10" r:id="rId1" display="https://www.marketscreener.com/quote/stock/PILBARA-MINERALS-LIMITED-10354122/company/" xr:uid="{5F0C40FD-D266-4590-BCA9-D83D6E4DDAE2}"/>
  </hyperlinks>
  <printOptions horizontalCentered="1" verticalCentered="1"/>
  <pageMargins left="0" right="0" top="0.19685039370078741" bottom="0.19685039370078741" header="0" footer="0"/>
  <pageSetup paperSize="134" scale="64" orientation="landscape" r:id="rId2"/>
  <headerFooter alignWithMargins="0"/>
  <ignoredErrors>
    <ignoredError sqref="N48:S48 N50:S58 N49:P49 R49:S49" evalError="1"/>
  </ignoredErrors>
  <drawing r:id="rId3"/>
  <legacyDrawing r:id="rId4"/>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C47:C55 D47:E47</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D47:D55</xm:sqref>
        </x14:conditionalFormatting>
        <x14:conditionalFormatting xmlns:xm="http://schemas.microsoft.com/office/excel/2006/main">
          <x14:cfRule type="dataBar" id="{16E131EF-4CFA-4C45-B407-C7FA5F1CCD58}">
            <x14:dataBar minLength="0" maxLength="100" gradient="0">
              <x14:cfvo type="autoMin"/>
              <x14:cfvo type="autoMax"/>
              <x14:negativeFillColor rgb="FFFF0000"/>
              <x14:axisColor rgb="FF000000"/>
            </x14:dataBar>
          </x14:cfRule>
          <x14:cfRule type="dataBar" id="{8F05AC94-FB75-41DC-A030-BD50695363B2}">
            <x14:dataBar minLength="0" maxLength="100" gradient="0">
              <x14:cfvo type="autoMin"/>
              <x14:cfvo type="autoMax"/>
              <x14:negativeFillColor rgb="FFFF0000"/>
              <x14:axisColor rgb="FF000000"/>
            </x14:dataBar>
          </x14:cfRule>
          <xm:sqref>D48:D55</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E47:E55</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E48:E55</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E56:E59 G56:G59 I56:I59</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F47:F55</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G47:G55</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H22:H26</xm:sqref>
        </x14:conditionalFormatting>
        <x14:conditionalFormatting xmlns:xm="http://schemas.microsoft.com/office/excel/2006/main">
          <x14:cfRule type="dataBar" id="{26DE78C2-831B-4B37-86BF-38F13DBE5678}">
            <x14:dataBar minLength="0" maxLength="100" border="1" negativeBarBorderColorSameAsPositive="0">
              <x14:cfvo type="autoMin"/>
              <x14:cfvo type="autoMax"/>
              <x14:borderColor rgb="FF638EC6"/>
              <x14:negativeFillColor rgb="FFFF0000"/>
              <x14:negativeBorderColor rgb="FFFF0000"/>
              <x14:axisColor rgb="FF000000"/>
            </x14:dataBar>
          </x14:cfRule>
          <xm:sqref>H28:H32</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H47:H55</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I47:I55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95"/>
  <cols>
    <col min="1" max="1" width="27.140625" bestFit="1" customWidth="1"/>
  </cols>
  <sheetData>
    <row r="1" spans="1:1">
      <c r="A1" t="s">
        <v>196</v>
      </c>
    </row>
    <row r="2" spans="1:1">
      <c r="A2" t="s">
        <v>197</v>
      </c>
    </row>
    <row r="3" spans="1:1">
      <c r="A3" t="s">
        <v>198</v>
      </c>
    </row>
    <row r="4" spans="1:1">
      <c r="A4" t="s">
        <v>199</v>
      </c>
    </row>
    <row r="5" spans="1:1">
      <c r="A5" t="s">
        <v>200</v>
      </c>
    </row>
    <row r="6" spans="1:1">
      <c r="A6" s="10" t="s">
        <v>201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70"/>
  <sheetViews>
    <sheetView showGridLines="0" topLeftCell="A32" zoomScale="90" zoomScaleNormal="90" workbookViewId="0">
      <selection activeCell="B41" sqref="B41:I56"/>
    </sheetView>
  </sheetViews>
  <sheetFormatPr defaultColWidth="11.42578125" defaultRowHeight="12.95"/>
  <cols>
    <col min="1" max="1" width="2.140625" customWidth="1"/>
    <col min="2" max="2" width="11.28515625" customWidth="1"/>
    <col min="3" max="3" width="42.7109375" customWidth="1"/>
    <col min="4" max="4" width="18" style="2" customWidth="1"/>
    <col min="5" max="6" width="16.7109375" bestFit="1" customWidth="1"/>
    <col min="7" max="7" width="15.7109375" bestFit="1" customWidth="1"/>
    <col min="8" max="8" width="15.28515625" customWidth="1"/>
    <col min="9" max="9" width="14.7109375" bestFit="1" customWidth="1"/>
    <col min="10" max="11" width="11.42578125" bestFit="1" customWidth="1"/>
    <col min="17" max="17" width="23.42578125" customWidth="1"/>
  </cols>
  <sheetData>
    <row r="1" spans="2:25" ht="7.5" customHeight="1"/>
    <row r="2" spans="2:25" ht="20.100000000000001">
      <c r="B2" s="1378" t="str">
        <f>"Regions "&amp;"("&amp;OP!$J$21&amp;")"</f>
        <v>Regions (2023)</v>
      </c>
      <c r="C2" s="1379"/>
      <c r="D2" s="1379"/>
      <c r="E2" s="1379"/>
      <c r="F2" s="1379"/>
      <c r="G2" s="1379"/>
      <c r="H2" s="1379"/>
      <c r="I2" s="1379"/>
      <c r="J2" s="1379"/>
      <c r="K2" s="1379"/>
      <c r="L2" s="1379"/>
      <c r="M2" s="1379"/>
      <c r="N2" s="1379"/>
      <c r="O2" s="1379"/>
      <c r="P2" s="1379"/>
      <c r="Q2" s="1374" t="s">
        <v>202</v>
      </c>
      <c r="R2" s="1375"/>
      <c r="S2" s="1375"/>
      <c r="T2" s="1375"/>
      <c r="U2" s="1375"/>
      <c r="V2" s="1375"/>
      <c r="W2" s="1375"/>
      <c r="X2" s="1375"/>
      <c r="Y2" s="1376"/>
    </row>
    <row r="3" spans="2:25" ht="18.95" thickBot="1">
      <c r="B3" s="148"/>
      <c r="C3" s="149"/>
      <c r="D3" s="1382" t="s">
        <v>203</v>
      </c>
      <c r="E3" s="1382"/>
      <c r="F3" s="1382"/>
      <c r="G3" s="1382"/>
      <c r="H3" s="1382"/>
      <c r="I3" s="1383"/>
      <c r="J3" s="131"/>
      <c r="K3" s="1377" t="s">
        <v>204</v>
      </c>
      <c r="L3" s="1377"/>
      <c r="M3" s="1377"/>
      <c r="N3" s="1377"/>
      <c r="O3" s="1377"/>
      <c r="P3" s="1377"/>
      <c r="Q3" s="125"/>
      <c r="Y3" s="143"/>
    </row>
    <row r="4" spans="2:25" ht="14.1" thickBot="1">
      <c r="B4" s="136" t="s">
        <v>205</v>
      </c>
      <c r="C4" s="137" t="s">
        <v>206</v>
      </c>
      <c r="D4" s="138">
        <f>OP!J21</f>
        <v>2023</v>
      </c>
      <c r="E4" s="138">
        <f>D4-1</f>
        <v>2022</v>
      </c>
      <c r="F4" s="138">
        <f>E4-1</f>
        <v>2021</v>
      </c>
      <c r="G4" s="138">
        <f>F4-1</f>
        <v>2020</v>
      </c>
      <c r="H4" s="138">
        <f>G4-1</f>
        <v>2019</v>
      </c>
      <c r="I4" s="138">
        <f>H4-1</f>
        <v>2018</v>
      </c>
      <c r="J4" s="132"/>
      <c r="K4" s="138">
        <f>OP!J21</f>
        <v>2023</v>
      </c>
      <c r="L4" s="138">
        <f t="shared" ref="L4:P4" si="0">K4-1</f>
        <v>2022</v>
      </c>
      <c r="M4" s="138">
        <f t="shared" si="0"/>
        <v>2021</v>
      </c>
      <c r="N4" s="138">
        <f t="shared" si="0"/>
        <v>2020</v>
      </c>
      <c r="O4" s="138">
        <f t="shared" si="0"/>
        <v>2019</v>
      </c>
      <c r="P4" s="150">
        <f t="shared" si="0"/>
        <v>2018</v>
      </c>
      <c r="Q4" s="125"/>
      <c r="Y4" s="143"/>
    </row>
    <row r="5" spans="2:25">
      <c r="B5" s="134">
        <f>IFERROR(D5/$D$10,"")</f>
        <v>0.69622734844836931</v>
      </c>
      <c r="C5" s="135" t="s">
        <v>207</v>
      </c>
      <c r="D5" s="562">
        <f>+(D15*38/58+D16)</f>
        <v>2829.4811724137935</v>
      </c>
      <c r="E5" s="562">
        <f>+E15*38/58+E16</f>
        <v>766.8193103448275</v>
      </c>
      <c r="F5" s="562">
        <f>+F15+F16</f>
        <v>170.45</v>
      </c>
      <c r="G5" s="562">
        <f>+G15+G16</f>
        <v>92.853999999999999</v>
      </c>
      <c r="H5" s="562">
        <f>+H15+H16</f>
        <v>44.497999999999998</v>
      </c>
      <c r="I5" s="562">
        <f>+I15+I16</f>
        <v>9.8800000000000008</v>
      </c>
      <c r="J5" s="133"/>
      <c r="K5" s="1046">
        <f t="shared" ref="K5:K9" si="1">IFERROR((D5-E5)/E5,"-")</f>
        <v>2.6898929568445751</v>
      </c>
      <c r="L5" s="1046">
        <f t="shared" ref="L5:L9" si="2">IFERROR((E5-F5)/F5,"-")</f>
        <v>3.4987932551764591</v>
      </c>
      <c r="M5" s="256">
        <f t="shared" ref="M5:M9" si="3">IFERROR((F5-G5)/G5,"-")</f>
        <v>0.83567751523897726</v>
      </c>
      <c r="N5" s="256">
        <f t="shared" ref="N5:N9" si="4">IFERROR((G5-H5)/H5,"-")</f>
        <v>1.0867005258663311</v>
      </c>
      <c r="O5" s="256">
        <f t="shared" ref="O5:O9" si="5">IFERROR((H5-I5)/I5,"-")</f>
        <v>3.5038461538461529</v>
      </c>
      <c r="P5" s="256" t="str">
        <f t="shared" ref="P5:P9" si="6">IFERROR((I5-J5)/J5,"-")</f>
        <v>-</v>
      </c>
      <c r="Q5" s="125"/>
      <c r="Y5" s="143"/>
    </row>
    <row r="6" spans="2:25">
      <c r="B6" s="134">
        <f>IFERROR(D6/$D$10,"")</f>
        <v>0.36616827519413836</v>
      </c>
      <c r="C6" s="135" t="s">
        <v>208</v>
      </c>
      <c r="D6" s="562">
        <f>+D15*20/58</f>
        <v>1488.114827586207</v>
      </c>
      <c r="E6" s="562">
        <f>+E15*20/58</f>
        <v>400.77068965517236</v>
      </c>
      <c r="F6" s="562" t="s">
        <v>78</v>
      </c>
      <c r="G6" s="562" t="s">
        <v>78</v>
      </c>
      <c r="H6" s="562" t="s">
        <v>78</v>
      </c>
      <c r="I6" s="562" t="s">
        <v>78</v>
      </c>
      <c r="J6" s="133"/>
      <c r="K6" s="256">
        <f t="shared" si="1"/>
        <v>2.7131328862063184</v>
      </c>
      <c r="L6" s="256" t="str">
        <f t="shared" si="2"/>
        <v>-</v>
      </c>
      <c r="M6" s="256" t="str">
        <f t="shared" si="3"/>
        <v>-</v>
      </c>
      <c r="N6" s="256" t="str">
        <f t="shared" si="4"/>
        <v>-</v>
      </c>
      <c r="O6" s="256" t="str">
        <f t="shared" si="5"/>
        <v>-</v>
      </c>
      <c r="P6" s="256" t="str">
        <f t="shared" si="6"/>
        <v>-</v>
      </c>
      <c r="Q6" s="125"/>
      <c r="Y6" s="143"/>
    </row>
    <row r="7" spans="2:25">
      <c r="B7" s="134">
        <f>IFERROR(D7/$D$10,"")</f>
        <v>-5.0762557950639507E-4</v>
      </c>
      <c r="C7" s="135" t="str">
        <f>+C17</f>
        <v>(elimination of by-product)</v>
      </c>
      <c r="D7" s="562">
        <f t="shared" ref="D7:I7" si="7">+D17</f>
        <v>-2.0630000000000002</v>
      </c>
      <c r="E7" s="562">
        <f t="shared" si="7"/>
        <v>-5.3550000000000004</v>
      </c>
      <c r="F7" s="562">
        <f t="shared" si="7"/>
        <v>-5.9820000000000002</v>
      </c>
      <c r="G7" s="562">
        <f t="shared" si="7"/>
        <v>-7.4630000000000001</v>
      </c>
      <c r="H7" s="562">
        <f t="shared" si="7"/>
        <v>-2.2930000000000001</v>
      </c>
      <c r="I7" s="562" t="str">
        <f t="shared" si="7"/>
        <v>-</v>
      </c>
      <c r="J7" s="133"/>
      <c r="K7" s="256">
        <f t="shared" si="1"/>
        <v>-0.6147525676937442</v>
      </c>
      <c r="L7" s="256">
        <f t="shared" si="2"/>
        <v>-0.10481444332998993</v>
      </c>
      <c r="M7" s="256">
        <f t="shared" si="3"/>
        <v>-0.19844566528205815</v>
      </c>
      <c r="N7" s="1046">
        <f t="shared" si="4"/>
        <v>2.2546881814217179</v>
      </c>
      <c r="O7" s="256" t="str">
        <f t="shared" si="5"/>
        <v>-</v>
      </c>
      <c r="P7" s="256" t="str">
        <f t="shared" si="6"/>
        <v>-</v>
      </c>
      <c r="Q7" s="125"/>
      <c r="Y7" s="143"/>
    </row>
    <row r="8" spans="2:25">
      <c r="B8" s="134">
        <f>IFERROR(D8/$D$10,"")</f>
        <v>-6.1659652673867915E-2</v>
      </c>
      <c r="C8" s="135" t="str">
        <f t="shared" ref="C8:I9" si="8">+C18</f>
        <v>(provisional price adjustment)</v>
      </c>
      <c r="D8" s="562">
        <f>+D18</f>
        <v>-250.58600000000001</v>
      </c>
      <c r="E8" s="562">
        <f t="shared" si="8"/>
        <v>27.356000000000002</v>
      </c>
      <c r="F8" s="562">
        <f t="shared" si="8"/>
        <v>11.356</v>
      </c>
      <c r="G8" s="562">
        <f t="shared" si="8"/>
        <v>-1.194</v>
      </c>
      <c r="H8" s="562" t="str">
        <f t="shared" si="8"/>
        <v>-</v>
      </c>
      <c r="I8" s="562" t="str">
        <f t="shared" si="8"/>
        <v>-</v>
      </c>
      <c r="J8" s="133"/>
      <c r="K8" s="1046">
        <f t="shared" si="1"/>
        <v>-10.160184237461618</v>
      </c>
      <c r="L8" s="1046">
        <f t="shared" si="2"/>
        <v>1.4089468122578372</v>
      </c>
      <c r="M8" s="1046">
        <f t="shared" si="3"/>
        <v>-10.510887772194305</v>
      </c>
      <c r="N8" s="256" t="str">
        <f t="shared" si="4"/>
        <v>-</v>
      </c>
      <c r="O8" s="256" t="str">
        <f t="shared" si="5"/>
        <v>-</v>
      </c>
      <c r="P8" s="256" t="str">
        <f t="shared" si="6"/>
        <v>-</v>
      </c>
      <c r="Q8" s="125"/>
      <c r="Y8" s="143"/>
    </row>
    <row r="9" spans="2:25" ht="14.1" thickBot="1">
      <c r="B9" s="859">
        <f>IFERROR(D9/$D$10,"")</f>
        <v>-2.2834538913326931E-4</v>
      </c>
      <c r="C9" s="135" t="str">
        <f t="shared" si="8"/>
        <v>(hedge close-outs)</v>
      </c>
      <c r="D9" s="567">
        <f t="shared" si="8"/>
        <v>-0.92800000000000005</v>
      </c>
      <c r="E9" s="567" t="str">
        <f t="shared" si="8"/>
        <v>-</v>
      </c>
      <c r="F9" s="567" t="str">
        <f t="shared" si="8"/>
        <v>-</v>
      </c>
      <c r="G9" s="567">
        <f t="shared" si="8"/>
        <v>-0.05</v>
      </c>
      <c r="H9" s="567">
        <f t="shared" si="8"/>
        <v>0.57999999999999996</v>
      </c>
      <c r="I9" s="567">
        <f t="shared" si="8"/>
        <v>0.308</v>
      </c>
      <c r="J9" s="133"/>
      <c r="K9" s="855" t="str">
        <f t="shared" si="1"/>
        <v>-</v>
      </c>
      <c r="L9" s="855" t="str">
        <f t="shared" si="2"/>
        <v>-</v>
      </c>
      <c r="M9" s="855" t="str">
        <f t="shared" si="3"/>
        <v>-</v>
      </c>
      <c r="N9" s="855">
        <f t="shared" si="4"/>
        <v>-1.0862068965517242</v>
      </c>
      <c r="O9" s="855">
        <f t="shared" si="5"/>
        <v>0.88311688311688297</v>
      </c>
      <c r="P9" s="855" t="str">
        <f t="shared" si="6"/>
        <v>-</v>
      </c>
      <c r="Q9" s="125"/>
      <c r="Y9" s="143"/>
    </row>
    <row r="10" spans="2:25" ht="14.1" thickBot="1">
      <c r="B10" s="130">
        <f>SUM(B5:B9)</f>
        <v>0.99999999999999989</v>
      </c>
      <c r="C10" s="139" t="s">
        <v>191</v>
      </c>
      <c r="D10" s="852">
        <f t="shared" ref="D10:I10" si="9">SUM(D5:D9)</f>
        <v>4064.0190000000002</v>
      </c>
      <c r="E10" s="853">
        <f t="shared" si="9"/>
        <v>1189.5909999999999</v>
      </c>
      <c r="F10" s="853">
        <f t="shared" si="9"/>
        <v>175.82399999999998</v>
      </c>
      <c r="G10" s="853">
        <f t="shared" si="9"/>
        <v>84.147000000000006</v>
      </c>
      <c r="H10" s="853">
        <f t="shared" si="9"/>
        <v>42.784999999999997</v>
      </c>
      <c r="I10" s="854">
        <f t="shared" si="9"/>
        <v>10.188000000000001</v>
      </c>
      <c r="J10" s="851"/>
      <c r="K10" s="257">
        <f>(D10-E10)/E10</f>
        <v>2.4163161960707509</v>
      </c>
      <c r="L10" s="257">
        <f>(E10-F10)/F10</f>
        <v>5.7658055783055788</v>
      </c>
      <c r="M10" s="257">
        <f>(F10-G10)/G10</f>
        <v>1.0894862561945164</v>
      </c>
      <c r="N10" s="257">
        <f t="shared" ref="N10:O10" si="10">(G10-H10)/H10</f>
        <v>0.96674068014491088</v>
      </c>
      <c r="O10" s="257">
        <f t="shared" si="10"/>
        <v>3.1995484884177454</v>
      </c>
      <c r="P10" s="257" t="s">
        <v>78</v>
      </c>
      <c r="Q10" s="125"/>
      <c r="Y10" s="143"/>
    </row>
    <row r="11" spans="2:25">
      <c r="B11" s="146"/>
      <c r="C11" s="6"/>
      <c r="D11" s="14"/>
      <c r="E11" s="14"/>
      <c r="F11" s="14"/>
      <c r="G11" s="14"/>
      <c r="H11" s="14"/>
      <c r="I11" s="14"/>
      <c r="J11" s="14"/>
      <c r="K11" s="14"/>
      <c r="L11" s="14"/>
      <c r="M11" s="14"/>
      <c r="N11" s="14"/>
      <c r="O11" s="14"/>
      <c r="P11" s="14"/>
      <c r="Q11" s="125"/>
      <c r="Y11" s="143"/>
    </row>
    <row r="12" spans="2:25" ht="21" thickBot="1">
      <c r="B12" s="1378" t="str">
        <f>"Categories "&amp;"("&amp;OP!$J$21&amp;")"</f>
        <v>Categories (2023)</v>
      </c>
      <c r="C12" s="1379"/>
      <c r="D12" s="1379"/>
      <c r="E12" s="1379"/>
      <c r="F12" s="1379"/>
      <c r="G12" s="1379"/>
      <c r="H12" s="1379"/>
      <c r="I12" s="1379"/>
      <c r="J12" s="1379"/>
      <c r="K12" s="1379"/>
      <c r="L12" s="1379"/>
      <c r="M12" s="1379"/>
      <c r="N12" s="1379"/>
      <c r="O12" s="1379"/>
      <c r="P12" s="1379"/>
      <c r="Q12" s="125"/>
      <c r="S12" s="258"/>
      <c r="Y12" s="143"/>
    </row>
    <row r="13" spans="2:25" ht="21" thickBot="1">
      <c r="B13" s="148"/>
      <c r="C13" s="149"/>
      <c r="D13" s="1345" t="s">
        <v>203</v>
      </c>
      <c r="E13" s="1346"/>
      <c r="F13" s="1346"/>
      <c r="G13" s="1346"/>
      <c r="H13" s="1346"/>
      <c r="I13" s="1347"/>
      <c r="J13" s="131"/>
      <c r="K13" s="1380" t="s">
        <v>204</v>
      </c>
      <c r="L13" s="1381"/>
      <c r="M13" s="1381"/>
      <c r="N13" s="1381"/>
      <c r="O13" s="1381"/>
      <c r="P13" s="1381"/>
      <c r="Q13" s="125"/>
      <c r="Y13" s="143"/>
    </row>
    <row r="14" spans="2:25" ht="14.1" thickBot="1">
      <c r="B14" s="147" t="s">
        <v>205</v>
      </c>
      <c r="C14" s="124" t="s">
        <v>209</v>
      </c>
      <c r="D14" s="129">
        <f>OP!J21</f>
        <v>2023</v>
      </c>
      <c r="E14" s="129">
        <f>D14-1</f>
        <v>2022</v>
      </c>
      <c r="F14" s="129">
        <f>E14-1</f>
        <v>2021</v>
      </c>
      <c r="G14" s="129">
        <f>F14-1</f>
        <v>2020</v>
      </c>
      <c r="H14" s="129">
        <f>G14-1</f>
        <v>2019</v>
      </c>
      <c r="I14" s="129">
        <f>H14-1</f>
        <v>2018</v>
      </c>
      <c r="J14" s="132"/>
      <c r="K14" s="138">
        <f>OP!J21</f>
        <v>2023</v>
      </c>
      <c r="L14" s="138">
        <f t="shared" ref="L14:P14" si="11">K14-1</f>
        <v>2022</v>
      </c>
      <c r="M14" s="138">
        <f t="shared" si="11"/>
        <v>2021</v>
      </c>
      <c r="N14" s="138">
        <f t="shared" si="11"/>
        <v>2020</v>
      </c>
      <c r="O14" s="138">
        <f t="shared" si="11"/>
        <v>2019</v>
      </c>
      <c r="P14" s="150">
        <f t="shared" si="11"/>
        <v>2018</v>
      </c>
      <c r="Q14" s="125"/>
      <c r="Y14" s="143"/>
    </row>
    <row r="15" spans="2:25">
      <c r="B15" s="134">
        <f>IFERROR(D15/$D$20,"")</f>
        <v>1.0618879980630012</v>
      </c>
      <c r="C15" s="127" t="s">
        <v>210</v>
      </c>
      <c r="D15" s="562">
        <f>4315533000/1000000</f>
        <v>4315.5330000000004</v>
      </c>
      <c r="E15" s="562">
        <f>1162235000/1000000</f>
        <v>1162.2349999999999</v>
      </c>
      <c r="F15" s="562">
        <f>164468000/1000000</f>
        <v>164.46799999999999</v>
      </c>
      <c r="G15" s="562">
        <f>85391000/1000000</f>
        <v>85.391000000000005</v>
      </c>
      <c r="H15" s="562">
        <f>42205000/1000000</f>
        <v>42.204999999999998</v>
      </c>
      <c r="I15" s="562">
        <f>9880000/1000000</f>
        <v>9.8800000000000008</v>
      </c>
      <c r="J15" s="133"/>
      <c r="K15" s="256">
        <f>IFERROR((D15-E15)/E15,"-")</f>
        <v>2.7131328862063189</v>
      </c>
      <c r="L15" s="256">
        <f t="shared" ref="L15:P15" si="12">IFERROR((E15-F15)/F15,"-")</f>
        <v>6.0666330228372694</v>
      </c>
      <c r="M15" s="256">
        <f t="shared" si="12"/>
        <v>0.92605778126500427</v>
      </c>
      <c r="N15" s="256">
        <f t="shared" si="12"/>
        <v>1.0232436915057459</v>
      </c>
      <c r="O15" s="1046">
        <f t="shared" si="12"/>
        <v>3.2717611336032384</v>
      </c>
      <c r="P15" s="256" t="str">
        <f t="shared" si="12"/>
        <v>-</v>
      </c>
      <c r="Q15" s="125"/>
      <c r="Y15" s="143"/>
    </row>
    <row r="16" spans="2:25">
      <c r="B16" s="134">
        <f>IFERROR(D16/$D$20,"")</f>
        <v>5.0762557950639507E-4</v>
      </c>
      <c r="C16" s="404" t="s">
        <v>211</v>
      </c>
      <c r="D16" s="562">
        <f>2063000/1000000</f>
        <v>2.0630000000000002</v>
      </c>
      <c r="E16" s="562">
        <f>5355000/1000000</f>
        <v>5.3550000000000004</v>
      </c>
      <c r="F16" s="562">
        <f>5982000/1000000</f>
        <v>5.9820000000000002</v>
      </c>
      <c r="G16" s="562">
        <f>7463000/1000000</f>
        <v>7.4630000000000001</v>
      </c>
      <c r="H16" s="562">
        <f>2293000/1000000</f>
        <v>2.2930000000000001</v>
      </c>
      <c r="I16" s="562">
        <v>0</v>
      </c>
      <c r="J16" s="133"/>
      <c r="K16" s="256">
        <f t="shared" ref="K16:K19" si="13">IFERROR((D16-E16)/E16,"-")</f>
        <v>-0.6147525676937442</v>
      </c>
      <c r="L16" s="256">
        <f t="shared" ref="L16:L19" si="14">IFERROR((E16-F16)/F16,"-")</f>
        <v>-0.10481444332998993</v>
      </c>
      <c r="M16" s="256">
        <f t="shared" ref="M16:M19" si="15">IFERROR((F16-G16)/G16,"-")</f>
        <v>-0.19844566528205815</v>
      </c>
      <c r="N16" s="256">
        <f t="shared" ref="N16:N19" si="16">IFERROR((G16-H16)/H16,"-")</f>
        <v>2.2546881814217179</v>
      </c>
      <c r="O16" s="256" t="str">
        <f t="shared" ref="O16:O19" si="17">IFERROR((H16-I16)/I16,"-")</f>
        <v>-</v>
      </c>
      <c r="P16" s="256" t="str">
        <f t="shared" ref="P16:P19" si="18">IFERROR((I16-J16)/J16,"-")</f>
        <v>-</v>
      </c>
      <c r="Q16" s="125"/>
      <c r="Y16" s="143"/>
    </row>
    <row r="17" spans="2:25">
      <c r="B17" s="134">
        <f>IFERROR(D17/$D$20,"")</f>
        <v>-5.0762557950639507E-4</v>
      </c>
      <c r="C17" s="128" t="s">
        <v>212</v>
      </c>
      <c r="D17" s="562">
        <f>-D16</f>
        <v>-2.0630000000000002</v>
      </c>
      <c r="E17" s="562">
        <f>-E16</f>
        <v>-5.3550000000000004</v>
      </c>
      <c r="F17" s="562">
        <f>-F16</f>
        <v>-5.9820000000000002</v>
      </c>
      <c r="G17" s="562">
        <f>-G16</f>
        <v>-7.4630000000000001</v>
      </c>
      <c r="H17" s="562">
        <f>-H16</f>
        <v>-2.2930000000000001</v>
      </c>
      <c r="I17" s="562" t="s">
        <v>78</v>
      </c>
      <c r="J17" s="133"/>
      <c r="K17" s="256">
        <f t="shared" si="13"/>
        <v>-0.6147525676937442</v>
      </c>
      <c r="L17" s="256">
        <f t="shared" si="14"/>
        <v>-0.10481444332998993</v>
      </c>
      <c r="M17" s="256">
        <f t="shared" si="15"/>
        <v>-0.19844566528205815</v>
      </c>
      <c r="N17" s="256">
        <f t="shared" si="16"/>
        <v>2.2546881814217179</v>
      </c>
      <c r="O17" s="256" t="str">
        <f t="shared" si="17"/>
        <v>-</v>
      </c>
      <c r="P17" s="256" t="str">
        <f t="shared" si="18"/>
        <v>-</v>
      </c>
      <c r="Q17" s="125"/>
      <c r="Y17" s="143"/>
    </row>
    <row r="18" spans="2:25">
      <c r="B18" s="134">
        <f>IFERROR(D18/$D$20,"")</f>
        <v>-6.1659652673867915E-2</v>
      </c>
      <c r="C18" s="566" t="s">
        <v>213</v>
      </c>
      <c r="D18" s="562">
        <f>-250586000/1000000</f>
        <v>-250.58600000000001</v>
      </c>
      <c r="E18" s="562">
        <f>27356000/1000000</f>
        <v>27.356000000000002</v>
      </c>
      <c r="F18" s="562">
        <f>11356000/1000000</f>
        <v>11.356</v>
      </c>
      <c r="G18" s="562">
        <f>-1194000/1000000</f>
        <v>-1.194</v>
      </c>
      <c r="H18" s="562" t="s">
        <v>78</v>
      </c>
      <c r="I18" s="562" t="s">
        <v>78</v>
      </c>
      <c r="J18" s="133"/>
      <c r="K18" s="256">
        <f t="shared" si="13"/>
        <v>-10.160184237461618</v>
      </c>
      <c r="L18" s="256">
        <f t="shared" si="14"/>
        <v>1.4089468122578372</v>
      </c>
      <c r="M18" s="256">
        <f t="shared" si="15"/>
        <v>-10.510887772194305</v>
      </c>
      <c r="N18" s="256" t="str">
        <f t="shared" si="16"/>
        <v>-</v>
      </c>
      <c r="O18" s="256" t="str">
        <f t="shared" si="17"/>
        <v>-</v>
      </c>
      <c r="P18" s="256" t="str">
        <f t="shared" si="18"/>
        <v>-</v>
      </c>
      <c r="Q18" s="125"/>
      <c r="Y18" s="143"/>
    </row>
    <row r="19" spans="2:25" ht="14.1" thickBot="1">
      <c r="B19" s="859">
        <f>IFERROR(D19/$D$20,"")</f>
        <v>-2.2834538913326931E-4</v>
      </c>
      <c r="C19" s="860" t="s">
        <v>214</v>
      </c>
      <c r="D19" s="567">
        <f>-928000/1000000</f>
        <v>-0.92800000000000005</v>
      </c>
      <c r="E19" s="567" t="s">
        <v>78</v>
      </c>
      <c r="F19" s="567" t="s">
        <v>78</v>
      </c>
      <c r="G19" s="567">
        <f>-50000/1000000</f>
        <v>-0.05</v>
      </c>
      <c r="H19" s="567">
        <f>580000/1000000</f>
        <v>0.57999999999999996</v>
      </c>
      <c r="I19" s="567">
        <f>308000/1000000</f>
        <v>0.308</v>
      </c>
      <c r="J19" s="133"/>
      <c r="K19" s="855" t="str">
        <f t="shared" si="13"/>
        <v>-</v>
      </c>
      <c r="L19" s="855" t="str">
        <f t="shared" si="14"/>
        <v>-</v>
      </c>
      <c r="M19" s="855" t="str">
        <f t="shared" si="15"/>
        <v>-</v>
      </c>
      <c r="N19" s="855">
        <f t="shared" si="16"/>
        <v>-1.0862068965517242</v>
      </c>
      <c r="O19" s="855">
        <f t="shared" si="17"/>
        <v>0.88311688311688297</v>
      </c>
      <c r="P19" s="855" t="str">
        <f t="shared" si="18"/>
        <v>-</v>
      </c>
      <c r="Q19" s="125"/>
      <c r="Y19" s="143"/>
    </row>
    <row r="20" spans="2:25" ht="14.1" thickBot="1">
      <c r="B20" s="130">
        <f>SUM(B15:B19)</f>
        <v>0.99999999999999989</v>
      </c>
      <c r="C20" s="858" t="s">
        <v>191</v>
      </c>
      <c r="D20" s="852">
        <f t="shared" ref="D20:I20" si="19">SUM(D15:D19)</f>
        <v>4064.0190000000002</v>
      </c>
      <c r="E20" s="853">
        <f t="shared" si="19"/>
        <v>1189.5909999999999</v>
      </c>
      <c r="F20" s="853">
        <f t="shared" si="19"/>
        <v>175.82399999999998</v>
      </c>
      <c r="G20" s="853">
        <f t="shared" si="19"/>
        <v>84.147000000000006</v>
      </c>
      <c r="H20" s="853">
        <f t="shared" si="19"/>
        <v>42.784999999999997</v>
      </c>
      <c r="I20" s="854">
        <f t="shared" si="19"/>
        <v>10.188000000000001</v>
      </c>
      <c r="J20" s="569"/>
      <c r="K20" s="257">
        <f>(D20-E20)/E20</f>
        <v>2.4163161960707509</v>
      </c>
      <c r="L20" s="257">
        <f>(E20-F20)/F20</f>
        <v>5.7658055783055788</v>
      </c>
      <c r="M20" s="257">
        <f>(F20-G20)/G20</f>
        <v>1.0894862561945164</v>
      </c>
      <c r="N20" s="257">
        <f>(G20-H20)/H20</f>
        <v>0.96674068014491088</v>
      </c>
      <c r="O20" s="257">
        <f>(H20-I20)/I20</f>
        <v>3.1995484884177454</v>
      </c>
      <c r="P20" s="257" t="s">
        <v>78</v>
      </c>
      <c r="Q20" s="125"/>
      <c r="Y20" s="143"/>
    </row>
    <row r="21" spans="2:25" ht="14.85" customHeight="1" thickBot="1">
      <c r="B21" s="568"/>
      <c r="C21" s="13"/>
      <c r="D21" s="816"/>
      <c r="E21" s="816"/>
      <c r="F21" s="816"/>
      <c r="G21" s="816"/>
      <c r="H21" s="816"/>
      <c r="I21" s="816"/>
      <c r="J21" s="569"/>
      <c r="K21" s="570"/>
      <c r="L21" s="570"/>
      <c r="M21" s="570"/>
      <c r="N21" s="570"/>
      <c r="O21" s="570"/>
      <c r="P21" s="570"/>
      <c r="Q21" s="125"/>
      <c r="Y21" s="143"/>
    </row>
    <row r="22" spans="2:25" ht="21" thickBot="1">
      <c r="B22" s="1345" t="s">
        <v>80</v>
      </c>
      <c r="C22" s="1347"/>
      <c r="D22" s="1345" t="s">
        <v>215</v>
      </c>
      <c r="E22" s="1346"/>
      <c r="F22" s="1346"/>
      <c r="G22" s="1346"/>
      <c r="H22" s="1346"/>
      <c r="I22" s="1365" t="s">
        <v>216</v>
      </c>
      <c r="J22" s="1366"/>
      <c r="K22" s="1366"/>
      <c r="L22" s="1366"/>
      <c r="M22" s="1366"/>
      <c r="N22" s="1366"/>
      <c r="O22" s="1366"/>
      <c r="P22" s="1366"/>
      <c r="Q22" s="125"/>
      <c r="S22" s="571"/>
      <c r="Y22" s="143"/>
    </row>
    <row r="23" spans="2:25" ht="47.25" customHeight="1">
      <c r="B23" s="1357" t="s">
        <v>210</v>
      </c>
      <c r="C23" s="1358"/>
      <c r="D23" s="1362" t="s">
        <v>217</v>
      </c>
      <c r="E23" s="1363"/>
      <c r="F23" s="1363"/>
      <c r="G23" s="1363"/>
      <c r="H23" s="1363"/>
      <c r="I23" s="125"/>
      <c r="Q23" s="125"/>
      <c r="Y23" s="143"/>
    </row>
    <row r="24" spans="2:25" ht="57.75" customHeight="1" thickBot="1">
      <c r="B24" s="1357" t="s">
        <v>211</v>
      </c>
      <c r="C24" s="1358"/>
      <c r="D24" s="1362" t="s">
        <v>218</v>
      </c>
      <c r="E24" s="1363"/>
      <c r="F24" s="1363"/>
      <c r="G24" s="1363"/>
      <c r="H24" s="1363"/>
      <c r="I24" s="125"/>
      <c r="Q24" s="125"/>
      <c r="Y24" s="143"/>
    </row>
    <row r="25" spans="2:25" ht="28.35" hidden="1" customHeight="1" thickBot="1">
      <c r="B25" s="1357"/>
      <c r="C25" s="1358"/>
      <c r="D25" s="1364"/>
      <c r="E25" s="1363"/>
      <c r="F25" s="1363"/>
      <c r="G25" s="1363"/>
      <c r="H25" s="1363"/>
      <c r="I25" s="125"/>
      <c r="Q25" s="125"/>
      <c r="Y25" s="143"/>
    </row>
    <row r="26" spans="2:25" ht="56.25" customHeight="1" thickBot="1">
      <c r="I26" s="126"/>
      <c r="J26" s="144"/>
      <c r="K26" s="144"/>
      <c r="L26" s="144"/>
      <c r="M26" s="144"/>
      <c r="N26" s="144"/>
      <c r="O26" s="144"/>
      <c r="P26" s="144"/>
      <c r="Q26" s="126"/>
      <c r="R26" s="144"/>
      <c r="S26" s="144"/>
      <c r="T26" s="144"/>
      <c r="U26" s="144"/>
      <c r="V26" s="144"/>
      <c r="W26" s="144"/>
      <c r="X26" s="144"/>
      <c r="Y26" s="145"/>
    </row>
    <row r="27" spans="2:25" ht="21" thickBot="1">
      <c r="B27" s="1345" t="s">
        <v>219</v>
      </c>
      <c r="C27" s="1346"/>
      <c r="D27" s="1346"/>
      <c r="E27" s="1346"/>
      <c r="F27" s="1346"/>
      <c r="G27" s="1346"/>
      <c r="H27" s="1346"/>
      <c r="I27" s="1347"/>
      <c r="J27" s="1367" t="s">
        <v>220</v>
      </c>
      <c r="K27" s="1368"/>
      <c r="L27" s="1368"/>
      <c r="M27" s="1368"/>
      <c r="N27" s="1368"/>
      <c r="O27" s="1368"/>
      <c r="P27" s="1368"/>
      <c r="Q27" s="1369"/>
    </row>
    <row r="28" spans="2:25">
      <c r="B28" s="1354" t="s">
        <v>221</v>
      </c>
      <c r="C28" s="1356"/>
      <c r="D28" s="1370" t="s">
        <v>215</v>
      </c>
      <c r="E28" s="1371"/>
      <c r="F28" s="1371"/>
      <c r="G28" s="1371"/>
      <c r="H28" s="1371"/>
      <c r="I28" s="1372"/>
      <c r="J28" s="140"/>
      <c r="K28" s="141"/>
      <c r="L28" s="141"/>
      <c r="M28" s="141"/>
      <c r="N28" s="141"/>
      <c r="O28" s="141"/>
      <c r="P28" s="141"/>
      <c r="Q28" s="142"/>
    </row>
    <row r="29" spans="2:25" ht="44.1" customHeight="1">
      <c r="B29" s="1316" t="s">
        <v>222</v>
      </c>
      <c r="C29" s="1373"/>
      <c r="D29" s="1335" t="s">
        <v>223</v>
      </c>
      <c r="E29" s="1336"/>
      <c r="F29" s="1336"/>
      <c r="G29" s="1336"/>
      <c r="H29" s="1336"/>
      <c r="I29" s="1337"/>
      <c r="Q29" s="143"/>
    </row>
    <row r="30" spans="2:25" ht="34.35" customHeight="1">
      <c r="B30" s="1316" t="s">
        <v>224</v>
      </c>
      <c r="C30" s="1317"/>
      <c r="D30" s="1359" t="s">
        <v>225</v>
      </c>
      <c r="E30" s="1360"/>
      <c r="F30" s="1360"/>
      <c r="G30" s="1360"/>
      <c r="H30" s="1360"/>
      <c r="I30" s="1361"/>
      <c r="J30" s="125"/>
      <c r="Q30" s="143"/>
    </row>
    <row r="31" spans="2:25" ht="54" customHeight="1">
      <c r="B31" s="1316" t="s">
        <v>226</v>
      </c>
      <c r="C31" s="1317"/>
      <c r="D31" s="1338" t="s">
        <v>227</v>
      </c>
      <c r="E31" s="1339"/>
      <c r="F31" s="1339"/>
      <c r="G31" s="1339"/>
      <c r="H31" s="1339"/>
      <c r="I31" s="1340"/>
      <c r="J31" s="125"/>
      <c r="K31" s="811"/>
      <c r="Q31" s="143"/>
    </row>
    <row r="32" spans="2:25" ht="55.35" customHeight="1">
      <c r="B32" s="1341" t="s">
        <v>228</v>
      </c>
      <c r="C32" s="1342"/>
      <c r="D32" s="1321" t="s">
        <v>229</v>
      </c>
      <c r="E32" s="1322"/>
      <c r="F32" s="1322"/>
      <c r="G32" s="1322"/>
      <c r="H32" s="1322"/>
      <c r="I32" s="1323"/>
      <c r="J32" s="125"/>
      <c r="Q32" s="143"/>
    </row>
    <row r="33" spans="2:21" ht="14.1" thickBot="1">
      <c r="B33" s="1354" t="s">
        <v>230</v>
      </c>
      <c r="C33" s="1355"/>
      <c r="D33" s="1355"/>
      <c r="E33" s="1355"/>
      <c r="F33" s="1355"/>
      <c r="G33" s="1355"/>
      <c r="H33" s="1355"/>
      <c r="I33" s="1356"/>
      <c r="J33" s="125"/>
      <c r="Q33" s="143"/>
    </row>
    <row r="34" spans="2:21" ht="13.5" customHeight="1">
      <c r="B34" s="1311" t="s">
        <v>231</v>
      </c>
      <c r="C34" s="1312"/>
      <c r="D34" s="1318" t="s">
        <v>232</v>
      </c>
      <c r="E34" s="1319"/>
      <c r="F34" s="1320"/>
      <c r="G34" s="1318" t="s">
        <v>233</v>
      </c>
      <c r="H34" s="1319"/>
      <c r="I34" s="1320"/>
      <c r="J34" s="125"/>
      <c r="Q34" s="143"/>
      <c r="T34" s="10"/>
      <c r="U34" s="10"/>
    </row>
    <row r="35" spans="2:21">
      <c r="B35" s="1309" t="s">
        <v>234</v>
      </c>
      <c r="C35" s="1310"/>
      <c r="D35" s="1324">
        <v>0.23400000000000001</v>
      </c>
      <c r="E35" s="1325"/>
      <c r="F35" s="1326"/>
      <c r="G35" s="1313" t="s">
        <v>235</v>
      </c>
      <c r="H35" s="1314"/>
      <c r="I35" s="1315"/>
      <c r="J35" s="125"/>
      <c r="Q35" s="143"/>
      <c r="T35" s="10"/>
      <c r="U35" s="10"/>
    </row>
    <row r="36" spans="2:21">
      <c r="B36" s="1309" t="s">
        <v>236</v>
      </c>
      <c r="C36" s="1310"/>
      <c r="D36" s="1324">
        <v>0.19570000000000001</v>
      </c>
      <c r="E36" s="1325"/>
      <c r="F36" s="1326"/>
      <c r="G36" s="1313" t="s">
        <v>237</v>
      </c>
      <c r="H36" s="1327"/>
      <c r="I36" s="1328"/>
      <c r="J36" s="125"/>
      <c r="Q36" s="143"/>
      <c r="T36" s="10"/>
      <c r="U36" s="10"/>
    </row>
    <row r="37" spans="2:21">
      <c r="B37" s="1309" t="s">
        <v>238</v>
      </c>
      <c r="C37" s="1310"/>
      <c r="D37" s="1350">
        <v>0.128</v>
      </c>
      <c r="E37" s="1351"/>
      <c r="F37" s="1352"/>
      <c r="G37" s="1349" t="s">
        <v>239</v>
      </c>
      <c r="H37" s="1314"/>
      <c r="I37" s="1315"/>
      <c r="J37" s="125"/>
      <c r="Q37" s="143"/>
      <c r="T37" s="10"/>
      <c r="U37" s="10"/>
    </row>
    <row r="38" spans="2:21">
      <c r="B38" s="1309" t="s">
        <v>240</v>
      </c>
      <c r="C38" s="1310"/>
      <c r="D38" s="1353">
        <v>0.221</v>
      </c>
      <c r="E38" s="1351"/>
      <c r="F38" s="1352"/>
      <c r="G38" s="1349" t="s">
        <v>241</v>
      </c>
      <c r="H38" s="1314"/>
      <c r="I38" s="1315"/>
      <c r="J38" s="125"/>
      <c r="Q38" s="143"/>
      <c r="T38" s="10"/>
      <c r="U38" s="10"/>
    </row>
    <row r="39" spans="2:21" ht="14.1" thickBot="1">
      <c r="B39" s="1343" t="s">
        <v>242</v>
      </c>
      <c r="C39" s="1344"/>
      <c r="D39" s="1343">
        <f>AVERAGE(D35:F38)</f>
        <v>0.19467500000000001</v>
      </c>
      <c r="E39" s="1344"/>
      <c r="F39" s="1348"/>
      <c r="G39" s="1343" t="s">
        <v>241</v>
      </c>
      <c r="H39" s="1344"/>
      <c r="I39" s="1348"/>
      <c r="J39" s="125"/>
      <c r="Q39" s="143"/>
      <c r="T39" s="10"/>
      <c r="U39" s="10"/>
    </row>
    <row r="40" spans="2:21" ht="21" thickBot="1">
      <c r="B40" s="1345" t="s">
        <v>243</v>
      </c>
      <c r="C40" s="1346"/>
      <c r="D40" s="1346"/>
      <c r="E40" s="1346"/>
      <c r="F40" s="1346"/>
      <c r="G40" s="1346"/>
      <c r="H40" s="1346"/>
      <c r="I40" s="1347"/>
      <c r="J40" s="125"/>
      <c r="Q40" s="143"/>
      <c r="T40" s="10"/>
      <c r="U40" s="10"/>
    </row>
    <row r="41" spans="2:21">
      <c r="B41" s="1329" t="s">
        <v>244</v>
      </c>
      <c r="C41" s="1330"/>
      <c r="D41" s="1330"/>
      <c r="E41" s="1330"/>
      <c r="F41" s="1330"/>
      <c r="G41" s="1330"/>
      <c r="H41" s="1330"/>
      <c r="I41" s="1330"/>
      <c r="J41" s="125"/>
      <c r="Q41" s="143"/>
      <c r="T41" s="10"/>
      <c r="U41" s="10"/>
    </row>
    <row r="42" spans="2:21">
      <c r="B42" s="1331"/>
      <c r="C42" s="1332"/>
      <c r="D42" s="1332"/>
      <c r="E42" s="1332"/>
      <c r="F42" s="1332"/>
      <c r="G42" s="1332"/>
      <c r="H42" s="1332"/>
      <c r="I42" s="1332"/>
      <c r="Q42" s="143"/>
      <c r="T42" s="10"/>
      <c r="U42" s="10"/>
    </row>
    <row r="43" spans="2:21" ht="12.75" customHeight="1">
      <c r="B43" s="1331"/>
      <c r="C43" s="1332"/>
      <c r="D43" s="1332"/>
      <c r="E43" s="1332"/>
      <c r="F43" s="1332"/>
      <c r="G43" s="1332"/>
      <c r="H43" s="1332"/>
      <c r="I43" s="1332"/>
      <c r="J43" s="125"/>
      <c r="Q43" s="143"/>
      <c r="T43" s="10"/>
      <c r="U43" s="10"/>
    </row>
    <row r="44" spans="2:21">
      <c r="B44" s="1331"/>
      <c r="C44" s="1332"/>
      <c r="D44" s="1332"/>
      <c r="E44" s="1332"/>
      <c r="F44" s="1332"/>
      <c r="G44" s="1332"/>
      <c r="H44" s="1332"/>
      <c r="I44" s="1332"/>
      <c r="J44" s="125"/>
      <c r="Q44" s="143"/>
      <c r="T44" s="10"/>
      <c r="U44" s="10"/>
    </row>
    <row r="45" spans="2:21">
      <c r="B45" s="1331"/>
      <c r="C45" s="1332"/>
      <c r="D45" s="1332"/>
      <c r="E45" s="1332"/>
      <c r="F45" s="1332"/>
      <c r="G45" s="1332"/>
      <c r="H45" s="1332"/>
      <c r="I45" s="1332"/>
      <c r="J45" s="125"/>
      <c r="Q45" s="143"/>
      <c r="T45" s="10"/>
      <c r="U45" s="10"/>
    </row>
    <row r="46" spans="2:21">
      <c r="B46" s="1331"/>
      <c r="C46" s="1332"/>
      <c r="D46" s="1332"/>
      <c r="E46" s="1332"/>
      <c r="F46" s="1332"/>
      <c r="G46" s="1332"/>
      <c r="H46" s="1332"/>
      <c r="I46" s="1332"/>
      <c r="J46" s="125"/>
      <c r="Q46" s="143"/>
      <c r="T46" s="10"/>
      <c r="U46" s="10"/>
    </row>
    <row r="47" spans="2:21">
      <c r="B47" s="1331"/>
      <c r="C47" s="1332"/>
      <c r="D47" s="1332"/>
      <c r="E47" s="1332"/>
      <c r="F47" s="1332"/>
      <c r="G47" s="1332"/>
      <c r="H47" s="1332"/>
      <c r="I47" s="1332"/>
      <c r="J47" s="125"/>
      <c r="Q47" s="143"/>
      <c r="T47" s="10"/>
      <c r="U47" s="10"/>
    </row>
    <row r="48" spans="2:21">
      <c r="B48" s="1331"/>
      <c r="C48" s="1332"/>
      <c r="D48" s="1332"/>
      <c r="E48" s="1332"/>
      <c r="F48" s="1332"/>
      <c r="G48" s="1332"/>
      <c r="H48" s="1332"/>
      <c r="I48" s="1332"/>
      <c r="J48" s="125"/>
      <c r="Q48" s="143"/>
      <c r="T48" s="10"/>
      <c r="U48" s="10"/>
    </row>
    <row r="49" spans="2:21">
      <c r="B49" s="1331"/>
      <c r="C49" s="1332"/>
      <c r="D49" s="1332"/>
      <c r="E49" s="1332"/>
      <c r="F49" s="1332"/>
      <c r="G49" s="1332"/>
      <c r="H49" s="1332"/>
      <c r="I49" s="1332"/>
      <c r="J49" s="125"/>
      <c r="Q49" s="143"/>
      <c r="T49" s="10"/>
      <c r="U49" s="10"/>
    </row>
    <row r="50" spans="2:21">
      <c r="B50" s="1331"/>
      <c r="C50" s="1332"/>
      <c r="D50" s="1332"/>
      <c r="E50" s="1332"/>
      <c r="F50" s="1332"/>
      <c r="G50" s="1332"/>
      <c r="H50" s="1332"/>
      <c r="I50" s="1332"/>
      <c r="J50" s="125"/>
      <c r="Q50" s="143"/>
      <c r="T50" s="10"/>
      <c r="U50" s="10"/>
    </row>
    <row r="51" spans="2:21">
      <c r="B51" s="1331"/>
      <c r="C51" s="1332"/>
      <c r="D51" s="1332"/>
      <c r="E51" s="1332"/>
      <c r="F51" s="1332"/>
      <c r="G51" s="1332"/>
      <c r="H51" s="1332"/>
      <c r="I51" s="1332"/>
      <c r="J51" s="125"/>
      <c r="Q51" s="143"/>
      <c r="T51" s="10"/>
      <c r="U51" s="10"/>
    </row>
    <row r="52" spans="2:21">
      <c r="B52" s="1331"/>
      <c r="C52" s="1332"/>
      <c r="D52" s="1332"/>
      <c r="E52" s="1332"/>
      <c r="F52" s="1332"/>
      <c r="G52" s="1332"/>
      <c r="H52" s="1332"/>
      <c r="I52" s="1332"/>
      <c r="J52" s="125"/>
      <c r="Q52" s="143"/>
      <c r="T52" s="10"/>
      <c r="U52" s="10"/>
    </row>
    <row r="53" spans="2:21">
      <c r="B53" s="1331"/>
      <c r="C53" s="1332"/>
      <c r="D53" s="1332"/>
      <c r="E53" s="1332"/>
      <c r="F53" s="1332"/>
      <c r="G53" s="1332"/>
      <c r="H53" s="1332"/>
      <c r="I53" s="1332"/>
      <c r="J53" s="125"/>
      <c r="Q53" s="143"/>
      <c r="T53" s="10"/>
      <c r="U53" s="10"/>
    </row>
    <row r="54" spans="2:21">
      <c r="B54" s="1331"/>
      <c r="C54" s="1332"/>
      <c r="D54" s="1332"/>
      <c r="E54" s="1332"/>
      <c r="F54" s="1332"/>
      <c r="G54" s="1332"/>
      <c r="H54" s="1332"/>
      <c r="I54" s="1332"/>
      <c r="J54" s="125"/>
      <c r="Q54" s="143"/>
      <c r="T54" s="10"/>
      <c r="U54" s="10"/>
    </row>
    <row r="55" spans="2:21">
      <c r="B55" s="1331"/>
      <c r="C55" s="1332"/>
      <c r="D55" s="1332"/>
      <c r="E55" s="1332"/>
      <c r="F55" s="1332"/>
      <c r="G55" s="1332"/>
      <c r="H55" s="1332"/>
      <c r="I55" s="1332"/>
      <c r="J55" s="125"/>
      <c r="Q55" s="143"/>
      <c r="T55" s="10"/>
      <c r="U55" s="10"/>
    </row>
    <row r="56" spans="2:21">
      <c r="B56" s="1333"/>
      <c r="C56" s="1334"/>
      <c r="D56" s="1334"/>
      <c r="E56" s="1334"/>
      <c r="F56" s="1334"/>
      <c r="G56" s="1334"/>
      <c r="H56" s="1334"/>
      <c r="I56" s="1334"/>
      <c r="J56" s="126"/>
      <c r="K56" s="144"/>
      <c r="L56" s="144"/>
      <c r="M56" s="144"/>
      <c r="N56" s="144"/>
      <c r="O56" s="144"/>
      <c r="P56" s="144"/>
      <c r="Q56" s="145"/>
      <c r="T56" s="10"/>
      <c r="U56" s="10"/>
    </row>
    <row r="57" spans="2:21">
      <c r="T57" s="10"/>
      <c r="U57" s="10"/>
    </row>
    <row r="58" spans="2:21">
      <c r="T58" s="10"/>
      <c r="U58" s="10"/>
    </row>
    <row r="59" spans="2:21">
      <c r="T59" s="10"/>
      <c r="U59" s="10"/>
    </row>
    <row r="60" spans="2:21">
      <c r="T60" s="10"/>
      <c r="U60" s="10"/>
    </row>
    <row r="61" spans="2:21">
      <c r="O61" s="259"/>
      <c r="T61" s="10"/>
      <c r="U61" s="10"/>
    </row>
    <row r="62" spans="2:21">
      <c r="O62" s="259"/>
      <c r="T62" s="10"/>
      <c r="U62" s="10"/>
    </row>
    <row r="63" spans="2:21">
      <c r="O63" s="259"/>
      <c r="T63" s="10"/>
      <c r="U63" s="10"/>
    </row>
    <row r="64" spans="2:21">
      <c r="T64" s="10"/>
      <c r="U64" s="10"/>
    </row>
    <row r="65" spans="20:21">
      <c r="T65" s="10"/>
      <c r="U65" s="10"/>
    </row>
    <row r="66" spans="20:21">
      <c r="T66" s="10"/>
      <c r="U66" s="10"/>
    </row>
    <row r="67" spans="20:21">
      <c r="T67" s="10"/>
      <c r="U67" s="10"/>
    </row>
    <row r="68" spans="20:21">
      <c r="T68" s="10"/>
      <c r="U68" s="10"/>
    </row>
    <row r="69" spans="20:21">
      <c r="T69" s="10"/>
      <c r="U69" s="10"/>
    </row>
    <row r="70" spans="20:21">
      <c r="T70" s="10"/>
      <c r="U70" s="10"/>
    </row>
  </sheetData>
  <mergeCells count="49">
    <mergeCell ref="Q2:Y2"/>
    <mergeCell ref="K3:P3"/>
    <mergeCell ref="B2:P2"/>
    <mergeCell ref="K13:P13"/>
    <mergeCell ref="B12:P12"/>
    <mergeCell ref="D13:I13"/>
    <mergeCell ref="D3:I3"/>
    <mergeCell ref="B23:C23"/>
    <mergeCell ref="B22:C22"/>
    <mergeCell ref="B25:C25"/>
    <mergeCell ref="B24:C24"/>
    <mergeCell ref="D30:I30"/>
    <mergeCell ref="D22:H22"/>
    <mergeCell ref="D23:H23"/>
    <mergeCell ref="D24:H24"/>
    <mergeCell ref="D25:H25"/>
    <mergeCell ref="I22:P22"/>
    <mergeCell ref="J27:Q27"/>
    <mergeCell ref="B27:I27"/>
    <mergeCell ref="B28:C28"/>
    <mergeCell ref="B30:C30"/>
    <mergeCell ref="D28:I28"/>
    <mergeCell ref="B29:C29"/>
    <mergeCell ref="B41:I56"/>
    <mergeCell ref="D29:I29"/>
    <mergeCell ref="D31:I31"/>
    <mergeCell ref="B32:C32"/>
    <mergeCell ref="B37:C37"/>
    <mergeCell ref="B38:C38"/>
    <mergeCell ref="B39:C39"/>
    <mergeCell ref="B40:I40"/>
    <mergeCell ref="D39:F39"/>
    <mergeCell ref="G39:I39"/>
    <mergeCell ref="G37:I37"/>
    <mergeCell ref="G38:I38"/>
    <mergeCell ref="D35:F35"/>
    <mergeCell ref="D37:F37"/>
    <mergeCell ref="D38:F38"/>
    <mergeCell ref="B33:I33"/>
    <mergeCell ref="B36:C36"/>
    <mergeCell ref="B34:C34"/>
    <mergeCell ref="B35:C35"/>
    <mergeCell ref="G35:I35"/>
    <mergeCell ref="B31:C31"/>
    <mergeCell ref="D34:F34"/>
    <mergeCell ref="G34:I34"/>
    <mergeCell ref="D32:I32"/>
    <mergeCell ref="D36:F36"/>
    <mergeCell ref="G36:I36"/>
  </mergeCells>
  <phoneticPr fontId="0" type="noConversion"/>
  <conditionalFormatting sqref="B5:B9">
    <cfRule type="dataBar" priority="284">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5:B19">
    <cfRule type="dataBar" priority="1">
      <dataBar>
        <cfvo type="min"/>
        <cfvo type="max"/>
        <color rgb="FF638EC6"/>
      </dataBar>
      <extLst>
        <ext xmlns:x14="http://schemas.microsoft.com/office/spreadsheetml/2009/9/main" uri="{B025F937-C7B1-47D3-B67F-A62EFF666E3E}">
          <x14:id>{5FB89949-3BC1-4590-9A9A-DA71EBFA6923}</x14:id>
        </ext>
      </extLst>
    </cfRule>
  </conditionalFormatting>
  <conditionalFormatting sqref="B21">
    <cfRule type="dataBar" priority="249">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I9">
    <cfRule type="dataBar" priority="10">
      <dataBar>
        <cfvo type="min"/>
        <cfvo type="max"/>
        <color rgb="FF63C384"/>
      </dataBar>
      <extLst>
        <ext xmlns:x14="http://schemas.microsoft.com/office/spreadsheetml/2009/9/main" uri="{B025F937-C7B1-47D3-B67F-A62EFF666E3E}">
          <x14:id>{30CBC2F1-35AC-402E-BE1D-7BD218E8E68A}</x14:id>
        </ext>
      </extLst>
    </cfRule>
  </conditionalFormatting>
  <conditionalFormatting sqref="D15:I19">
    <cfRule type="dataBar" priority="4">
      <dataBar>
        <cfvo type="min"/>
        <cfvo type="max"/>
        <color rgb="FF63C384"/>
      </dataBar>
      <extLst>
        <ext xmlns:x14="http://schemas.microsoft.com/office/spreadsheetml/2009/9/main" uri="{B025F937-C7B1-47D3-B67F-A62EFF666E3E}">
          <x14:id>{F21EE4C7-EC08-4710-B627-5D1905690600}</x14:id>
        </ext>
      </extLst>
    </cfRule>
  </conditionalFormatting>
  <conditionalFormatting sqref="D21:I21">
    <cfRule type="dataBar" priority="194">
      <dataBar>
        <cfvo type="min"/>
        <cfvo type="max"/>
        <color rgb="FF63C384"/>
      </dataBar>
      <extLst>
        <ext xmlns:x14="http://schemas.microsoft.com/office/spreadsheetml/2009/9/main" uri="{B025F937-C7B1-47D3-B67F-A62EFF666E3E}">
          <x14:id>{3F107DCC-63A1-497B-B919-528218A545C1}</x14:id>
        </ext>
      </extLst>
    </cfRule>
    <cfRule type="dataBar" priority="199">
      <dataBar>
        <cfvo type="min"/>
        <cfvo type="max"/>
        <color rgb="FF63C384"/>
      </dataBar>
      <extLst>
        <ext xmlns:x14="http://schemas.microsoft.com/office/spreadsheetml/2009/9/main" uri="{B025F937-C7B1-47D3-B67F-A62EFF666E3E}">
          <x14:id>{5BBC426E-7FA9-4F5C-AC78-B3996BA8F931}</x14:id>
        </ext>
      </extLst>
    </cfRule>
  </conditionalFormatting>
  <conditionalFormatting sqref="E21">
    <cfRule type="dataBar" priority="252">
      <dataBar>
        <cfvo type="min"/>
        <cfvo type="max"/>
        <color rgb="FF63C384"/>
      </dataBar>
      <extLst>
        <ext xmlns:x14="http://schemas.microsoft.com/office/spreadsheetml/2009/9/main" uri="{B025F937-C7B1-47D3-B67F-A62EFF666E3E}">
          <x14:id>{5AA7A103-2149-42E1-9BBB-48A01258D43D}</x14:id>
        </ext>
      </extLst>
    </cfRule>
  </conditionalFormatting>
  <conditionalFormatting sqref="F21">
    <cfRule type="dataBar" priority="255">
      <dataBar>
        <cfvo type="min"/>
        <cfvo type="max"/>
        <color rgb="FF63C384"/>
      </dataBar>
      <extLst>
        <ext xmlns:x14="http://schemas.microsoft.com/office/spreadsheetml/2009/9/main" uri="{B025F937-C7B1-47D3-B67F-A62EFF666E3E}">
          <x14:id>{5EE1521A-2483-44CA-9CCA-E5FC63E6246F}</x14:id>
        </ext>
      </extLst>
    </cfRule>
  </conditionalFormatting>
  <conditionalFormatting sqref="G21">
    <cfRule type="dataBar" priority="258">
      <dataBar>
        <cfvo type="min"/>
        <cfvo type="max"/>
        <color rgb="FF63C384"/>
      </dataBar>
      <extLst>
        <ext xmlns:x14="http://schemas.microsoft.com/office/spreadsheetml/2009/9/main" uri="{B025F937-C7B1-47D3-B67F-A62EFF666E3E}">
          <x14:id>{00DC50B7-1706-4DFB-A90F-9F95CB19CA6D}</x14:id>
        </ext>
      </extLst>
    </cfRule>
  </conditionalFormatting>
  <conditionalFormatting sqref="H21">
    <cfRule type="dataBar" priority="261">
      <dataBar>
        <cfvo type="min"/>
        <cfvo type="max"/>
        <color rgb="FF63C384"/>
      </dataBar>
      <extLst>
        <ext xmlns:x14="http://schemas.microsoft.com/office/spreadsheetml/2009/9/main" uri="{B025F937-C7B1-47D3-B67F-A62EFF666E3E}">
          <x14:id>{EED505F4-1AE5-4E85-A25F-1DAC1EADC97D}</x14:id>
        </ext>
      </extLst>
    </cfRule>
  </conditionalFormatting>
  <conditionalFormatting sqref="I21">
    <cfRule type="dataBar" priority="248">
      <dataBar>
        <cfvo type="min"/>
        <cfvo type="max"/>
        <color rgb="FF63C384"/>
      </dataBar>
      <extLst>
        <ext xmlns:x14="http://schemas.microsoft.com/office/spreadsheetml/2009/9/main" uri="{B025F937-C7B1-47D3-B67F-A62EFF666E3E}">
          <x14:id>{A192D211-7CF8-4DE2-A7D7-7E84CEAE76AC}</x14:id>
        </ext>
      </extLst>
    </cfRule>
  </conditionalFormatting>
  <conditionalFormatting sqref="K21:O21">
    <cfRule type="dataBar" priority="267">
      <dataBar>
        <cfvo type="min"/>
        <cfvo type="max"/>
        <color rgb="FF63C384"/>
      </dataBar>
      <extLst>
        <ext xmlns:x14="http://schemas.microsoft.com/office/spreadsheetml/2009/9/main" uri="{B025F937-C7B1-47D3-B67F-A62EFF666E3E}">
          <x14:id>{CBC457F7-3DB8-46A0-988B-11CCF8FF31E5}</x14:id>
        </ext>
      </extLst>
    </cfRule>
    <cfRule type="dataBar" priority="268">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9">
    <cfRule type="dataBar" priority="2">
      <dataBar>
        <cfvo type="min"/>
        <cfvo type="max"/>
        <color rgb="FF63C384"/>
      </dataBar>
      <extLst>
        <ext xmlns:x14="http://schemas.microsoft.com/office/spreadsheetml/2009/9/main" uri="{B025F937-C7B1-47D3-B67F-A62EFF666E3E}">
          <x14:id>{370D410E-27F9-42EF-8428-6FC4EBE7966C}</x14:id>
        </ext>
      </extLst>
    </cfRule>
  </conditionalFormatting>
  <conditionalFormatting sqref="K15:P19">
    <cfRule type="dataBar" priority="3">
      <dataBar>
        <cfvo type="min"/>
        <cfvo type="max"/>
        <color rgb="FF63C384"/>
      </dataBar>
      <extLst>
        <ext xmlns:x14="http://schemas.microsoft.com/office/spreadsheetml/2009/9/main" uri="{B025F937-C7B1-47D3-B67F-A62EFF666E3E}">
          <x14:id>{C87AD23D-BD3B-493A-9A41-9D83B1D13C4F}</x14:id>
        </ext>
      </extLst>
    </cfRule>
  </conditionalFormatting>
  <conditionalFormatting sqref="K21:P21">
    <cfRule type="dataBar" priority="104">
      <dataBar>
        <cfvo type="min"/>
        <cfvo type="max"/>
        <color rgb="FF63C384"/>
      </dataBar>
      <extLst>
        <ext xmlns:x14="http://schemas.microsoft.com/office/spreadsheetml/2009/9/main" uri="{B025F937-C7B1-47D3-B67F-A62EFF666E3E}">
          <x14:id>{FE2287FA-B40E-40F5-8AA8-262EA0BD4636}</x14:id>
        </ext>
      </extLst>
    </cfRule>
    <cfRule type="dataBar" priority="102">
      <dataBar>
        <cfvo type="min"/>
        <cfvo type="max"/>
        <color rgb="FF63C384"/>
      </dataBar>
      <extLst>
        <ext xmlns:x14="http://schemas.microsoft.com/office/spreadsheetml/2009/9/main" uri="{B025F937-C7B1-47D3-B67F-A62EFF666E3E}">
          <x14:id>{904D660B-3592-4479-B026-ACD9350A3616}</x14:id>
        </ext>
      </extLst>
    </cfRule>
    <cfRule type="dataBar" priority="95">
      <dataBar>
        <cfvo type="min"/>
        <cfvo type="max"/>
        <color rgb="FF63C384"/>
      </dataBar>
      <extLst>
        <ext xmlns:x14="http://schemas.microsoft.com/office/spreadsheetml/2009/9/main" uri="{B025F937-C7B1-47D3-B67F-A62EFF666E3E}">
          <x14:id>{1C8C07B2-BD7C-4727-B188-3301C366D456}</x14:id>
        </ext>
      </extLst>
    </cfRule>
    <cfRule type="dataBar" priority="283">
      <dataBar>
        <cfvo type="min"/>
        <cfvo type="max"/>
        <color rgb="FF63C384"/>
      </dataBar>
      <extLst>
        <ext xmlns:x14="http://schemas.microsoft.com/office/spreadsheetml/2009/9/main" uri="{B025F937-C7B1-47D3-B67F-A62EFF666E3E}">
          <x14:id>{EC7F1560-4E75-4756-AE37-09B82982D1AB}</x14:id>
        </ext>
      </extLst>
    </cfRule>
    <cfRule type="dataBar" priority="86">
      <dataBar>
        <cfvo type="min"/>
        <cfvo type="max"/>
        <color rgb="FF63C384"/>
      </dataBar>
      <extLst>
        <ext xmlns:x14="http://schemas.microsoft.com/office/spreadsheetml/2009/9/main" uri="{B025F937-C7B1-47D3-B67F-A62EFF666E3E}">
          <x14:id>{624EF9E9-FC69-4C57-8B92-4F6320D43BF6}</x14:id>
        </ext>
      </extLst>
    </cfRule>
  </conditionalFormatting>
  <conditionalFormatting sqref="P21">
    <cfRule type="dataBar" priority="89">
      <dataBar>
        <cfvo type="min"/>
        <cfvo type="max"/>
        <color rgb="FF63C384"/>
      </dataBar>
      <extLst>
        <ext xmlns:x14="http://schemas.microsoft.com/office/spreadsheetml/2009/9/main" uri="{B025F937-C7B1-47D3-B67F-A62EFF666E3E}">
          <x14:id>{ECB61C77-2C43-48F4-8A50-733EB85A1CEE}</x14:id>
        </ext>
      </extLst>
    </cfRule>
    <cfRule type="dataBar" priority="88">
      <dataBar>
        <cfvo type="min"/>
        <cfvo type="max"/>
        <color rgb="FF63C384"/>
      </dataBar>
      <extLst>
        <ext xmlns:x14="http://schemas.microsoft.com/office/spreadsheetml/2009/9/main" uri="{B025F937-C7B1-47D3-B67F-A62EFF666E3E}">
          <x14:id>{657DE2C6-03A4-4EDE-99AD-798EB4DDA82C}</x14:id>
        </ext>
      </extLst>
    </cfRule>
    <cfRule type="dataBar" priority="87">
      <dataBar>
        <cfvo type="min"/>
        <cfvo type="max"/>
        <color rgb="FF63C384"/>
      </dataBar>
      <extLst>
        <ext xmlns:x14="http://schemas.microsoft.com/office/spreadsheetml/2009/9/main" uri="{B025F937-C7B1-47D3-B67F-A62EFF666E3E}">
          <x14:id>{44059659-321E-4F16-A91E-71EB67462F51}</x14:id>
        </ext>
      </extLst>
    </cfRule>
    <cfRule type="dataBar" priority="90">
      <dataBar>
        <cfvo type="min"/>
        <cfvo type="max"/>
        <color rgb="FF63C384"/>
      </dataBar>
      <extLst>
        <ext xmlns:x14="http://schemas.microsoft.com/office/spreadsheetml/2009/9/main" uri="{B025F937-C7B1-47D3-B67F-A62EFF666E3E}">
          <x14:id>{CA13E27F-6DDD-451D-9981-58C3F52DF064}</x14:id>
        </ext>
      </extLst>
    </cfRule>
    <cfRule type="dataBar" priority="91">
      <dataBar>
        <cfvo type="min"/>
        <cfvo type="max"/>
        <color rgb="FF63C384"/>
      </dataBar>
      <extLst>
        <ext xmlns:x14="http://schemas.microsoft.com/office/spreadsheetml/2009/9/main" uri="{B025F937-C7B1-47D3-B67F-A62EFF666E3E}">
          <x14:id>{E25FCA19-5187-42DE-ACC0-FA124C432602}</x14:id>
        </ext>
      </extLst>
    </cfRule>
    <cfRule type="dataBar" priority="128">
      <dataBar>
        <cfvo type="min"/>
        <cfvo type="max"/>
        <color rgb="FF63C384"/>
      </dataBar>
      <extLst>
        <ext xmlns:x14="http://schemas.microsoft.com/office/spreadsheetml/2009/9/main" uri="{B025F937-C7B1-47D3-B67F-A62EFF666E3E}">
          <x14:id>{A1AE97AD-5647-4F9F-A100-6C15C1895B18}</x14:id>
        </ext>
      </extLst>
    </cfRule>
  </conditionalFormatting>
  <hyperlinks>
    <hyperlink ref="B35:C35" r:id="rId1" display="https://www.acumenresearchandconsulting.com/lithium-compounds-market" xr:uid="{3A6EE814-337F-4ABA-9B0B-A2B7F9283371}"/>
    <hyperlink ref="B37:C37" r:id="rId2" display="https://www.grandviewresearch.com/industry-analysis/lithium-market" xr:uid="{D429BB36-1C51-4558-A9B5-912C7197E13E}"/>
    <hyperlink ref="B38:C38" r:id="rId3" display="https://straitsresearch.com/report/lithium-market" xr:uid="{4B62CDDD-87B3-4DE7-8F36-75AFA6576CF1}"/>
    <hyperlink ref="B36:C36" r:id="rId4" display="https://www.mordorintelligence.com/industry-reports/lithium-market" xr:uid="{79E9AE81-19DE-4864-85CD-A0DFC58E25D2}"/>
  </hyperlinks>
  <pageMargins left="0.75" right="0.75" top="1" bottom="1" header="0" footer="0"/>
  <pageSetup orientation="landscape" r:id="rId5"/>
  <headerFooter alignWithMargins="0"/>
  <drawing r:id="rId6"/>
  <legacyDrawing r:id="rId7"/>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B5:B9</xm:sqref>
        </x14:conditionalFormatting>
        <x14:conditionalFormatting xmlns:xm="http://schemas.microsoft.com/office/excel/2006/main">
          <x14:cfRule type="dataBar" id="{5FB89949-3BC1-4590-9A9A-DA71EBFA6923}">
            <x14:dataBar minLength="0" maxLength="100" border="1" negativeBarBorderColorSameAsPositive="0">
              <x14:cfvo type="autoMin"/>
              <x14:cfvo type="autoMax"/>
              <x14:borderColor rgb="FF638EC6"/>
              <x14:negativeFillColor rgb="FFFF0000"/>
              <x14:negativeBorderColor rgb="FFFF0000"/>
              <x14:axisColor rgb="FF000000"/>
            </x14:dataBar>
          </x14:cfRule>
          <xm:sqref>B15:B19</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B21</xm:sqref>
        </x14:conditionalFormatting>
        <x14:conditionalFormatting xmlns:xm="http://schemas.microsoft.com/office/excel/2006/main">
          <x14:cfRule type="dataBar" id="{30CBC2F1-35AC-402E-BE1D-7BD218E8E68A}">
            <x14:dataBar minLength="0" maxLength="100" gradient="0">
              <x14:cfvo type="autoMin"/>
              <x14:cfvo type="autoMax"/>
              <x14:negativeFillColor rgb="FFFF0000"/>
              <x14:axisColor rgb="FF000000"/>
            </x14:dataBar>
          </x14:cfRule>
          <xm:sqref>D5:I9</xm:sqref>
        </x14:conditionalFormatting>
        <x14:conditionalFormatting xmlns:xm="http://schemas.microsoft.com/office/excel/2006/main">
          <x14:cfRule type="dataBar" id="{F21EE4C7-EC08-4710-B627-5D1905690600}">
            <x14:dataBar minLength="0" maxLength="100" gradient="0">
              <x14:cfvo type="autoMin"/>
              <x14:cfvo type="autoMax"/>
              <x14:negativeFillColor rgb="FFFF0000"/>
              <x14:axisColor rgb="FF000000"/>
            </x14:dataBar>
          </x14:cfRule>
          <xm:sqref>D15:I19</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14:cfRule type="dataBar" id="{5BBC426E-7FA9-4F5C-AC78-B3996BA8F931}">
            <x14:dataBar minLength="0" maxLength="100" gradient="0">
              <x14:cfvo type="autoMin"/>
              <x14:cfvo type="autoMax"/>
              <x14:negativeFillColor rgb="FFFF0000"/>
              <x14:axisColor rgb="FF000000"/>
            </x14:dataBar>
          </x14:cfRule>
          <xm:sqref>D21:I21</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E21</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F21</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G21</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H21</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I21</xm:sqref>
        </x14:conditionalFormatting>
        <x14:conditionalFormatting xmlns:xm="http://schemas.microsoft.com/office/excel/2006/main">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K21:O21</xm:sqref>
        </x14:conditionalFormatting>
        <x14:conditionalFormatting xmlns:xm="http://schemas.microsoft.com/office/excel/2006/main">
          <x14:cfRule type="dataBar" id="{370D410E-27F9-42EF-8428-6FC4EBE7966C}">
            <x14:dataBar minLength="0" maxLength="100" gradient="0">
              <x14:cfvo type="autoMin"/>
              <x14:cfvo type="autoMax"/>
              <x14:negativeFillColor rgb="FFFF0000"/>
              <x14:axisColor rgb="FF000000"/>
            </x14:dataBar>
          </x14:cfRule>
          <xm:sqref>K5:P9</xm:sqref>
        </x14:conditionalFormatting>
        <x14:conditionalFormatting xmlns:xm="http://schemas.microsoft.com/office/excel/2006/main">
          <x14:cfRule type="dataBar" id="{C87AD23D-BD3B-493A-9A41-9D83B1D13C4F}">
            <x14:dataBar minLength="0" maxLength="100" gradient="0">
              <x14:cfvo type="autoMin"/>
              <x14:cfvo type="autoMax"/>
              <x14:negativeFillColor rgb="FFFF0000"/>
              <x14:axisColor rgb="FF000000"/>
            </x14:dataBar>
          </x14:cfRule>
          <xm:sqref>K15:P19</xm:sqref>
        </x14:conditionalFormatting>
        <x14:conditionalFormatting xmlns:xm="http://schemas.microsoft.com/office/excel/2006/main">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624EF9E9-FC69-4C57-8B92-4F6320D43BF6}">
            <x14:dataBar minLength="0" maxLength="100" gradient="0">
              <x14:cfvo type="autoMin"/>
              <x14:cfvo type="autoMax"/>
              <x14:negativeFillColor rgb="FFFF0000"/>
              <x14:axisColor rgb="FF000000"/>
            </x14:dataBar>
          </x14:cfRule>
          <xm:sqref>K21:P21</xm:sqref>
        </x14:conditionalFormatting>
        <x14:conditionalFormatting xmlns:xm="http://schemas.microsoft.com/office/excel/2006/main">
          <x14:cfRule type="dataBar" id="{ECB61C77-2C43-48F4-8A50-733EB85A1CEE}">
            <x14:dataBar minLength="0" maxLength="100" gradient="0">
              <x14:cfvo type="autoMin"/>
              <x14:cfvo type="autoMax"/>
              <x14:negativeFillColor rgb="FFFF0000"/>
              <x14:axisColor rgb="FF000000"/>
            </x14:dataBar>
          </x14:cfRule>
          <x14:cfRule type="dataBar" id="{657DE2C6-03A4-4EDE-99AD-798EB4DDA82C}">
            <x14:dataBar minLength="0" maxLength="100" gradient="0">
              <x14:cfvo type="autoMin"/>
              <x14:cfvo type="autoMax"/>
              <x14:negativeFillColor rgb="FFFF0000"/>
              <x14:axisColor rgb="FF000000"/>
            </x14:dataBar>
          </x14:cfRule>
          <x14:cfRule type="dataBar" id="{44059659-321E-4F16-A91E-71EB67462F51}">
            <x14:dataBar minLength="0" maxLength="100" gradient="0">
              <x14:cfvo type="autoMin"/>
              <x14:cfvo type="autoMax"/>
              <x14:negativeFill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1AE97AD-5647-4F9F-A100-6C15C1895B18}">
            <x14:dataBar minLength="0" maxLength="100" gradient="0">
              <x14:cfvo type="autoMin"/>
              <x14:cfvo type="autoMax"/>
              <x14:negativeFillColor rgb="FFFF0000"/>
              <x14:axisColor rgb="FF000000"/>
            </x14:dataBar>
          </x14:cfRule>
          <xm:sqref>P21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O94"/>
  <sheetViews>
    <sheetView showGridLines="0" topLeftCell="A57" zoomScale="90" zoomScaleNormal="90" workbookViewId="0">
      <pane xSplit="2" topLeftCell="C1" activePane="topRight" state="frozen"/>
      <selection pane="topRight" activeCell="E63" sqref="E63"/>
      <selection activeCell="A50" sqref="A50"/>
    </sheetView>
  </sheetViews>
  <sheetFormatPr defaultColWidth="11.42578125" defaultRowHeight="12.95"/>
  <cols>
    <col min="1" max="1" width="0.42578125" customWidth="1"/>
    <col min="2" max="2" width="32.28515625" customWidth="1"/>
    <col min="3" max="4" width="32.140625" customWidth="1"/>
    <col min="5" max="5" width="33.42578125" customWidth="1"/>
    <col min="6" max="7" width="33.7109375" customWidth="1"/>
    <col min="8" max="8" width="18.7109375" bestFit="1" customWidth="1"/>
    <col min="9" max="9" width="21.42578125" bestFit="1" customWidth="1"/>
    <col min="10" max="10" width="14.7109375" customWidth="1"/>
    <col min="11" max="11" width="21" customWidth="1"/>
    <col min="12" max="12" width="18.42578125" bestFit="1" customWidth="1"/>
  </cols>
  <sheetData>
    <row r="1" spans="2:13" ht="14.1">
      <c r="B1" s="165" t="s">
        <v>245</v>
      </c>
      <c r="C1" s="166" t="s">
        <v>246</v>
      </c>
      <c r="D1" s="1387" t="s">
        <v>215</v>
      </c>
      <c r="E1" s="1387"/>
      <c r="F1" s="1387"/>
      <c r="G1" s="165" t="s">
        <v>247</v>
      </c>
      <c r="H1" s="165" t="s">
        <v>248</v>
      </c>
      <c r="I1" s="870" t="s">
        <v>249</v>
      </c>
    </row>
    <row r="2" spans="2:13" ht="122.85" customHeight="1">
      <c r="B2" s="559" t="e" vm="6">
        <v>#VALUE!</v>
      </c>
      <c r="C2" s="737" t="e" vm="2">
        <v>#VALUE!</v>
      </c>
      <c r="D2" s="1384" t="s">
        <v>250</v>
      </c>
      <c r="E2" s="1385"/>
      <c r="F2" s="1386"/>
      <c r="G2" s="863" t="str" cm="1">
        <f t="array" ref="G2">_FV(C2,"Moeda")</f>
        <v>USD</v>
      </c>
      <c r="H2" s="863" t="s">
        <v>251</v>
      </c>
      <c r="I2" s="863" t="s">
        <v>252</v>
      </c>
    </row>
    <row r="3" spans="2:13" ht="108" customHeight="1">
      <c r="B3" s="558" t="e" vm="7">
        <v>#VALUE!</v>
      </c>
      <c r="C3" s="296" t="e" vm="3">
        <v>#VALUE!</v>
      </c>
      <c r="D3" s="1384" t="s">
        <v>253</v>
      </c>
      <c r="E3" s="1385"/>
      <c r="F3" s="1386"/>
      <c r="G3" s="863" t="str" cm="1">
        <f t="array" ref="G3">_FV(C3,"Moeda")</f>
        <v>USD</v>
      </c>
      <c r="H3" s="863" t="s">
        <v>251</v>
      </c>
      <c r="I3" s="863" t="s">
        <v>254</v>
      </c>
    </row>
    <row r="4" spans="2:13" ht="106.35" customHeight="1">
      <c r="B4" s="559" t="e" vm="8">
        <v>#VALUE!</v>
      </c>
      <c r="C4" s="297" t="e" vm="4">
        <v>#VALUE!</v>
      </c>
      <c r="D4" s="1384" t="s">
        <v>255</v>
      </c>
      <c r="E4" s="1385"/>
      <c r="F4" s="1386"/>
      <c r="G4" s="863" t="str" cm="1">
        <f t="array" ref="G4">_FV(C4,"Moeda")</f>
        <v>AUD</v>
      </c>
      <c r="H4" s="863" t="s">
        <v>256</v>
      </c>
      <c r="I4" s="863" t="s">
        <v>257</v>
      </c>
    </row>
    <row r="5" spans="2:13" ht="110.85" customHeight="1">
      <c r="B5" s="559" t="e" vm="9">
        <v>#VALUE!</v>
      </c>
      <c r="C5" s="736" t="e" vm="5">
        <v>#VALUE!</v>
      </c>
      <c r="D5" s="1384" t="s">
        <v>258</v>
      </c>
      <c r="E5" s="1385"/>
      <c r="F5" s="1386"/>
      <c r="G5" s="863" t="str" cm="1">
        <f t="array" ref="G5">_FV(C5,"Moeda")</f>
        <v>AUD</v>
      </c>
      <c r="H5" s="863" t="s">
        <v>251</v>
      </c>
      <c r="I5" s="863" t="s">
        <v>259</v>
      </c>
    </row>
    <row r="6" spans="2:13" ht="128.1" hidden="1" customHeight="1">
      <c r="B6" s="559"/>
      <c r="C6" s="738"/>
      <c r="D6" s="1384" t="e" cm="1" vm="10">
        <f t="array" ref="D6">_FV(C6,"Descrição")</f>
        <v>#VALUE!</v>
      </c>
      <c r="E6" s="1385"/>
      <c r="F6" s="1386"/>
      <c r="G6" t="e" cm="1" vm="11">
        <f t="array" ref="G6">_FV(C6,"Moeda")</f>
        <v>#VALUE!</v>
      </c>
    </row>
    <row r="7" spans="2:13" ht="14.1" thickBot="1">
      <c r="B7" s="10"/>
    </row>
    <row r="8" spans="2:13" ht="47.1" customHeight="1" thickBot="1">
      <c r="B8" s="674" t="str" cm="1">
        <f t="array" ref="B8">_FV(OP!E2,"Currency")&amp;" MILLIONS"</f>
        <v>AUD MILLIONS</v>
      </c>
      <c r="C8" s="292" t="e" vm="1">
        <f>OP!E2</f>
        <v>#VALUE!</v>
      </c>
      <c r="D8" s="293" t="e" vm="2">
        <f>C2</f>
        <v>#VALUE!</v>
      </c>
      <c r="E8" s="294" t="e" vm="3">
        <f>C3</f>
        <v>#VALUE!</v>
      </c>
      <c r="F8" s="295" t="e" vm="4">
        <f>C4</f>
        <v>#VALUE!</v>
      </c>
      <c r="G8" s="736" t="e" vm="5">
        <f>C5</f>
        <v>#VALUE!</v>
      </c>
      <c r="H8" s="676" t="s">
        <v>242</v>
      </c>
      <c r="I8" s="442" t="s">
        <v>260</v>
      </c>
    </row>
    <row r="9" spans="2:13" ht="16.5" customHeight="1" thickBot="1">
      <c r="B9" s="161" t="s">
        <v>261</v>
      </c>
      <c r="C9" s="151"/>
      <c r="D9" s="152"/>
      <c r="E9" s="152"/>
      <c r="F9" s="152"/>
      <c r="G9" s="152"/>
      <c r="H9" s="153" t="str">
        <f>IFERROR(AVERAGE(C9:F9),"")</f>
        <v/>
      </c>
      <c r="I9" s="424"/>
      <c r="K9" s="733" t="s">
        <v>262</v>
      </c>
      <c r="L9" s="734"/>
      <c r="M9" s="735"/>
    </row>
    <row r="10" spans="2:13" s="90" customFormat="1" ht="13.5" customHeight="1" thickBot="1">
      <c r="B10" s="163" t="s">
        <v>263</v>
      </c>
      <c r="C10" s="778" cm="1">
        <f t="array" ref="C10">_FV(C8,"Market cap",TRUE)/1000000</f>
        <v>11526.26</v>
      </c>
      <c r="D10" s="778" cm="1">
        <f t="array" ref="D10">(_FV(D8,"Capitalização de mercado",TRUE)*_FV($K$64,"Preço"))/1000000</f>
        <v>23385.867734750402</v>
      </c>
      <c r="E10" s="778" cm="1">
        <f t="array" ref="E10">(_FV(E8,"Capitalização de mercado",TRUE)*_FV($K$64,"Preço"))/1000000</f>
        <v>20785.909881</v>
      </c>
      <c r="F10" s="778" cm="1">
        <f t="array" ref="F10">_FV(F8,"Capitalização de mercado",TRUE)/1000000</f>
        <v>13832.86</v>
      </c>
      <c r="G10" s="778" cm="1">
        <f t="array" ref="G10">_FV(G8,"Capitalização de mercado",TRUE)/1000000</f>
        <v>4630.6540000000005</v>
      </c>
      <c r="H10" s="579">
        <f>IFERROR(AVERAGE(C10:G10),"")</f>
        <v>14832.310323150081</v>
      </c>
      <c r="I10" s="573">
        <f>SQRT((C10-H10)^2)</f>
        <v>3306.0503231500807</v>
      </c>
      <c r="J10" s="574"/>
      <c r="K10" s="1388"/>
      <c r="L10" s="1394" t="s">
        <v>264</v>
      </c>
      <c r="M10" s="1395"/>
    </row>
    <row r="11" spans="2:13" ht="14.1" customHeight="1" thickBot="1">
      <c r="B11" s="369" t="s">
        <v>265</v>
      </c>
      <c r="C11" s="779">
        <f>C60</f>
        <v>4064</v>
      </c>
      <c r="D11" s="779">
        <f>D60</f>
        <v>14490</v>
      </c>
      <c r="E11" s="779">
        <f>E59</f>
        <v>15450</v>
      </c>
      <c r="F11" s="779">
        <f t="shared" ref="F11:G11" si="0">F60</f>
        <v>4779.1000000000004</v>
      </c>
      <c r="G11" s="779">
        <f t="shared" si="0"/>
        <v>1795.8</v>
      </c>
      <c r="H11" s="393">
        <f>IFERROR(AVERAGE(C11:G11),"")</f>
        <v>8115.7800000000007</v>
      </c>
      <c r="I11" s="425">
        <f>SQRT((C11-H11)^2)</f>
        <v>4051.7800000000007</v>
      </c>
      <c r="K11" s="1389"/>
      <c r="L11" s="1396"/>
      <c r="M11" s="1397"/>
    </row>
    <row r="12" spans="2:13" ht="16.5" customHeight="1" thickBot="1">
      <c r="B12" s="161" t="s">
        <v>266</v>
      </c>
      <c r="C12" s="164"/>
      <c r="D12" s="164"/>
      <c r="E12" s="164"/>
      <c r="F12" s="164"/>
      <c r="G12" s="164"/>
      <c r="H12" s="394" t="str">
        <f>IFERROR(AVERAGE(C12:F12),"")</f>
        <v/>
      </c>
      <c r="I12" s="426"/>
      <c r="K12" s="1390"/>
      <c r="L12" s="1394" t="s">
        <v>267</v>
      </c>
      <c r="M12" s="1395"/>
    </row>
    <row r="13" spans="2:13" ht="14.1" customHeight="1" thickBot="1">
      <c r="B13" s="160" t="s">
        <v>268</v>
      </c>
      <c r="C13" s="791">
        <f>C60/C59-1</f>
        <v>2.4162743779421656</v>
      </c>
      <c r="D13" s="575">
        <f t="shared" ref="D13:F13" si="1">D60/D59-1</f>
        <v>0.37228904252296613</v>
      </c>
      <c r="E13" s="379">
        <f>E59/E60-1</f>
        <v>0.37321127010932353</v>
      </c>
      <c r="F13" s="379">
        <f t="shared" si="1"/>
        <v>0.39821533060269165</v>
      </c>
      <c r="G13" s="379">
        <f t="shared" ref="G13" si="2">G60/G59-1</f>
        <v>0.74858812074001935</v>
      </c>
      <c r="H13" s="395">
        <f t="shared" ref="H13:H18" si="3">IFERROR(AVERAGE(C13:G13),"")</f>
        <v>0.8617156283834333</v>
      </c>
      <c r="I13" s="427">
        <f t="shared" ref="I13:I18" si="4">SQRT((C13-H13)^2)</f>
        <v>1.5545587495587323</v>
      </c>
      <c r="K13" s="1391"/>
      <c r="L13" s="1396"/>
      <c r="M13" s="1397"/>
    </row>
    <row r="14" spans="2:13" ht="14.1" customHeight="1" thickBot="1">
      <c r="B14" s="370" t="s">
        <v>269</v>
      </c>
      <c r="C14" s="792">
        <f>C60/C58-1</f>
        <v>47.323424494649231</v>
      </c>
      <c r="D14" s="371">
        <f t="shared" ref="D14:F14" si="5">D60/D58-1</f>
        <v>2.1860158311345645</v>
      </c>
      <c r="E14" s="371">
        <f t="shared" si="5"/>
        <v>3.2601287391139717</v>
      </c>
      <c r="F14" s="371">
        <f t="shared" si="5"/>
        <v>1.2493057843460256</v>
      </c>
      <c r="G14" s="371">
        <f t="shared" ref="G14" si="6">G60/G58-1</f>
        <v>19.736720554272519</v>
      </c>
      <c r="H14" s="395">
        <f t="shared" si="3"/>
        <v>14.751119080703262</v>
      </c>
      <c r="I14" s="428">
        <f t="shared" si="4"/>
        <v>32.572305413945969</v>
      </c>
      <c r="K14" s="1392"/>
      <c r="L14" s="1394" t="s">
        <v>270</v>
      </c>
      <c r="M14" s="1395"/>
    </row>
    <row r="15" spans="2:13" ht="14.1" customHeight="1" thickBot="1">
      <c r="B15" s="380" t="s">
        <v>136</v>
      </c>
      <c r="C15" s="792">
        <f>C63/C60</f>
        <v>0.79032972440944882</v>
      </c>
      <c r="D15" s="597">
        <f t="shared" ref="D15:G15" si="7">D63/D60</f>
        <v>2.650103519668737E-2</v>
      </c>
      <c r="E15" s="597">
        <f t="shared" si="7"/>
        <v>0.38094391609634698</v>
      </c>
      <c r="F15" s="597">
        <f t="shared" si="7"/>
        <v>0.10809566654809483</v>
      </c>
      <c r="G15" s="597">
        <f t="shared" si="7"/>
        <v>0.64717674574006023</v>
      </c>
      <c r="H15" s="395">
        <f t="shared" si="3"/>
        <v>0.39060941759812762</v>
      </c>
      <c r="I15" s="429">
        <f t="shared" si="4"/>
        <v>0.3997203068113212</v>
      </c>
      <c r="K15" s="1393"/>
      <c r="L15" s="1398"/>
      <c r="M15" s="1399"/>
    </row>
    <row r="16" spans="2:13" ht="14.1" thickBot="1">
      <c r="B16" s="370" t="s">
        <v>271</v>
      </c>
      <c r="C16" s="793">
        <f>C66/C60</f>
        <v>0.58836122047244088</v>
      </c>
      <c r="D16" s="372">
        <f>D66/D60</f>
        <v>-1.9116632160110419E-2</v>
      </c>
      <c r="E16" s="371">
        <f>E66/E59</f>
        <v>0.196957928802589</v>
      </c>
      <c r="F16" s="371">
        <f>F66/F60</f>
        <v>5.1118411416375464E-2</v>
      </c>
      <c r="G16" s="371">
        <f>G66/G60</f>
        <v>0.43434680922151686</v>
      </c>
      <c r="H16" s="395">
        <f t="shared" si="3"/>
        <v>0.25033354755056236</v>
      </c>
      <c r="I16" s="428">
        <f t="shared" si="4"/>
        <v>0.33802767292187852</v>
      </c>
    </row>
    <row r="17" spans="1:10" ht="14.1" thickBot="1">
      <c r="B17" s="380" t="s">
        <v>272</v>
      </c>
      <c r="C17" s="792">
        <f>C66/C79</f>
        <v>0.705339233038348</v>
      </c>
      <c r="D17" s="597">
        <f>D66/D79</f>
        <v>-2.004196512553361E-2</v>
      </c>
      <c r="E17" s="381">
        <f>E66/E79</f>
        <v>0.37470754833148628</v>
      </c>
      <c r="F17" s="381">
        <f>F66/F79</f>
        <v>7.0300135247906542E-2</v>
      </c>
      <c r="G17" s="381">
        <f t="shared" ref="G17" si="8">G66/G79</f>
        <v>0.15278240260121834</v>
      </c>
      <c r="H17" s="395">
        <f t="shared" si="3"/>
        <v>0.25661747081868513</v>
      </c>
      <c r="I17" s="429">
        <f t="shared" si="4"/>
        <v>0.44872176221966287</v>
      </c>
    </row>
    <row r="18" spans="1:10" ht="14.1" thickBot="1">
      <c r="B18" s="369" t="s">
        <v>273</v>
      </c>
      <c r="C18" s="793">
        <f t="shared" ref="C18:G18" si="9">(C66+C65)/(C78+C79)</f>
        <v>0.36527705851890208</v>
      </c>
      <c r="D18" s="372">
        <f t="shared" si="9"/>
        <v>-4.6389167502507524E-2</v>
      </c>
      <c r="E18" s="373">
        <f t="shared" si="9"/>
        <v>0.1261891818428921</v>
      </c>
      <c r="F18" s="373">
        <f t="shared" si="9"/>
        <v>1.9108090383354204E-2</v>
      </c>
      <c r="G18" s="373">
        <f t="shared" si="9"/>
        <v>5.824965157417003E-2</v>
      </c>
      <c r="H18" s="395">
        <f t="shared" si="3"/>
        <v>0.10448696296336217</v>
      </c>
      <c r="I18" s="430">
        <f t="shared" si="4"/>
        <v>0.26079009555553989</v>
      </c>
    </row>
    <row r="19" spans="1:10" ht="17.100000000000001" thickBot="1">
      <c r="B19" s="161" t="s">
        <v>274</v>
      </c>
      <c r="C19" s="164"/>
      <c r="D19" s="164"/>
      <c r="E19" s="164"/>
      <c r="F19" s="164"/>
      <c r="G19" s="164"/>
      <c r="H19" s="396" t="str">
        <f>IFERROR(AVERAGE(C19:F19),"")</f>
        <v/>
      </c>
      <c r="I19" s="426"/>
    </row>
    <row r="20" spans="1:10" ht="14.1" thickBot="1">
      <c r="B20" s="163" t="s">
        <v>79</v>
      </c>
      <c r="C20" s="382">
        <f>C78/C74</f>
        <v>9.0790182349773027E-2</v>
      </c>
      <c r="D20" s="382">
        <f>D78/D74</f>
        <v>0.22807409892280742</v>
      </c>
      <c r="E20" s="382">
        <f t="shared" ref="E20:F20" si="10">E78/E74</f>
        <v>0.3836756064925243</v>
      </c>
      <c r="F20" s="382">
        <f t="shared" si="10"/>
        <v>0.38523203735467881</v>
      </c>
      <c r="G20" s="382">
        <f t="shared" ref="G20" si="11">G78/G74</f>
        <v>6.2773107096312578E-2</v>
      </c>
      <c r="H20" s="397">
        <f t="shared" ref="H20:H25" si="12">IFERROR(AVERAGE(C20:G20),"")</f>
        <v>0.23010900644321924</v>
      </c>
      <c r="I20" s="431">
        <f t="shared" ref="I20:I25" si="13">SQRT((C20-H20)^2)</f>
        <v>0.1393188240934462</v>
      </c>
    </row>
    <row r="21" spans="1:10" ht="14.1" thickBot="1">
      <c r="B21" s="740" t="s">
        <v>275</v>
      </c>
      <c r="C21" s="739">
        <f>(C78-C69)/C62</f>
        <v>-0.81927905250588939</v>
      </c>
      <c r="D21" s="374">
        <f t="shared" ref="D21:G21" si="14">(D78-D69)/D62</f>
        <v>3.6234939759036147</v>
      </c>
      <c r="E21" s="374">
        <f t="shared" si="14"/>
        <v>1.1779179810725553</v>
      </c>
      <c r="F21" s="374">
        <f t="shared" si="14"/>
        <v>1.0799156983367511</v>
      </c>
      <c r="G21" s="374">
        <f t="shared" si="14"/>
        <v>-0.54726735598227472</v>
      </c>
      <c r="H21" s="397">
        <f t="shared" si="12"/>
        <v>0.90295624936495145</v>
      </c>
      <c r="I21" s="432">
        <f t="shared" si="13"/>
        <v>1.7222353018708407</v>
      </c>
    </row>
    <row r="22" spans="1:10" ht="14.1" hidden="1" thickBot="1">
      <c r="B22" s="163" t="s">
        <v>276</v>
      </c>
      <c r="C22" s="382">
        <f>(C78-C77)/C74</f>
        <v>5.2415942140493957E-2</v>
      </c>
      <c r="D22" s="382">
        <f>(D78-D77)/D74</f>
        <v>0.22807409892280742</v>
      </c>
      <c r="E22" s="382">
        <f t="shared" ref="E22:F22" si="15">(E78-E77)/E74</f>
        <v>0.3836756064925243</v>
      </c>
      <c r="F22" s="382">
        <f t="shared" si="15"/>
        <v>0.38523203735467881</v>
      </c>
      <c r="G22" s="382">
        <f t="shared" ref="G22" si="16">(G78-G77)/G74</f>
        <v>6.2773107096312578E-2</v>
      </c>
      <c r="H22" s="397">
        <f t="shared" si="12"/>
        <v>0.22243415840136346</v>
      </c>
      <c r="I22" s="432">
        <f t="shared" si="13"/>
        <v>0.17001821626086949</v>
      </c>
    </row>
    <row r="23" spans="1:10" ht="14.1" hidden="1" thickBot="1">
      <c r="B23" s="740" t="s">
        <v>277</v>
      </c>
      <c r="C23" s="377">
        <f t="shared" ref="C23:G23" si="17">((C78-C77)-C69)/C62</f>
        <v>-0.88366089005066628</v>
      </c>
      <c r="D23" s="377">
        <f t="shared" si="17"/>
        <v>3.6234939759036147</v>
      </c>
      <c r="E23" s="377">
        <f t="shared" si="17"/>
        <v>1.1779179810725553</v>
      </c>
      <c r="F23" s="377">
        <f t="shared" si="17"/>
        <v>1.0799156983367511</v>
      </c>
      <c r="G23" s="377">
        <f t="shared" si="17"/>
        <v>-0.54726735598227472</v>
      </c>
      <c r="H23" s="397">
        <f t="shared" si="12"/>
        <v>0.89007988185599596</v>
      </c>
      <c r="I23" s="432">
        <f t="shared" si="13"/>
        <v>1.7737407719066622</v>
      </c>
    </row>
    <row r="24" spans="1:10" ht="14.1" hidden="1" thickBot="1">
      <c r="B24" s="163" t="s">
        <v>278</v>
      </c>
      <c r="C24" s="692">
        <f>C77/C78</f>
        <v>0.42266949152542371</v>
      </c>
      <c r="D24" s="692">
        <f>D77/D78</f>
        <v>0</v>
      </c>
      <c r="E24" s="692">
        <f>E77/E78</f>
        <v>0</v>
      </c>
      <c r="F24" s="692">
        <f>F77/F78</f>
        <v>0</v>
      </c>
      <c r="G24" s="692">
        <f t="shared" ref="G24" si="18">G77/G78</f>
        <v>0</v>
      </c>
      <c r="H24" s="397">
        <f t="shared" si="12"/>
        <v>8.4533898305084745E-2</v>
      </c>
      <c r="I24" s="441">
        <f t="shared" si="13"/>
        <v>0.33813559322033898</v>
      </c>
      <c r="J24" s="330"/>
    </row>
    <row r="25" spans="1:10" ht="14.1" thickBot="1">
      <c r="B25" s="740" t="s">
        <v>279</v>
      </c>
      <c r="C25" s="794">
        <f>-C62/C64</f>
        <v>-69.013363028953222</v>
      </c>
      <c r="D25" s="377">
        <f>-D62/D64</f>
        <v>7.588571428571429</v>
      </c>
      <c r="E25" s="377">
        <f>-E62/E64</f>
        <v>63.4</v>
      </c>
      <c r="F25" s="377">
        <f>-F62/F64</f>
        <v>7.6496732026143786</v>
      </c>
      <c r="G25" s="377">
        <f t="shared" ref="G25" si="19">-G62/G64</f>
        <v>-47.013888888888886</v>
      </c>
      <c r="H25" s="397">
        <f t="shared" si="12"/>
        <v>-7.4778014573312603</v>
      </c>
      <c r="I25" s="433">
        <f t="shared" si="13"/>
        <v>61.535561571621962</v>
      </c>
    </row>
    <row r="26" spans="1:10" ht="17.100000000000001" thickBot="1">
      <c r="B26" s="161" t="s">
        <v>280</v>
      </c>
      <c r="C26" s="164"/>
      <c r="D26" s="164"/>
      <c r="E26" s="164"/>
      <c r="F26" s="164"/>
      <c r="G26" s="164"/>
      <c r="H26" s="398"/>
      <c r="I26" s="426"/>
    </row>
    <row r="27" spans="1:10" ht="14.1" thickBot="1">
      <c r="B27" s="375" t="s">
        <v>281</v>
      </c>
      <c r="C27" s="795">
        <f>C72/C76</f>
        <v>2.8467239845834569</v>
      </c>
      <c r="D27" s="376">
        <f t="shared" ref="D27:F27" si="20">D72/D76</f>
        <v>1.4653787299158378</v>
      </c>
      <c r="E27" s="376">
        <f t="shared" si="20"/>
        <v>2.4953650057937429</v>
      </c>
      <c r="F27" s="376">
        <f t="shared" si="20"/>
        <v>2.7698501275510203</v>
      </c>
      <c r="G27" s="376">
        <f t="shared" ref="G27" si="21">G72/G76</f>
        <v>2.5159988038277517</v>
      </c>
      <c r="H27" s="399">
        <f>IFERROR(AVERAGE(C27:G27),"")</f>
        <v>2.4186633303343621</v>
      </c>
      <c r="I27" s="434">
        <f>SQRT((C27-H27)^2)</f>
        <v>0.42806065424909479</v>
      </c>
    </row>
    <row r="28" spans="1:10" ht="14.1" thickBot="1">
      <c r="B28" s="383" t="s">
        <v>282</v>
      </c>
      <c r="C28" s="796">
        <f>(C69+C70)/C76</f>
        <v>9.16928550252001</v>
      </c>
      <c r="D28" s="384">
        <f t="shared" ref="D28:F28" si="22">(D69+D70)/D76</f>
        <v>0.5906656465187452</v>
      </c>
      <c r="E28" s="384">
        <f t="shared" si="22"/>
        <v>0.62166859791425255</v>
      </c>
      <c r="F28" s="384">
        <f t="shared" si="22"/>
        <v>1.5911989795918366</v>
      </c>
      <c r="G28" s="384">
        <f t="shared" ref="G28" si="23">(G69+G70)/G76</f>
        <v>2.0626495215311005</v>
      </c>
      <c r="H28" s="399">
        <f>IFERROR(AVERAGE(C28:G28),"")</f>
        <v>2.8070936496151893</v>
      </c>
      <c r="I28" s="435">
        <f>SQRT((C28-H28)^2)</f>
        <v>6.3621918529048207</v>
      </c>
    </row>
    <row r="29" spans="1:10" ht="17.100000000000001" thickBot="1">
      <c r="B29" s="161" t="s">
        <v>283</v>
      </c>
      <c r="C29" s="164"/>
      <c r="D29" s="164"/>
      <c r="E29" s="164"/>
      <c r="F29" s="164"/>
      <c r="G29" s="164"/>
      <c r="H29" s="398" t="str">
        <f>IFERROR(AVERAGE(C29:F29),"")</f>
        <v/>
      </c>
      <c r="I29" s="426"/>
    </row>
    <row r="30" spans="1:10" ht="14.1" thickBot="1">
      <c r="B30" s="370" t="s">
        <v>284</v>
      </c>
      <c r="C30" s="796">
        <f>C61/C71</f>
        <v>7.977389516957861</v>
      </c>
      <c r="D30" s="374">
        <f t="shared" ref="D30:G30" si="24">D61/D71</f>
        <v>3.9971644612476371</v>
      </c>
      <c r="E30" s="374">
        <f t="shared" si="24"/>
        <v>2.5395241749808135</v>
      </c>
      <c r="F30" s="374">
        <f t="shared" si="24"/>
        <v>2.5966358839050132</v>
      </c>
      <c r="G30" s="374">
        <f t="shared" si="24"/>
        <v>1.1128096995255667</v>
      </c>
      <c r="H30" s="399">
        <f>IFERROR(AVERAGE(C30:G30),"")</f>
        <v>3.6447047473233787</v>
      </c>
      <c r="I30" s="435">
        <f>SQRT((C30-H30)^2)</f>
        <v>4.3326847696344828</v>
      </c>
    </row>
    <row r="31" spans="1:10" ht="14.1" thickBot="1">
      <c r="B31" s="380" t="s">
        <v>285</v>
      </c>
      <c r="C31" s="796">
        <f>C60/C70</f>
        <v>49.500609013398297</v>
      </c>
      <c r="D31" s="384">
        <f t="shared" ref="D31:G31" si="25">D60/D70</f>
        <v>8.135878719820326</v>
      </c>
      <c r="E31" s="384">
        <f t="shared" si="25"/>
        <v>9.7664930555555554</v>
      </c>
      <c r="F31" s="384">
        <f t="shared" si="25"/>
        <v>7.26527820006081</v>
      </c>
      <c r="G31" s="384">
        <f t="shared" si="25"/>
        <v>12.199728260869566</v>
      </c>
      <c r="H31" s="399">
        <f>IFERROR(AVERAGE(C31:G31),"")</f>
        <v>17.37359744994091</v>
      </c>
      <c r="I31" s="435">
        <f>SQRT((C31-H31)^2)</f>
        <v>32.127011563457387</v>
      </c>
    </row>
    <row r="32" spans="1:10" ht="14.1" thickBot="1">
      <c r="A32" s="10" t="s">
        <v>286</v>
      </c>
      <c r="B32" s="370" t="s">
        <v>287</v>
      </c>
      <c r="C32" s="374">
        <f t="shared" ref="C32:G32" si="26">C61/C75</f>
        <v>5.753891771682726</v>
      </c>
      <c r="D32" s="374">
        <f t="shared" si="26"/>
        <v>4.137964774951076</v>
      </c>
      <c r="E32" s="374">
        <f t="shared" si="26"/>
        <v>10.197226502311247</v>
      </c>
      <c r="F32" s="374">
        <f t="shared" si="26"/>
        <v>1.8281667247184488</v>
      </c>
      <c r="G32" s="374">
        <f t="shared" si="26"/>
        <v>1.1035023523261891</v>
      </c>
      <c r="H32" s="399">
        <f>IFERROR(AVERAGE(C32:G32),"")</f>
        <v>4.6041504251979379</v>
      </c>
      <c r="I32" s="435">
        <f>SQRT((C32-H32)^2)</f>
        <v>1.1497413464847881</v>
      </c>
    </row>
    <row r="33" spans="2:9" ht="14.1" thickBot="1">
      <c r="B33" s="380" t="s">
        <v>288</v>
      </c>
      <c r="C33" s="796">
        <f>C60/C73</f>
        <v>2.9353557240881183</v>
      </c>
      <c r="D33" s="384">
        <f>D60/D74</f>
        <v>0.54008721905400869</v>
      </c>
      <c r="E33" s="384">
        <f>E59/E72</f>
        <v>1.7935918272579521</v>
      </c>
      <c r="F33" s="384">
        <f>F60/F73</f>
        <v>1.0558513576210149</v>
      </c>
      <c r="G33" s="384">
        <f>G60/G73</f>
        <v>0.35094782098886063</v>
      </c>
      <c r="H33" s="399">
        <f>IFERROR(AVERAGE(C33:G33),"")</f>
        <v>1.335166789801991</v>
      </c>
      <c r="I33" s="435">
        <f>SQRT((C33-H33)^2)</f>
        <v>1.6001889342861273</v>
      </c>
    </row>
    <row r="34" spans="2:9" ht="14.1" thickBot="1">
      <c r="B34" s="369" t="s">
        <v>289</v>
      </c>
      <c r="C34" s="385">
        <f t="shared" ref="C34:G34" si="27">C60/C74</f>
        <v>0.78171885819804565</v>
      </c>
      <c r="D34" s="385">
        <f t="shared" si="27"/>
        <v>0.54008721905400869</v>
      </c>
      <c r="E34" s="385">
        <f t="shared" si="27"/>
        <v>0.65454651230438066</v>
      </c>
      <c r="F34" s="385">
        <f t="shared" si="27"/>
        <v>0.56926577091671426</v>
      </c>
      <c r="G34" s="385">
        <f t="shared" si="27"/>
        <v>0.22944829172309814</v>
      </c>
      <c r="H34" s="399">
        <f>IFERROR(AVERAGE(C34:G34),"")</f>
        <v>0.5550133304392495</v>
      </c>
      <c r="I34" s="435">
        <f>SQRT((C34-H34)^2)</f>
        <v>0.22670552775879615</v>
      </c>
    </row>
    <row r="35" spans="2:9" ht="17.100000000000001" thickBot="1">
      <c r="B35" s="162" t="s">
        <v>121</v>
      </c>
      <c r="C35" s="164"/>
      <c r="D35" s="164"/>
      <c r="E35" s="164"/>
      <c r="F35" s="164"/>
      <c r="G35" s="164"/>
      <c r="H35" s="400" t="str">
        <f>IFERROR(AVERAGE(C35:F35),"")</f>
        <v/>
      </c>
      <c r="I35" s="426"/>
    </row>
    <row r="36" spans="2:9" ht="14.1" thickBot="1">
      <c r="B36" s="160" t="s">
        <v>290</v>
      </c>
      <c r="C36" s="391">
        <f>C10/C66</f>
        <v>4.8204842959307435</v>
      </c>
      <c r="D36" s="391">
        <f t="shared" ref="D36:G36" si="28">D10/D66</f>
        <v>-84.425515287907587</v>
      </c>
      <c r="E36" s="391">
        <f t="shared" si="28"/>
        <v>6.8307295041077882</v>
      </c>
      <c r="F36" s="391">
        <f t="shared" si="28"/>
        <v>56.622431436758085</v>
      </c>
      <c r="G36" s="391">
        <f t="shared" si="28"/>
        <v>5.9367358974358977</v>
      </c>
      <c r="H36" s="399">
        <f>IFERROR(AVERAGE(C36:G36),"")</f>
        <v>-2.0430268307350139</v>
      </c>
      <c r="I36" s="436">
        <f>SQRT((C36-H36)^2)</f>
        <v>6.8635111266657578</v>
      </c>
    </row>
    <row r="37" spans="2:9" ht="14.1" thickBot="1">
      <c r="B37" s="370" t="s">
        <v>286</v>
      </c>
      <c r="C37" s="797">
        <f t="shared" ref="C37:G37" si="29">C10/C60</f>
        <v>2.8361860236220471</v>
      </c>
      <c r="D37" s="378">
        <f t="shared" si="29"/>
        <v>1.6139315206867082</v>
      </c>
      <c r="E37" s="378">
        <f t="shared" si="29"/>
        <v>1.847472214114301</v>
      </c>
      <c r="F37" s="378">
        <f t="shared" si="29"/>
        <v>2.8944487455797114</v>
      </c>
      <c r="G37" s="378">
        <f t="shared" si="29"/>
        <v>2.578602294242121</v>
      </c>
      <c r="H37" s="399">
        <f>IFERROR(AVERAGE(C37:G37),"")</f>
        <v>2.3541281596489774</v>
      </c>
      <c r="I37" s="437">
        <f>SQRT((C37-H37)^2)</f>
        <v>0.48205786397306971</v>
      </c>
    </row>
    <row r="38" spans="2:9" ht="14.1" thickBot="1">
      <c r="B38" s="380" t="s">
        <v>291</v>
      </c>
      <c r="C38" s="392">
        <f t="shared" ref="C38:G38" si="30">C10/C79</f>
        <v>3.4000766961651916</v>
      </c>
      <c r="D38" s="392">
        <f t="shared" si="30"/>
        <v>1.6920532331054483</v>
      </c>
      <c r="E38" s="392">
        <f t="shared" si="30"/>
        <v>2.5595259057997781</v>
      </c>
      <c r="F38" s="392">
        <f t="shared" si="30"/>
        <v>3.9805645880694085</v>
      </c>
      <c r="G38" s="392">
        <f t="shared" si="30"/>
        <v>0.9070287740191566</v>
      </c>
      <c r="H38" s="399">
        <f>IFERROR(AVERAGE(C38:G38),"")</f>
        <v>2.5078498394317967</v>
      </c>
      <c r="I38" s="438">
        <f>SQRT((C38-H38)^2)</f>
        <v>0.89222685673339486</v>
      </c>
    </row>
    <row r="39" spans="2:9" ht="14.1" thickBot="1">
      <c r="B39" s="370" t="s">
        <v>292</v>
      </c>
      <c r="C39" s="378">
        <f t="shared" ref="C39:G39" si="31">(C78+C10-C69)/C60</f>
        <v>2.2115059055118111</v>
      </c>
      <c r="D39" s="378">
        <f t="shared" si="31"/>
        <v>1.9460226179951967</v>
      </c>
      <c r="E39" s="378">
        <f t="shared" si="31"/>
        <v>2.3452946298995645</v>
      </c>
      <c r="F39" s="378">
        <f t="shared" si="31"/>
        <v>3.2911552384340141</v>
      </c>
      <c r="G39" s="378">
        <f t="shared" si="31"/>
        <v>2.1659728254816799</v>
      </c>
      <c r="H39" s="399">
        <f>IFERROR(AVERAGE(C39:G39),"")</f>
        <v>2.3919902434644529</v>
      </c>
      <c r="I39" s="437">
        <f>SQRT((C39-H39)^2)</f>
        <v>0.18048433795264174</v>
      </c>
    </row>
    <row r="40" spans="2:9" ht="14.1" thickBot="1">
      <c r="B40" s="380" t="s">
        <v>293</v>
      </c>
      <c r="C40" s="800">
        <f t="shared" ref="C40:G40" si="32">(C78+C10-C69-C77)/C62</f>
        <v>2.8360473747055219</v>
      </c>
      <c r="D40" s="390">
        <f t="shared" si="32"/>
        <v>21.233334137613255</v>
      </c>
      <c r="E40" s="390">
        <f t="shared" si="32"/>
        <v>5.5492975564668772</v>
      </c>
      <c r="F40" s="390">
        <f t="shared" si="32"/>
        <v>8.9591934381408063</v>
      </c>
      <c r="G40" s="390">
        <f t="shared" si="32"/>
        <v>2.8727134416543576</v>
      </c>
      <c r="H40" s="399">
        <f>IFERROR(AVERAGE(C40:G40),"")</f>
        <v>8.2901171897161632</v>
      </c>
      <c r="I40" s="439">
        <f>SQRT((C40-H40)^2)</f>
        <v>5.4540698150106408</v>
      </c>
    </row>
    <row r="41" spans="2:9" ht="17.100000000000001" thickBot="1">
      <c r="B41" s="162" t="s">
        <v>294</v>
      </c>
      <c r="C41" s="164"/>
      <c r="D41" s="164"/>
      <c r="E41" s="164"/>
      <c r="F41" s="164"/>
      <c r="G41" s="164"/>
      <c r="H41" s="401" t="str">
        <f>IFERROR(AVERAGE(C41:F41),"")</f>
        <v/>
      </c>
      <c r="I41" s="426"/>
    </row>
    <row r="42" spans="2:9" s="90" customFormat="1" ht="14.1" thickBot="1">
      <c r="B42" s="163" t="s">
        <v>56</v>
      </c>
      <c r="C42" s="577">
        <f>OP!M21</f>
        <v>0.90369999999999995</v>
      </c>
      <c r="D42" s="788">
        <f>1-0.29%</f>
        <v>0.99709999999999999</v>
      </c>
      <c r="E42" s="787">
        <f>1-0.53%</f>
        <v>0.99470000000000003</v>
      </c>
      <c r="F42" s="787">
        <f>1-15.06%</f>
        <v>0.84939999999999993</v>
      </c>
      <c r="G42" s="577">
        <f>100%</f>
        <v>1</v>
      </c>
      <c r="H42" s="395">
        <f>IFERROR(AVERAGE(C42:G42),"")</f>
        <v>0.94897999999999993</v>
      </c>
      <c r="I42" s="578">
        <f>SQRT((C42-H42)^2)</f>
        <v>4.5279999999999987E-2</v>
      </c>
    </row>
    <row r="43" spans="2:9" ht="14.1" thickBot="1">
      <c r="B43" s="386" t="s">
        <v>295</v>
      </c>
      <c r="C43" s="798">
        <f>OP!M23</f>
        <v>1.9342999999999999</v>
      </c>
      <c r="D43" s="387">
        <v>1.63</v>
      </c>
      <c r="E43" s="387">
        <v>1.0900000000000001</v>
      </c>
      <c r="F43" s="387">
        <v>1.28</v>
      </c>
      <c r="G43" s="387">
        <v>1.85</v>
      </c>
      <c r="H43" s="395">
        <f>IFERROR(AVERAGE(C43:G43),"")</f>
        <v>1.5568599999999999</v>
      </c>
      <c r="I43" s="440">
        <f>SQRT((C43-H43)^2)</f>
        <v>0.37744</v>
      </c>
    </row>
    <row r="44" spans="2:9" ht="14.1" thickBot="1">
      <c r="B44" s="163" t="s">
        <v>296</v>
      </c>
      <c r="C44" s="799">
        <f>OP!M33</f>
        <v>2.8612917822822017E-2</v>
      </c>
      <c r="D44" s="787">
        <v>1.35E-2</v>
      </c>
      <c r="E44" s="577">
        <v>0.1091</v>
      </c>
      <c r="F44" s="577">
        <v>1.34E-2</v>
      </c>
      <c r="G44" s="788" t="s">
        <v>88</v>
      </c>
      <c r="H44" s="395">
        <f>IFERROR(AVERAGE(C44:G44),"")</f>
        <v>4.1153229455705508E-2</v>
      </c>
      <c r="I44" s="789">
        <f>SQRT((C44-H44)^2)</f>
        <v>1.2540311632883491E-2</v>
      </c>
    </row>
    <row r="45" spans="2:9" ht="17.100000000000001" thickBot="1">
      <c r="B45" s="162" t="s">
        <v>297</v>
      </c>
      <c r="C45" s="546"/>
      <c r="D45" s="546"/>
      <c r="E45" s="164"/>
      <c r="F45" s="164"/>
      <c r="G45" s="164"/>
      <c r="H45" s="402"/>
      <c r="I45" s="426"/>
    </row>
    <row r="46" spans="2:9" s="90" customFormat="1" ht="14.1" thickBot="1">
      <c r="B46" s="163" t="s">
        <v>298</v>
      </c>
      <c r="C46" s="560">
        <v>3.3399999999999999E-2</v>
      </c>
      <c r="D46" s="560">
        <v>-0.46929999999999999</v>
      </c>
      <c r="E46" s="560">
        <v>-0.40799999999999997</v>
      </c>
      <c r="F46" s="560">
        <v>-0.192</v>
      </c>
      <c r="G46" s="560">
        <v>-0.2465</v>
      </c>
      <c r="H46" s="395">
        <f>IFERROR(AVERAGE(C46:G46),"")</f>
        <v>-0.25647999999999999</v>
      </c>
      <c r="I46" s="548">
        <f>SQRT((C46-H46)^2)</f>
        <v>0.28987999999999997</v>
      </c>
    </row>
    <row r="47" spans="2:9" s="90" customFormat="1" ht="14.1" thickBot="1">
      <c r="B47" s="741" t="s">
        <v>299</v>
      </c>
      <c r="C47" s="742">
        <f>C48/1.04-1</f>
        <v>2.6826923076923075</v>
      </c>
      <c r="D47" s="742">
        <f>D48/(157.28*1.453491)-1</f>
        <v>-0.12956070132291941</v>
      </c>
      <c r="E47" s="742">
        <f>E48/(57*1.453491)-1</f>
        <v>-8.8907653149700172E-2</v>
      </c>
      <c r="F47" s="742">
        <f>F48/40.15-1</f>
        <v>0.76513075965130772</v>
      </c>
      <c r="G47" s="742">
        <f>G48/10.1-1</f>
        <v>-0.32871287128712867</v>
      </c>
      <c r="H47" s="395">
        <f>IFERROR(AVERAGE(C47:G47),"")</f>
        <v>0.58012836831677339</v>
      </c>
      <c r="I47" s="548">
        <f>SQRT((C47-H47)^2)</f>
        <v>2.1025639393755342</v>
      </c>
    </row>
    <row r="48" spans="2:9" s="90" customFormat="1" ht="14.1" thickBot="1">
      <c r="B48" s="547" t="s">
        <v>300</v>
      </c>
      <c r="C48" s="772">
        <f>OP!C21</f>
        <v>3.83</v>
      </c>
      <c r="D48" s="772" cm="1">
        <f t="array" ref="D48">_FV(D8,"Preço")*_FV(K64,"Preço")</f>
        <v>198.98683199999999</v>
      </c>
      <c r="E48" s="772" cm="1">
        <f t="array" ref="E48">_FV(E8,"Preço")*_FV(K64,"Preço")</f>
        <v>75.483077999999992</v>
      </c>
      <c r="F48" s="772" cm="1">
        <f t="array" ref="F48">_FV(F8,"Preço")</f>
        <v>70.87</v>
      </c>
      <c r="G48" s="772" cm="1">
        <f t="array" ref="G48">_FV(G8,"Preço")</f>
        <v>6.78</v>
      </c>
      <c r="H48" s="672" t="s">
        <v>301</v>
      </c>
      <c r="I48" s="673" t="s">
        <v>301</v>
      </c>
    </row>
    <row r="49" spans="2:14" s="90" customFormat="1" ht="14.1" thickBot="1">
      <c r="B49" s="741" t="s">
        <v>302</v>
      </c>
      <c r="C49" s="801">
        <v>3.75</v>
      </c>
      <c r="D49" s="802" cm="1">
        <f t="array" ref="D49">147.87*_FV(K64,"Preço")</f>
        <v>227.88245699999999</v>
      </c>
      <c r="E49" s="801" cm="1">
        <f t="array" ref="E49">72.09*_FV(K64,"Preço")</f>
        <v>111.097899</v>
      </c>
      <c r="F49" s="801">
        <v>68.13</v>
      </c>
      <c r="G49" s="801">
        <v>10.47</v>
      </c>
      <c r="H49" s="672" t="s">
        <v>301</v>
      </c>
      <c r="I49" s="673" t="s">
        <v>301</v>
      </c>
    </row>
    <row r="50" spans="2:14" ht="14.1" thickBot="1">
      <c r="B50" s="388" t="s">
        <v>303</v>
      </c>
      <c r="C50" s="389">
        <f>C49/C48-1</f>
        <v>-2.0887728459530019E-2</v>
      </c>
      <c r="D50" s="389">
        <f>D49/D48-1</f>
        <v>0.14521375464684017</v>
      </c>
      <c r="E50" s="389">
        <f>E49/E48-1</f>
        <v>0.47182523478971028</v>
      </c>
      <c r="F50" s="389">
        <f>F49/F48-1</f>
        <v>-3.8662339494849873E-2</v>
      </c>
      <c r="G50" s="389">
        <f t="shared" ref="G50" si="33">G49/G48-1</f>
        <v>0.54424778761061954</v>
      </c>
      <c r="H50" s="403">
        <f>IFERROR(AVERAGE(C50:G50),"")</f>
        <v>0.22034734181855803</v>
      </c>
      <c r="I50" s="441">
        <f>SQRT((C50-H50)^2)</f>
        <v>0.24123507027808805</v>
      </c>
    </row>
    <row r="51" spans="2:14" ht="17.100000000000001" thickBot="1">
      <c r="B51" s="667" t="s">
        <v>304</v>
      </c>
      <c r="C51" s="667"/>
      <c r="D51" s="667"/>
      <c r="E51" s="667"/>
      <c r="F51" s="667"/>
      <c r="G51" s="667"/>
      <c r="H51" s="162" t="str">
        <f>IFERROR(AVERAGE(C51:F51),"")</f>
        <v/>
      </c>
      <c r="I51" s="421"/>
      <c r="J51" s="423"/>
    </row>
    <row r="52" spans="2:14" ht="14.1" thickBot="1">
      <c r="B52" s="547" t="s">
        <v>305</v>
      </c>
      <c r="C52" s="560">
        <f>('Inputs (AUD)'!B59/'Inputs (AUD)'!E59)-1</f>
        <v>-182.93157894736842</v>
      </c>
      <c r="D52" s="814">
        <f>(1907849000*1.506672)/(719374000*1.453491)-1</f>
        <v>1.7491322460199576</v>
      </c>
      <c r="E52" s="560">
        <f>(4077595000*1.506672)/(426971000*1.453491)-1</f>
        <v>8.8994731002558591</v>
      </c>
      <c r="F52" s="560">
        <f>1353700000/594600000-1</f>
        <v>1.2766565758493105</v>
      </c>
      <c r="G52" s="560">
        <f>297300000/-11090000-1</f>
        <v>-27.807935076645627</v>
      </c>
      <c r="H52" s="403">
        <f>IFERROR(AVERAGE(C52:G52),"")</f>
        <v>-39.762850420377788</v>
      </c>
      <c r="I52" s="422">
        <f>SQRT((C52-H52)^2)</f>
        <v>143.16872852699063</v>
      </c>
      <c r="J52" s="330"/>
    </row>
    <row r="53" spans="2:14" ht="14.1" thickBot="1">
      <c r="B53" s="785" t="s">
        <v>306</v>
      </c>
      <c r="C53" s="786">
        <f>C67/C60</f>
        <v>4.8474409448818895E-3</v>
      </c>
      <c r="D53" s="786">
        <f t="shared" ref="D53:G53" si="34">D67/D60</f>
        <v>8.9026915113871643E-3</v>
      </c>
      <c r="E53" s="786">
        <f t="shared" si="34"/>
        <v>0</v>
      </c>
      <c r="F53" s="786">
        <f t="shared" si="34"/>
        <v>0</v>
      </c>
      <c r="G53" s="786">
        <f t="shared" si="34"/>
        <v>0</v>
      </c>
      <c r="H53" s="403">
        <f>IFERROR(AVERAGE(C53:G53),"")</f>
        <v>2.7500264912538107E-3</v>
      </c>
      <c r="I53" s="865">
        <f>SQRT((C53-H53)^2)</f>
        <v>2.0974144536280788E-3</v>
      </c>
      <c r="J53" s="330"/>
    </row>
    <row r="55" spans="2:14" ht="14.1" thickBot="1"/>
    <row r="56" spans="2:14" ht="44.25" customHeight="1" thickBot="1">
      <c r="B56" s="366" t="s">
        <v>307</v>
      </c>
      <c r="C56" s="292" t="e" vm="1">
        <f>OP!E2</f>
        <v>#VALUE!</v>
      </c>
      <c r="D56" s="293" t="e" vm="2">
        <f>D8</f>
        <v>#VALUE!</v>
      </c>
      <c r="E56" s="294" t="e" vm="3">
        <f>E8</f>
        <v>#VALUE!</v>
      </c>
      <c r="F56" s="295" t="e" vm="4">
        <f>F8</f>
        <v>#VALUE!</v>
      </c>
      <c r="G56" s="736" t="e" vm="5">
        <f t="shared" ref="G56" si="35">G8</f>
        <v>#VALUE!</v>
      </c>
    </row>
    <row r="57" spans="2:14" ht="14.1" thickBot="1">
      <c r="B57" s="156" t="s">
        <v>308</v>
      </c>
      <c r="C57" s="157"/>
      <c r="D57" s="157"/>
      <c r="E57" s="157"/>
      <c r="F57" s="157"/>
      <c r="G57" s="866"/>
    </row>
    <row r="58" spans="2:14" ht="14.1" thickBot="1">
      <c r="B58" s="154" t="s">
        <v>309</v>
      </c>
      <c r="C58" s="769">
        <f>'Fin. Data'!E5</f>
        <v>84.1</v>
      </c>
      <c r="D58" s="770">
        <v>4548</v>
      </c>
      <c r="E58" s="770">
        <v>2641</v>
      </c>
      <c r="F58" s="770">
        <v>2124.6999999999998</v>
      </c>
      <c r="G58" s="867">
        <v>86.6</v>
      </c>
    </row>
    <row r="59" spans="2:14" ht="14.1" thickBot="1">
      <c r="B59" s="154" t="s">
        <v>310</v>
      </c>
      <c r="C59" s="769">
        <f>'Fin. Data'!C5</f>
        <v>1189.5999999999999</v>
      </c>
      <c r="D59" s="770">
        <v>10559</v>
      </c>
      <c r="E59" s="770">
        <v>15450</v>
      </c>
      <c r="F59" s="770">
        <v>3418</v>
      </c>
      <c r="G59" s="867">
        <v>1027</v>
      </c>
    </row>
    <row r="60" spans="2:14" ht="14.1" thickBot="1">
      <c r="B60" s="154" t="s">
        <v>265</v>
      </c>
      <c r="C60" s="769">
        <f>'Fin. Data'!B5</f>
        <v>4064</v>
      </c>
      <c r="D60" s="770">
        <v>14490</v>
      </c>
      <c r="E60" s="887">
        <v>11251</v>
      </c>
      <c r="F60" s="770">
        <v>4779.1000000000004</v>
      </c>
      <c r="G60" s="867">
        <v>1795.8</v>
      </c>
    </row>
    <row r="61" spans="2:14" ht="14.1" thickBot="1">
      <c r="B61" s="154" t="s">
        <v>311</v>
      </c>
      <c r="C61" s="769">
        <f>'Fin. Data'!B5-'Fin. Data'!B7</f>
        <v>776.19999999999982</v>
      </c>
      <c r="D61" s="770">
        <v>12687</v>
      </c>
      <c r="E61" s="770">
        <v>6618</v>
      </c>
      <c r="F61" s="770">
        <v>1574.6</v>
      </c>
      <c r="G61" s="867">
        <v>211.1</v>
      </c>
    </row>
    <row r="62" spans="2:14" ht="14.1" thickBot="1">
      <c r="B62" s="154" t="s">
        <v>63</v>
      </c>
      <c r="C62" s="769">
        <f>'Fin. Data'!B19</f>
        <v>3098.7000000000003</v>
      </c>
      <c r="D62" s="770">
        <v>1328</v>
      </c>
      <c r="E62" s="771">
        <v>4755</v>
      </c>
      <c r="F62" s="770">
        <v>1755.6</v>
      </c>
      <c r="G62" s="867">
        <v>1354</v>
      </c>
    </row>
    <row r="63" spans="2:14" ht="15" thickBot="1">
      <c r="B63" s="154" t="s">
        <v>312</v>
      </c>
      <c r="C63" s="769">
        <f>'Fin. Data'!B11</f>
        <v>3211.9</v>
      </c>
      <c r="D63" s="770">
        <v>384</v>
      </c>
      <c r="E63" s="770">
        <v>4286</v>
      </c>
      <c r="F63" s="770">
        <v>516.6</v>
      </c>
      <c r="G63" s="867">
        <v>1162.2</v>
      </c>
      <c r="L63" s="507"/>
      <c r="M63" s="545"/>
      <c r="N63" s="10"/>
    </row>
    <row r="64" spans="2:14" ht="15" thickBot="1">
      <c r="B64" s="154" t="s">
        <v>313</v>
      </c>
      <c r="C64" s="887">
        <f>'Fin. Data'!B14</f>
        <v>44.900000000000006</v>
      </c>
      <c r="D64" s="770">
        <v>-175</v>
      </c>
      <c r="E64" s="770">
        <f>179-254</f>
        <v>-75</v>
      </c>
      <c r="F64" s="770">
        <f>39.2-268.7</f>
        <v>-229.5</v>
      </c>
      <c r="G64" s="888">
        <f>'[2]Arcadium Lithium PLC | Income S'!$B$38</f>
        <v>28.8</v>
      </c>
      <c r="K64" s="10" t="e" vm="12">
        <v>#VALUE!</v>
      </c>
      <c r="L64" s="864" cm="1">
        <f t="array" ref="L64">_FV(K64,"Preço")</f>
        <v>1.5410999999999999</v>
      </c>
      <c r="M64" s="545"/>
      <c r="N64" s="10"/>
    </row>
    <row r="65" spans="2:15" ht="15" thickBot="1">
      <c r="B65" s="154" t="s">
        <v>314</v>
      </c>
      <c r="C65" s="769">
        <f>'Fin. Data'!B21</f>
        <v>-980.4</v>
      </c>
      <c r="D65" s="770">
        <v>-648</v>
      </c>
      <c r="E65" s="770">
        <v>-1186</v>
      </c>
      <c r="F65" s="770">
        <v>-116.1</v>
      </c>
      <c r="G65" s="867">
        <v>-454</v>
      </c>
      <c r="L65" s="507"/>
      <c r="M65" s="545"/>
      <c r="N65" s="10"/>
      <c r="O65" s="10"/>
    </row>
    <row r="66" spans="2:15" ht="14.1" thickBot="1">
      <c r="B66" s="154" t="s">
        <v>75</v>
      </c>
      <c r="C66" s="769">
        <f>'Fin. Data'!B23</f>
        <v>2391.1</v>
      </c>
      <c r="D66" s="887">
        <v>-277</v>
      </c>
      <c r="E66" s="770">
        <v>3043</v>
      </c>
      <c r="F66" s="770">
        <v>244.3</v>
      </c>
      <c r="G66" s="867">
        <v>780</v>
      </c>
    </row>
    <row r="67" spans="2:15" ht="14.1" thickBot="1">
      <c r="B67" s="154" t="s">
        <v>315</v>
      </c>
      <c r="C67" s="773">
        <v>19.7</v>
      </c>
      <c r="D67" s="770">
        <v>129</v>
      </c>
      <c r="E67" s="790">
        <v>0</v>
      </c>
      <c r="F67" s="770">
        <v>0</v>
      </c>
      <c r="G67" s="867">
        <v>0</v>
      </c>
    </row>
    <row r="68" spans="2:15" ht="14.1" thickBot="1">
      <c r="B68" s="158" t="s">
        <v>316</v>
      </c>
      <c r="C68" s="540"/>
      <c r="D68" s="544"/>
      <c r="E68" s="540"/>
      <c r="F68" s="159"/>
      <c r="G68" s="868"/>
    </row>
    <row r="69" spans="2:15" ht="14.1" thickBot="1">
      <c r="B69" s="154" t="s">
        <v>317</v>
      </c>
      <c r="C69" s="769">
        <f>'Fin. Data'!B39</f>
        <v>3010.7</v>
      </c>
      <c r="D69" s="770">
        <v>1307</v>
      </c>
      <c r="E69" s="770">
        <v>994</v>
      </c>
      <c r="F69" s="770">
        <v>1338.2</v>
      </c>
      <c r="G69" s="867">
        <v>1232.3</v>
      </c>
    </row>
    <row r="70" spans="2:15" ht="14.1" thickBot="1">
      <c r="B70" s="154" t="s">
        <v>318</v>
      </c>
      <c r="C70" s="769">
        <f>'Fin. Data'!B40</f>
        <v>82.1</v>
      </c>
      <c r="D70" s="770">
        <v>1781</v>
      </c>
      <c r="E70" s="770">
        <v>1152</v>
      </c>
      <c r="F70" s="770">
        <v>657.8</v>
      </c>
      <c r="G70" s="867">
        <v>147.19999999999999</v>
      </c>
    </row>
    <row r="71" spans="2:15" ht="14.1" thickBot="1">
      <c r="B71" s="154" t="s">
        <v>319</v>
      </c>
      <c r="C71" s="769">
        <f>'Fin. Data'!B41</f>
        <v>97.3</v>
      </c>
      <c r="D71" s="770">
        <v>3174</v>
      </c>
      <c r="E71" s="770">
        <v>2606</v>
      </c>
      <c r="F71" s="770">
        <v>606.4</v>
      </c>
      <c r="G71" s="867">
        <v>189.7</v>
      </c>
    </row>
    <row r="72" spans="2:15" ht="14.1" thickBot="1">
      <c r="B72" s="154" t="s">
        <v>320</v>
      </c>
      <c r="C72" s="769">
        <f>'Inputs (AUD)'!C27</f>
        <v>960.2</v>
      </c>
      <c r="D72" s="770">
        <v>7661</v>
      </c>
      <c r="E72" s="770">
        <v>8614</v>
      </c>
      <c r="F72" s="770">
        <v>3474.5</v>
      </c>
      <c r="G72" s="867">
        <v>1682.7</v>
      </c>
    </row>
    <row r="73" spans="2:15" ht="14.1" thickBot="1">
      <c r="B73" s="154" t="s">
        <v>321</v>
      </c>
      <c r="C73" s="769">
        <f>'Fin. Data'!B42</f>
        <v>1384.5</v>
      </c>
      <c r="D73" s="770">
        <v>14145</v>
      </c>
      <c r="E73" s="770">
        <v>5408</v>
      </c>
      <c r="F73" s="770">
        <v>4526.3</v>
      </c>
      <c r="G73" s="867">
        <v>5117</v>
      </c>
    </row>
    <row r="74" spans="2:15" ht="14.1" thickBot="1">
      <c r="B74" s="154" t="s">
        <v>52</v>
      </c>
      <c r="C74" s="769">
        <f>'Fin. Data'!B44</f>
        <v>5198.8</v>
      </c>
      <c r="D74" s="770">
        <v>26829</v>
      </c>
      <c r="E74" s="774">
        <v>17189</v>
      </c>
      <c r="F74" s="770">
        <v>8395.2000000000007</v>
      </c>
      <c r="G74" s="867">
        <v>7826.6</v>
      </c>
    </row>
    <row r="75" spans="2:15" ht="14.1" thickBot="1">
      <c r="B75" s="154" t="s">
        <v>322</v>
      </c>
      <c r="C75" s="769">
        <f>'Inputs (AUD)'!C43</f>
        <v>134.9</v>
      </c>
      <c r="D75" s="770">
        <v>3066</v>
      </c>
      <c r="E75" s="770">
        <v>649</v>
      </c>
      <c r="F75" s="770">
        <v>861.3</v>
      </c>
      <c r="G75" s="867">
        <v>191.3</v>
      </c>
    </row>
    <row r="76" spans="2:15" ht="14.1" thickBot="1">
      <c r="B76" s="154" t="s">
        <v>323</v>
      </c>
      <c r="C76" s="769">
        <f>'Inputs (AUD)'!C42</f>
        <v>337.3</v>
      </c>
      <c r="D76" s="775">
        <v>5228</v>
      </c>
      <c r="E76" s="770">
        <v>3452</v>
      </c>
      <c r="F76" s="770">
        <v>1254.4000000000001</v>
      </c>
      <c r="G76" s="867">
        <v>668.8</v>
      </c>
    </row>
    <row r="77" spans="2:15" ht="14.1" hidden="1" thickBot="1">
      <c r="B77" s="154" t="s">
        <v>324</v>
      </c>
      <c r="C77" s="769">
        <f>'Fin. Data'!B50+'Fin. Data'!B54</f>
        <v>199.5</v>
      </c>
      <c r="D77" s="770"/>
      <c r="E77" s="770"/>
      <c r="F77" s="770"/>
      <c r="G77" s="867"/>
    </row>
    <row r="78" spans="2:15" ht="14.1" thickBot="1">
      <c r="B78" s="154" t="s">
        <v>325</v>
      </c>
      <c r="C78" s="769">
        <f>'Fin. Data'!B58</f>
        <v>472</v>
      </c>
      <c r="D78" s="770">
        <v>6119</v>
      </c>
      <c r="E78" s="770">
        <v>6595</v>
      </c>
      <c r="F78" s="770">
        <v>3234.1</v>
      </c>
      <c r="G78" s="867">
        <v>491.3</v>
      </c>
    </row>
    <row r="79" spans="2:15" ht="14.1" thickBot="1">
      <c r="B79" s="155" t="s">
        <v>326</v>
      </c>
      <c r="C79" s="776">
        <f>'Fin. Data'!B64</f>
        <v>3390</v>
      </c>
      <c r="D79" s="777">
        <v>13821</v>
      </c>
      <c r="E79" s="777">
        <v>8121</v>
      </c>
      <c r="F79" s="777">
        <v>3475.1</v>
      </c>
      <c r="G79" s="869">
        <v>5105.3</v>
      </c>
    </row>
    <row r="80" spans="2:15">
      <c r="C80" s="675"/>
      <c r="D80" s="510"/>
      <c r="F80" s="510"/>
    </row>
    <row r="82" spans="2:8">
      <c r="C82" s="743" t="s">
        <v>327</v>
      </c>
    </row>
    <row r="83" spans="2:8">
      <c r="C83" s="743" t="s">
        <v>328</v>
      </c>
    </row>
    <row r="84" spans="2:8">
      <c r="C84" s="743" t="s">
        <v>329</v>
      </c>
    </row>
    <row r="85" spans="2:8">
      <c r="C85" s="743" t="s">
        <v>330</v>
      </c>
      <c r="D85" s="10"/>
    </row>
    <row r="86" spans="2:8">
      <c r="C86" s="743" t="s">
        <v>331</v>
      </c>
    </row>
    <row r="87" spans="2:8">
      <c r="C87" s="743" t="s">
        <v>332</v>
      </c>
    </row>
    <row r="88" spans="2:8">
      <c r="C88" s="743" t="s">
        <v>333</v>
      </c>
    </row>
    <row r="89" spans="2:8">
      <c r="C89" s="743" t="s">
        <v>334</v>
      </c>
      <c r="E89" t="s">
        <v>335</v>
      </c>
    </row>
    <row r="91" spans="2:8">
      <c r="H91" t="s">
        <v>336</v>
      </c>
    </row>
    <row r="92" spans="2:8">
      <c r="B92" t="s">
        <v>337</v>
      </c>
      <c r="C92" s="259">
        <f>C62/C60</f>
        <v>0.76247539370078743</v>
      </c>
      <c r="D92" s="259">
        <f>D62/D60</f>
        <v>9.1649413388543821E-2</v>
      </c>
      <c r="E92" s="259">
        <f>E62/E60</f>
        <v>0.42262909963558792</v>
      </c>
      <c r="F92" s="259">
        <f>F62/F60</f>
        <v>0.36734950095206204</v>
      </c>
      <c r="G92" s="259">
        <f>G62/G60</f>
        <v>0.75398151241786393</v>
      </c>
      <c r="H92" s="259">
        <f>AVERAGE(C92:G92)</f>
        <v>0.47961698401896902</v>
      </c>
    </row>
    <row r="93" spans="2:8">
      <c r="B93" t="s">
        <v>79</v>
      </c>
      <c r="C93" s="889">
        <f>C78/C74</f>
        <v>9.0790182349773027E-2</v>
      </c>
      <c r="D93" s="889">
        <f>D78/D74</f>
        <v>0.22807409892280742</v>
      </c>
      <c r="E93" s="889">
        <f>E78/E74</f>
        <v>0.3836756064925243</v>
      </c>
      <c r="F93" s="889">
        <f>F78/F74</f>
        <v>0.38523203735467881</v>
      </c>
      <c r="G93" s="889">
        <f>G78/G74</f>
        <v>6.2773107096312578E-2</v>
      </c>
      <c r="H93" s="890">
        <f>AVERAGE(C93:G93)</f>
        <v>0.23010900644321924</v>
      </c>
    </row>
    <row r="94" spans="2:8">
      <c r="B94" t="s">
        <v>70</v>
      </c>
      <c r="C94" s="889">
        <f>C78/C62</f>
        <v>0.15232194145932162</v>
      </c>
      <c r="D94" s="889">
        <f>D78/D62</f>
        <v>4.6076807228915664</v>
      </c>
      <c r="E94" s="889">
        <f>E78/E62</f>
        <v>1.3869610935856993</v>
      </c>
      <c r="F94" s="889">
        <f>F78/F62</f>
        <v>1.8421622237411712</v>
      </c>
      <c r="G94" s="889">
        <f>G78/G62</f>
        <v>0.36285081240768097</v>
      </c>
      <c r="H94" s="890">
        <f>AVERAGE(C94:G94)</f>
        <v>1.6703953588170879</v>
      </c>
    </row>
  </sheetData>
  <mergeCells count="12">
    <mergeCell ref="K10:K11"/>
    <mergeCell ref="K12:K13"/>
    <mergeCell ref="K14:K15"/>
    <mergeCell ref="L10:M11"/>
    <mergeCell ref="L12:M13"/>
    <mergeCell ref="L14:M15"/>
    <mergeCell ref="D6:F6"/>
    <mergeCell ref="D4:F4"/>
    <mergeCell ref="D1:F1"/>
    <mergeCell ref="D2:F2"/>
    <mergeCell ref="D3:F3"/>
    <mergeCell ref="D5:F5"/>
  </mergeCells>
  <hyperlinks>
    <hyperlink ref="C82" r:id="rId1" display="https://www.reuters.com/markets/deals/liontown-gets-sweetened-43-bln-buyout-offer-albemarle-2023-09-03/" xr:uid="{E6A81952-7736-4AE0-BE36-D8E9AD0CA65A}"/>
    <hyperlink ref="C83" r:id="rId2" display="https://www.ltresources.com.au/wp-content/uploads/2023/09/61171202-1.pdf" xr:uid="{0170D145-3A65-488C-BEED-0F9896F9A504}"/>
    <hyperlink ref="C84" r:id="rId3" display="https://investingnews.com/top-australian-lithium-stocks" xr:uid="{F807AB97-CA86-4F97-AA63-D1F7C0849386}"/>
    <hyperlink ref="C85" r:id="rId4" display="https://www.nasdaq.com/articles/3-top-lithium-stocks-to-watch-for-the-coming-quarter" xr:uid="{5C2F9110-7D5A-4126-9759-C3D40A1CB611}"/>
    <hyperlink ref="C86" r:id="rId5" display="https://s3.ap-southeast-2.amazonaws.com/assets.mineralresources.com.au/app/uploads/2023/10/11192614/2023-Annual-Report.pdf" xr:uid="{6BDB6315-8917-4E23-97B2-355CBA06B2AC}"/>
    <hyperlink ref="C87" r:id="rId6" display="https://www.forbes.com/advisor/investing/best-lithium-stocks/" xr:uid="{E7B4B9C7-F996-4190-B12C-89FA62A13AFF}"/>
    <hyperlink ref="C88" r:id="rId7" display="https://www.insidermonkey.com/blog/lithium-stocks-list-5-biggest-lithium-stocks-2-1199319/4/" xr:uid="{A39FE354-A08E-4154-A76C-9283A7E7F663}"/>
    <hyperlink ref="C89" r:id="rId8" display="https://1pls.irmau.com/site/pdf/ff0c3ffb-b047-4066-bda0-b9df68c7a477/2023-Annual-Report-incorporating-Appendix-4E.pdf" xr:uid="{FAC2DA6C-5867-4BEC-B5FD-5A0757F4D45D}"/>
  </hyperlinks>
  <pageMargins left="0.7" right="0.7" top="0.75" bottom="0.75" header="0.3" footer="0.3"/>
  <pageSetup orientation="portrait" r:id="rId9"/>
  <drawing r:id="rId10"/>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sheetPr>
    <tabColor rgb="FF00B0F0"/>
  </sheetPr>
  <dimension ref="A1:AZ64"/>
  <sheetViews>
    <sheetView showGridLines="0" topLeftCell="F2" zoomScale="110" zoomScaleNormal="110" workbookViewId="0">
      <pane ySplit="2" topLeftCell="A17" activePane="bottomLeft" state="frozen"/>
      <selection pane="bottomLeft" activeCell="AD13" sqref="AD13"/>
      <selection activeCell="A2" sqref="A2"/>
    </sheetView>
  </sheetViews>
  <sheetFormatPr defaultColWidth="8.7109375" defaultRowHeight="12.75" customHeight="1"/>
  <cols>
    <col min="1" max="1" width="12.42578125" style="716" customWidth="1"/>
    <col min="2" max="2" width="13.28515625" style="495" bestFit="1" customWidth="1"/>
    <col min="3" max="3" width="38.42578125" style="476" bestFit="1" customWidth="1"/>
    <col min="4" max="4" width="16.28515625" style="476" bestFit="1" customWidth="1"/>
    <col min="5" max="5" width="21.42578125" style="476" bestFit="1" customWidth="1"/>
    <col min="6" max="6" width="11.42578125" style="476" bestFit="1" customWidth="1"/>
    <col min="7" max="7" width="9.7109375" style="476" customWidth="1"/>
    <col min="8" max="8" width="17.140625" style="476" customWidth="1"/>
    <col min="9" max="9" width="11.28515625" style="476" customWidth="1"/>
    <col min="10" max="10" width="13.7109375" style="476" bestFit="1" customWidth="1"/>
    <col min="11" max="11" width="8.7109375" style="476"/>
    <col min="12" max="12" width="10" style="476" customWidth="1"/>
    <col min="13" max="16" width="8.7109375" style="476"/>
    <col min="17" max="17" width="10.28515625" style="476" customWidth="1"/>
    <col min="18" max="24" width="8.7109375" style="476"/>
    <col min="25" max="25" width="10.7109375" style="476" bestFit="1" customWidth="1"/>
    <col min="26" max="26" width="11.28515625" style="476" customWidth="1"/>
    <col min="27" max="27" width="8.28515625" style="476" customWidth="1"/>
    <col min="28" max="28" width="12.140625" style="476" customWidth="1"/>
    <col min="29" max="30" width="8.7109375" style="476"/>
    <col min="31" max="31" width="17.140625" style="476" customWidth="1"/>
    <col min="32" max="32" width="12.140625" style="476" customWidth="1"/>
    <col min="33" max="33" width="12.7109375" style="476" bestFit="1" customWidth="1"/>
    <col min="34" max="34" width="24.42578125" style="476" bestFit="1" customWidth="1"/>
    <col min="35" max="35" width="26" style="476" customWidth="1"/>
    <col min="36" max="38" width="15" style="476" customWidth="1"/>
    <col min="39" max="40" width="20.28515625" style="476" customWidth="1"/>
    <col min="41" max="44" width="8.7109375" style="476"/>
    <col min="45" max="48" width="15.7109375" style="476" bestFit="1" customWidth="1"/>
    <col min="49" max="50" width="16.7109375" style="476" bestFit="1" customWidth="1"/>
    <col min="51" max="51" width="12.7109375" style="476" bestFit="1" customWidth="1"/>
    <col min="52" max="52" width="13.140625" style="476" bestFit="1" customWidth="1"/>
    <col min="53" max="16384" width="8.7109375" style="476"/>
  </cols>
  <sheetData>
    <row r="1" spans="1:52" ht="18.95">
      <c r="A1" s="476"/>
      <c r="B1" s="483"/>
      <c r="C1" s="726" t="s">
        <v>338</v>
      </c>
      <c r="D1" s="290"/>
      <c r="E1" s="290"/>
      <c r="F1" s="1400" t="s">
        <v>339</v>
      </c>
      <c r="G1" s="1401"/>
      <c r="H1" s="1401"/>
      <c r="I1" s="1401"/>
      <c r="J1" s="1402"/>
      <c r="K1" s="1403" t="s">
        <v>340</v>
      </c>
      <c r="L1" s="1404"/>
      <c r="M1" s="1404"/>
      <c r="N1" s="1404"/>
      <c r="O1" s="1405"/>
      <c r="P1" s="1400" t="s">
        <v>341</v>
      </c>
      <c r="Q1" s="1401"/>
      <c r="R1" s="1401"/>
      <c r="S1" s="1401"/>
      <c r="T1" s="1402"/>
      <c r="U1" s="1406" t="s">
        <v>342</v>
      </c>
      <c r="V1" s="1407"/>
      <c r="W1" s="1407"/>
      <c r="X1" s="484"/>
      <c r="Y1" s="1407" t="s">
        <v>343</v>
      </c>
      <c r="Z1" s="1407"/>
      <c r="AA1" s="1407"/>
      <c r="AB1" s="1407"/>
      <c r="AD1" s="1408" t="str">
        <f>B3</f>
        <v>PLS.AX</v>
      </c>
      <c r="AE1" s="1408" t="s">
        <v>344</v>
      </c>
      <c r="AF1" s="1408"/>
      <c r="AG1" s="1408"/>
      <c r="AH1" s="1408"/>
      <c r="AI1" s="1408"/>
      <c r="AJ1" s="1409" t="s">
        <v>345</v>
      </c>
      <c r="AK1" s="1409"/>
      <c r="AL1" s="1409"/>
      <c r="AM1" s="1409" t="s">
        <v>346</v>
      </c>
      <c r="AN1" s="1409"/>
      <c r="AO1" s="475"/>
    </row>
    <row r="2" spans="1:52" ht="80.099999999999994">
      <c r="A2" s="476"/>
      <c r="B2" s="468" t="s">
        <v>347</v>
      </c>
      <c r="C2" s="468" t="s">
        <v>348</v>
      </c>
      <c r="D2" s="468" t="s">
        <v>349</v>
      </c>
      <c r="E2" s="468" t="s">
        <v>350</v>
      </c>
      <c r="F2" s="469" t="s">
        <v>351</v>
      </c>
      <c r="G2" s="470" t="s">
        <v>352</v>
      </c>
      <c r="H2" s="471" t="s">
        <v>263</v>
      </c>
      <c r="I2" s="469" t="s">
        <v>353</v>
      </c>
      <c r="J2" s="469" t="s">
        <v>354</v>
      </c>
      <c r="K2" s="499" t="s">
        <v>351</v>
      </c>
      <c r="L2" s="500" t="s">
        <v>352</v>
      </c>
      <c r="M2" s="499" t="s">
        <v>263</v>
      </c>
      <c r="N2" s="499" t="s">
        <v>355</v>
      </c>
      <c r="O2" s="499" t="s">
        <v>354</v>
      </c>
      <c r="P2" s="469" t="s">
        <v>351</v>
      </c>
      <c r="Q2" s="470" t="s">
        <v>352</v>
      </c>
      <c r="R2" s="469" t="s">
        <v>263</v>
      </c>
      <c r="S2" s="469" t="s">
        <v>355</v>
      </c>
      <c r="T2" s="469" t="s">
        <v>354</v>
      </c>
      <c r="U2" s="472" t="s">
        <v>356</v>
      </c>
      <c r="V2" s="499" t="s">
        <v>357</v>
      </c>
      <c r="W2" s="472" t="s">
        <v>358</v>
      </c>
      <c r="X2" s="474"/>
      <c r="Y2" s="473" t="s">
        <v>359</v>
      </c>
      <c r="Z2" s="472" t="s">
        <v>360</v>
      </c>
      <c r="AA2" s="472" t="s">
        <v>361</v>
      </c>
      <c r="AB2" s="472" t="s">
        <v>362</v>
      </c>
      <c r="AD2" s="1408"/>
      <c r="AE2" s="501" t="s">
        <v>358</v>
      </c>
      <c r="AF2" s="481" t="s">
        <v>356</v>
      </c>
      <c r="AG2" s="481" t="s">
        <v>347</v>
      </c>
      <c r="AH2" s="481" t="s">
        <v>348</v>
      </c>
      <c r="AI2" s="481" t="s">
        <v>350</v>
      </c>
      <c r="AJ2" s="481" t="s">
        <v>363</v>
      </c>
      <c r="AK2" s="481" t="s">
        <v>364</v>
      </c>
      <c r="AL2" s="481" t="s">
        <v>365</v>
      </c>
      <c r="AM2" s="481" t="s">
        <v>366</v>
      </c>
      <c r="AN2" s="481" t="s">
        <v>367</v>
      </c>
      <c r="AO2" s="475"/>
      <c r="AS2" s="752" t="s">
        <v>368</v>
      </c>
      <c r="AT2" s="752" t="s">
        <v>326</v>
      </c>
      <c r="AU2" s="752" t="s">
        <v>325</v>
      </c>
      <c r="AV2" s="752" t="s">
        <v>312</v>
      </c>
      <c r="AW2" s="752" t="s">
        <v>369</v>
      </c>
      <c r="AX2" s="752" t="s">
        <v>370</v>
      </c>
      <c r="AY2" s="752" t="s">
        <v>371</v>
      </c>
      <c r="AZ2" s="752" t="s">
        <v>372</v>
      </c>
    </row>
    <row r="3" spans="1:52" ht="15">
      <c r="A3" s="485" t="s">
        <v>373</v>
      </c>
      <c r="B3" s="727" t="s">
        <v>374</v>
      </c>
      <c r="C3" s="728" t="s">
        <v>375</v>
      </c>
      <c r="D3" s="728" t="s">
        <v>376</v>
      </c>
      <c r="E3" s="728" t="s">
        <v>377</v>
      </c>
      <c r="F3" s="729">
        <f t="shared" ref="F3:F34" si="0">AS3/AT3</f>
        <v>0.70534498006207624</v>
      </c>
      <c r="G3" s="729">
        <f t="shared" ref="G3:G34" si="1">AU3/AV3</f>
        <v>0.1469365859642339</v>
      </c>
      <c r="H3" s="730">
        <f t="shared" ref="H3:H34" si="2">AX3</f>
        <v>13271753637.450001</v>
      </c>
      <c r="I3" s="731">
        <f t="shared" ref="I3:I34" si="3">(AY3/AZ3)-1</f>
        <v>-0.85219897156604851</v>
      </c>
      <c r="J3" s="732">
        <f t="shared" ref="J3:J34" si="4">AV3/AW3</f>
        <v>0.79033168890204497</v>
      </c>
      <c r="K3" s="467">
        <f>IFERROR(_xlfn.RANK.EQ(F3,F$3:F$64),"N/A")</f>
        <v>2</v>
      </c>
      <c r="L3" s="467">
        <f>IFERROR(_xlfn.RANK.EQ(G3,G$3:G$64),"N/A")</f>
        <v>27</v>
      </c>
      <c r="M3" s="467">
        <f>IFERROR(_xlfn.RANK.EQ(H3,H$3:H$64),"N/A")</f>
        <v>11</v>
      </c>
      <c r="N3" s="467">
        <f>IFERROR(_xlfn.RANK.EQ(I3,I$3:I$64),"N/A")</f>
        <v>45</v>
      </c>
      <c r="O3" s="467">
        <f>IFERROR(_xlfn.RANK.EQ(J3,J$3:J$64),"N/A")</f>
        <v>2</v>
      </c>
      <c r="P3" s="486" t="s">
        <v>78</v>
      </c>
      <c r="Q3" s="486" t="s">
        <v>78</v>
      </c>
      <c r="R3" s="486" t="s">
        <v>78</v>
      </c>
      <c r="S3" s="486" t="s">
        <v>78</v>
      </c>
      <c r="T3" s="486" t="s">
        <v>78</v>
      </c>
      <c r="U3" s="486" t="s">
        <v>78</v>
      </c>
      <c r="V3" s="486" t="s">
        <v>78</v>
      </c>
      <c r="W3" s="486" t="s">
        <v>78</v>
      </c>
      <c r="X3" s="290"/>
      <c r="Y3" s="487" t="str">
        <f>IF(OR(Z3="Y",AA3="Y"),"Not suitable","")</f>
        <v/>
      </c>
      <c r="Z3" s="497" t="str">
        <f t="shared" ref="Z3:Z5" si="5">IF(OR(N3="N/A",O3="N/A"),"Y","")</f>
        <v/>
      </c>
      <c r="AA3" s="467"/>
      <c r="AB3" s="486"/>
      <c r="AD3" s="1408"/>
      <c r="AE3" s="266">
        <v>1</v>
      </c>
      <c r="AF3" s="580">
        <f>_xlfn.XLOOKUP(AE3,$W$4:$W$64,$U$4:$U$64,"N/A",0,1)</f>
        <v>24</v>
      </c>
      <c r="AG3" s="580" t="str">
        <f>_xlfn.XLOOKUP(AE3,$W$4:$W$64,$B$4:$B$64,"N/A",0,1)</f>
        <v>HZNC.NS</v>
      </c>
      <c r="AH3" s="580" t="str">
        <f>_xlfn.XLOOKUP(AE3,$W$4:$W$64,$C$4:$C$64,"N/A",0,1)</f>
        <v>Hindustan Zinc Ltd</v>
      </c>
      <c r="AI3" s="580" t="str">
        <f>_xlfn.XLOOKUP(AE3,$W$4:$W$64,$E$4:$E$64,"N/A",0,1)</f>
        <v>India</v>
      </c>
      <c r="AJ3" s="580">
        <v>16.4033134483001</v>
      </c>
      <c r="AK3" s="580">
        <v>9.6729016433446802</v>
      </c>
      <c r="AL3" s="580">
        <v>4.4130355673758901</v>
      </c>
      <c r="AM3" s="580">
        <v>4.4209975638966901</v>
      </c>
      <c r="AN3" s="580">
        <v>9.2660537918945298</v>
      </c>
      <c r="AO3" s="475"/>
      <c r="AS3" s="714">
        <v>2391135000</v>
      </c>
      <c r="AT3" s="714">
        <v>3390022000</v>
      </c>
      <c r="AU3" s="714">
        <v>471949000</v>
      </c>
      <c r="AV3" s="714">
        <v>3211923000</v>
      </c>
      <c r="AW3" s="714">
        <v>4064019000</v>
      </c>
      <c r="AX3" s="714">
        <v>13271753637.450001</v>
      </c>
      <c r="AY3" s="495">
        <v>0.11181000000000001</v>
      </c>
      <c r="AZ3" s="495">
        <v>0.75649</v>
      </c>
    </row>
    <row r="4" spans="1:52" ht="15">
      <c r="A4" s="488" t="s">
        <v>378</v>
      </c>
      <c r="B4" s="712" t="s">
        <v>379</v>
      </c>
      <c r="C4" s="712" t="s">
        <v>380</v>
      </c>
      <c r="D4" s="712" t="s">
        <v>376</v>
      </c>
      <c r="E4" s="712" t="s">
        <v>377</v>
      </c>
      <c r="F4" s="541">
        <f t="shared" si="0"/>
        <v>-0.52466315524704454</v>
      </c>
      <c r="G4" s="541">
        <f t="shared" si="1"/>
        <v>-0.18904627294408083</v>
      </c>
      <c r="H4" s="713">
        <f t="shared" si="2"/>
        <v>111265437.09999999</v>
      </c>
      <c r="I4" s="805">
        <f t="shared" si="3"/>
        <v>-0.78780177890724268</v>
      </c>
      <c r="J4" s="541">
        <f t="shared" si="4"/>
        <v>-0.21427778412708778</v>
      </c>
      <c r="K4" s="467">
        <f t="shared" ref="K4:K64" si="6">IFERROR(_xlfn.RANK.EQ(F4,F$3:F$64),"N/A")</f>
        <v>53</v>
      </c>
      <c r="L4" s="467">
        <f t="shared" ref="L4:L64" si="7">IFERROR(_xlfn.RANK.EQ(G4,G$3:G$64),"N/A")</f>
        <v>43</v>
      </c>
      <c r="M4" s="467">
        <f t="shared" ref="M4:M64" si="8">IFERROR(_xlfn.RANK.EQ(H4,H$3:H$64),"N/A")</f>
        <v>42</v>
      </c>
      <c r="N4" s="467">
        <f t="shared" ref="N4:N64" si="9">IFERROR(_xlfn.RANK.EQ(I4,I$3:I$64),"N/A")</f>
        <v>44</v>
      </c>
      <c r="O4" s="467">
        <f t="shared" ref="O4:O64" si="10">IFERROR(_xlfn.RANK.EQ(J4,J$3:J$64),"N/A")</f>
        <v>40</v>
      </c>
      <c r="P4" s="486">
        <f t="shared" ref="P4:P29" si="11">IFERROR(ABS(K$3-K4),"N/A")</f>
        <v>51</v>
      </c>
      <c r="Q4" s="486">
        <f t="shared" ref="Q4:Q29" si="12">IFERROR(ABS(L$3-L4),"N/A")</f>
        <v>16</v>
      </c>
      <c r="R4" s="486">
        <f t="shared" ref="R4:R29" si="13">IFERROR(ABS(M$3-M4),"N/A")</f>
        <v>31</v>
      </c>
      <c r="S4" s="486">
        <f t="shared" ref="S4:S29" si="14">IFERROR(ABS(N$3-N4),"N/A")</f>
        <v>1</v>
      </c>
      <c r="T4" s="486">
        <f t="shared" ref="T4:T29" si="15">IFERROR(ABS(O$3-O4),"N/A")</f>
        <v>38</v>
      </c>
      <c r="U4" s="489">
        <f t="shared" ref="U4:U29" si="16">SUM(P4:T4)</f>
        <v>137</v>
      </c>
      <c r="V4" s="486">
        <f>_xlfn.RANK.EQ(U4,$U$4:$U$64,1)</f>
        <v>36</v>
      </c>
      <c r="W4" s="490">
        <f t="shared" ref="W4:W35" si="17">IF(Y4="Not suitable","-",V4)</f>
        <v>36</v>
      </c>
      <c r="X4" s="290"/>
      <c r="Y4" s="491" t="str">
        <f>IF(OR(Z4="Y",AA4="Y"),"Not suitable","")</f>
        <v/>
      </c>
      <c r="Z4" s="493" t="str">
        <f t="shared" si="5"/>
        <v/>
      </c>
      <c r="AA4" s="467"/>
      <c r="AB4" s="486"/>
      <c r="AD4" s="1408"/>
      <c r="AE4" s="83">
        <v>3</v>
      </c>
      <c r="AF4" s="580">
        <f t="shared" ref="AF4:AF7" si="18">_xlfn.XLOOKUP(AE4,$W$4:$W$64,$U$4:$U$64,"N/A",0,1)</f>
        <v>42</v>
      </c>
      <c r="AG4" s="580" t="str">
        <f t="shared" ref="AG4:AG7" si="19">_xlfn.XLOOKUP(AE4,$W$4:$W$64,$B$4:$B$64,"N/A",0,1)</f>
        <v>DPM.TO</v>
      </c>
      <c r="AH4" s="580" t="str">
        <f t="shared" ref="AH4:AH7" si="20">_xlfn.XLOOKUP(AE4,$W$4:$W$64,$C$4:$C$64,"N/A",0,1)</f>
        <v>Dundee Precious Metals Inc</v>
      </c>
      <c r="AI4" s="580" t="str">
        <f t="shared" ref="AI4:AI7" si="21">_xlfn.XLOOKUP(AE4,$W$4:$W$64,$E$4:$E$64,"N/A",0,1)</f>
        <v>Canada</v>
      </c>
      <c r="AJ4" s="580">
        <v>6.9517221052328599</v>
      </c>
      <c r="AK4" s="580">
        <v>1.12744335844093</v>
      </c>
      <c r="AL4" s="580">
        <v>2.4291069089463901</v>
      </c>
      <c r="AM4" s="580">
        <v>1.3086279927567199</v>
      </c>
      <c r="AN4" s="580">
        <v>2.4998278908137199</v>
      </c>
      <c r="AO4" s="475"/>
      <c r="AS4" s="715">
        <v>-139754000</v>
      </c>
      <c r="AT4" s="715">
        <v>266369000</v>
      </c>
      <c r="AU4" s="715">
        <v>24811000</v>
      </c>
      <c r="AV4" s="715">
        <v>-131243000</v>
      </c>
      <c r="AW4" s="715">
        <v>612490000</v>
      </c>
      <c r="AX4" s="715">
        <v>111265437.09999999</v>
      </c>
      <c r="AY4" s="712">
        <v>-3.3399999999999999E-2</v>
      </c>
      <c r="AZ4" s="712">
        <v>-0.15740000000000001</v>
      </c>
    </row>
    <row r="5" spans="1:52" ht="15">
      <c r="A5" s="492"/>
      <c r="B5" s="712" t="s">
        <v>381</v>
      </c>
      <c r="C5" s="712" t="s">
        <v>382</v>
      </c>
      <c r="D5" s="712" t="s">
        <v>376</v>
      </c>
      <c r="E5" s="712" t="s">
        <v>383</v>
      </c>
      <c r="F5" s="541">
        <f t="shared" si="0"/>
        <v>-5.333409239413129E-2</v>
      </c>
      <c r="G5" s="541">
        <f t="shared" si="1"/>
        <v>2.5020664765755658</v>
      </c>
      <c r="H5" s="713">
        <f t="shared" si="2"/>
        <v>16458205.182775</v>
      </c>
      <c r="I5" s="805">
        <f t="shared" si="3"/>
        <v>-2.016285187757064</v>
      </c>
      <c r="J5" s="541">
        <f t="shared" si="4"/>
        <v>0.14057106361599761</v>
      </c>
      <c r="K5" s="480">
        <f t="shared" si="6"/>
        <v>34</v>
      </c>
      <c r="L5" s="480">
        <f t="shared" si="7"/>
        <v>12</v>
      </c>
      <c r="M5" s="480">
        <f t="shared" si="8"/>
        <v>60</v>
      </c>
      <c r="N5" s="480">
        <f t="shared" si="9"/>
        <v>61</v>
      </c>
      <c r="O5" s="480">
        <f t="shared" si="10"/>
        <v>20</v>
      </c>
      <c r="P5" s="491">
        <f t="shared" si="11"/>
        <v>32</v>
      </c>
      <c r="Q5" s="491">
        <f t="shared" si="12"/>
        <v>15</v>
      </c>
      <c r="R5" s="491">
        <f t="shared" si="13"/>
        <v>49</v>
      </c>
      <c r="S5" s="491">
        <f t="shared" si="14"/>
        <v>16</v>
      </c>
      <c r="T5" s="491">
        <f t="shared" si="15"/>
        <v>18</v>
      </c>
      <c r="U5" s="491">
        <f t="shared" si="16"/>
        <v>130</v>
      </c>
      <c r="V5" s="491">
        <f>_xlfn.RANK.EQ(U5,$U$4:$U$64,1)</f>
        <v>32</v>
      </c>
      <c r="W5" s="491">
        <f t="shared" si="17"/>
        <v>32</v>
      </c>
      <c r="Y5" s="491" t="str">
        <f>IF(OR(Z5="Y",AA5="Y"),"Not suitable","")</f>
        <v/>
      </c>
      <c r="Z5" s="493" t="str">
        <f t="shared" si="5"/>
        <v/>
      </c>
      <c r="AA5" s="480"/>
      <c r="AB5" s="491"/>
      <c r="AD5" s="1408"/>
      <c r="AE5" s="83">
        <v>4</v>
      </c>
      <c r="AF5" s="580">
        <f t="shared" si="18"/>
        <v>44</v>
      </c>
      <c r="AG5" s="580" t="str">
        <f t="shared" si="19"/>
        <v>ALS.TO</v>
      </c>
      <c r="AH5" s="580" t="str">
        <f t="shared" si="20"/>
        <v>Altius Minerals Corp</v>
      </c>
      <c r="AI5" s="580" t="str">
        <f t="shared" si="21"/>
        <v>Canada</v>
      </c>
      <c r="AJ5" s="580">
        <v>47.935591514605797</v>
      </c>
      <c r="AK5" s="580">
        <v>1.6986928350896</v>
      </c>
      <c r="AL5" s="580">
        <v>11.1049046010233</v>
      </c>
      <c r="AM5" s="580">
        <v>13.3267275644781</v>
      </c>
      <c r="AN5" s="580">
        <v>18.741648525184502</v>
      </c>
      <c r="AO5" s="475"/>
      <c r="AS5" s="715">
        <v>-4922787.3420000002</v>
      </c>
      <c r="AT5" s="715">
        <v>92300948.999400005</v>
      </c>
      <c r="AU5" s="715">
        <v>33641855.189400002</v>
      </c>
      <c r="AV5" s="715">
        <v>13445628.045600001</v>
      </c>
      <c r="AW5" s="715">
        <v>95650041.336600006</v>
      </c>
      <c r="AX5" s="715">
        <v>16458205.182775</v>
      </c>
      <c r="AY5" s="712">
        <v>-1.52207E-2</v>
      </c>
      <c r="AZ5" s="712">
        <v>1.49768E-2</v>
      </c>
    </row>
    <row r="6" spans="1:52" ht="15">
      <c r="A6" s="488"/>
      <c r="B6" s="712" t="s">
        <v>384</v>
      </c>
      <c r="C6" s="712" t="s">
        <v>385</v>
      </c>
      <c r="D6" s="712" t="s">
        <v>376</v>
      </c>
      <c r="E6" s="712" t="s">
        <v>386</v>
      </c>
      <c r="F6" s="541">
        <f t="shared" si="0"/>
        <v>-5.6556672989513626E-2</v>
      </c>
      <c r="G6" s="541">
        <f t="shared" si="1"/>
        <v>0</v>
      </c>
      <c r="H6" s="713">
        <f t="shared" si="2"/>
        <v>35338994.933233596</v>
      </c>
      <c r="I6" s="805">
        <f t="shared" si="3"/>
        <v>3.0178864869986599</v>
      </c>
      <c r="J6" s="541">
        <f t="shared" si="4"/>
        <v>4.2083561604336669E-2</v>
      </c>
      <c r="K6" s="480">
        <f t="shared" si="6"/>
        <v>36</v>
      </c>
      <c r="L6" s="480">
        <f t="shared" si="7"/>
        <v>31</v>
      </c>
      <c r="M6" s="480">
        <f t="shared" si="8"/>
        <v>55</v>
      </c>
      <c r="N6" s="480">
        <f t="shared" si="9"/>
        <v>5</v>
      </c>
      <c r="O6" s="480">
        <f t="shared" si="10"/>
        <v>28</v>
      </c>
      <c r="P6" s="491">
        <f t="shared" si="11"/>
        <v>34</v>
      </c>
      <c r="Q6" s="491">
        <f t="shared" si="12"/>
        <v>4</v>
      </c>
      <c r="R6" s="491">
        <f t="shared" si="13"/>
        <v>44</v>
      </c>
      <c r="S6" s="491">
        <f t="shared" si="14"/>
        <v>40</v>
      </c>
      <c r="T6" s="491">
        <f t="shared" si="15"/>
        <v>26</v>
      </c>
      <c r="U6" s="491">
        <f t="shared" si="16"/>
        <v>148</v>
      </c>
      <c r="V6" s="491">
        <f t="shared" ref="V6:V64" si="22">_xlfn.RANK.EQ(U6,$U$4:$U$64,1)</f>
        <v>42</v>
      </c>
      <c r="W6" s="491">
        <f t="shared" si="17"/>
        <v>42</v>
      </c>
      <c r="Y6" s="491" t="str">
        <f t="shared" ref="Y6:Y43" si="23">IF(OR(Z6="Y",AA6="Y"),"Not suitable","")</f>
        <v/>
      </c>
      <c r="Z6" s="493" t="str">
        <f>IF(OR(N6="N/A",O6="N/A"),"Y","")</f>
        <v/>
      </c>
      <c r="AA6" s="480"/>
      <c r="AB6" s="491"/>
      <c r="AD6" s="1408"/>
      <c r="AE6" s="581">
        <v>5</v>
      </c>
      <c r="AF6" s="580">
        <f t="shared" si="18"/>
        <v>45</v>
      </c>
      <c r="AG6" s="580" t="str">
        <f t="shared" si="19"/>
        <v>VDAN.NS</v>
      </c>
      <c r="AH6" s="580" t="str">
        <f t="shared" si="20"/>
        <v>Vedanta Ltd</v>
      </c>
      <c r="AI6" s="580" t="str">
        <f t="shared" si="21"/>
        <v>India</v>
      </c>
      <c r="AJ6" s="580">
        <v>9.1279843488181491</v>
      </c>
      <c r="AK6" s="580">
        <v>3.21117715775349</v>
      </c>
      <c r="AL6" s="580">
        <v>0.70243226525101199</v>
      </c>
      <c r="AM6" s="580">
        <v>1.08431650667586</v>
      </c>
      <c r="AN6" s="580">
        <v>4.4156084910187001</v>
      </c>
      <c r="AO6" s="475"/>
      <c r="AS6" s="715">
        <v>-9277837.3800000008</v>
      </c>
      <c r="AT6" s="715">
        <v>164044963.91999999</v>
      </c>
      <c r="AU6" s="715">
        <v>0</v>
      </c>
      <c r="AV6" s="715">
        <v>8568899.6400000006</v>
      </c>
      <c r="AW6" s="715">
        <v>203616312.72</v>
      </c>
      <c r="AX6" s="715">
        <v>35338994.933233596</v>
      </c>
      <c r="AY6" s="712">
        <v>-0.29682940000000002</v>
      </c>
      <c r="AZ6" s="712">
        <v>-7.3876999999999998E-2</v>
      </c>
    </row>
    <row r="7" spans="1:52" ht="15">
      <c r="A7" s="488"/>
      <c r="B7" s="712" t="s">
        <v>387</v>
      </c>
      <c r="C7" s="712" t="s">
        <v>388</v>
      </c>
      <c r="D7" s="712" t="s">
        <v>376</v>
      </c>
      <c r="E7" s="712" t="s">
        <v>389</v>
      </c>
      <c r="F7" s="541">
        <f t="shared" si="0"/>
        <v>4.3106223402014025E-2</v>
      </c>
      <c r="G7" s="541">
        <f t="shared" si="1"/>
        <v>28.205248687828011</v>
      </c>
      <c r="H7" s="713">
        <f t="shared" si="2"/>
        <v>3515642398.3471799</v>
      </c>
      <c r="I7" s="805">
        <f t="shared" si="3"/>
        <v>4.712746567509341</v>
      </c>
      <c r="J7" s="541">
        <f t="shared" si="4"/>
        <v>1.2303705011215148E-2</v>
      </c>
      <c r="K7" s="480">
        <f t="shared" si="6"/>
        <v>25</v>
      </c>
      <c r="L7" s="480">
        <f t="shared" si="7"/>
        <v>1</v>
      </c>
      <c r="M7" s="480">
        <f t="shared" si="8"/>
        <v>17</v>
      </c>
      <c r="N7" s="480">
        <f t="shared" si="9"/>
        <v>3</v>
      </c>
      <c r="O7" s="480">
        <f t="shared" si="10"/>
        <v>31</v>
      </c>
      <c r="P7" s="491">
        <f t="shared" si="11"/>
        <v>23</v>
      </c>
      <c r="Q7" s="491">
        <f t="shared" si="12"/>
        <v>26</v>
      </c>
      <c r="R7" s="491">
        <f t="shared" si="13"/>
        <v>6</v>
      </c>
      <c r="S7" s="491">
        <f t="shared" si="14"/>
        <v>42</v>
      </c>
      <c r="T7" s="491">
        <f t="shared" si="15"/>
        <v>29</v>
      </c>
      <c r="U7" s="491">
        <f t="shared" si="16"/>
        <v>126</v>
      </c>
      <c r="V7" s="491">
        <f t="shared" si="22"/>
        <v>30</v>
      </c>
      <c r="W7" s="491">
        <f t="shared" si="17"/>
        <v>30</v>
      </c>
      <c r="Y7" s="491" t="str">
        <f t="shared" si="23"/>
        <v/>
      </c>
      <c r="Z7" s="493" t="str">
        <f>IF(OR(N7="N/A",O7="N/A"),"Y","")</f>
        <v/>
      </c>
      <c r="AA7" s="480"/>
      <c r="AB7" s="491"/>
      <c r="AD7" s="1408"/>
      <c r="AE7" s="83">
        <v>6</v>
      </c>
      <c r="AF7" s="580">
        <f t="shared" si="18"/>
        <v>49</v>
      </c>
      <c r="AG7" s="580" t="str">
        <f t="shared" si="19"/>
        <v>BHP.AX</v>
      </c>
      <c r="AH7" s="580" t="str">
        <f t="shared" si="20"/>
        <v>BHP Group Ltd</v>
      </c>
      <c r="AI7" s="580" t="str">
        <f t="shared" si="21"/>
        <v>Australia</v>
      </c>
      <c r="AJ7" s="580">
        <v>19.805163225307201</v>
      </c>
      <c r="AK7" s="580">
        <v>3.5871444608984402</v>
      </c>
      <c r="AL7" s="580">
        <v>2.6427475970055401</v>
      </c>
      <c r="AM7" s="580">
        <v>2.9260532208308998</v>
      </c>
      <c r="AN7" s="580">
        <v>5.2801591726039101</v>
      </c>
      <c r="AO7" s="475"/>
      <c r="AS7" s="715">
        <v>288115691.24181002</v>
      </c>
      <c r="AT7" s="715">
        <v>6683853710.7462902</v>
      </c>
      <c r="AU7" s="715">
        <v>6356276443.5574999</v>
      </c>
      <c r="AV7" s="715">
        <v>225357929.43745801</v>
      </c>
      <c r="AW7" s="715">
        <v>18316265647.7897</v>
      </c>
      <c r="AX7" s="715">
        <v>3515642398.3471799</v>
      </c>
      <c r="AY7" s="712">
        <v>2.8906603327243601</v>
      </c>
      <c r="AZ7" s="712">
        <v>0.50600185017215604</v>
      </c>
    </row>
    <row r="8" spans="1:52" ht="15">
      <c r="A8" s="488"/>
      <c r="B8" s="712" t="s">
        <v>390</v>
      </c>
      <c r="C8" s="712" t="s">
        <v>391</v>
      </c>
      <c r="D8" s="712" t="s">
        <v>376</v>
      </c>
      <c r="E8" s="712" t="s">
        <v>392</v>
      </c>
      <c r="F8" s="541">
        <f t="shared" si="0"/>
        <v>7.365764111977971E-2</v>
      </c>
      <c r="G8" s="541">
        <f t="shared" si="1"/>
        <v>5.9518183496400221</v>
      </c>
      <c r="H8" s="713">
        <f t="shared" si="2"/>
        <v>90491118835.923904</v>
      </c>
      <c r="I8" s="805">
        <f t="shared" si="3"/>
        <v>-0.21937300730543985</v>
      </c>
      <c r="J8" s="541">
        <f t="shared" si="4"/>
        <v>2.486813050603914E-2</v>
      </c>
      <c r="K8" s="480">
        <f t="shared" si="6"/>
        <v>20</v>
      </c>
      <c r="L8" s="480">
        <f t="shared" si="7"/>
        <v>5</v>
      </c>
      <c r="M8" s="480">
        <f t="shared" si="8"/>
        <v>4</v>
      </c>
      <c r="N8" s="480">
        <f t="shared" si="9"/>
        <v>29</v>
      </c>
      <c r="O8" s="480">
        <f t="shared" si="10"/>
        <v>30</v>
      </c>
      <c r="P8" s="491">
        <f t="shared" si="11"/>
        <v>18</v>
      </c>
      <c r="Q8" s="491">
        <f t="shared" si="12"/>
        <v>22</v>
      </c>
      <c r="R8" s="491">
        <f t="shared" si="13"/>
        <v>7</v>
      </c>
      <c r="S8" s="491">
        <f t="shared" si="14"/>
        <v>16</v>
      </c>
      <c r="T8" s="491">
        <f t="shared" si="15"/>
        <v>28</v>
      </c>
      <c r="U8" s="491">
        <f t="shared" si="16"/>
        <v>91</v>
      </c>
      <c r="V8" s="491">
        <f t="shared" si="22"/>
        <v>24</v>
      </c>
      <c r="W8" s="491">
        <f t="shared" si="17"/>
        <v>24</v>
      </c>
      <c r="Y8" s="491" t="str">
        <f t="shared" si="23"/>
        <v/>
      </c>
      <c r="Z8" s="493" t="str">
        <f t="shared" ref="Z8:Z43" si="24">IF(OR(N8="N/A",O8="N/A"),"Y","")</f>
        <v/>
      </c>
      <c r="AA8" s="480"/>
      <c r="AB8" s="491"/>
      <c r="AD8" s="1408"/>
      <c r="AE8" s="83">
        <v>7</v>
      </c>
      <c r="AF8" s="580">
        <v>49</v>
      </c>
      <c r="AG8" s="580" t="s">
        <v>393</v>
      </c>
      <c r="AH8" s="580" t="s">
        <v>394</v>
      </c>
      <c r="AI8" s="580" t="s">
        <v>395</v>
      </c>
      <c r="AJ8" s="580">
        <v>11.199676906290501</v>
      </c>
      <c r="AK8" s="580">
        <v>2.0000183971963299</v>
      </c>
      <c r="AL8" s="580">
        <v>2.6456077285898099</v>
      </c>
      <c r="AM8" s="580">
        <v>3.0065952887826501</v>
      </c>
      <c r="AN8" s="580">
        <v>6.0797372947551303</v>
      </c>
      <c r="AO8" s="475"/>
      <c r="AS8" s="715">
        <v>4713660300</v>
      </c>
      <c r="AT8" s="715">
        <v>63994179400</v>
      </c>
      <c r="AU8" s="715">
        <v>47343651630</v>
      </c>
      <c r="AV8" s="715">
        <v>7954485310</v>
      </c>
      <c r="AW8" s="715">
        <v>319866638470</v>
      </c>
      <c r="AX8" s="715">
        <v>90491118835.923904</v>
      </c>
      <c r="AY8" s="712">
        <v>0.61596777550000004</v>
      </c>
      <c r="AZ8" s="712">
        <v>0.78906799439999997</v>
      </c>
    </row>
    <row r="9" spans="1:52" ht="15">
      <c r="A9" s="488"/>
      <c r="B9" s="712" t="s">
        <v>396</v>
      </c>
      <c r="C9" s="712" t="s">
        <v>397</v>
      </c>
      <c r="D9" s="712" t="s">
        <v>376</v>
      </c>
      <c r="E9" s="712" t="s">
        <v>383</v>
      </c>
      <c r="F9" s="541">
        <f t="shared" si="0"/>
        <v>-0.197985372049227</v>
      </c>
      <c r="G9" s="541">
        <f t="shared" si="1"/>
        <v>-1.1148915454102883</v>
      </c>
      <c r="H9" s="713">
        <f t="shared" si="2"/>
        <v>46322121.899057299</v>
      </c>
      <c r="I9" s="805">
        <f t="shared" si="3"/>
        <v>2.0574454385706042</v>
      </c>
      <c r="J9" s="541">
        <f t="shared" si="4"/>
        <v>-0.30287689635964482</v>
      </c>
      <c r="K9" s="480">
        <f t="shared" si="6"/>
        <v>47</v>
      </c>
      <c r="L9" s="480">
        <f t="shared" si="7"/>
        <v>50</v>
      </c>
      <c r="M9" s="480">
        <f t="shared" si="8"/>
        <v>53</v>
      </c>
      <c r="N9" s="480">
        <f t="shared" si="9"/>
        <v>6</v>
      </c>
      <c r="O9" s="480">
        <f t="shared" si="10"/>
        <v>42</v>
      </c>
      <c r="P9" s="491">
        <f t="shared" si="11"/>
        <v>45</v>
      </c>
      <c r="Q9" s="491">
        <f t="shared" si="12"/>
        <v>23</v>
      </c>
      <c r="R9" s="491">
        <f t="shared" si="13"/>
        <v>42</v>
      </c>
      <c r="S9" s="491">
        <f t="shared" si="14"/>
        <v>39</v>
      </c>
      <c r="T9" s="491">
        <f t="shared" si="15"/>
        <v>40</v>
      </c>
      <c r="U9" s="491">
        <f t="shared" si="16"/>
        <v>189</v>
      </c>
      <c r="V9" s="491">
        <f t="shared" si="22"/>
        <v>58</v>
      </c>
      <c r="W9" s="491">
        <f t="shared" si="17"/>
        <v>58</v>
      </c>
      <c r="Y9" s="491" t="str">
        <f t="shared" si="23"/>
        <v/>
      </c>
      <c r="Z9" s="493" t="str">
        <f t="shared" si="24"/>
        <v/>
      </c>
      <c r="AA9" s="480"/>
      <c r="AB9" s="491"/>
      <c r="AD9" s="1408"/>
      <c r="AE9" s="1414" t="s">
        <v>398</v>
      </c>
      <c r="AF9" s="1415"/>
      <c r="AG9" s="1415"/>
      <c r="AH9" s="1415"/>
      <c r="AI9" s="1416"/>
      <c r="AJ9" s="479">
        <f>MEDIAN(AJ3:AJ8)</f>
        <v>13.801495177295301</v>
      </c>
      <c r="AK9" s="479">
        <f>MEDIAN(AK3:AK8)</f>
        <v>2.6055977774749097</v>
      </c>
      <c r="AL9" s="479">
        <f>MEDIAN(AL3:AL8)</f>
        <v>2.644177662797675</v>
      </c>
      <c r="AM9" s="479">
        <f>MEDIAN(AM3:AM8)</f>
        <v>2.966324254806775</v>
      </c>
      <c r="AN9" s="479">
        <f>MEDIAN(AN3:AN8)</f>
        <v>5.6799482336795197</v>
      </c>
      <c r="AO9" s="475"/>
      <c r="AS9" s="715">
        <v>-33176231.34</v>
      </c>
      <c r="AT9" s="715">
        <v>167569103.69999999</v>
      </c>
      <c r="AU9" s="715">
        <v>30252413.579999998</v>
      </c>
      <c r="AV9" s="715">
        <v>-27134848.859999999</v>
      </c>
      <c r="AW9" s="715">
        <v>89590355.640000001</v>
      </c>
      <c r="AX9" s="715">
        <v>46322121.899057299</v>
      </c>
      <c r="AY9" s="712">
        <v>-0.31910129999999998</v>
      </c>
      <c r="AZ9" s="712">
        <v>-0.10436860000000001</v>
      </c>
    </row>
    <row r="10" spans="1:52" ht="18.95">
      <c r="A10" s="488"/>
      <c r="B10" s="712" t="s">
        <v>399</v>
      </c>
      <c r="C10" s="712" t="s">
        <v>400</v>
      </c>
      <c r="D10" s="712" t="s">
        <v>376</v>
      </c>
      <c r="E10" s="712" t="s">
        <v>377</v>
      </c>
      <c r="F10" s="541">
        <f t="shared" si="0"/>
        <v>0.1305369329672883</v>
      </c>
      <c r="G10" s="541">
        <f t="shared" si="1"/>
        <v>8.1939938441061479E-3</v>
      </c>
      <c r="H10" s="713">
        <f t="shared" si="2"/>
        <v>63147962.490999997</v>
      </c>
      <c r="I10" s="805">
        <f t="shared" si="3"/>
        <v>-1</v>
      </c>
      <c r="J10" s="541">
        <f t="shared" si="4"/>
        <v>0.14015635110792424</v>
      </c>
      <c r="K10" s="480">
        <f t="shared" si="6"/>
        <v>12</v>
      </c>
      <c r="L10" s="480">
        <f t="shared" si="7"/>
        <v>30</v>
      </c>
      <c r="M10" s="480">
        <f t="shared" si="8"/>
        <v>49</v>
      </c>
      <c r="N10" s="480">
        <f t="shared" si="9"/>
        <v>47</v>
      </c>
      <c r="O10" s="480">
        <f t="shared" si="10"/>
        <v>21</v>
      </c>
      <c r="P10" s="491">
        <f t="shared" si="11"/>
        <v>10</v>
      </c>
      <c r="Q10" s="491">
        <f t="shared" si="12"/>
        <v>3</v>
      </c>
      <c r="R10" s="491">
        <f t="shared" si="13"/>
        <v>38</v>
      </c>
      <c r="S10" s="491">
        <f t="shared" si="14"/>
        <v>2</v>
      </c>
      <c r="T10" s="491">
        <f t="shared" si="15"/>
        <v>19</v>
      </c>
      <c r="U10" s="491">
        <f t="shared" si="16"/>
        <v>72</v>
      </c>
      <c r="V10" s="491">
        <f t="shared" si="22"/>
        <v>15</v>
      </c>
      <c r="W10" s="491">
        <f t="shared" si="17"/>
        <v>15</v>
      </c>
      <c r="Y10" s="491" t="str">
        <f t="shared" si="23"/>
        <v/>
      </c>
      <c r="Z10" s="493" t="str">
        <f t="shared" si="24"/>
        <v/>
      </c>
      <c r="AA10" s="480"/>
      <c r="AB10" s="491"/>
      <c r="AD10" s="1408"/>
      <c r="AE10" s="1408" t="s">
        <v>401</v>
      </c>
      <c r="AF10" s="1408"/>
      <c r="AG10" s="1408"/>
      <c r="AH10" s="1408"/>
      <c r="AI10" s="1408"/>
      <c r="AJ10" s="1409" t="s">
        <v>402</v>
      </c>
      <c r="AK10" s="1409"/>
      <c r="AL10" s="1409"/>
      <c r="AM10" s="1409"/>
      <c r="AN10" s="1409"/>
      <c r="AO10" s="475"/>
      <c r="AS10" s="715">
        <v>15168000</v>
      </c>
      <c r="AT10" s="715">
        <v>116197000</v>
      </c>
      <c r="AU10" s="715">
        <v>197000</v>
      </c>
      <c r="AV10" s="715">
        <v>24042000</v>
      </c>
      <c r="AW10" s="715">
        <v>171537000</v>
      </c>
      <c r="AX10" s="715">
        <v>63147962.490999997</v>
      </c>
      <c r="AY10" s="712"/>
      <c r="AZ10" s="712">
        <v>5.8000000000000003E-2</v>
      </c>
    </row>
    <row r="11" spans="1:52" ht="15.95">
      <c r="A11" s="488"/>
      <c r="B11" s="712" t="s">
        <v>403</v>
      </c>
      <c r="C11" s="712" t="s">
        <v>404</v>
      </c>
      <c r="D11" s="712" t="s">
        <v>376</v>
      </c>
      <c r="E11" s="712" t="s">
        <v>383</v>
      </c>
      <c r="F11" s="541">
        <f t="shared" si="0"/>
        <v>-0.10479139504563226</v>
      </c>
      <c r="G11" s="541">
        <f t="shared" si="1"/>
        <v>-8.9122807017543906</v>
      </c>
      <c r="H11" s="713">
        <f t="shared" si="2"/>
        <v>125792315.878451</v>
      </c>
      <c r="I11" s="805">
        <f t="shared" si="3"/>
        <v>0.333592905775838</v>
      </c>
      <c r="J11" s="541">
        <f t="shared" si="4"/>
        <v>-0.17868338557993738</v>
      </c>
      <c r="K11" s="480">
        <f t="shared" si="6"/>
        <v>41</v>
      </c>
      <c r="L11" s="480">
        <f t="shared" si="7"/>
        <v>60</v>
      </c>
      <c r="M11" s="480">
        <f t="shared" si="8"/>
        <v>41</v>
      </c>
      <c r="N11" s="480">
        <f t="shared" si="9"/>
        <v>12</v>
      </c>
      <c r="O11" s="480">
        <f t="shared" si="10"/>
        <v>37</v>
      </c>
      <c r="P11" s="491">
        <f t="shared" si="11"/>
        <v>39</v>
      </c>
      <c r="Q11" s="491">
        <f t="shared" si="12"/>
        <v>33</v>
      </c>
      <c r="R11" s="491">
        <f t="shared" si="13"/>
        <v>30</v>
      </c>
      <c r="S11" s="491">
        <f t="shared" si="14"/>
        <v>33</v>
      </c>
      <c r="T11" s="491">
        <f t="shared" si="15"/>
        <v>35</v>
      </c>
      <c r="U11" s="491">
        <f t="shared" si="16"/>
        <v>170</v>
      </c>
      <c r="V11" s="491">
        <f t="shared" si="22"/>
        <v>54</v>
      </c>
      <c r="W11" s="491">
        <f t="shared" si="17"/>
        <v>54</v>
      </c>
      <c r="Y11" s="491" t="str">
        <f t="shared" si="23"/>
        <v/>
      </c>
      <c r="Z11" s="493" t="str">
        <f t="shared" si="24"/>
        <v/>
      </c>
      <c r="AA11" s="480"/>
      <c r="AB11" s="491"/>
      <c r="AD11" s="1408"/>
      <c r="AE11" s="481" t="s">
        <v>373</v>
      </c>
      <c r="AF11" s="482" t="s">
        <v>405</v>
      </c>
      <c r="AG11" s="481" t="s">
        <v>406</v>
      </c>
      <c r="AH11" s="1410" t="s">
        <v>407</v>
      </c>
      <c r="AI11" s="1411"/>
      <c r="AJ11" s="481" t="s">
        <v>363</v>
      </c>
      <c r="AK11" s="481" t="s">
        <v>364</v>
      </c>
      <c r="AL11" s="481" t="s">
        <v>365</v>
      </c>
      <c r="AM11" s="481" t="s">
        <v>366</v>
      </c>
      <c r="AN11" s="481" t="s">
        <v>367</v>
      </c>
      <c r="AO11" s="475"/>
      <c r="AS11" s="715">
        <v>-71287315.213287994</v>
      </c>
      <c r="AT11" s="715">
        <v>680278329.93582499</v>
      </c>
      <c r="AU11" s="715">
        <v>394242135.145338</v>
      </c>
      <c r="AV11" s="715">
        <v>-44235830.124575302</v>
      </c>
      <c r="AW11" s="715">
        <v>247565435.25858799</v>
      </c>
      <c r="AX11" s="715">
        <v>125792315.878451</v>
      </c>
      <c r="AY11" s="712">
        <v>-0.16810808160535101</v>
      </c>
      <c r="AZ11" s="712">
        <v>-0.12605652060480299</v>
      </c>
    </row>
    <row r="12" spans="1:52" ht="15">
      <c r="A12" s="488"/>
      <c r="B12" s="712" t="s">
        <v>408</v>
      </c>
      <c r="C12" s="712" t="s">
        <v>409</v>
      </c>
      <c r="D12" s="712" t="s">
        <v>376</v>
      </c>
      <c r="E12" s="712" t="s">
        <v>410</v>
      </c>
      <c r="F12" s="541">
        <f t="shared" si="0"/>
        <v>9.1798852514343415E-2</v>
      </c>
      <c r="G12" s="541">
        <f t="shared" si="1"/>
        <v>4.1619190404797584</v>
      </c>
      <c r="H12" s="713">
        <f t="shared" si="2"/>
        <v>32538544.4624997</v>
      </c>
      <c r="I12" s="805">
        <f t="shared" si="3"/>
        <v>1.5725808662270189</v>
      </c>
      <c r="J12" s="541">
        <f t="shared" si="4"/>
        <v>0.16197183098591553</v>
      </c>
      <c r="K12" s="480">
        <f t="shared" si="6"/>
        <v>15</v>
      </c>
      <c r="L12" s="480">
        <f t="shared" si="7"/>
        <v>8</v>
      </c>
      <c r="M12" s="480">
        <f t="shared" si="8"/>
        <v>57</v>
      </c>
      <c r="N12" s="480">
        <f t="shared" si="9"/>
        <v>8</v>
      </c>
      <c r="O12" s="480">
        <f t="shared" si="10"/>
        <v>19</v>
      </c>
      <c r="P12" s="491">
        <f t="shared" si="11"/>
        <v>13</v>
      </c>
      <c r="Q12" s="491">
        <f t="shared" si="12"/>
        <v>19</v>
      </c>
      <c r="R12" s="491">
        <f t="shared" si="13"/>
        <v>46</v>
      </c>
      <c r="S12" s="491">
        <f t="shared" si="14"/>
        <v>37</v>
      </c>
      <c r="T12" s="491">
        <f t="shared" si="15"/>
        <v>17</v>
      </c>
      <c r="U12" s="491">
        <f t="shared" si="16"/>
        <v>132</v>
      </c>
      <c r="V12" s="491">
        <f t="shared" si="22"/>
        <v>33</v>
      </c>
      <c r="W12" s="491">
        <f t="shared" si="17"/>
        <v>33</v>
      </c>
      <c r="Y12" s="491" t="str">
        <f t="shared" si="23"/>
        <v/>
      </c>
      <c r="Z12" s="493" t="str">
        <f t="shared" si="24"/>
        <v/>
      </c>
      <c r="AA12" s="480"/>
      <c r="AB12" s="491"/>
      <c r="AD12" s="1408"/>
      <c r="AE12" s="477" t="str">
        <f>C3</f>
        <v>Pilbara Minerals Ltd</v>
      </c>
      <c r="AF12" s="335">
        <v>1000000</v>
      </c>
      <c r="AG12" s="335">
        <f>OP!C22</f>
        <v>3009468000</v>
      </c>
      <c r="AH12" s="1412">
        <f>-'Fin. Data'!B58*SARD!AF12+'Fin. Data'!B39*SARD!AF12</f>
        <v>2538700000</v>
      </c>
      <c r="AI12" s="1413"/>
      <c r="AJ12" s="478">
        <f>AJ9*'Fin. Data'!B23*AF$12/AG$12</f>
        <v>10.965644133259033</v>
      </c>
      <c r="AK12" s="478">
        <f>AK9*'Fin. Data'!B64*AF$12/AG$12</f>
        <v>2.9350624315127938</v>
      </c>
      <c r="AL12" s="498">
        <f>AL9*'Fin. Data'!B5*AF$12/AG$12</f>
        <v>3.5707101792109937</v>
      </c>
      <c r="AM12" s="478">
        <f>(AM9*'Fin. Data'!B5*$AF12+$AH12)/$AG12</f>
        <v>4.8493095030532753</v>
      </c>
      <c r="AN12" s="478">
        <f>(AN9*'Fin. Data'!B19*$AF12+$AH12)/$AG12</f>
        <v>6.6919321261109035</v>
      </c>
      <c r="AO12" s="475"/>
      <c r="AS12" s="715">
        <v>3967547.0348663898</v>
      </c>
      <c r="AT12" s="715">
        <v>43220006.854077697</v>
      </c>
      <c r="AU12" s="715">
        <v>40492318.267607003</v>
      </c>
      <c r="AV12" s="715">
        <v>9729242.1774113402</v>
      </c>
      <c r="AW12" s="715">
        <v>60067495.1822787</v>
      </c>
      <c r="AX12" s="715">
        <v>32538544.4624997</v>
      </c>
      <c r="AY12" s="712">
        <v>2.1951646911329E-2</v>
      </c>
      <c r="AZ12" s="712">
        <v>8.5329278467050004E-3</v>
      </c>
    </row>
    <row r="13" spans="1:52" ht="18.95">
      <c r="A13" s="488"/>
      <c r="B13" s="712" t="s">
        <v>411</v>
      </c>
      <c r="C13" s="712" t="s">
        <v>412</v>
      </c>
      <c r="D13" s="712" t="s">
        <v>376</v>
      </c>
      <c r="E13" s="712" t="s">
        <v>377</v>
      </c>
      <c r="F13" s="541">
        <f t="shared" si="0"/>
        <v>-1.0429010474873563</v>
      </c>
      <c r="G13" s="541">
        <f t="shared" si="1"/>
        <v>-0.76254833850442916</v>
      </c>
      <c r="H13" s="713">
        <f t="shared" si="2"/>
        <v>248966942.15000001</v>
      </c>
      <c r="I13" s="805">
        <f t="shared" si="3"/>
        <v>-0.76524995861612322</v>
      </c>
      <c r="J13" s="541">
        <f t="shared" si="4"/>
        <v>-0.79116305130873288</v>
      </c>
      <c r="K13" s="480">
        <f t="shared" si="6"/>
        <v>59</v>
      </c>
      <c r="L13" s="480">
        <f t="shared" si="7"/>
        <v>47</v>
      </c>
      <c r="M13" s="480">
        <f t="shared" si="8"/>
        <v>33</v>
      </c>
      <c r="N13" s="480">
        <f t="shared" si="9"/>
        <v>43</v>
      </c>
      <c r="O13" s="480">
        <f t="shared" si="10"/>
        <v>47</v>
      </c>
      <c r="P13" s="491">
        <f t="shared" si="11"/>
        <v>57</v>
      </c>
      <c r="Q13" s="491">
        <f t="shared" si="12"/>
        <v>20</v>
      </c>
      <c r="R13" s="491">
        <f t="shared" si="13"/>
        <v>22</v>
      </c>
      <c r="S13" s="491">
        <f t="shared" si="14"/>
        <v>2</v>
      </c>
      <c r="T13" s="491">
        <f t="shared" si="15"/>
        <v>45</v>
      </c>
      <c r="U13" s="491">
        <f t="shared" si="16"/>
        <v>146</v>
      </c>
      <c r="V13" s="491">
        <f t="shared" si="22"/>
        <v>40</v>
      </c>
      <c r="W13" s="491">
        <f t="shared" si="17"/>
        <v>40</v>
      </c>
      <c r="Y13" s="491" t="str">
        <f t="shared" si="23"/>
        <v/>
      </c>
      <c r="Z13" s="493" t="str">
        <f t="shared" si="24"/>
        <v/>
      </c>
      <c r="AA13" s="480"/>
      <c r="AB13" s="491"/>
      <c r="AE13" s="1422" t="s">
        <v>413</v>
      </c>
      <c r="AF13" s="1422"/>
      <c r="AG13" s="1423"/>
      <c r="AH13" s="1423"/>
      <c r="AI13" s="1422"/>
      <c r="AJ13" s="1424">
        <f>AVERAGE(AJ12:AL12)</f>
        <v>5.8238055813276075</v>
      </c>
      <c r="AK13" s="1424"/>
      <c r="AL13" s="1424"/>
      <c r="AM13" s="1424">
        <f>AVERAGE(AM12:AN12)</f>
        <v>5.7706208145820899</v>
      </c>
      <c r="AN13" s="1424"/>
      <c r="AO13" s="475"/>
      <c r="AS13" s="715">
        <v>-440463000</v>
      </c>
      <c r="AT13" s="715">
        <v>422344000</v>
      </c>
      <c r="AU13" s="715">
        <v>271333000</v>
      </c>
      <c r="AV13" s="715">
        <v>-355824000</v>
      </c>
      <c r="AW13" s="715">
        <v>449748000</v>
      </c>
      <c r="AX13" s="715">
        <v>248966942.15000001</v>
      </c>
      <c r="AY13" s="712">
        <v>-0.11345</v>
      </c>
      <c r="AZ13" s="712">
        <v>-0.48327999999999999</v>
      </c>
    </row>
    <row r="14" spans="1:52" ht="18.75" customHeight="1">
      <c r="A14" s="488"/>
      <c r="B14" s="712" t="s">
        <v>414</v>
      </c>
      <c r="C14" s="712" t="s">
        <v>415</v>
      </c>
      <c r="D14" s="712" t="s">
        <v>376</v>
      </c>
      <c r="E14" s="712" t="s">
        <v>383</v>
      </c>
      <c r="F14" s="541">
        <f t="shared" si="0"/>
        <v>-0.55630516946335573</v>
      </c>
      <c r="G14" s="541">
        <f t="shared" si="1"/>
        <v>-0.43411830670030838</v>
      </c>
      <c r="H14" s="713">
        <f t="shared" si="2"/>
        <v>72364913.335494295</v>
      </c>
      <c r="I14" s="805">
        <f t="shared" si="3"/>
        <v>-0.29834754872835989</v>
      </c>
      <c r="J14" s="541">
        <f t="shared" si="4"/>
        <v>-0.41956808130234308</v>
      </c>
      <c r="K14" s="480">
        <f t="shared" si="6"/>
        <v>54</v>
      </c>
      <c r="L14" s="480">
        <f t="shared" si="7"/>
        <v>46</v>
      </c>
      <c r="M14" s="480">
        <f t="shared" si="8"/>
        <v>47</v>
      </c>
      <c r="N14" s="480">
        <f t="shared" si="9"/>
        <v>33</v>
      </c>
      <c r="O14" s="480">
        <f t="shared" si="10"/>
        <v>44</v>
      </c>
      <c r="P14" s="491">
        <f t="shared" si="11"/>
        <v>52</v>
      </c>
      <c r="Q14" s="491">
        <f t="shared" si="12"/>
        <v>19</v>
      </c>
      <c r="R14" s="491">
        <f t="shared" si="13"/>
        <v>36</v>
      </c>
      <c r="S14" s="491">
        <f t="shared" si="14"/>
        <v>12</v>
      </c>
      <c r="T14" s="491">
        <f t="shared" si="15"/>
        <v>42</v>
      </c>
      <c r="U14" s="491">
        <f t="shared" si="16"/>
        <v>161</v>
      </c>
      <c r="V14" s="491">
        <f t="shared" si="22"/>
        <v>49</v>
      </c>
      <c r="W14" s="491">
        <f t="shared" si="17"/>
        <v>49</v>
      </c>
      <c r="Y14" s="491" t="str">
        <f t="shared" si="23"/>
        <v/>
      </c>
      <c r="Z14" s="493" t="str">
        <f t="shared" si="24"/>
        <v/>
      </c>
      <c r="AA14" s="480"/>
      <c r="AB14" s="491"/>
      <c r="AD14" s="494"/>
      <c r="AE14" s="1417" t="s">
        <v>129</v>
      </c>
      <c r="AF14" s="1418"/>
      <c r="AG14" s="1418"/>
      <c r="AH14" s="1418"/>
      <c r="AI14" s="1419"/>
      <c r="AJ14" s="1420">
        <f>AJ13/OP!C21-1</f>
        <v>0.52057586979833093</v>
      </c>
      <c r="AK14" s="1421"/>
      <c r="AL14" s="1421"/>
      <c r="AM14" s="1421">
        <f>AM13/OP!C21-1</f>
        <v>0.50668950772378318</v>
      </c>
      <c r="AN14" s="1421"/>
      <c r="AS14" s="715">
        <v>-66324574.859999999</v>
      </c>
      <c r="AT14" s="715">
        <v>119223366.06</v>
      </c>
      <c r="AU14" s="715">
        <v>22728573.300000001</v>
      </c>
      <c r="AV14" s="715">
        <v>-52355712.600000001</v>
      </c>
      <c r="AW14" s="715">
        <v>124784784.48</v>
      </c>
      <c r="AX14" s="715">
        <v>72364913.335494295</v>
      </c>
      <c r="AY14" s="712">
        <v>-0.23335444960000001</v>
      </c>
      <c r="AZ14" s="712">
        <v>-0.3325784</v>
      </c>
    </row>
    <row r="15" spans="1:52" ht="15">
      <c r="A15" s="488"/>
      <c r="B15" s="712" t="s">
        <v>416</v>
      </c>
      <c r="C15" s="712" t="s">
        <v>417</v>
      </c>
      <c r="D15" s="712" t="s">
        <v>376</v>
      </c>
      <c r="E15" s="712" t="s">
        <v>383</v>
      </c>
      <c r="F15" s="541">
        <f t="shared" si="0"/>
        <v>-1.081995736025682</v>
      </c>
      <c r="G15" s="541">
        <f t="shared" si="1"/>
        <v>-1.2420034615333801</v>
      </c>
      <c r="H15" s="713">
        <f t="shared" si="2"/>
        <v>192046378.34555599</v>
      </c>
      <c r="I15" s="805">
        <f t="shared" si="3"/>
        <v>-1.2972789326353855</v>
      </c>
      <c r="J15" s="541">
        <f t="shared" si="4"/>
        <v>-0.39396936273871924</v>
      </c>
      <c r="K15" s="480">
        <f t="shared" si="6"/>
        <v>60</v>
      </c>
      <c r="L15" s="480">
        <f t="shared" si="7"/>
        <v>53</v>
      </c>
      <c r="M15" s="480">
        <f t="shared" si="8"/>
        <v>36</v>
      </c>
      <c r="N15" s="480">
        <f t="shared" si="9"/>
        <v>58</v>
      </c>
      <c r="O15" s="480">
        <f t="shared" si="10"/>
        <v>43</v>
      </c>
      <c r="P15" s="491">
        <f t="shared" si="11"/>
        <v>58</v>
      </c>
      <c r="Q15" s="491">
        <f t="shared" si="12"/>
        <v>26</v>
      </c>
      <c r="R15" s="491">
        <f t="shared" si="13"/>
        <v>25</v>
      </c>
      <c r="S15" s="491">
        <f t="shared" si="14"/>
        <v>13</v>
      </c>
      <c r="T15" s="491">
        <f t="shared" si="15"/>
        <v>41</v>
      </c>
      <c r="U15" s="491">
        <f t="shared" si="16"/>
        <v>163</v>
      </c>
      <c r="V15" s="491">
        <f t="shared" si="22"/>
        <v>50</v>
      </c>
      <c r="W15" s="491">
        <f t="shared" si="17"/>
        <v>50</v>
      </c>
      <c r="Y15" s="491" t="str">
        <f t="shared" si="23"/>
        <v/>
      </c>
      <c r="Z15" s="493" t="str">
        <f t="shared" si="24"/>
        <v/>
      </c>
      <c r="AA15" s="480"/>
      <c r="AB15" s="491"/>
      <c r="AE15" s="494"/>
      <c r="AF15" s="494"/>
      <c r="AG15" s="494"/>
      <c r="AH15" s="494"/>
      <c r="AI15" s="494"/>
      <c r="AJ15" s="494"/>
      <c r="AK15" s="494"/>
      <c r="AL15" s="494"/>
      <c r="AM15" s="494"/>
      <c r="AN15" s="494"/>
      <c r="AS15" s="715">
        <v>-129613780.68000001</v>
      </c>
      <c r="AT15" s="715">
        <v>119791396.92</v>
      </c>
      <c r="AU15" s="715">
        <v>137980126.68000001</v>
      </c>
      <c r="AV15" s="715">
        <v>-111094800.42</v>
      </c>
      <c r="AW15" s="715">
        <v>281988425.81999999</v>
      </c>
      <c r="AX15" s="715">
        <v>192046378.34555599</v>
      </c>
      <c r="AY15" s="712">
        <v>7.6781500000000003E-2</v>
      </c>
      <c r="AZ15" s="712">
        <v>-0.25828099999999998</v>
      </c>
    </row>
    <row r="16" spans="1:52" ht="15">
      <c r="A16" s="488"/>
      <c r="B16" s="712" t="s">
        <v>418</v>
      </c>
      <c r="C16" s="712" t="s">
        <v>419</v>
      </c>
      <c r="D16" s="712" t="s">
        <v>376</v>
      </c>
      <c r="E16" s="712" t="s">
        <v>383</v>
      </c>
      <c r="F16" s="541">
        <f t="shared" si="0"/>
        <v>-0.40923033529598268</v>
      </c>
      <c r="G16" s="541">
        <f t="shared" si="1"/>
        <v>-4.5051262169380655</v>
      </c>
      <c r="H16" s="713">
        <f t="shared" si="2"/>
        <v>45950629.657484099</v>
      </c>
      <c r="I16" s="805">
        <f t="shared" si="3"/>
        <v>4.7391050589805204</v>
      </c>
      <c r="J16" s="541">
        <f t="shared" si="4"/>
        <v>-0.19603769760843076</v>
      </c>
      <c r="K16" s="480">
        <f t="shared" si="6"/>
        <v>52</v>
      </c>
      <c r="L16" s="480">
        <f t="shared" si="7"/>
        <v>59</v>
      </c>
      <c r="M16" s="480">
        <f t="shared" si="8"/>
        <v>54</v>
      </c>
      <c r="N16" s="480">
        <f t="shared" si="9"/>
        <v>2</v>
      </c>
      <c r="O16" s="480">
        <f t="shared" si="10"/>
        <v>39</v>
      </c>
      <c r="P16" s="491">
        <f t="shared" si="11"/>
        <v>50</v>
      </c>
      <c r="Q16" s="491">
        <f t="shared" si="12"/>
        <v>32</v>
      </c>
      <c r="R16" s="491">
        <f t="shared" si="13"/>
        <v>43</v>
      </c>
      <c r="S16" s="491">
        <f t="shared" si="14"/>
        <v>43</v>
      </c>
      <c r="T16" s="491">
        <f t="shared" si="15"/>
        <v>37</v>
      </c>
      <c r="U16" s="491">
        <f t="shared" si="16"/>
        <v>205</v>
      </c>
      <c r="V16" s="491">
        <f t="shared" si="22"/>
        <v>61</v>
      </c>
      <c r="W16" s="491">
        <f t="shared" si="17"/>
        <v>61</v>
      </c>
      <c r="Y16" s="491" t="str">
        <f t="shared" si="23"/>
        <v/>
      </c>
      <c r="Z16" s="493" t="str">
        <f t="shared" si="24"/>
        <v/>
      </c>
      <c r="AA16" s="480"/>
      <c r="AB16" s="491"/>
      <c r="AE16" s="494"/>
      <c r="AF16" s="494"/>
      <c r="AG16" s="494"/>
      <c r="AH16" s="494"/>
      <c r="AI16" s="494"/>
      <c r="AJ16" s="494"/>
      <c r="AK16" s="494"/>
      <c r="AL16" s="494"/>
      <c r="AM16" s="494"/>
      <c r="AN16" s="494"/>
      <c r="AS16" s="715">
        <v>-12574007.2772898</v>
      </c>
      <c r="AT16" s="715">
        <v>30725990.2132999</v>
      </c>
      <c r="AU16" s="715">
        <v>56647489.836888298</v>
      </c>
      <c r="AV16" s="715">
        <v>-12574007.2772898</v>
      </c>
      <c r="AW16" s="715">
        <v>64140761.856963597</v>
      </c>
      <c r="AX16" s="715">
        <v>45950629.657484099</v>
      </c>
      <c r="AY16" s="712">
        <v>-0.124163569048501</v>
      </c>
      <c r="AZ16" s="712">
        <v>-2.1634656932130999E-2</v>
      </c>
    </row>
    <row r="17" spans="1:52" ht="15">
      <c r="A17" s="488"/>
      <c r="B17" s="712" t="s">
        <v>420</v>
      </c>
      <c r="C17" s="712" t="s">
        <v>421</v>
      </c>
      <c r="D17" s="712" t="s">
        <v>376</v>
      </c>
      <c r="E17" s="712" t="s">
        <v>383</v>
      </c>
      <c r="F17" s="541">
        <f t="shared" si="0"/>
        <v>3.9917331870899603E-2</v>
      </c>
      <c r="G17" s="541">
        <f t="shared" si="1"/>
        <v>1.2211354344563474</v>
      </c>
      <c r="H17" s="713">
        <f t="shared" si="2"/>
        <v>160771427.15383899</v>
      </c>
      <c r="I17" s="805">
        <f t="shared" si="3"/>
        <v>1.7688616071428571</v>
      </c>
      <c r="J17" s="541">
        <f t="shared" si="4"/>
        <v>0.11147198633930221</v>
      </c>
      <c r="K17" s="480">
        <f t="shared" si="6"/>
        <v>26</v>
      </c>
      <c r="L17" s="480">
        <f t="shared" si="7"/>
        <v>18</v>
      </c>
      <c r="M17" s="480">
        <f t="shared" si="8"/>
        <v>37</v>
      </c>
      <c r="N17" s="480">
        <f t="shared" si="9"/>
        <v>7</v>
      </c>
      <c r="O17" s="480">
        <f t="shared" si="10"/>
        <v>25</v>
      </c>
      <c r="P17" s="491">
        <f t="shared" si="11"/>
        <v>24</v>
      </c>
      <c r="Q17" s="491">
        <f t="shared" si="12"/>
        <v>9</v>
      </c>
      <c r="R17" s="491">
        <f t="shared" si="13"/>
        <v>26</v>
      </c>
      <c r="S17" s="491">
        <f t="shared" si="14"/>
        <v>38</v>
      </c>
      <c r="T17" s="491">
        <f t="shared" si="15"/>
        <v>23</v>
      </c>
      <c r="U17" s="491">
        <f t="shared" si="16"/>
        <v>120</v>
      </c>
      <c r="V17" s="491">
        <f t="shared" si="22"/>
        <v>27</v>
      </c>
      <c r="W17" s="491">
        <f t="shared" si="17"/>
        <v>27</v>
      </c>
      <c r="Y17" s="491" t="str">
        <f t="shared" si="23"/>
        <v/>
      </c>
      <c r="Z17" s="493" t="str">
        <f t="shared" si="24"/>
        <v/>
      </c>
      <c r="AA17" s="480"/>
      <c r="AB17" s="491"/>
      <c r="AH17" s="494"/>
      <c r="AI17" s="494"/>
      <c r="AJ17" s="494"/>
      <c r="AK17" s="494"/>
      <c r="AL17" s="494"/>
      <c r="AM17" s="494"/>
      <c r="AN17" s="494"/>
      <c r="AS17" s="715">
        <v>11543328.23</v>
      </c>
      <c r="AT17" s="715">
        <v>289180856.75999999</v>
      </c>
      <c r="AU17" s="715">
        <v>34649074.280000001</v>
      </c>
      <c r="AV17" s="715">
        <v>28374472.890000001</v>
      </c>
      <c r="AW17" s="715">
        <v>254543529.91999999</v>
      </c>
      <c r="AX17" s="715">
        <v>160771427.15383899</v>
      </c>
      <c r="AY17" s="712">
        <v>0.34236420000000001</v>
      </c>
      <c r="AZ17" s="712">
        <v>0.12364799999999999</v>
      </c>
    </row>
    <row r="18" spans="1:52" ht="15">
      <c r="A18" s="488"/>
      <c r="B18" s="712" t="s">
        <v>422</v>
      </c>
      <c r="C18" s="712" t="s">
        <v>423</v>
      </c>
      <c r="D18" s="712" t="s">
        <v>376</v>
      </c>
      <c r="E18" s="712" t="s">
        <v>383</v>
      </c>
      <c r="F18" s="541">
        <f t="shared" si="0"/>
        <v>-0.82344251116287359</v>
      </c>
      <c r="G18" s="541">
        <f t="shared" si="1"/>
        <v>-0.88894473214600411</v>
      </c>
      <c r="H18" s="713">
        <f t="shared" si="2"/>
        <v>62032415.238278098</v>
      </c>
      <c r="I18" s="805">
        <f t="shared" si="3"/>
        <v>0.15617612507685519</v>
      </c>
      <c r="J18" s="541">
        <f t="shared" si="4"/>
        <v>-0.62312541689036394</v>
      </c>
      <c r="K18" s="480">
        <f t="shared" si="6"/>
        <v>57</v>
      </c>
      <c r="L18" s="480">
        <f t="shared" si="7"/>
        <v>49</v>
      </c>
      <c r="M18" s="480">
        <f t="shared" si="8"/>
        <v>50</v>
      </c>
      <c r="N18" s="480">
        <f t="shared" si="9"/>
        <v>13</v>
      </c>
      <c r="O18" s="480">
        <f t="shared" si="10"/>
        <v>46</v>
      </c>
      <c r="P18" s="491">
        <f t="shared" si="11"/>
        <v>55</v>
      </c>
      <c r="Q18" s="491">
        <f t="shared" si="12"/>
        <v>22</v>
      </c>
      <c r="R18" s="491">
        <f t="shared" si="13"/>
        <v>39</v>
      </c>
      <c r="S18" s="491">
        <f t="shared" si="14"/>
        <v>32</v>
      </c>
      <c r="T18" s="491">
        <f t="shared" si="15"/>
        <v>44</v>
      </c>
      <c r="U18" s="491">
        <f t="shared" si="16"/>
        <v>192</v>
      </c>
      <c r="V18" s="491">
        <f t="shared" si="22"/>
        <v>59</v>
      </c>
      <c r="W18" s="491">
        <f t="shared" si="17"/>
        <v>59</v>
      </c>
      <c r="Y18" s="491" t="str">
        <f t="shared" si="23"/>
        <v/>
      </c>
      <c r="Z18" s="493" t="str">
        <f t="shared" si="24"/>
        <v/>
      </c>
      <c r="AA18" s="480"/>
      <c r="AB18" s="491"/>
      <c r="AS18" s="715">
        <v>-39294804.370200001</v>
      </c>
      <c r="AT18" s="715">
        <v>47720155.126199998</v>
      </c>
      <c r="AU18" s="715">
        <v>29985028.097399998</v>
      </c>
      <c r="AV18" s="715">
        <v>-33731037.5022</v>
      </c>
      <c r="AW18" s="715">
        <v>54132019.956</v>
      </c>
      <c r="AX18" s="715">
        <v>62032415.238278098</v>
      </c>
      <c r="AY18" s="712">
        <v>-0.1194384</v>
      </c>
      <c r="AZ18" s="712">
        <v>-0.103304676</v>
      </c>
    </row>
    <row r="19" spans="1:52" ht="15">
      <c r="A19" s="488"/>
      <c r="B19" s="712" t="s">
        <v>424</v>
      </c>
      <c r="C19" s="712" t="s">
        <v>425</v>
      </c>
      <c r="D19" s="712" t="s">
        <v>376</v>
      </c>
      <c r="E19" s="712" t="s">
        <v>377</v>
      </c>
      <c r="F19" s="541">
        <f t="shared" si="0"/>
        <v>-0.16854998789639314</v>
      </c>
      <c r="G19" s="541">
        <f t="shared" si="1"/>
        <v>-0.18348199441978807</v>
      </c>
      <c r="H19" s="713">
        <f t="shared" si="2"/>
        <v>236567436.56</v>
      </c>
      <c r="I19" s="805">
        <f t="shared" si="3"/>
        <v>-1.0032833020637899</v>
      </c>
      <c r="J19" s="541">
        <f t="shared" si="4"/>
        <v>-0.18735813998840742</v>
      </c>
      <c r="K19" s="480">
        <f t="shared" si="6"/>
        <v>46</v>
      </c>
      <c r="L19" s="480">
        <f t="shared" si="7"/>
        <v>42</v>
      </c>
      <c r="M19" s="480">
        <f t="shared" si="8"/>
        <v>34</v>
      </c>
      <c r="N19" s="480">
        <f t="shared" si="9"/>
        <v>56</v>
      </c>
      <c r="O19" s="480">
        <f t="shared" si="10"/>
        <v>38</v>
      </c>
      <c r="P19" s="491">
        <f t="shared" si="11"/>
        <v>44</v>
      </c>
      <c r="Q19" s="491">
        <f t="shared" si="12"/>
        <v>15</v>
      </c>
      <c r="R19" s="491">
        <f t="shared" si="13"/>
        <v>23</v>
      </c>
      <c r="S19" s="491">
        <f t="shared" si="14"/>
        <v>11</v>
      </c>
      <c r="T19" s="491">
        <f t="shared" si="15"/>
        <v>36</v>
      </c>
      <c r="U19" s="491">
        <f t="shared" si="16"/>
        <v>129</v>
      </c>
      <c r="V19" s="491">
        <f t="shared" si="22"/>
        <v>31</v>
      </c>
      <c r="W19" s="491">
        <f t="shared" si="17"/>
        <v>31</v>
      </c>
      <c r="Y19" s="491" t="str">
        <f t="shared" si="23"/>
        <v/>
      </c>
      <c r="Z19" s="493" t="str">
        <f t="shared" si="24"/>
        <v/>
      </c>
      <c r="AA19" s="480"/>
      <c r="AB19" s="491"/>
      <c r="AS19" s="715">
        <v>-52221000</v>
      </c>
      <c r="AT19" s="715">
        <v>309825000</v>
      </c>
      <c r="AU19" s="715">
        <v>12692000</v>
      </c>
      <c r="AV19" s="715">
        <v>-69173000</v>
      </c>
      <c r="AW19" s="715">
        <v>369202000</v>
      </c>
      <c r="AX19" s="715">
        <v>236567436.56</v>
      </c>
      <c r="AY19" s="712">
        <v>6.9999999999999994E-5</v>
      </c>
      <c r="AZ19" s="712">
        <v>-2.1319999999999999E-2</v>
      </c>
    </row>
    <row r="20" spans="1:52" ht="15">
      <c r="A20" s="488"/>
      <c r="B20" s="712" t="s">
        <v>426</v>
      </c>
      <c r="C20" s="712" t="s">
        <v>427</v>
      </c>
      <c r="D20" s="712" t="s">
        <v>376</v>
      </c>
      <c r="E20" s="712" t="s">
        <v>428</v>
      </c>
      <c r="F20" s="541">
        <f t="shared" si="0"/>
        <v>0.36795779113715349</v>
      </c>
      <c r="G20" s="541">
        <f t="shared" si="1"/>
        <v>2.7517449304092874</v>
      </c>
      <c r="H20" s="713">
        <f t="shared" si="2"/>
        <v>18998024964.161201</v>
      </c>
      <c r="I20" s="805">
        <f t="shared" si="3"/>
        <v>-0.48843879252776468</v>
      </c>
      <c r="J20" s="541">
        <f t="shared" si="4"/>
        <v>0.16436989165557872</v>
      </c>
      <c r="K20" s="480">
        <f t="shared" si="6"/>
        <v>4</v>
      </c>
      <c r="L20" s="480">
        <f t="shared" si="7"/>
        <v>10</v>
      </c>
      <c r="M20" s="480">
        <f t="shared" si="8"/>
        <v>9</v>
      </c>
      <c r="N20" s="480">
        <f t="shared" si="9"/>
        <v>37</v>
      </c>
      <c r="O20" s="480">
        <f t="shared" si="10"/>
        <v>18</v>
      </c>
      <c r="P20" s="491">
        <f t="shared" si="11"/>
        <v>2</v>
      </c>
      <c r="Q20" s="491">
        <f t="shared" si="12"/>
        <v>17</v>
      </c>
      <c r="R20" s="491">
        <f t="shared" si="13"/>
        <v>2</v>
      </c>
      <c r="S20" s="491">
        <f t="shared" si="14"/>
        <v>8</v>
      </c>
      <c r="T20" s="491">
        <f t="shared" si="15"/>
        <v>16</v>
      </c>
      <c r="U20" s="491">
        <f t="shared" si="16"/>
        <v>45</v>
      </c>
      <c r="V20" s="491">
        <f t="shared" si="22"/>
        <v>5</v>
      </c>
      <c r="W20" s="491">
        <f t="shared" si="17"/>
        <v>5</v>
      </c>
      <c r="Y20" s="491" t="str">
        <f t="shared" si="23"/>
        <v/>
      </c>
      <c r="Z20" s="493" t="str">
        <f t="shared" si="24"/>
        <v/>
      </c>
      <c r="AA20" s="480"/>
      <c r="AB20" s="491"/>
      <c r="AS20" s="715">
        <v>2641112504.8685498</v>
      </c>
      <c r="AT20" s="715">
        <v>7177759429.1626101</v>
      </c>
      <c r="AU20" s="715">
        <v>12130983315.482</v>
      </c>
      <c r="AV20" s="715">
        <v>4408469397.5170403</v>
      </c>
      <c r="AW20" s="715">
        <v>26820419196.6894</v>
      </c>
      <c r="AX20" s="715">
        <v>18998024964.161201</v>
      </c>
      <c r="AY20" s="712">
        <v>0.27362083433082601</v>
      </c>
      <c r="AZ20" s="712">
        <v>0.53487408805460801</v>
      </c>
    </row>
    <row r="21" spans="1:52" ht="15">
      <c r="A21" s="488"/>
      <c r="B21" s="712" t="s">
        <v>429</v>
      </c>
      <c r="C21" s="712" t="s">
        <v>430</v>
      </c>
      <c r="D21" s="712" t="s">
        <v>376</v>
      </c>
      <c r="E21" s="712" t="s">
        <v>395</v>
      </c>
      <c r="F21" s="541">
        <f t="shared" si="0"/>
        <v>7.9909451908168741E-2</v>
      </c>
      <c r="G21" s="541">
        <f t="shared" si="1"/>
        <v>7.947618897040222</v>
      </c>
      <c r="H21" s="713">
        <f t="shared" si="2"/>
        <v>7791455788.9125299</v>
      </c>
      <c r="I21" s="805">
        <f t="shared" si="3"/>
        <v>-0.30565795930738848</v>
      </c>
      <c r="J21" s="541">
        <f t="shared" si="4"/>
        <v>6.8706029918755948E-2</v>
      </c>
      <c r="K21" s="480">
        <f t="shared" si="6"/>
        <v>19</v>
      </c>
      <c r="L21" s="480">
        <f t="shared" si="7"/>
        <v>4</v>
      </c>
      <c r="M21" s="480">
        <f t="shared" si="8"/>
        <v>14</v>
      </c>
      <c r="N21" s="480">
        <f t="shared" si="9"/>
        <v>34</v>
      </c>
      <c r="O21" s="480">
        <f t="shared" si="10"/>
        <v>26</v>
      </c>
      <c r="P21" s="491">
        <f t="shared" si="11"/>
        <v>17</v>
      </c>
      <c r="Q21" s="491">
        <f t="shared" si="12"/>
        <v>23</v>
      </c>
      <c r="R21" s="491">
        <f t="shared" si="13"/>
        <v>3</v>
      </c>
      <c r="S21" s="491">
        <f t="shared" si="14"/>
        <v>11</v>
      </c>
      <c r="T21" s="491">
        <f t="shared" si="15"/>
        <v>24</v>
      </c>
      <c r="U21" s="491">
        <f t="shared" si="16"/>
        <v>78</v>
      </c>
      <c r="V21" s="491">
        <f t="shared" si="22"/>
        <v>16</v>
      </c>
      <c r="W21" s="491">
        <f t="shared" si="17"/>
        <v>16</v>
      </c>
      <c r="Y21" s="491" t="str">
        <f t="shared" si="23"/>
        <v/>
      </c>
      <c r="Z21" s="493" t="str">
        <f t="shared" si="24"/>
        <v/>
      </c>
      <c r="AA21" s="480"/>
      <c r="AB21" s="491"/>
      <c r="AS21" s="715">
        <v>477872473.5</v>
      </c>
      <c r="AT21" s="715">
        <v>5980174586.2200003</v>
      </c>
      <c r="AU21" s="715">
        <v>4426862642.2799997</v>
      </c>
      <c r="AV21" s="715">
        <v>557004896.63999999</v>
      </c>
      <c r="AW21" s="715">
        <v>8107074405.2399998</v>
      </c>
      <c r="AX21" s="715">
        <v>7791455788.9125299</v>
      </c>
      <c r="AY21" s="712">
        <v>0.23091149999999999</v>
      </c>
      <c r="AZ21" s="712">
        <v>0.33256160000000001</v>
      </c>
    </row>
    <row r="22" spans="1:52" ht="15">
      <c r="A22" s="488"/>
      <c r="B22" s="712" t="s">
        <v>431</v>
      </c>
      <c r="C22" s="712" t="s">
        <v>432</v>
      </c>
      <c r="D22" s="712" t="s">
        <v>376</v>
      </c>
      <c r="E22" s="712" t="s">
        <v>433</v>
      </c>
      <c r="F22" s="541">
        <f t="shared" si="0"/>
        <v>0.51322015324891146</v>
      </c>
      <c r="G22" s="541">
        <f t="shared" si="1"/>
        <v>1.1338420891185523</v>
      </c>
      <c r="H22" s="713">
        <f t="shared" si="2"/>
        <v>264754094.60738701</v>
      </c>
      <c r="I22" s="805">
        <f t="shared" si="3"/>
        <v>1.2673816762869716E-2</v>
      </c>
      <c r="J22" s="541">
        <f t="shared" si="4"/>
        <v>0.58583497134628382</v>
      </c>
      <c r="K22" s="480">
        <f t="shared" si="6"/>
        <v>3</v>
      </c>
      <c r="L22" s="480">
        <f t="shared" si="7"/>
        <v>19</v>
      </c>
      <c r="M22" s="480">
        <f t="shared" si="8"/>
        <v>32</v>
      </c>
      <c r="N22" s="480">
        <f t="shared" si="9"/>
        <v>21</v>
      </c>
      <c r="O22" s="480">
        <f t="shared" si="10"/>
        <v>3</v>
      </c>
      <c r="P22" s="491">
        <f t="shared" si="11"/>
        <v>1</v>
      </c>
      <c r="Q22" s="491">
        <f t="shared" si="12"/>
        <v>8</v>
      </c>
      <c r="R22" s="491">
        <f t="shared" si="13"/>
        <v>21</v>
      </c>
      <c r="S22" s="491">
        <f t="shared" si="14"/>
        <v>24</v>
      </c>
      <c r="T22" s="491">
        <f t="shared" si="15"/>
        <v>1</v>
      </c>
      <c r="U22" s="491">
        <f t="shared" si="16"/>
        <v>55</v>
      </c>
      <c r="V22" s="491">
        <f t="shared" si="22"/>
        <v>8</v>
      </c>
      <c r="W22" s="491">
        <f t="shared" si="17"/>
        <v>8</v>
      </c>
      <c r="Y22" s="491" t="str">
        <f t="shared" si="23"/>
        <v/>
      </c>
      <c r="Z22" s="493" t="str">
        <f t="shared" si="24"/>
        <v/>
      </c>
      <c r="AA22" s="480"/>
      <c r="AB22" s="491"/>
      <c r="AS22" s="715">
        <v>103966090.160317</v>
      </c>
      <c r="AT22" s="715">
        <v>202576008.56506801</v>
      </c>
      <c r="AU22" s="715">
        <v>172621389.702483</v>
      </c>
      <c r="AV22" s="715">
        <v>152244647.96211499</v>
      </c>
      <c r="AW22" s="715">
        <v>259876339.59824499</v>
      </c>
      <c r="AX22" s="715">
        <v>264754094.60738701</v>
      </c>
      <c r="AY22" s="712">
        <v>21.8845750883427</v>
      </c>
      <c r="AZ22" s="712">
        <v>21.610685223697502</v>
      </c>
    </row>
    <row r="23" spans="1:52" ht="15">
      <c r="A23" s="488"/>
      <c r="B23" s="712" t="s">
        <v>434</v>
      </c>
      <c r="C23" s="712" t="s">
        <v>435</v>
      </c>
      <c r="D23" s="712" t="s">
        <v>376</v>
      </c>
      <c r="E23" s="712" t="s">
        <v>377</v>
      </c>
      <c r="F23" s="541">
        <f t="shared" si="0"/>
        <v>-3.7688767904595244E-2</v>
      </c>
      <c r="G23" s="541">
        <f t="shared" si="1"/>
        <v>-0.39186384391863843</v>
      </c>
      <c r="H23" s="713">
        <f t="shared" si="2"/>
        <v>143365895.91999999</v>
      </c>
      <c r="I23" s="805">
        <f t="shared" si="3"/>
        <v>-1.7399001361779391</v>
      </c>
      <c r="J23" s="541">
        <f t="shared" si="4"/>
        <v>-5.7523779201655592E-2</v>
      </c>
      <c r="K23" s="480">
        <f t="shared" si="6"/>
        <v>33</v>
      </c>
      <c r="L23" s="480">
        <f t="shared" si="7"/>
        <v>44</v>
      </c>
      <c r="M23" s="480">
        <f t="shared" si="8"/>
        <v>39</v>
      </c>
      <c r="N23" s="480">
        <f t="shared" si="9"/>
        <v>60</v>
      </c>
      <c r="O23" s="480">
        <f t="shared" si="10"/>
        <v>32</v>
      </c>
      <c r="P23" s="491">
        <f t="shared" si="11"/>
        <v>31</v>
      </c>
      <c r="Q23" s="491">
        <f t="shared" si="12"/>
        <v>17</v>
      </c>
      <c r="R23" s="491">
        <f t="shared" si="13"/>
        <v>28</v>
      </c>
      <c r="S23" s="491">
        <f t="shared" si="14"/>
        <v>15</v>
      </c>
      <c r="T23" s="491">
        <f t="shared" si="15"/>
        <v>30</v>
      </c>
      <c r="U23" s="491">
        <f t="shared" si="16"/>
        <v>121</v>
      </c>
      <c r="V23" s="491">
        <f t="shared" si="22"/>
        <v>28</v>
      </c>
      <c r="W23" s="491">
        <f t="shared" si="17"/>
        <v>28</v>
      </c>
      <c r="Y23" s="491" t="str">
        <f t="shared" si="23"/>
        <v/>
      </c>
      <c r="Z23" s="493" t="str">
        <f t="shared" si="24"/>
        <v/>
      </c>
      <c r="AA23" s="480"/>
      <c r="AB23" s="491"/>
      <c r="AS23" s="715">
        <v>-5815000</v>
      </c>
      <c r="AT23" s="715">
        <v>154290000</v>
      </c>
      <c r="AU23" s="715">
        <v>2832000</v>
      </c>
      <c r="AV23" s="715">
        <v>-7227000</v>
      </c>
      <c r="AW23" s="715">
        <v>125635000</v>
      </c>
      <c r="AX23" s="715">
        <v>143365895.91999999</v>
      </c>
      <c r="AY23" s="712">
        <v>1.6299999999999999E-2</v>
      </c>
      <c r="AZ23" s="712">
        <v>-2.2030000000000001E-2</v>
      </c>
    </row>
    <row r="24" spans="1:52" ht="15">
      <c r="A24" s="488"/>
      <c r="B24" s="712" t="s">
        <v>436</v>
      </c>
      <c r="C24" s="712" t="s">
        <v>437</v>
      </c>
      <c r="D24" s="712" t="s">
        <v>376</v>
      </c>
      <c r="E24" s="712" t="s">
        <v>438</v>
      </c>
      <c r="F24" s="541">
        <f t="shared" si="0"/>
        <v>5.3637706030251031E-2</v>
      </c>
      <c r="G24" s="541">
        <f t="shared" si="1"/>
        <v>4.4823747680890538</v>
      </c>
      <c r="H24" s="713">
        <f t="shared" si="2"/>
        <v>45674650913.297897</v>
      </c>
      <c r="I24" s="805">
        <f t="shared" si="3"/>
        <v>-7.2794501575871529E-2</v>
      </c>
      <c r="J24" s="541">
        <f t="shared" si="4"/>
        <v>0.12309147853321153</v>
      </c>
      <c r="K24" s="480">
        <f t="shared" si="6"/>
        <v>24</v>
      </c>
      <c r="L24" s="480">
        <f t="shared" si="7"/>
        <v>7</v>
      </c>
      <c r="M24" s="480">
        <f t="shared" si="8"/>
        <v>6</v>
      </c>
      <c r="N24" s="480">
        <f t="shared" si="9"/>
        <v>25</v>
      </c>
      <c r="O24" s="480">
        <f t="shared" si="10"/>
        <v>23</v>
      </c>
      <c r="P24" s="491">
        <f t="shared" si="11"/>
        <v>22</v>
      </c>
      <c r="Q24" s="491">
        <f t="shared" si="12"/>
        <v>20</v>
      </c>
      <c r="R24" s="491">
        <f t="shared" si="13"/>
        <v>5</v>
      </c>
      <c r="S24" s="491">
        <f t="shared" si="14"/>
        <v>20</v>
      </c>
      <c r="T24" s="491">
        <f t="shared" si="15"/>
        <v>21</v>
      </c>
      <c r="U24" s="491">
        <f t="shared" si="16"/>
        <v>88</v>
      </c>
      <c r="V24" s="491">
        <f t="shared" si="22"/>
        <v>21</v>
      </c>
      <c r="W24" s="491">
        <f t="shared" si="17"/>
        <v>21</v>
      </c>
      <c r="Y24" s="491" t="str">
        <f t="shared" si="23"/>
        <v/>
      </c>
      <c r="Z24" s="493" t="str">
        <f t="shared" si="24"/>
        <v/>
      </c>
      <c r="AA24" s="480"/>
      <c r="AB24" s="491"/>
      <c r="AS24" s="715">
        <v>1973569920</v>
      </c>
      <c r="AT24" s="715">
        <v>36794450510</v>
      </c>
      <c r="AU24" s="715">
        <v>24834088160</v>
      </c>
      <c r="AV24" s="715">
        <v>5540386390</v>
      </c>
      <c r="AW24" s="715">
        <v>45010316360</v>
      </c>
      <c r="AX24" s="715">
        <v>45674650913.297897</v>
      </c>
      <c r="AY24" s="712">
        <v>3.2940195889999999</v>
      </c>
      <c r="AZ24" s="712">
        <v>3.5526316383999998</v>
      </c>
    </row>
    <row r="25" spans="1:52" ht="15">
      <c r="A25" s="488"/>
      <c r="B25" s="712" t="s">
        <v>439</v>
      </c>
      <c r="C25" s="712" t="s">
        <v>440</v>
      </c>
      <c r="D25" s="712" t="s">
        <v>376</v>
      </c>
      <c r="E25" s="712" t="s">
        <v>438</v>
      </c>
      <c r="F25" s="541">
        <f t="shared" si="0"/>
        <v>-4.131340935902478</v>
      </c>
      <c r="G25" s="541">
        <f t="shared" si="1"/>
        <v>-1.1269665683382497</v>
      </c>
      <c r="H25" s="713">
        <f t="shared" si="2"/>
        <v>5852771.9110063901</v>
      </c>
      <c r="I25" s="805">
        <f t="shared" si="3"/>
        <v>-1</v>
      </c>
      <c r="J25" s="541">
        <f t="shared" si="4"/>
        <v>-2.1870967741935483</v>
      </c>
      <c r="K25" s="480">
        <f t="shared" si="6"/>
        <v>62</v>
      </c>
      <c r="L25" s="480">
        <f t="shared" si="7"/>
        <v>52</v>
      </c>
      <c r="M25" s="480">
        <f t="shared" si="8"/>
        <v>62</v>
      </c>
      <c r="N25" s="480">
        <f t="shared" si="9"/>
        <v>47</v>
      </c>
      <c r="O25" s="480">
        <f t="shared" si="10"/>
        <v>50</v>
      </c>
      <c r="P25" s="491">
        <f t="shared" si="11"/>
        <v>60</v>
      </c>
      <c r="Q25" s="491">
        <f t="shared" si="12"/>
        <v>25</v>
      </c>
      <c r="R25" s="491">
        <f t="shared" si="13"/>
        <v>51</v>
      </c>
      <c r="S25" s="491">
        <f t="shared" si="14"/>
        <v>2</v>
      </c>
      <c r="T25" s="491">
        <f t="shared" si="15"/>
        <v>48</v>
      </c>
      <c r="U25" s="491">
        <f t="shared" si="16"/>
        <v>186</v>
      </c>
      <c r="V25" s="491">
        <f t="shared" si="22"/>
        <v>57</v>
      </c>
      <c r="W25" s="491">
        <f t="shared" si="17"/>
        <v>57</v>
      </c>
      <c r="Y25" s="491" t="str">
        <f t="shared" si="23"/>
        <v/>
      </c>
      <c r="Z25" s="493" t="str">
        <f t="shared" si="24"/>
        <v/>
      </c>
      <c r="AA25" s="480"/>
      <c r="AB25" s="491"/>
      <c r="AS25" s="715">
        <v>-15901356.300000001</v>
      </c>
      <c r="AT25" s="715">
        <v>3848957.65</v>
      </c>
      <c r="AU25" s="715">
        <v>13877739.949999999</v>
      </c>
      <c r="AV25" s="715">
        <v>-12314242.800000001</v>
      </c>
      <c r="AW25" s="715">
        <v>5630406</v>
      </c>
      <c r="AX25" s="715">
        <v>5852771.9110063901</v>
      </c>
      <c r="AY25" s="712"/>
      <c r="AZ25" s="712">
        <v>-0.125907516451924</v>
      </c>
    </row>
    <row r="26" spans="1:52" ht="15">
      <c r="A26" s="488"/>
      <c r="B26" s="712" t="s">
        <v>441</v>
      </c>
      <c r="C26" s="712" t="s">
        <v>442</v>
      </c>
      <c r="D26" s="712" t="s">
        <v>376</v>
      </c>
      <c r="E26" s="712" t="s">
        <v>383</v>
      </c>
      <c r="F26" s="541">
        <f t="shared" si="0"/>
        <v>-0.10918284386658911</v>
      </c>
      <c r="G26" s="541">
        <f t="shared" si="1"/>
        <v>-2.118157319994364</v>
      </c>
      <c r="H26" s="713">
        <f t="shared" si="2"/>
        <v>1365968676.81868</v>
      </c>
      <c r="I26" s="805">
        <f t="shared" si="3"/>
        <v>0.69984486147918434</v>
      </c>
      <c r="J26" s="541">
        <f t="shared" si="4"/>
        <v>-0.16662289010419801</v>
      </c>
      <c r="K26" s="480">
        <f t="shared" si="6"/>
        <v>43</v>
      </c>
      <c r="L26" s="480">
        <f t="shared" si="7"/>
        <v>54</v>
      </c>
      <c r="M26" s="480">
        <f t="shared" si="8"/>
        <v>21</v>
      </c>
      <c r="N26" s="480">
        <f t="shared" si="9"/>
        <v>10</v>
      </c>
      <c r="O26" s="480">
        <f t="shared" si="10"/>
        <v>34</v>
      </c>
      <c r="P26" s="491">
        <f t="shared" si="11"/>
        <v>41</v>
      </c>
      <c r="Q26" s="491">
        <f t="shared" si="12"/>
        <v>27</v>
      </c>
      <c r="R26" s="491">
        <f t="shared" si="13"/>
        <v>10</v>
      </c>
      <c r="S26" s="491">
        <f t="shared" si="14"/>
        <v>35</v>
      </c>
      <c r="T26" s="491">
        <f t="shared" si="15"/>
        <v>32</v>
      </c>
      <c r="U26" s="491">
        <f t="shared" si="16"/>
        <v>145</v>
      </c>
      <c r="V26" s="491">
        <f t="shared" si="22"/>
        <v>39</v>
      </c>
      <c r="W26" s="491">
        <f t="shared" si="17"/>
        <v>39</v>
      </c>
      <c r="Y26" s="491" t="str">
        <f t="shared" si="23"/>
        <v/>
      </c>
      <c r="Z26" s="493" t="str">
        <f t="shared" si="24"/>
        <v/>
      </c>
      <c r="AA26" s="480"/>
      <c r="AB26" s="491"/>
      <c r="AS26" s="715">
        <v>-199480108.68000001</v>
      </c>
      <c r="AT26" s="715">
        <v>1827027961.6800001</v>
      </c>
      <c r="AU26" s="715">
        <v>353031913.38</v>
      </c>
      <c r="AV26" s="715">
        <v>-166669354.56</v>
      </c>
      <c r="AW26" s="715">
        <v>1000278859.98</v>
      </c>
      <c r="AX26" s="715">
        <v>1365968676.81868</v>
      </c>
      <c r="AY26" s="712">
        <v>0.39154383349999999</v>
      </c>
      <c r="AZ26" s="712">
        <v>0.23034092249999999</v>
      </c>
    </row>
    <row r="27" spans="1:52" ht="15">
      <c r="A27" s="488"/>
      <c r="B27" s="712" t="s">
        <v>443</v>
      </c>
      <c r="C27" s="712" t="s">
        <v>444</v>
      </c>
      <c r="D27" s="712" t="s">
        <v>376</v>
      </c>
      <c r="E27" s="712" t="s">
        <v>377</v>
      </c>
      <c r="F27" s="541">
        <f t="shared" si="0"/>
        <v>-1.8451365187713311E-2</v>
      </c>
      <c r="G27" s="541">
        <f t="shared" si="1"/>
        <v>8.7929292929292924</v>
      </c>
      <c r="H27" s="713">
        <f t="shared" si="2"/>
        <v>13361312775.6</v>
      </c>
      <c r="I27" s="805">
        <f t="shared" si="3"/>
        <v>-0.53175067652765862</v>
      </c>
      <c r="J27" s="541">
        <f t="shared" si="4"/>
        <v>2.665230852066227E-2</v>
      </c>
      <c r="K27" s="480">
        <f t="shared" si="6"/>
        <v>31</v>
      </c>
      <c r="L27" s="480">
        <f t="shared" si="7"/>
        <v>3</v>
      </c>
      <c r="M27" s="480">
        <f t="shared" si="8"/>
        <v>10</v>
      </c>
      <c r="N27" s="480">
        <f t="shared" si="9"/>
        <v>38</v>
      </c>
      <c r="O27" s="480">
        <f t="shared" si="10"/>
        <v>29</v>
      </c>
      <c r="P27" s="491">
        <f t="shared" si="11"/>
        <v>29</v>
      </c>
      <c r="Q27" s="491">
        <f t="shared" si="12"/>
        <v>24</v>
      </c>
      <c r="R27" s="491">
        <f t="shared" si="13"/>
        <v>1</v>
      </c>
      <c r="S27" s="491">
        <f t="shared" si="14"/>
        <v>7</v>
      </c>
      <c r="T27" s="491">
        <f t="shared" si="15"/>
        <v>27</v>
      </c>
      <c r="U27" s="491">
        <f t="shared" si="16"/>
        <v>88</v>
      </c>
      <c r="V27" s="491">
        <f t="shared" si="22"/>
        <v>21</v>
      </c>
      <c r="W27" s="491">
        <f t="shared" si="17"/>
        <v>21</v>
      </c>
      <c r="Y27" s="491" t="str">
        <f t="shared" si="23"/>
        <v/>
      </c>
      <c r="Z27" s="493" t="str">
        <f t="shared" si="24"/>
        <v/>
      </c>
      <c r="AA27" s="480"/>
      <c r="AB27" s="491"/>
      <c r="AS27" s="715">
        <v>-259525950</v>
      </c>
      <c r="AT27" s="715">
        <v>14065406400</v>
      </c>
      <c r="AU27" s="715">
        <v>2611761150</v>
      </c>
      <c r="AV27" s="715">
        <v>297029700</v>
      </c>
      <c r="AW27" s="715">
        <v>11144614350</v>
      </c>
      <c r="AX27" s="715">
        <v>13361312775.6</v>
      </c>
      <c r="AY27" s="712">
        <v>0.13638219700000001</v>
      </c>
      <c r="AZ27" s="712">
        <v>0.2912597844</v>
      </c>
    </row>
    <row r="28" spans="1:52" ht="15">
      <c r="A28" s="488"/>
      <c r="B28" s="712" t="s">
        <v>445</v>
      </c>
      <c r="C28" s="712" t="s">
        <v>446</v>
      </c>
      <c r="D28" s="712" t="s">
        <v>376</v>
      </c>
      <c r="E28" s="712" t="s">
        <v>383</v>
      </c>
      <c r="F28" s="541">
        <f t="shared" si="0"/>
        <v>3.1585068505728363E-2</v>
      </c>
      <c r="G28" s="541">
        <f t="shared" si="1"/>
        <v>0.84267952296371473</v>
      </c>
      <c r="H28" s="713">
        <f t="shared" si="2"/>
        <v>93867702.715982601</v>
      </c>
      <c r="I28" s="805">
        <f t="shared" si="3"/>
        <v>-0.61143312282929396</v>
      </c>
      <c r="J28" s="541">
        <f t="shared" si="4"/>
        <v>0.17837825604815899</v>
      </c>
      <c r="K28" s="480">
        <f t="shared" si="6"/>
        <v>27</v>
      </c>
      <c r="L28" s="480">
        <f t="shared" si="7"/>
        <v>23</v>
      </c>
      <c r="M28" s="480">
        <f t="shared" si="8"/>
        <v>44</v>
      </c>
      <c r="N28" s="480">
        <f t="shared" si="9"/>
        <v>40</v>
      </c>
      <c r="O28" s="480">
        <f t="shared" si="10"/>
        <v>16</v>
      </c>
      <c r="P28" s="491">
        <f t="shared" si="11"/>
        <v>25</v>
      </c>
      <c r="Q28" s="491">
        <f t="shared" si="12"/>
        <v>4</v>
      </c>
      <c r="R28" s="491">
        <f t="shared" si="13"/>
        <v>33</v>
      </c>
      <c r="S28" s="491">
        <f t="shared" si="14"/>
        <v>5</v>
      </c>
      <c r="T28" s="491">
        <f t="shared" si="15"/>
        <v>14</v>
      </c>
      <c r="U28" s="491">
        <f t="shared" si="16"/>
        <v>81</v>
      </c>
      <c r="V28" s="491">
        <f t="shared" si="22"/>
        <v>19</v>
      </c>
      <c r="W28" s="491">
        <f t="shared" si="17"/>
        <v>19</v>
      </c>
      <c r="Y28" s="491" t="str">
        <f t="shared" si="23"/>
        <v/>
      </c>
      <c r="Z28" s="493" t="str">
        <f t="shared" si="24"/>
        <v/>
      </c>
      <c r="AA28" s="480"/>
      <c r="AB28" s="491"/>
      <c r="AS28" s="715">
        <v>4544246.88</v>
      </c>
      <c r="AT28" s="715">
        <v>143873263.38</v>
      </c>
      <c r="AU28" s="715">
        <v>9748994.7599999998</v>
      </c>
      <c r="AV28" s="715">
        <v>11569041.960000001</v>
      </c>
      <c r="AW28" s="715">
        <v>64856794.859999999</v>
      </c>
      <c r="AX28" s="715">
        <v>93867702.715982601</v>
      </c>
      <c r="AY28" s="712">
        <v>1.66488144E-2</v>
      </c>
      <c r="AZ28" s="712">
        <v>4.2846715399999999E-2</v>
      </c>
    </row>
    <row r="29" spans="1:52" ht="15">
      <c r="A29" s="488"/>
      <c r="B29" s="712" t="s">
        <v>447</v>
      </c>
      <c r="C29" s="712" t="s">
        <v>448</v>
      </c>
      <c r="D29" s="712" t="s">
        <v>376</v>
      </c>
      <c r="E29" s="712" t="s">
        <v>395</v>
      </c>
      <c r="F29" s="541">
        <f t="shared" si="0"/>
        <v>8.3644465643314722E-2</v>
      </c>
      <c r="G29" s="541">
        <f t="shared" si="1"/>
        <v>4.5087431636182842</v>
      </c>
      <c r="H29" s="713">
        <f t="shared" si="2"/>
        <v>6625128769.8410797</v>
      </c>
      <c r="I29" s="805">
        <f t="shared" si="3"/>
        <v>6.5260736947288622E-2</v>
      </c>
      <c r="J29" s="541">
        <f t="shared" si="4"/>
        <v>0.11656151484387524</v>
      </c>
      <c r="K29" s="480">
        <f t="shared" si="6"/>
        <v>17</v>
      </c>
      <c r="L29" s="480">
        <f t="shared" si="7"/>
        <v>6</v>
      </c>
      <c r="M29" s="480">
        <f t="shared" si="8"/>
        <v>15</v>
      </c>
      <c r="N29" s="480">
        <f t="shared" si="9"/>
        <v>17</v>
      </c>
      <c r="O29" s="480">
        <f t="shared" si="10"/>
        <v>24</v>
      </c>
      <c r="P29" s="491">
        <f t="shared" si="11"/>
        <v>15</v>
      </c>
      <c r="Q29" s="491">
        <f t="shared" si="12"/>
        <v>21</v>
      </c>
      <c r="R29" s="491">
        <f t="shared" si="13"/>
        <v>4</v>
      </c>
      <c r="S29" s="491">
        <f t="shared" si="14"/>
        <v>28</v>
      </c>
      <c r="T29" s="491">
        <f t="shared" si="15"/>
        <v>22</v>
      </c>
      <c r="U29" s="491">
        <f t="shared" si="16"/>
        <v>90</v>
      </c>
      <c r="V29" s="491">
        <f t="shared" si="22"/>
        <v>23</v>
      </c>
      <c r="W29" s="491">
        <f t="shared" si="17"/>
        <v>23</v>
      </c>
      <c r="Y29" s="491" t="str">
        <f t="shared" si="23"/>
        <v/>
      </c>
      <c r="Z29" s="493" t="str">
        <f t="shared" si="24"/>
        <v/>
      </c>
      <c r="AA29" s="480"/>
      <c r="AB29" s="491"/>
      <c r="AS29" s="715">
        <v>452503363.98000002</v>
      </c>
      <c r="AT29" s="715">
        <v>5409842247.1800003</v>
      </c>
      <c r="AU29" s="715">
        <v>1876773961.4400001</v>
      </c>
      <c r="AV29" s="715">
        <v>416252133.54000002</v>
      </c>
      <c r="AW29" s="715">
        <v>3571094062.1999998</v>
      </c>
      <c r="AX29" s="715">
        <v>6625128769.8410797</v>
      </c>
      <c r="AY29" s="712">
        <v>0.20869781370000001</v>
      </c>
      <c r="AZ29" s="712">
        <v>0.19591242449999999</v>
      </c>
    </row>
    <row r="30" spans="1:52" ht="15">
      <c r="A30" s="488"/>
      <c r="B30" s="712" t="s">
        <v>449</v>
      </c>
      <c r="C30" s="712" t="s">
        <v>450</v>
      </c>
      <c r="D30" s="712" t="s">
        <v>376</v>
      </c>
      <c r="E30" s="712" t="s">
        <v>438</v>
      </c>
      <c r="F30" s="541">
        <f t="shared" si="0"/>
        <v>3.1385329884097528E-2</v>
      </c>
      <c r="G30" s="541">
        <f t="shared" si="1"/>
        <v>5.4528E-2</v>
      </c>
      <c r="H30" s="713">
        <f t="shared" si="2"/>
        <v>352633735.07867801</v>
      </c>
      <c r="I30" s="805">
        <f t="shared" si="3"/>
        <v>-0.2348853370396109</v>
      </c>
      <c r="J30" s="541">
        <f t="shared" si="4"/>
        <v>0.16552432810364737</v>
      </c>
      <c r="K30" s="480">
        <f t="shared" si="6"/>
        <v>28</v>
      </c>
      <c r="L30" s="480">
        <f t="shared" si="7"/>
        <v>29</v>
      </c>
      <c r="M30" s="480">
        <f t="shared" si="8"/>
        <v>31</v>
      </c>
      <c r="N30" s="480">
        <f t="shared" si="9"/>
        <v>30</v>
      </c>
      <c r="O30" s="480">
        <f t="shared" si="10"/>
        <v>17</v>
      </c>
      <c r="P30" s="491">
        <f t="shared" ref="P30:P42" si="25">IFERROR(ABS(K$3-K30),"N/A")</f>
        <v>26</v>
      </c>
      <c r="Q30" s="491">
        <f t="shared" ref="Q30:Q42" si="26">IFERROR(ABS(L$3-L30),"N/A")</f>
        <v>2</v>
      </c>
      <c r="R30" s="491">
        <f t="shared" ref="R30:R42" si="27">IFERROR(ABS(M$3-M30),"N/A")</f>
        <v>20</v>
      </c>
      <c r="S30" s="491">
        <f t="shared" ref="S30:S42" si="28">IFERROR(ABS(N$3-N30),"N/A")</f>
        <v>15</v>
      </c>
      <c r="T30" s="491">
        <f t="shared" ref="T30:T42" si="29">IFERROR(ABS(O$3-O30),"N/A")</f>
        <v>15</v>
      </c>
      <c r="U30" s="491">
        <f t="shared" ref="U30:U42" si="30">SUM(P30:T30)</f>
        <v>78</v>
      </c>
      <c r="V30" s="491">
        <f t="shared" si="22"/>
        <v>16</v>
      </c>
      <c r="W30" s="491">
        <f t="shared" si="17"/>
        <v>16</v>
      </c>
      <c r="Y30" s="491" t="str">
        <f t="shared" si="23"/>
        <v/>
      </c>
      <c r="Z30" s="493" t="str">
        <f t="shared" si="24"/>
        <v/>
      </c>
      <c r="AA30" s="480"/>
      <c r="AB30" s="491"/>
      <c r="AS30" s="715">
        <v>11307777.119999999</v>
      </c>
      <c r="AT30" s="715">
        <v>360288617.69999999</v>
      </c>
      <c r="AU30" s="715">
        <v>1250548.56</v>
      </c>
      <c r="AV30" s="715">
        <v>22934062.5</v>
      </c>
      <c r="AW30" s="715">
        <v>138554028.66</v>
      </c>
      <c r="AX30" s="715">
        <v>352633735.07867801</v>
      </c>
      <c r="AY30" s="712">
        <v>0.13740479999999999</v>
      </c>
      <c r="AZ30" s="712">
        <v>0.1795872</v>
      </c>
    </row>
    <row r="31" spans="1:52" ht="15">
      <c r="A31" s="488"/>
      <c r="B31" s="712" t="s">
        <v>451</v>
      </c>
      <c r="C31" s="712" t="s">
        <v>452</v>
      </c>
      <c r="D31" s="712" t="s">
        <v>376</v>
      </c>
      <c r="E31" s="712" t="s">
        <v>383</v>
      </c>
      <c r="F31" s="541">
        <f t="shared" si="0"/>
        <v>6.3541394351540118E-2</v>
      </c>
      <c r="G31" s="541">
        <f t="shared" si="1"/>
        <v>2.3415255292358168</v>
      </c>
      <c r="H31" s="713">
        <f t="shared" si="2"/>
        <v>9460102300.7017002</v>
      </c>
      <c r="I31" s="805">
        <f>(AY31/AZ31)-1</f>
        <v>1.1027128142699016E-2</v>
      </c>
      <c r="J31" s="541">
        <f t="shared" si="4"/>
        <v>0.18706739263289132</v>
      </c>
      <c r="K31" s="480">
        <f t="shared" si="6"/>
        <v>22</v>
      </c>
      <c r="L31" s="480">
        <f t="shared" si="7"/>
        <v>14</v>
      </c>
      <c r="M31" s="480">
        <f t="shared" si="8"/>
        <v>12</v>
      </c>
      <c r="N31" s="480">
        <f t="shared" si="9"/>
        <v>22</v>
      </c>
      <c r="O31" s="480">
        <f t="shared" si="10"/>
        <v>14</v>
      </c>
      <c r="P31" s="491">
        <f t="shared" si="25"/>
        <v>20</v>
      </c>
      <c r="Q31" s="491">
        <f t="shared" si="26"/>
        <v>13</v>
      </c>
      <c r="R31" s="491">
        <f t="shared" si="27"/>
        <v>1</v>
      </c>
      <c r="S31" s="491">
        <f t="shared" si="28"/>
        <v>23</v>
      </c>
      <c r="T31" s="491">
        <f t="shared" si="29"/>
        <v>12</v>
      </c>
      <c r="U31" s="491">
        <f t="shared" si="30"/>
        <v>69</v>
      </c>
      <c r="V31" s="491">
        <f t="shared" si="22"/>
        <v>14</v>
      </c>
      <c r="W31" s="491">
        <f t="shared" si="17"/>
        <v>14</v>
      </c>
      <c r="Y31" s="491" t="str">
        <f t="shared" si="23"/>
        <v/>
      </c>
      <c r="Z31" s="493" t="str">
        <f t="shared" si="24"/>
        <v/>
      </c>
      <c r="AA31" s="480"/>
      <c r="AB31" s="491"/>
      <c r="AS31" s="715">
        <v>462921089.06999999</v>
      </c>
      <c r="AT31" s="715">
        <v>7285346722.3100004</v>
      </c>
      <c r="AU31" s="715">
        <v>2181805041.4400001</v>
      </c>
      <c r="AV31" s="715">
        <v>931787851.21000004</v>
      </c>
      <c r="AW31" s="715">
        <v>4981027629.1099997</v>
      </c>
      <c r="AX31" s="715">
        <v>9460102300.7017002</v>
      </c>
      <c r="AY31" s="712">
        <v>0.69291874959999999</v>
      </c>
      <c r="AZ31" s="712">
        <v>0.68536118400000001</v>
      </c>
    </row>
    <row r="32" spans="1:52" ht="15">
      <c r="A32" s="488"/>
      <c r="B32" s="712" t="s">
        <v>453</v>
      </c>
      <c r="C32" s="712" t="s">
        <v>454</v>
      </c>
      <c r="D32" s="712" t="s">
        <v>376</v>
      </c>
      <c r="E32" s="712" t="s">
        <v>383</v>
      </c>
      <c r="F32" s="541">
        <f t="shared" si="0"/>
        <v>8.6482881280569412E-2</v>
      </c>
      <c r="G32" s="541">
        <f t="shared" si="1"/>
        <v>2.5382151029748288</v>
      </c>
      <c r="H32" s="713">
        <f t="shared" si="2"/>
        <v>31090269602.133701</v>
      </c>
      <c r="I32" s="805">
        <f t="shared" si="3"/>
        <v>-0.12085815282256007</v>
      </c>
      <c r="J32" s="541">
        <f t="shared" si="4"/>
        <v>0.29111984544667174</v>
      </c>
      <c r="K32" s="480">
        <f t="shared" si="6"/>
        <v>16</v>
      </c>
      <c r="L32" s="480">
        <f t="shared" si="7"/>
        <v>11</v>
      </c>
      <c r="M32" s="480">
        <f t="shared" si="8"/>
        <v>7</v>
      </c>
      <c r="N32" s="480">
        <f t="shared" si="9"/>
        <v>27</v>
      </c>
      <c r="O32" s="480">
        <f t="shared" si="10"/>
        <v>9</v>
      </c>
      <c r="P32" s="491">
        <f t="shared" si="25"/>
        <v>14</v>
      </c>
      <c r="Q32" s="491">
        <f t="shared" si="26"/>
        <v>16</v>
      </c>
      <c r="R32" s="491">
        <f t="shared" si="27"/>
        <v>4</v>
      </c>
      <c r="S32" s="491">
        <f t="shared" si="28"/>
        <v>18</v>
      </c>
      <c r="T32" s="491">
        <f t="shared" si="29"/>
        <v>7</v>
      </c>
      <c r="U32" s="491">
        <f t="shared" si="30"/>
        <v>59</v>
      </c>
      <c r="V32" s="491">
        <f t="shared" si="22"/>
        <v>9</v>
      </c>
      <c r="W32" s="491">
        <f t="shared" si="17"/>
        <v>9</v>
      </c>
      <c r="Y32" s="491" t="str">
        <f t="shared" si="23"/>
        <v/>
      </c>
      <c r="Z32" s="493" t="str">
        <f t="shared" si="24"/>
        <v/>
      </c>
      <c r="AA32" s="480"/>
      <c r="AB32" s="491"/>
      <c r="AS32" s="715">
        <v>2587629762.1744099</v>
      </c>
      <c r="AT32" s="715">
        <v>29920716375.990898</v>
      </c>
      <c r="AU32" s="715">
        <v>12297339041.1476</v>
      </c>
      <c r="AV32" s="715">
        <v>4844876632.6915798</v>
      </c>
      <c r="AW32" s="715">
        <v>16642206666.6667</v>
      </c>
      <c r="AX32" s="715">
        <v>31090269602.133701</v>
      </c>
      <c r="AY32" s="712">
        <v>5.2905202484325402</v>
      </c>
      <c r="AZ32" s="712">
        <v>6.0178232505007099</v>
      </c>
    </row>
    <row r="33" spans="1:52" ht="15">
      <c r="A33" s="488"/>
      <c r="B33" s="712" t="s">
        <v>455</v>
      </c>
      <c r="C33" s="712" t="s">
        <v>456</v>
      </c>
      <c r="D33" s="712" t="s">
        <v>376</v>
      </c>
      <c r="E33" s="712" t="s">
        <v>438</v>
      </c>
      <c r="F33" s="541">
        <f t="shared" si="0"/>
        <v>0.18233613014326017</v>
      </c>
      <c r="G33" s="541">
        <f t="shared" si="1"/>
        <v>0.96822505565674966</v>
      </c>
      <c r="H33" s="713">
        <f t="shared" si="2"/>
        <v>170345851833.11301</v>
      </c>
      <c r="I33" s="805">
        <f t="shared" si="3"/>
        <v>9.451994113342832E-2</v>
      </c>
      <c r="J33" s="541">
        <f t="shared" si="4"/>
        <v>0.27429174145556151</v>
      </c>
      <c r="K33" s="480">
        <f t="shared" si="6"/>
        <v>9</v>
      </c>
      <c r="L33" s="480">
        <f t="shared" si="7"/>
        <v>21</v>
      </c>
      <c r="M33" s="480">
        <f t="shared" si="8"/>
        <v>2</v>
      </c>
      <c r="N33" s="480">
        <f t="shared" si="9"/>
        <v>16</v>
      </c>
      <c r="O33" s="480">
        <f t="shared" si="10"/>
        <v>10</v>
      </c>
      <c r="P33" s="491">
        <f t="shared" si="25"/>
        <v>7</v>
      </c>
      <c r="Q33" s="491">
        <f t="shared" si="26"/>
        <v>6</v>
      </c>
      <c r="R33" s="491">
        <f t="shared" si="27"/>
        <v>9</v>
      </c>
      <c r="S33" s="491">
        <f t="shared" si="28"/>
        <v>29</v>
      </c>
      <c r="T33" s="491">
        <f t="shared" si="29"/>
        <v>8</v>
      </c>
      <c r="U33" s="491">
        <f t="shared" si="30"/>
        <v>59</v>
      </c>
      <c r="V33" s="491">
        <f t="shared" si="22"/>
        <v>9</v>
      </c>
      <c r="W33" s="491">
        <f t="shared" si="17"/>
        <v>9</v>
      </c>
      <c r="Y33" s="491" t="str">
        <f t="shared" si="23"/>
        <v/>
      </c>
      <c r="Z33" s="493" t="str">
        <f t="shared" si="24"/>
        <v/>
      </c>
      <c r="AA33" s="480"/>
      <c r="AB33" s="491"/>
      <c r="AS33" s="715">
        <v>14615283790</v>
      </c>
      <c r="AT33" s="715">
        <v>80155719980</v>
      </c>
      <c r="AU33" s="715">
        <v>21074907360</v>
      </c>
      <c r="AV33" s="715">
        <v>21766537890</v>
      </c>
      <c r="AW33" s="715">
        <v>79355425630</v>
      </c>
      <c r="AX33" s="715">
        <v>170345851833.11301</v>
      </c>
      <c r="AY33" s="712">
        <v>12.1400335656</v>
      </c>
      <c r="AZ33" s="712">
        <v>11.0916513344</v>
      </c>
    </row>
    <row r="34" spans="1:52" ht="15">
      <c r="A34" s="488"/>
      <c r="B34" s="712" t="s">
        <v>457</v>
      </c>
      <c r="C34" s="712" t="s">
        <v>458</v>
      </c>
      <c r="D34" s="712" t="s">
        <v>376</v>
      </c>
      <c r="E34" s="712" t="s">
        <v>459</v>
      </c>
      <c r="F34" s="541">
        <f t="shared" si="0"/>
        <v>5.8164536190664799E-2</v>
      </c>
      <c r="G34" s="541">
        <f t="shared" si="1"/>
        <v>3.5132474139202947</v>
      </c>
      <c r="H34" s="713">
        <f t="shared" si="2"/>
        <v>458243891.17467898</v>
      </c>
      <c r="I34" s="805">
        <f t="shared" si="3"/>
        <v>4.5454545454478579E-2</v>
      </c>
      <c r="J34" s="541">
        <f t="shared" si="4"/>
        <v>0.23126215235938222</v>
      </c>
      <c r="K34" s="480">
        <f t="shared" si="6"/>
        <v>23</v>
      </c>
      <c r="L34" s="480">
        <f t="shared" si="7"/>
        <v>9</v>
      </c>
      <c r="M34" s="480">
        <f t="shared" si="8"/>
        <v>27</v>
      </c>
      <c r="N34" s="480">
        <f t="shared" si="9"/>
        <v>19</v>
      </c>
      <c r="O34" s="480">
        <f t="shared" si="10"/>
        <v>12</v>
      </c>
      <c r="P34" s="491">
        <f t="shared" si="25"/>
        <v>21</v>
      </c>
      <c r="Q34" s="491">
        <f t="shared" si="26"/>
        <v>18</v>
      </c>
      <c r="R34" s="491">
        <f t="shared" si="27"/>
        <v>16</v>
      </c>
      <c r="S34" s="491">
        <f t="shared" si="28"/>
        <v>26</v>
      </c>
      <c r="T34" s="491">
        <f t="shared" si="29"/>
        <v>10</v>
      </c>
      <c r="U34" s="491">
        <f t="shared" si="30"/>
        <v>91</v>
      </c>
      <c r="V34" s="491">
        <f t="shared" si="22"/>
        <v>24</v>
      </c>
      <c r="W34" s="491">
        <f t="shared" si="17"/>
        <v>24</v>
      </c>
      <c r="Y34" s="491" t="str">
        <f t="shared" si="23"/>
        <v/>
      </c>
      <c r="Z34" s="493" t="str">
        <f t="shared" si="24"/>
        <v/>
      </c>
      <c r="AA34" s="480"/>
      <c r="AB34" s="491"/>
      <c r="AS34" s="715">
        <v>47340004.870486803</v>
      </c>
      <c r="AT34" s="715">
        <v>813898089.29800606</v>
      </c>
      <c r="AU34" s="715">
        <v>198398296.02443001</v>
      </c>
      <c r="AV34" s="715">
        <v>56471484.256511599</v>
      </c>
      <c r="AW34" s="715">
        <v>244188180.730735</v>
      </c>
      <c r="AX34" s="715">
        <v>458243891.17467898</v>
      </c>
      <c r="AY34" s="712">
        <v>4.9725784349080003E-3</v>
      </c>
      <c r="AZ34" s="712">
        <v>4.756379372521E-3</v>
      </c>
    </row>
    <row r="35" spans="1:52" ht="15">
      <c r="A35" s="488"/>
      <c r="B35" s="712" t="s">
        <v>460</v>
      </c>
      <c r="C35" s="712" t="s">
        <v>461</v>
      </c>
      <c r="D35" s="712" t="s">
        <v>376</v>
      </c>
      <c r="E35" s="712" t="s">
        <v>377</v>
      </c>
      <c r="F35" s="541">
        <f t="shared" ref="F35:F64" si="31">AS35/AT35</f>
        <v>0.18233613014326017</v>
      </c>
      <c r="G35" s="541">
        <f t="shared" ref="G35:G64" si="32">AU35/AV35</f>
        <v>0.96822505565674966</v>
      </c>
      <c r="H35" s="713">
        <f t="shared" ref="H35:H64" si="33">AX35</f>
        <v>170345851833.11301</v>
      </c>
      <c r="I35" s="805">
        <f t="shared" ref="I35:I64" si="34">(AY35/AZ35)-1</f>
        <v>0.11449035241683081</v>
      </c>
      <c r="J35" s="541">
        <f t="shared" ref="J35:J64" si="35">AV35/AW35</f>
        <v>0.27429174145556151</v>
      </c>
      <c r="K35" s="480">
        <f t="shared" si="6"/>
        <v>9</v>
      </c>
      <c r="L35" s="480">
        <f t="shared" si="7"/>
        <v>21</v>
      </c>
      <c r="M35" s="480">
        <f t="shared" si="8"/>
        <v>2</v>
      </c>
      <c r="N35" s="480">
        <f t="shared" si="9"/>
        <v>15</v>
      </c>
      <c r="O35" s="480">
        <f t="shared" si="10"/>
        <v>10</v>
      </c>
      <c r="P35" s="491">
        <f t="shared" si="25"/>
        <v>7</v>
      </c>
      <c r="Q35" s="491">
        <f t="shared" si="26"/>
        <v>6</v>
      </c>
      <c r="R35" s="491">
        <f t="shared" si="27"/>
        <v>9</v>
      </c>
      <c r="S35" s="491">
        <f t="shared" si="28"/>
        <v>30</v>
      </c>
      <c r="T35" s="491">
        <f t="shared" si="29"/>
        <v>8</v>
      </c>
      <c r="U35" s="491">
        <f t="shared" si="30"/>
        <v>60</v>
      </c>
      <c r="V35" s="491">
        <f t="shared" si="22"/>
        <v>11</v>
      </c>
      <c r="W35" s="491">
        <f t="shared" si="17"/>
        <v>11</v>
      </c>
      <c r="Y35" s="491" t="str">
        <f t="shared" si="23"/>
        <v/>
      </c>
      <c r="Z35" s="493" t="str">
        <f t="shared" si="24"/>
        <v/>
      </c>
      <c r="AA35" s="480"/>
      <c r="AB35" s="491"/>
      <c r="AS35" s="715">
        <v>14615283790</v>
      </c>
      <c r="AT35" s="715">
        <v>80155719980</v>
      </c>
      <c r="AU35" s="715">
        <v>21074907360</v>
      </c>
      <c r="AV35" s="715">
        <v>21766537890</v>
      </c>
      <c r="AW35" s="715">
        <v>79355425630</v>
      </c>
      <c r="AX35" s="715">
        <v>170345851833.11301</v>
      </c>
      <c r="AY35" s="712">
        <v>12.428439712499999</v>
      </c>
      <c r="AZ35" s="712">
        <v>11.1516799455</v>
      </c>
    </row>
    <row r="36" spans="1:52" ht="15">
      <c r="A36" s="488"/>
      <c r="B36" s="712" t="s">
        <v>462</v>
      </c>
      <c r="C36" s="712" t="s">
        <v>463</v>
      </c>
      <c r="D36" s="712" t="s">
        <v>376</v>
      </c>
      <c r="E36" s="712" t="s">
        <v>383</v>
      </c>
      <c r="F36" s="541">
        <f t="shared" si="31"/>
        <v>0.16239882200705011</v>
      </c>
      <c r="G36" s="541">
        <f t="shared" si="32"/>
        <v>6.7138036316888972E-2</v>
      </c>
      <c r="H36" s="713">
        <f t="shared" si="33"/>
        <v>1936776265.50248</v>
      </c>
      <c r="I36" s="805">
        <f t="shared" si="34"/>
        <v>-8.7244598167406373E-2</v>
      </c>
      <c r="J36" s="541">
        <f t="shared" si="35"/>
        <v>0.35895641339688628</v>
      </c>
      <c r="K36" s="480">
        <f t="shared" si="6"/>
        <v>11</v>
      </c>
      <c r="L36" s="480">
        <f t="shared" si="7"/>
        <v>28</v>
      </c>
      <c r="M36" s="480">
        <f t="shared" si="8"/>
        <v>18</v>
      </c>
      <c r="N36" s="480">
        <f t="shared" si="9"/>
        <v>26</v>
      </c>
      <c r="O36" s="480">
        <f t="shared" si="10"/>
        <v>8</v>
      </c>
      <c r="P36" s="491">
        <f t="shared" si="25"/>
        <v>9</v>
      </c>
      <c r="Q36" s="491">
        <f t="shared" si="26"/>
        <v>1</v>
      </c>
      <c r="R36" s="491">
        <f t="shared" si="27"/>
        <v>7</v>
      </c>
      <c r="S36" s="491">
        <f t="shared" si="28"/>
        <v>19</v>
      </c>
      <c r="T36" s="491">
        <f t="shared" si="29"/>
        <v>6</v>
      </c>
      <c r="U36" s="491">
        <f t="shared" si="30"/>
        <v>42</v>
      </c>
      <c r="V36" s="491">
        <f t="shared" si="22"/>
        <v>3</v>
      </c>
      <c r="W36" s="491">
        <f t="shared" ref="W36:W64" si="36">IF(Y36="Not suitable","-",V36)</f>
        <v>3</v>
      </c>
      <c r="Y36" s="491" t="str">
        <f t="shared" si="23"/>
        <v/>
      </c>
      <c r="Z36" s="493" t="str">
        <f t="shared" si="24"/>
        <v/>
      </c>
      <c r="AA36" s="480"/>
      <c r="AB36" s="491"/>
      <c r="AS36" s="715">
        <v>267219017.68000001</v>
      </c>
      <c r="AT36" s="715">
        <v>1645449236.5</v>
      </c>
      <c r="AU36" s="715">
        <v>18405301.620000001</v>
      </c>
      <c r="AV36" s="715">
        <v>274141196.69999999</v>
      </c>
      <c r="AW36" s="715">
        <v>763717227.13</v>
      </c>
      <c r="AX36" s="715">
        <v>1936776265.50248</v>
      </c>
      <c r="AY36" s="712">
        <v>1.4423809877</v>
      </c>
      <c r="AZ36" s="712">
        <v>1.5802491936</v>
      </c>
    </row>
    <row r="37" spans="1:52" ht="15">
      <c r="A37" s="488"/>
      <c r="B37" s="712" t="s">
        <v>464</v>
      </c>
      <c r="C37" s="712" t="s">
        <v>465</v>
      </c>
      <c r="D37" s="712" t="s">
        <v>376</v>
      </c>
      <c r="E37" s="712" t="s">
        <v>466</v>
      </c>
      <c r="F37" s="541">
        <f t="shared" si="31"/>
        <v>6.4638625711704797E-2</v>
      </c>
      <c r="G37" s="541">
        <f t="shared" si="32"/>
        <v>12.72792798185645</v>
      </c>
      <c r="H37" s="713">
        <f t="shared" si="33"/>
        <v>5369570497.5100603</v>
      </c>
      <c r="I37" s="805">
        <f t="shared" si="34"/>
        <v>-1.1155456277093028</v>
      </c>
      <c r="J37" s="541">
        <f t="shared" si="35"/>
        <v>0.12751689602806829</v>
      </c>
      <c r="K37" s="480">
        <f t="shared" si="6"/>
        <v>21</v>
      </c>
      <c r="L37" s="480">
        <f t="shared" si="7"/>
        <v>2</v>
      </c>
      <c r="M37" s="480">
        <f t="shared" si="8"/>
        <v>16</v>
      </c>
      <c r="N37" s="480">
        <f t="shared" si="9"/>
        <v>57</v>
      </c>
      <c r="O37" s="480">
        <f t="shared" si="10"/>
        <v>22</v>
      </c>
      <c r="P37" s="491">
        <f t="shared" si="25"/>
        <v>19</v>
      </c>
      <c r="Q37" s="491">
        <f t="shared" si="26"/>
        <v>25</v>
      </c>
      <c r="R37" s="491">
        <f t="shared" si="27"/>
        <v>5</v>
      </c>
      <c r="S37" s="491">
        <f t="shared" si="28"/>
        <v>12</v>
      </c>
      <c r="T37" s="491">
        <f t="shared" si="29"/>
        <v>20</v>
      </c>
      <c r="U37" s="491">
        <f t="shared" si="30"/>
        <v>81</v>
      </c>
      <c r="V37" s="491">
        <f t="shared" si="22"/>
        <v>19</v>
      </c>
      <c r="W37" s="491">
        <f t="shared" si="36"/>
        <v>19</v>
      </c>
      <c r="Y37" s="491" t="str">
        <f t="shared" si="23"/>
        <v/>
      </c>
      <c r="Z37" s="493" t="str">
        <f t="shared" si="24"/>
        <v/>
      </c>
      <c r="AA37" s="480"/>
      <c r="AB37" s="491"/>
      <c r="AS37" s="715">
        <v>95177915.221799999</v>
      </c>
      <c r="AT37" s="715">
        <v>1472461924.6440001</v>
      </c>
      <c r="AU37" s="715">
        <v>2072264820.2135999</v>
      </c>
      <c r="AV37" s="715">
        <v>162812425.02059999</v>
      </c>
      <c r="AW37" s="715">
        <v>1276790998.6199999</v>
      </c>
      <c r="AX37" s="715">
        <v>5369570497.5100603</v>
      </c>
      <c r="AY37" s="712">
        <v>-7.0121940000000002E-4</v>
      </c>
      <c r="AZ37" s="712">
        <v>6.0687661999999998E-3</v>
      </c>
    </row>
    <row r="38" spans="1:52" ht="15">
      <c r="A38" s="488"/>
      <c r="B38" s="712" t="s">
        <v>467</v>
      </c>
      <c r="C38" s="712" t="s">
        <v>468</v>
      </c>
      <c r="D38" s="712" t="s">
        <v>376</v>
      </c>
      <c r="E38" s="712" t="s">
        <v>377</v>
      </c>
      <c r="F38" s="541">
        <f t="shared" si="31"/>
        <v>0.32191657677094571</v>
      </c>
      <c r="G38" s="541">
        <f t="shared" si="32"/>
        <v>0.97440258154543868</v>
      </c>
      <c r="H38" s="713">
        <f t="shared" si="33"/>
        <v>224190360779.01001</v>
      </c>
      <c r="I38" s="805">
        <f t="shared" si="34"/>
        <v>2.7713231908457869E-2</v>
      </c>
      <c r="J38" s="541">
        <f t="shared" si="35"/>
        <v>0.42611070851218019</v>
      </c>
      <c r="K38" s="480">
        <f t="shared" si="6"/>
        <v>6</v>
      </c>
      <c r="L38" s="480">
        <f t="shared" si="7"/>
        <v>20</v>
      </c>
      <c r="M38" s="480">
        <f t="shared" si="8"/>
        <v>1</v>
      </c>
      <c r="N38" s="480">
        <f t="shared" si="9"/>
        <v>20</v>
      </c>
      <c r="O38" s="480">
        <f t="shared" si="10"/>
        <v>5</v>
      </c>
      <c r="P38" s="491">
        <f t="shared" si="25"/>
        <v>4</v>
      </c>
      <c r="Q38" s="491">
        <f t="shared" si="26"/>
        <v>7</v>
      </c>
      <c r="R38" s="491">
        <f t="shared" si="27"/>
        <v>10</v>
      </c>
      <c r="S38" s="491">
        <f t="shared" si="28"/>
        <v>25</v>
      </c>
      <c r="T38" s="491">
        <f t="shared" si="29"/>
        <v>3</v>
      </c>
      <c r="U38" s="491">
        <f t="shared" si="30"/>
        <v>49</v>
      </c>
      <c r="V38" s="491">
        <f t="shared" si="22"/>
        <v>6</v>
      </c>
      <c r="W38" s="491">
        <f t="shared" si="36"/>
        <v>6</v>
      </c>
      <c r="Y38" s="491" t="str">
        <f t="shared" si="23"/>
        <v/>
      </c>
      <c r="Z38" s="493" t="str">
        <f t="shared" si="24"/>
        <v/>
      </c>
      <c r="AA38" s="480"/>
      <c r="AB38" s="491"/>
      <c r="AS38" s="715">
        <v>21488148600</v>
      </c>
      <c r="AT38" s="715">
        <v>66750674400</v>
      </c>
      <c r="AU38" s="715">
        <v>33520851750</v>
      </c>
      <c r="AV38" s="715">
        <v>34401439800</v>
      </c>
      <c r="AW38" s="715">
        <v>80733572550</v>
      </c>
      <c r="AX38" s="715">
        <v>224190360779.01001</v>
      </c>
      <c r="AY38" s="712">
        <v>4.3539608384999999</v>
      </c>
      <c r="AZ38" s="712">
        <v>4.2365522825999999</v>
      </c>
    </row>
    <row r="39" spans="1:52" ht="15">
      <c r="A39" s="488"/>
      <c r="B39" s="712" t="s">
        <v>393</v>
      </c>
      <c r="C39" s="712" t="s">
        <v>394</v>
      </c>
      <c r="D39" s="712" t="s">
        <v>376</v>
      </c>
      <c r="E39" s="712" t="s">
        <v>395</v>
      </c>
      <c r="F39" s="541">
        <f t="shared" si="31"/>
        <v>0.21043800150612776</v>
      </c>
      <c r="G39" s="541">
        <f t="shared" si="32"/>
        <v>1.5662498434658565</v>
      </c>
      <c r="H39" s="713">
        <f t="shared" si="33"/>
        <v>58344758378.441902</v>
      </c>
      <c r="I39" s="805">
        <f t="shared" si="34"/>
        <v>-5.7117464370220694E-2</v>
      </c>
      <c r="J39" s="541">
        <f t="shared" si="35"/>
        <v>0.4085599931931137</v>
      </c>
      <c r="K39" s="480">
        <f t="shared" si="6"/>
        <v>7</v>
      </c>
      <c r="L39" s="480">
        <f t="shared" si="7"/>
        <v>16</v>
      </c>
      <c r="M39" s="480">
        <f t="shared" si="8"/>
        <v>5</v>
      </c>
      <c r="N39" s="480">
        <f t="shared" si="9"/>
        <v>23</v>
      </c>
      <c r="O39" s="480">
        <f t="shared" si="10"/>
        <v>7</v>
      </c>
      <c r="P39" s="491">
        <f t="shared" si="25"/>
        <v>5</v>
      </c>
      <c r="Q39" s="491">
        <f t="shared" si="26"/>
        <v>11</v>
      </c>
      <c r="R39" s="491">
        <f t="shared" si="27"/>
        <v>6</v>
      </c>
      <c r="S39" s="491">
        <f t="shared" si="28"/>
        <v>22</v>
      </c>
      <c r="T39" s="491">
        <f t="shared" si="29"/>
        <v>5</v>
      </c>
      <c r="U39" s="491">
        <f t="shared" si="30"/>
        <v>49</v>
      </c>
      <c r="V39" s="491">
        <f t="shared" si="22"/>
        <v>6</v>
      </c>
      <c r="W39" s="491">
        <f t="shared" si="36"/>
        <v>6</v>
      </c>
      <c r="Y39" s="491" t="str">
        <f t="shared" si="23"/>
        <v/>
      </c>
      <c r="Z39" s="493" t="str">
        <f t="shared" si="24"/>
        <v/>
      </c>
      <c r="AA39" s="480"/>
      <c r="AB39" s="491"/>
      <c r="AS39" s="715">
        <v>5880195776.3000002</v>
      </c>
      <c r="AT39" s="715">
        <v>27942651679.900002</v>
      </c>
      <c r="AU39" s="715">
        <v>13517395947.77</v>
      </c>
      <c r="AV39" s="715">
        <v>8630421260.1599998</v>
      </c>
      <c r="AW39" s="715">
        <v>21123999911.759998</v>
      </c>
      <c r="AX39" s="715">
        <v>58344758378.441902</v>
      </c>
      <c r="AY39" s="712">
        <v>0.60256584960000004</v>
      </c>
      <c r="AZ39" s="712">
        <v>0.63906778080000004</v>
      </c>
    </row>
    <row r="40" spans="1:52" ht="15">
      <c r="A40" s="488"/>
      <c r="B40" s="712" t="s">
        <v>469</v>
      </c>
      <c r="C40" s="712" t="s">
        <v>470</v>
      </c>
      <c r="D40" s="712" t="s">
        <v>376</v>
      </c>
      <c r="E40" s="712" t="s">
        <v>438</v>
      </c>
      <c r="F40" s="541">
        <f t="shared" si="31"/>
        <v>0.18791947641400786</v>
      </c>
      <c r="G40" s="541">
        <f t="shared" si="32"/>
        <v>0.37920262614496741</v>
      </c>
      <c r="H40" s="713">
        <f t="shared" si="33"/>
        <v>374314784.65258801</v>
      </c>
      <c r="I40" s="805">
        <f t="shared" si="34"/>
        <v>-0.67302021243879928</v>
      </c>
      <c r="J40" s="541">
        <f t="shared" si="35"/>
        <v>0.7987735250581518</v>
      </c>
      <c r="K40" s="480">
        <f t="shared" si="6"/>
        <v>8</v>
      </c>
      <c r="L40" s="480">
        <f t="shared" si="7"/>
        <v>25</v>
      </c>
      <c r="M40" s="480">
        <f t="shared" si="8"/>
        <v>29</v>
      </c>
      <c r="N40" s="480">
        <f t="shared" si="9"/>
        <v>41</v>
      </c>
      <c r="O40" s="480">
        <f t="shared" si="10"/>
        <v>1</v>
      </c>
      <c r="P40" s="491">
        <f t="shared" si="25"/>
        <v>6</v>
      </c>
      <c r="Q40" s="491">
        <f t="shared" si="26"/>
        <v>2</v>
      </c>
      <c r="R40" s="491">
        <f t="shared" si="27"/>
        <v>18</v>
      </c>
      <c r="S40" s="491">
        <f t="shared" si="28"/>
        <v>4</v>
      </c>
      <c r="T40" s="491">
        <f t="shared" si="29"/>
        <v>1</v>
      </c>
      <c r="U40" s="491">
        <f t="shared" si="30"/>
        <v>31</v>
      </c>
      <c r="V40" s="491">
        <f t="shared" si="22"/>
        <v>2</v>
      </c>
      <c r="W40" s="491">
        <f t="shared" si="36"/>
        <v>2</v>
      </c>
      <c r="Y40" s="491" t="str">
        <f t="shared" si="23"/>
        <v/>
      </c>
      <c r="Z40" s="493" t="str">
        <f t="shared" si="24"/>
        <v/>
      </c>
      <c r="AA40" s="491"/>
      <c r="AB40" s="754" t="s">
        <v>471</v>
      </c>
      <c r="AS40" s="715">
        <v>138906295.86000001</v>
      </c>
      <c r="AT40" s="715">
        <v>739179879.12</v>
      </c>
      <c r="AU40" s="715">
        <v>63073442.159999996</v>
      </c>
      <c r="AV40" s="715">
        <v>166331765.16</v>
      </c>
      <c r="AW40" s="715">
        <v>208233948.59999999</v>
      </c>
      <c r="AX40" s="715">
        <v>374314784.65258801</v>
      </c>
      <c r="AY40" s="712">
        <v>0.18805058029999999</v>
      </c>
      <c r="AZ40" s="712">
        <v>0.57511377600000002</v>
      </c>
    </row>
    <row r="41" spans="1:52" ht="15">
      <c r="A41" s="488"/>
      <c r="B41" s="712" t="s">
        <v>472</v>
      </c>
      <c r="C41" s="712" t="s">
        <v>473</v>
      </c>
      <c r="D41" s="712" t="s">
        <v>376</v>
      </c>
      <c r="E41" s="712" t="s">
        <v>377</v>
      </c>
      <c r="F41" s="541">
        <f t="shared" si="31"/>
        <v>-6.1595824011931394E-2</v>
      </c>
      <c r="G41" s="541">
        <f t="shared" si="32"/>
        <v>-3.2411559730323458</v>
      </c>
      <c r="H41" s="713">
        <f t="shared" si="33"/>
        <v>468329068.88999999</v>
      </c>
      <c r="I41" s="805">
        <f t="shared" si="34"/>
        <v>1.3799491401620463</v>
      </c>
      <c r="J41" s="541">
        <f t="shared" si="35"/>
        <v>-0.24865323036353362</v>
      </c>
      <c r="K41" s="480">
        <f t="shared" si="6"/>
        <v>37</v>
      </c>
      <c r="L41" s="480">
        <f t="shared" si="7"/>
        <v>58</v>
      </c>
      <c r="M41" s="480">
        <f t="shared" si="8"/>
        <v>26</v>
      </c>
      <c r="N41" s="480">
        <f t="shared" si="9"/>
        <v>9</v>
      </c>
      <c r="O41" s="480">
        <f t="shared" si="10"/>
        <v>41</v>
      </c>
      <c r="P41" s="491">
        <f t="shared" si="25"/>
        <v>35</v>
      </c>
      <c r="Q41" s="491">
        <f t="shared" si="26"/>
        <v>31</v>
      </c>
      <c r="R41" s="491">
        <f t="shared" si="27"/>
        <v>15</v>
      </c>
      <c r="S41" s="491">
        <f t="shared" si="28"/>
        <v>36</v>
      </c>
      <c r="T41" s="491">
        <f t="shared" si="29"/>
        <v>39</v>
      </c>
      <c r="U41" s="491">
        <f t="shared" si="30"/>
        <v>156</v>
      </c>
      <c r="V41" s="491">
        <f t="shared" si="22"/>
        <v>48</v>
      </c>
      <c r="W41" s="491">
        <f t="shared" si="36"/>
        <v>48</v>
      </c>
      <c r="Y41" s="491" t="str">
        <f t="shared" si="23"/>
        <v/>
      </c>
      <c r="Z41" s="493" t="str">
        <f t="shared" si="24"/>
        <v/>
      </c>
      <c r="AA41" s="491"/>
      <c r="AB41" s="491"/>
      <c r="AS41" s="715">
        <v>-39402554.100000001</v>
      </c>
      <c r="AT41" s="715">
        <v>639695218.5</v>
      </c>
      <c r="AU41" s="715">
        <v>125602337.94</v>
      </c>
      <c r="AV41" s="715">
        <v>-38752327.560000002</v>
      </c>
      <c r="AW41" s="715">
        <v>155848880.40000001</v>
      </c>
      <c r="AX41" s="715">
        <v>468329068.88999999</v>
      </c>
      <c r="AY41" s="712">
        <v>-0.13968090480000001</v>
      </c>
      <c r="AZ41" s="712">
        <v>-5.869071E-2</v>
      </c>
    </row>
    <row r="42" spans="1:52" ht="15">
      <c r="A42" s="488"/>
      <c r="B42" s="712" t="s">
        <v>474</v>
      </c>
      <c r="C42" s="712" t="s">
        <v>475</v>
      </c>
      <c r="D42" s="712" t="s">
        <v>376</v>
      </c>
      <c r="E42" s="712" t="s">
        <v>428</v>
      </c>
      <c r="F42" s="541">
        <f t="shared" si="31"/>
        <v>0.79322610578409958</v>
      </c>
      <c r="G42" s="541">
        <f t="shared" si="32"/>
        <v>0.83276091680101261</v>
      </c>
      <c r="H42" s="713">
        <f t="shared" si="33"/>
        <v>24411842264.254101</v>
      </c>
      <c r="I42" s="805">
        <f t="shared" si="34"/>
        <v>-0.25640387156563105</v>
      </c>
      <c r="J42" s="541">
        <f t="shared" si="35"/>
        <v>0.41841163704616008</v>
      </c>
      <c r="K42" s="480">
        <f t="shared" si="6"/>
        <v>1</v>
      </c>
      <c r="L42" s="480">
        <f t="shared" si="7"/>
        <v>24</v>
      </c>
      <c r="M42" s="480">
        <f t="shared" si="8"/>
        <v>8</v>
      </c>
      <c r="N42" s="480">
        <f t="shared" si="9"/>
        <v>32</v>
      </c>
      <c r="O42" s="480">
        <f t="shared" si="10"/>
        <v>6</v>
      </c>
      <c r="P42" s="491">
        <f t="shared" si="25"/>
        <v>1</v>
      </c>
      <c r="Q42" s="491">
        <f t="shared" si="26"/>
        <v>3</v>
      </c>
      <c r="R42" s="491">
        <f t="shared" si="27"/>
        <v>3</v>
      </c>
      <c r="S42" s="491">
        <f t="shared" si="28"/>
        <v>13</v>
      </c>
      <c r="T42" s="491">
        <f t="shared" si="29"/>
        <v>4</v>
      </c>
      <c r="U42" s="491">
        <f t="shared" si="30"/>
        <v>24</v>
      </c>
      <c r="V42" s="491">
        <f t="shared" si="22"/>
        <v>1</v>
      </c>
      <c r="W42" s="491">
        <f t="shared" si="36"/>
        <v>1</v>
      </c>
      <c r="Y42" s="491" t="str">
        <f t="shared" si="23"/>
        <v/>
      </c>
      <c r="Z42" s="493" t="str">
        <f t="shared" si="24"/>
        <v/>
      </c>
      <c r="AA42" s="491"/>
      <c r="AB42" s="491"/>
      <c r="AS42" s="715">
        <v>1867677655.79357</v>
      </c>
      <c r="AT42" s="715">
        <v>2354533773.1256099</v>
      </c>
      <c r="AU42" s="715">
        <v>2163177834.71276</v>
      </c>
      <c r="AV42" s="715">
        <v>2597597691.0905499</v>
      </c>
      <c r="AW42" s="715">
        <v>6208234812.5608597</v>
      </c>
      <c r="AX42" s="715">
        <v>24411842264.254101</v>
      </c>
      <c r="AY42" s="712">
        <v>0.343415595470836</v>
      </c>
      <c r="AZ42" s="712">
        <v>0.46183080080566402</v>
      </c>
    </row>
    <row r="43" spans="1:52" ht="15">
      <c r="A43" s="488"/>
      <c r="B43" s="712" t="s">
        <v>476</v>
      </c>
      <c r="C43" s="712" t="s">
        <v>477</v>
      </c>
      <c r="D43" s="712" t="s">
        <v>376</v>
      </c>
      <c r="E43" s="712" t="s">
        <v>228</v>
      </c>
      <c r="F43" s="541">
        <f t="shared" si="31"/>
        <v>0.11401759883242486</v>
      </c>
      <c r="G43" s="541">
        <f t="shared" si="32"/>
        <v>1.4145771120205131</v>
      </c>
      <c r="H43" s="713">
        <f t="shared" si="33"/>
        <v>9139517280.7872391</v>
      </c>
      <c r="I43" s="805">
        <f t="shared" si="34"/>
        <v>0.15545733215698299</v>
      </c>
      <c r="J43" s="541">
        <f t="shared" si="35"/>
        <v>0.19259609712675257</v>
      </c>
      <c r="K43" s="480">
        <f t="shared" si="6"/>
        <v>14</v>
      </c>
      <c r="L43" s="480">
        <f t="shared" si="7"/>
        <v>17</v>
      </c>
      <c r="M43" s="480">
        <f t="shared" si="8"/>
        <v>13</v>
      </c>
      <c r="N43" s="480">
        <f t="shared" si="9"/>
        <v>14</v>
      </c>
      <c r="O43" s="480">
        <f t="shared" si="10"/>
        <v>13</v>
      </c>
      <c r="P43" s="491">
        <f t="shared" ref="P43:P56" si="37">IFERROR(ABS(K$3-K43),"N/A")</f>
        <v>12</v>
      </c>
      <c r="Q43" s="491">
        <f t="shared" ref="Q43:Q56" si="38">IFERROR(ABS(L$3-L43),"N/A")</f>
        <v>10</v>
      </c>
      <c r="R43" s="491">
        <f t="shared" ref="R43:R56" si="39">IFERROR(ABS(M$3-M43),"N/A")</f>
        <v>2</v>
      </c>
      <c r="S43" s="491">
        <f t="shared" ref="S43:S56" si="40">IFERROR(ABS(N$3-N43),"N/A")</f>
        <v>31</v>
      </c>
      <c r="T43" s="491">
        <f t="shared" ref="T43:T56" si="41">IFERROR(ABS(O$3-O43),"N/A")</f>
        <v>11</v>
      </c>
      <c r="U43" s="491">
        <f t="shared" ref="U43:U56" si="42">SUM(P43:T43)</f>
        <v>66</v>
      </c>
      <c r="V43" s="491">
        <f t="shared" si="22"/>
        <v>12</v>
      </c>
      <c r="W43" s="491">
        <f t="shared" si="36"/>
        <v>12</v>
      </c>
      <c r="Y43" s="491" t="str">
        <f t="shared" si="23"/>
        <v/>
      </c>
      <c r="Z43" s="493" t="str">
        <f t="shared" si="24"/>
        <v/>
      </c>
      <c r="AA43" s="491"/>
      <c r="AB43" s="491"/>
      <c r="AS43" s="715">
        <v>264786245.79182801</v>
      </c>
      <c r="AT43" s="715">
        <v>2322327855.5531802</v>
      </c>
      <c r="AU43" s="715">
        <v>485944069.64658099</v>
      </c>
      <c r="AV43" s="715">
        <v>343526037.22852701</v>
      </c>
      <c r="AW43" s="715">
        <v>1783660429.0192001</v>
      </c>
      <c r="AX43" s="715">
        <v>9139517280.7872391</v>
      </c>
      <c r="AY43" s="712">
        <v>0.11860813079178099</v>
      </c>
      <c r="AZ43" s="712">
        <v>0.10265037703327901</v>
      </c>
    </row>
    <row r="44" spans="1:52" ht="15">
      <c r="A44" s="488"/>
      <c r="B44" s="712" t="s">
        <v>478</v>
      </c>
      <c r="C44" s="712" t="s">
        <v>479</v>
      </c>
      <c r="D44" s="712" t="s">
        <v>376</v>
      </c>
      <c r="E44" s="712" t="s">
        <v>480</v>
      </c>
      <c r="F44" s="541">
        <f t="shared" si="31"/>
        <v>0.33967741677144475</v>
      </c>
      <c r="G44" s="541">
        <f t="shared" si="32"/>
        <v>-12.329851345922084</v>
      </c>
      <c r="H44" s="713">
        <f t="shared" si="33"/>
        <v>12737562.3944957</v>
      </c>
      <c r="I44" s="805">
        <f t="shared" si="34"/>
        <v>-1</v>
      </c>
      <c r="J44" s="541">
        <f t="shared" si="35"/>
        <v>-1.5858237929318053</v>
      </c>
      <c r="K44" s="480">
        <f t="shared" si="6"/>
        <v>5</v>
      </c>
      <c r="L44" s="480">
        <f t="shared" si="7"/>
        <v>61</v>
      </c>
      <c r="M44" s="480">
        <f t="shared" si="8"/>
        <v>61</v>
      </c>
      <c r="N44" s="480">
        <f t="shared" si="9"/>
        <v>47</v>
      </c>
      <c r="O44" s="480">
        <f t="shared" si="10"/>
        <v>49</v>
      </c>
      <c r="P44" s="491">
        <f t="shared" si="37"/>
        <v>3</v>
      </c>
      <c r="Q44" s="491">
        <f t="shared" si="38"/>
        <v>34</v>
      </c>
      <c r="R44" s="491">
        <f t="shared" si="39"/>
        <v>50</v>
      </c>
      <c r="S44" s="491">
        <f t="shared" si="40"/>
        <v>2</v>
      </c>
      <c r="T44" s="491">
        <f t="shared" si="41"/>
        <v>47</v>
      </c>
      <c r="U44" s="491">
        <f t="shared" si="42"/>
        <v>136</v>
      </c>
      <c r="V44" s="491">
        <f t="shared" si="22"/>
        <v>35</v>
      </c>
      <c r="W44" s="491" t="str">
        <f t="shared" si="36"/>
        <v>-</v>
      </c>
      <c r="Y44" s="755" t="s">
        <v>481</v>
      </c>
      <c r="Z44" s="753"/>
      <c r="AA44" s="491"/>
      <c r="AB44" s="491"/>
      <c r="AS44" s="715">
        <v>-1332516.15603596</v>
      </c>
      <c r="AT44" s="715">
        <v>-3922887.09888699</v>
      </c>
      <c r="AU44" s="715">
        <v>15426267.267123301</v>
      </c>
      <c r="AV44" s="715">
        <v>-1251131.6506849299</v>
      </c>
      <c r="AW44" s="715">
        <v>788947.45826198603</v>
      </c>
      <c r="AX44" s="715">
        <v>12737562.3944957</v>
      </c>
      <c r="AY44" s="712"/>
      <c r="AZ44" s="712">
        <v>-2.2552791001496799</v>
      </c>
    </row>
    <row r="45" spans="1:52" ht="15">
      <c r="A45" s="488"/>
      <c r="B45" s="712" t="s">
        <v>482</v>
      </c>
      <c r="C45" s="712" t="s">
        <v>483</v>
      </c>
      <c r="D45" s="712" t="s">
        <v>376</v>
      </c>
      <c r="E45" s="712" t="s">
        <v>377</v>
      </c>
      <c r="F45" s="541">
        <f t="shared" si="31"/>
        <v>-1.0941847776594229</v>
      </c>
      <c r="G45" s="541">
        <f t="shared" si="32"/>
        <v>-1.4668866890382191E-2</v>
      </c>
      <c r="H45" s="713">
        <f t="shared" si="33"/>
        <v>29877753.84</v>
      </c>
      <c r="I45" s="805">
        <f t="shared" si="34"/>
        <v>-1</v>
      </c>
      <c r="J45" s="541">
        <f t="shared" si="35"/>
        <v>-7.0645501767035883</v>
      </c>
      <c r="K45" s="480">
        <f t="shared" si="6"/>
        <v>61</v>
      </c>
      <c r="L45" s="480">
        <f t="shared" si="7"/>
        <v>36</v>
      </c>
      <c r="M45" s="480">
        <f t="shared" si="8"/>
        <v>58</v>
      </c>
      <c r="N45" s="480">
        <f t="shared" si="9"/>
        <v>47</v>
      </c>
      <c r="O45" s="480">
        <f t="shared" si="10"/>
        <v>53</v>
      </c>
      <c r="P45" s="491">
        <f t="shared" si="37"/>
        <v>59</v>
      </c>
      <c r="Q45" s="491">
        <f t="shared" si="38"/>
        <v>9</v>
      </c>
      <c r="R45" s="491">
        <f t="shared" si="39"/>
        <v>47</v>
      </c>
      <c r="S45" s="491">
        <f t="shared" si="40"/>
        <v>2</v>
      </c>
      <c r="T45" s="491">
        <f t="shared" si="41"/>
        <v>51</v>
      </c>
      <c r="U45" s="491">
        <f t="shared" si="42"/>
        <v>168</v>
      </c>
      <c r="V45" s="491">
        <f t="shared" si="22"/>
        <v>52</v>
      </c>
      <c r="W45" s="491" t="str">
        <f t="shared" si="36"/>
        <v>-</v>
      </c>
      <c r="Y45" s="755" t="s">
        <v>481</v>
      </c>
      <c r="Z45" s="753"/>
      <c r="AA45" s="491"/>
      <c r="AB45" s="491"/>
      <c r="AS45" s="715">
        <v>-34483660</v>
      </c>
      <c r="AT45" s="715">
        <v>31515390</v>
      </c>
      <c r="AU45" s="715">
        <v>436910</v>
      </c>
      <c r="AV45" s="715">
        <v>-29784850</v>
      </c>
      <c r="AW45" s="715">
        <v>4216100</v>
      </c>
      <c r="AX45" s="715">
        <v>29877753.84</v>
      </c>
      <c r="AY45" s="712"/>
      <c r="AZ45" s="712">
        <v>-1.908E-2</v>
      </c>
    </row>
    <row r="46" spans="1:52" ht="15">
      <c r="A46" s="488"/>
      <c r="B46" s="712" t="s">
        <v>484</v>
      </c>
      <c r="C46" s="712" t="s">
        <v>485</v>
      </c>
      <c r="D46" s="712" t="s">
        <v>376</v>
      </c>
      <c r="E46" s="712" t="s">
        <v>377</v>
      </c>
      <c r="F46" s="541">
        <f t="shared" si="31"/>
        <v>-0.11952959265988793</v>
      </c>
      <c r="G46" s="541">
        <f t="shared" si="32"/>
        <v>-2.3935377486305809</v>
      </c>
      <c r="H46" s="713">
        <f t="shared" si="33"/>
        <v>609060488.30999994</v>
      </c>
      <c r="I46" s="805">
        <f t="shared" si="34"/>
        <v>-1</v>
      </c>
      <c r="J46" s="541">
        <f t="shared" si="35"/>
        <v>-0.1720672464958754</v>
      </c>
      <c r="K46" s="480">
        <f t="shared" si="6"/>
        <v>44</v>
      </c>
      <c r="L46" s="480">
        <f t="shared" si="7"/>
        <v>55</v>
      </c>
      <c r="M46" s="480">
        <f t="shared" si="8"/>
        <v>23</v>
      </c>
      <c r="N46" s="480">
        <f t="shared" si="9"/>
        <v>47</v>
      </c>
      <c r="O46" s="480">
        <f t="shared" si="10"/>
        <v>36</v>
      </c>
      <c r="P46" s="491">
        <f t="shared" si="37"/>
        <v>42</v>
      </c>
      <c r="Q46" s="491">
        <f t="shared" si="38"/>
        <v>28</v>
      </c>
      <c r="R46" s="491">
        <f t="shared" si="39"/>
        <v>12</v>
      </c>
      <c r="S46" s="491">
        <f t="shared" si="40"/>
        <v>2</v>
      </c>
      <c r="T46" s="491">
        <f t="shared" si="41"/>
        <v>34</v>
      </c>
      <c r="U46" s="491">
        <f t="shared" si="42"/>
        <v>118</v>
      </c>
      <c r="V46" s="491">
        <f t="shared" si="22"/>
        <v>26</v>
      </c>
      <c r="W46" s="491" t="str">
        <f t="shared" si="36"/>
        <v>-</v>
      </c>
      <c r="Y46" s="755" t="s">
        <v>481</v>
      </c>
      <c r="Z46" s="753"/>
      <c r="AA46" s="491"/>
      <c r="AB46" s="491"/>
      <c r="AS46" s="715">
        <v>-17888910</v>
      </c>
      <c r="AT46" s="715">
        <v>149660930</v>
      </c>
      <c r="AU46" s="715">
        <v>27913150</v>
      </c>
      <c r="AV46" s="715">
        <v>-11661880</v>
      </c>
      <c r="AW46" s="715">
        <v>67775130</v>
      </c>
      <c r="AX46" s="715">
        <v>609060488.30999994</v>
      </c>
      <c r="AY46" s="712"/>
      <c r="AZ46" s="712">
        <v>-4.9880000000000001E-2</v>
      </c>
    </row>
    <row r="47" spans="1:52" ht="15">
      <c r="A47" s="488"/>
      <c r="B47" s="712" t="s">
        <v>486</v>
      </c>
      <c r="C47" s="712" t="s">
        <v>487</v>
      </c>
      <c r="D47" s="712" t="s">
        <v>376</v>
      </c>
      <c r="E47" s="712" t="s">
        <v>383</v>
      </c>
      <c r="F47" s="541">
        <f t="shared" si="31"/>
        <v>-2.8022744950400805E-2</v>
      </c>
      <c r="G47" s="541">
        <f t="shared" si="32"/>
        <v>-0.11599190283400809</v>
      </c>
      <c r="H47" s="713">
        <f t="shared" si="33"/>
        <v>404561673.91458303</v>
      </c>
      <c r="I47" s="805">
        <f t="shared" si="34"/>
        <v>-2.1903448595531656</v>
      </c>
      <c r="J47" s="541">
        <f t="shared" si="35"/>
        <v>-0.48975545274289495</v>
      </c>
      <c r="K47" s="480">
        <f t="shared" si="6"/>
        <v>32</v>
      </c>
      <c r="L47" s="480">
        <f t="shared" si="7"/>
        <v>41</v>
      </c>
      <c r="M47" s="480">
        <f t="shared" si="8"/>
        <v>28</v>
      </c>
      <c r="N47" s="480">
        <f t="shared" si="9"/>
        <v>62</v>
      </c>
      <c r="O47" s="480">
        <f t="shared" si="10"/>
        <v>45</v>
      </c>
      <c r="P47" s="491">
        <f t="shared" si="37"/>
        <v>30</v>
      </c>
      <c r="Q47" s="491">
        <f t="shared" si="38"/>
        <v>14</v>
      </c>
      <c r="R47" s="491">
        <f t="shared" si="39"/>
        <v>17</v>
      </c>
      <c r="S47" s="491">
        <f t="shared" si="40"/>
        <v>17</v>
      </c>
      <c r="T47" s="491">
        <f t="shared" si="41"/>
        <v>43</v>
      </c>
      <c r="U47" s="491">
        <f t="shared" si="42"/>
        <v>121</v>
      </c>
      <c r="V47" s="491">
        <f t="shared" si="22"/>
        <v>28</v>
      </c>
      <c r="W47" s="491">
        <f t="shared" si="36"/>
        <v>28</v>
      </c>
      <c r="Y47" s="491" t="str">
        <f t="shared" ref="Y47:Y62" si="43">IF(OR(Z47="Y",AA47="Y"),"Not suitable","")</f>
        <v/>
      </c>
      <c r="Z47" s="493" t="str">
        <f t="shared" ref="Z47:Z57" si="44">IF(OR(N47="N/A",O47="N/A"),"Y","")</f>
        <v/>
      </c>
      <c r="AA47" s="491"/>
      <c r="AB47" s="491"/>
      <c r="AS47" s="715">
        <v>-12262953.6</v>
      </c>
      <c r="AT47" s="715">
        <v>437607151.68000001</v>
      </c>
      <c r="AU47" s="715">
        <v>2671738.56</v>
      </c>
      <c r="AV47" s="715">
        <v>-23033836.800000001</v>
      </c>
      <c r="AW47" s="715">
        <v>47031302.399999999</v>
      </c>
      <c r="AX47" s="715">
        <v>404561673.91458303</v>
      </c>
      <c r="AY47" s="712">
        <v>9.7996787999999994E-3</v>
      </c>
      <c r="AZ47" s="712">
        <v>-8.2326384000000006E-3</v>
      </c>
    </row>
    <row r="48" spans="1:52" ht="15">
      <c r="A48" s="488"/>
      <c r="B48" s="712" t="s">
        <v>488</v>
      </c>
      <c r="C48" s="712" t="s">
        <v>489</v>
      </c>
      <c r="D48" s="712" t="s">
        <v>376</v>
      </c>
      <c r="E48" s="712" t="s">
        <v>377</v>
      </c>
      <c r="F48" s="541">
        <f t="shared" si="31"/>
        <v>3.0457396272983925E-2</v>
      </c>
      <c r="G48" s="541">
        <f t="shared" si="32"/>
        <v>2.4863459037711313</v>
      </c>
      <c r="H48" s="713">
        <f t="shared" si="33"/>
        <v>523549208.27999997</v>
      </c>
      <c r="I48" s="805">
        <f t="shared" si="34"/>
        <v>-0.91279620853080567</v>
      </c>
      <c r="J48" s="541">
        <f t="shared" si="35"/>
        <v>0.18237875014822721</v>
      </c>
      <c r="K48" s="480">
        <f t="shared" si="6"/>
        <v>29</v>
      </c>
      <c r="L48" s="480">
        <f t="shared" si="7"/>
        <v>13</v>
      </c>
      <c r="M48" s="480">
        <f t="shared" si="8"/>
        <v>24</v>
      </c>
      <c r="N48" s="480">
        <f t="shared" si="9"/>
        <v>46</v>
      </c>
      <c r="O48" s="480">
        <f t="shared" si="10"/>
        <v>15</v>
      </c>
      <c r="P48" s="491">
        <f t="shared" si="37"/>
        <v>27</v>
      </c>
      <c r="Q48" s="491">
        <f t="shared" si="38"/>
        <v>14</v>
      </c>
      <c r="R48" s="491">
        <f t="shared" si="39"/>
        <v>13</v>
      </c>
      <c r="S48" s="491">
        <f t="shared" si="40"/>
        <v>1</v>
      </c>
      <c r="T48" s="491">
        <f t="shared" si="41"/>
        <v>13</v>
      </c>
      <c r="U48" s="491">
        <f t="shared" si="42"/>
        <v>68</v>
      </c>
      <c r="V48" s="491">
        <f t="shared" si="22"/>
        <v>13</v>
      </c>
      <c r="W48" s="491">
        <f t="shared" si="36"/>
        <v>13</v>
      </c>
      <c r="Y48" s="491" t="str">
        <f t="shared" si="43"/>
        <v/>
      </c>
      <c r="Z48" s="493" t="str">
        <f t="shared" si="44"/>
        <v/>
      </c>
      <c r="AA48" s="491"/>
      <c r="AB48" s="491"/>
      <c r="AS48" s="715">
        <v>10810000</v>
      </c>
      <c r="AT48" s="715">
        <v>354922000</v>
      </c>
      <c r="AU48" s="715">
        <v>22944000</v>
      </c>
      <c r="AV48" s="715">
        <v>9228000</v>
      </c>
      <c r="AW48" s="715">
        <v>50598000</v>
      </c>
      <c r="AX48" s="715">
        <v>523549208.27999997</v>
      </c>
      <c r="AY48" s="712">
        <v>9.2000000000000003E-4</v>
      </c>
      <c r="AZ48" s="712">
        <v>1.055E-2</v>
      </c>
    </row>
    <row r="49" spans="1:52" ht="15">
      <c r="A49" s="488"/>
      <c r="B49" s="712" t="s">
        <v>490</v>
      </c>
      <c r="C49" s="712" t="s">
        <v>491</v>
      </c>
      <c r="D49" s="712" t="s">
        <v>376</v>
      </c>
      <c r="E49" s="712" t="s">
        <v>383</v>
      </c>
      <c r="F49" s="541">
        <f t="shared" si="31"/>
        <v>8.1206434481779888E-2</v>
      </c>
      <c r="G49" s="541">
        <f t="shared" si="32"/>
        <v>2.0956517216269703</v>
      </c>
      <c r="H49" s="713">
        <f t="shared" si="33"/>
        <v>964532428.186324</v>
      </c>
      <c r="I49" s="805">
        <f t="shared" si="34"/>
        <v>-0.70000657716320569</v>
      </c>
      <c r="J49" s="541">
        <f t="shared" si="35"/>
        <v>0.56521014826501526</v>
      </c>
      <c r="K49" s="480">
        <f t="shared" si="6"/>
        <v>18</v>
      </c>
      <c r="L49" s="480">
        <f t="shared" si="7"/>
        <v>15</v>
      </c>
      <c r="M49" s="480">
        <f t="shared" si="8"/>
        <v>22</v>
      </c>
      <c r="N49" s="480">
        <f t="shared" si="9"/>
        <v>42</v>
      </c>
      <c r="O49" s="480">
        <f t="shared" si="10"/>
        <v>4</v>
      </c>
      <c r="P49" s="491">
        <f t="shared" si="37"/>
        <v>16</v>
      </c>
      <c r="Q49" s="491">
        <f t="shared" si="38"/>
        <v>12</v>
      </c>
      <c r="R49" s="491">
        <f t="shared" si="39"/>
        <v>11</v>
      </c>
      <c r="S49" s="491">
        <f t="shared" si="40"/>
        <v>3</v>
      </c>
      <c r="T49" s="491">
        <f t="shared" si="41"/>
        <v>2</v>
      </c>
      <c r="U49" s="491">
        <f t="shared" si="42"/>
        <v>44</v>
      </c>
      <c r="V49" s="491">
        <f t="shared" si="22"/>
        <v>4</v>
      </c>
      <c r="W49" s="491">
        <f t="shared" si="36"/>
        <v>4</v>
      </c>
      <c r="Y49" s="491" t="str">
        <f t="shared" si="43"/>
        <v/>
      </c>
      <c r="Z49" s="493" t="str">
        <f t="shared" si="44"/>
        <v/>
      </c>
      <c r="AA49" s="491"/>
      <c r="AB49" s="491"/>
      <c r="AS49" s="715">
        <v>42771341.0288582</v>
      </c>
      <c r="AT49" s="715">
        <v>526698916.18569601</v>
      </c>
      <c r="AU49" s="715">
        <v>130943222.33375201</v>
      </c>
      <c r="AV49" s="715">
        <v>62483293.851944797</v>
      </c>
      <c r="AW49" s="715">
        <v>110548782.68506899</v>
      </c>
      <c r="AX49" s="715">
        <v>964532428.186324</v>
      </c>
      <c r="AY49" s="712">
        <v>0.26900810562281802</v>
      </c>
      <c r="AZ49" s="712">
        <v>0.89671334484278598</v>
      </c>
    </row>
    <row r="50" spans="1:52" ht="15">
      <c r="A50" s="488"/>
      <c r="B50" s="712" t="s">
        <v>492</v>
      </c>
      <c r="C50" s="712" t="s">
        <v>493</v>
      </c>
      <c r="D50" s="712" t="s">
        <v>376</v>
      </c>
      <c r="E50" s="712" t="s">
        <v>383</v>
      </c>
      <c r="F50" s="541">
        <f t="shared" si="31"/>
        <v>0.12982739642072536</v>
      </c>
      <c r="G50" s="541">
        <f t="shared" si="32"/>
        <v>0.31065585408019158</v>
      </c>
      <c r="H50" s="713">
        <f t="shared" si="33"/>
        <v>154598933.86881399</v>
      </c>
      <c r="I50" s="805">
        <f t="shared" si="34"/>
        <v>-1.3880565368024969</v>
      </c>
      <c r="J50" s="541">
        <f t="shared" si="35"/>
        <v>5.5111775132432338E-2</v>
      </c>
      <c r="K50" s="480">
        <f t="shared" si="6"/>
        <v>13</v>
      </c>
      <c r="L50" s="480">
        <f t="shared" si="7"/>
        <v>26</v>
      </c>
      <c r="M50" s="480">
        <f t="shared" si="8"/>
        <v>38</v>
      </c>
      <c r="N50" s="480">
        <f t="shared" si="9"/>
        <v>59</v>
      </c>
      <c r="O50" s="480">
        <f t="shared" si="10"/>
        <v>27</v>
      </c>
      <c r="P50" s="491">
        <f t="shared" si="37"/>
        <v>11</v>
      </c>
      <c r="Q50" s="491">
        <f t="shared" si="38"/>
        <v>1</v>
      </c>
      <c r="R50" s="491">
        <f t="shared" si="39"/>
        <v>27</v>
      </c>
      <c r="S50" s="491">
        <f t="shared" si="40"/>
        <v>14</v>
      </c>
      <c r="T50" s="491">
        <f t="shared" si="41"/>
        <v>25</v>
      </c>
      <c r="U50" s="491">
        <f t="shared" si="42"/>
        <v>78</v>
      </c>
      <c r="V50" s="491">
        <f t="shared" si="22"/>
        <v>16</v>
      </c>
      <c r="W50" s="491">
        <f t="shared" si="36"/>
        <v>16</v>
      </c>
      <c r="Y50" s="491" t="str">
        <f t="shared" si="43"/>
        <v/>
      </c>
      <c r="Z50" s="493" t="str">
        <f t="shared" si="44"/>
        <v/>
      </c>
      <c r="AA50" s="491"/>
      <c r="AB50" s="491"/>
      <c r="AS50" s="715">
        <v>6076721.8644918399</v>
      </c>
      <c r="AT50" s="715">
        <v>46806159.809284799</v>
      </c>
      <c r="AU50" s="715">
        <v>402959.72145545803</v>
      </c>
      <c r="AV50" s="715">
        <v>1297125.7942283601</v>
      </c>
      <c r="AW50" s="715">
        <v>23536273.166875798</v>
      </c>
      <c r="AX50" s="715">
        <v>154598933.86881399</v>
      </c>
      <c r="AY50" s="712">
        <v>-1.2279899719805001E-2</v>
      </c>
      <c r="AZ50" s="712">
        <v>3.1644615037253999E-2</v>
      </c>
    </row>
    <row r="51" spans="1:52" ht="15">
      <c r="A51" s="488"/>
      <c r="B51" s="712" t="s">
        <v>494</v>
      </c>
      <c r="C51" s="712" t="s">
        <v>495</v>
      </c>
      <c r="D51" s="712" t="s">
        <v>376</v>
      </c>
      <c r="E51" s="712" t="s">
        <v>383</v>
      </c>
      <c r="F51" s="541">
        <f t="shared" si="31"/>
        <v>-0.12436913957125392</v>
      </c>
      <c r="G51" s="541">
        <f t="shared" si="32"/>
        <v>-2.4379514649784921</v>
      </c>
      <c r="H51" s="713">
        <f t="shared" si="33"/>
        <v>228276863.515697</v>
      </c>
      <c r="I51" s="805">
        <f t="shared" si="34"/>
        <v>-0.53638305326274027</v>
      </c>
      <c r="J51" s="541">
        <f t="shared" si="35"/>
        <v>-1.2782446311858076</v>
      </c>
      <c r="K51" s="480">
        <f t="shared" si="6"/>
        <v>45</v>
      </c>
      <c r="L51" s="480">
        <f t="shared" si="7"/>
        <v>56</v>
      </c>
      <c r="M51" s="480">
        <f t="shared" si="8"/>
        <v>35</v>
      </c>
      <c r="N51" s="480">
        <f t="shared" si="9"/>
        <v>39</v>
      </c>
      <c r="O51" s="480">
        <f t="shared" si="10"/>
        <v>48</v>
      </c>
      <c r="P51" s="491">
        <f t="shared" si="37"/>
        <v>43</v>
      </c>
      <c r="Q51" s="491">
        <f t="shared" si="38"/>
        <v>29</v>
      </c>
      <c r="R51" s="491">
        <f t="shared" si="39"/>
        <v>24</v>
      </c>
      <c r="S51" s="491">
        <f t="shared" si="40"/>
        <v>6</v>
      </c>
      <c r="T51" s="491">
        <f t="shared" si="41"/>
        <v>46</v>
      </c>
      <c r="U51" s="491">
        <f t="shared" si="42"/>
        <v>148</v>
      </c>
      <c r="V51" s="491">
        <f t="shared" si="22"/>
        <v>42</v>
      </c>
      <c r="W51" s="491">
        <f t="shared" si="36"/>
        <v>42</v>
      </c>
      <c r="Y51" s="491" t="str">
        <f t="shared" si="43"/>
        <v/>
      </c>
      <c r="Z51" s="493" t="str">
        <f t="shared" si="44"/>
        <v/>
      </c>
      <c r="AA51" s="491"/>
      <c r="AB51" s="491"/>
      <c r="AS51" s="715">
        <v>-26729741.579999998</v>
      </c>
      <c r="AT51" s="715">
        <v>214922622.06</v>
      </c>
      <c r="AU51" s="715">
        <v>44089175.640000001</v>
      </c>
      <c r="AV51" s="715">
        <v>-18084517.379999999</v>
      </c>
      <c r="AW51" s="715">
        <v>14147931.42</v>
      </c>
      <c r="AX51" s="715">
        <v>228276863.515697</v>
      </c>
      <c r="AY51" s="712">
        <v>-6.3441574799999997E-2</v>
      </c>
      <c r="AZ51" s="712">
        <v>-0.1368405</v>
      </c>
    </row>
    <row r="52" spans="1:52" ht="15">
      <c r="A52" s="488"/>
      <c r="B52" s="712" t="s">
        <v>496</v>
      </c>
      <c r="C52" s="712" t="s">
        <v>497</v>
      </c>
      <c r="D52" s="712" t="s">
        <v>376</v>
      </c>
      <c r="E52" s="712" t="s">
        <v>377</v>
      </c>
      <c r="F52" s="541">
        <f t="shared" si="31"/>
        <v>-0.56512579006072627</v>
      </c>
      <c r="G52" s="541">
        <f t="shared" si="32"/>
        <v>-1.0206321334503951E-2</v>
      </c>
      <c r="H52" s="713">
        <f t="shared" si="33"/>
        <v>33835311.75</v>
      </c>
      <c r="I52" s="805">
        <f t="shared" si="34"/>
        <v>6.127659574468086</v>
      </c>
      <c r="J52" s="541">
        <f t="shared" si="35"/>
        <v>-6.1609195402298846</v>
      </c>
      <c r="K52" s="480">
        <f t="shared" si="6"/>
        <v>55</v>
      </c>
      <c r="L52" s="480">
        <f t="shared" si="7"/>
        <v>35</v>
      </c>
      <c r="M52" s="480">
        <f t="shared" si="8"/>
        <v>56</v>
      </c>
      <c r="N52" s="480">
        <f t="shared" si="9"/>
        <v>1</v>
      </c>
      <c r="O52" s="480">
        <f t="shared" si="10"/>
        <v>52</v>
      </c>
      <c r="P52" s="491">
        <f t="shared" si="37"/>
        <v>53</v>
      </c>
      <c r="Q52" s="491">
        <f t="shared" si="38"/>
        <v>8</v>
      </c>
      <c r="R52" s="491">
        <f t="shared" si="39"/>
        <v>45</v>
      </c>
      <c r="S52" s="491">
        <f t="shared" si="40"/>
        <v>44</v>
      </c>
      <c r="T52" s="491">
        <f t="shared" si="41"/>
        <v>50</v>
      </c>
      <c r="U52" s="491">
        <f t="shared" si="42"/>
        <v>200</v>
      </c>
      <c r="V52" s="491">
        <f t="shared" si="22"/>
        <v>60</v>
      </c>
      <c r="W52" s="491">
        <f t="shared" si="36"/>
        <v>60</v>
      </c>
      <c r="Y52" s="491" t="str">
        <f t="shared" si="43"/>
        <v/>
      </c>
      <c r="Z52" s="493" t="str">
        <f t="shared" si="44"/>
        <v/>
      </c>
      <c r="AA52" s="491"/>
      <c r="AB52" s="491"/>
      <c r="AS52" s="715">
        <v>-9120000</v>
      </c>
      <c r="AT52" s="715">
        <v>16138000</v>
      </c>
      <c r="AU52" s="715">
        <v>93000</v>
      </c>
      <c r="AV52" s="715">
        <v>-9112000</v>
      </c>
      <c r="AW52" s="715">
        <v>1479000</v>
      </c>
      <c r="AX52" s="715">
        <v>33835311.75</v>
      </c>
      <c r="AY52" s="712">
        <v>-0.67</v>
      </c>
      <c r="AZ52" s="712">
        <v>-9.4E-2</v>
      </c>
    </row>
    <row r="53" spans="1:52" ht="15">
      <c r="A53" s="488"/>
      <c r="B53" s="712" t="s">
        <v>498</v>
      </c>
      <c r="C53" s="712" t="s">
        <v>499</v>
      </c>
      <c r="D53" s="712" t="s">
        <v>376</v>
      </c>
      <c r="E53" s="712" t="s">
        <v>386</v>
      </c>
      <c r="F53" s="541">
        <f t="shared" si="31"/>
        <v>0</v>
      </c>
      <c r="G53" s="541">
        <f t="shared" si="32"/>
        <v>-0.84806623697681138</v>
      </c>
      <c r="H53" s="713">
        <f t="shared" si="33"/>
        <v>75533256.2292317</v>
      </c>
      <c r="I53" s="805">
        <f t="shared" si="34"/>
        <v>3.9807518115942031</v>
      </c>
      <c r="J53" s="541">
        <f t="shared" si="35"/>
        <v>-9.8901016124602776</v>
      </c>
      <c r="K53" s="480">
        <f t="shared" si="6"/>
        <v>30</v>
      </c>
      <c r="L53" s="480">
        <f t="shared" si="7"/>
        <v>48</v>
      </c>
      <c r="M53" s="480">
        <f t="shared" si="8"/>
        <v>46</v>
      </c>
      <c r="N53" s="480">
        <f t="shared" si="9"/>
        <v>4</v>
      </c>
      <c r="O53" s="480">
        <f t="shared" si="10"/>
        <v>54</v>
      </c>
      <c r="P53" s="491">
        <f t="shared" si="37"/>
        <v>28</v>
      </c>
      <c r="Q53" s="491">
        <f t="shared" si="38"/>
        <v>21</v>
      </c>
      <c r="R53" s="491">
        <f t="shared" si="39"/>
        <v>35</v>
      </c>
      <c r="S53" s="491">
        <f t="shared" si="40"/>
        <v>41</v>
      </c>
      <c r="T53" s="491">
        <f t="shared" si="41"/>
        <v>52</v>
      </c>
      <c r="U53" s="491">
        <f t="shared" si="42"/>
        <v>177</v>
      </c>
      <c r="V53" s="491">
        <f t="shared" si="22"/>
        <v>56</v>
      </c>
      <c r="W53" s="491">
        <f t="shared" si="36"/>
        <v>56</v>
      </c>
      <c r="Y53" s="491" t="str">
        <f t="shared" si="43"/>
        <v/>
      </c>
      <c r="Z53" s="493" t="str">
        <f t="shared" si="44"/>
        <v/>
      </c>
      <c r="AA53" s="491"/>
      <c r="AB53" s="491"/>
      <c r="AS53" s="715"/>
      <c r="AT53" s="715">
        <v>114944544.7431</v>
      </c>
      <c r="AU53" s="715">
        <v>15696635.642000001</v>
      </c>
      <c r="AV53" s="715">
        <v>-18508737.8292</v>
      </c>
      <c r="AW53" s="715">
        <v>1871440.6135</v>
      </c>
      <c r="AX53" s="715">
        <v>75533256.2292317</v>
      </c>
      <c r="AY53" s="712">
        <v>-0.2309475</v>
      </c>
      <c r="AZ53" s="712">
        <v>-4.6367999999999999E-2</v>
      </c>
    </row>
    <row r="54" spans="1:52" ht="15">
      <c r="A54" s="488"/>
      <c r="B54" s="712" t="s">
        <v>500</v>
      </c>
      <c r="C54" s="712" t="s">
        <v>501</v>
      </c>
      <c r="D54" s="712" t="s">
        <v>376</v>
      </c>
      <c r="E54" s="712" t="s">
        <v>383</v>
      </c>
      <c r="F54" s="541">
        <f t="shared" si="31"/>
        <v>-9.2174621098511517E-2</v>
      </c>
      <c r="G54" s="541">
        <f t="shared" si="32"/>
        <v>-1.1172123940974257</v>
      </c>
      <c r="H54" s="713">
        <f t="shared" si="33"/>
        <v>352931823.67862302</v>
      </c>
      <c r="I54" s="805">
        <f t="shared" si="34"/>
        <v>-0.24775650914163849</v>
      </c>
      <c r="J54" s="541">
        <f t="shared" si="35"/>
        <v>-3.9257446870222048</v>
      </c>
      <c r="K54" s="480">
        <f t="shared" si="6"/>
        <v>39</v>
      </c>
      <c r="L54" s="480">
        <f t="shared" si="7"/>
        <v>51</v>
      </c>
      <c r="M54" s="480">
        <f t="shared" si="8"/>
        <v>30</v>
      </c>
      <c r="N54" s="480">
        <f t="shared" si="9"/>
        <v>31</v>
      </c>
      <c r="O54" s="480">
        <f t="shared" si="10"/>
        <v>51</v>
      </c>
      <c r="P54" s="491">
        <f t="shared" si="37"/>
        <v>37</v>
      </c>
      <c r="Q54" s="491">
        <f t="shared" si="38"/>
        <v>24</v>
      </c>
      <c r="R54" s="491">
        <f t="shared" si="39"/>
        <v>19</v>
      </c>
      <c r="S54" s="491">
        <f t="shared" si="40"/>
        <v>14</v>
      </c>
      <c r="T54" s="491">
        <f t="shared" si="41"/>
        <v>49</v>
      </c>
      <c r="U54" s="491">
        <f t="shared" si="42"/>
        <v>143</v>
      </c>
      <c r="V54" s="491">
        <f t="shared" si="22"/>
        <v>38</v>
      </c>
      <c r="W54" s="491">
        <f t="shared" si="36"/>
        <v>38</v>
      </c>
      <c r="Y54" s="491" t="str">
        <f t="shared" si="43"/>
        <v/>
      </c>
      <c r="Z54" s="493" t="str">
        <f t="shared" si="44"/>
        <v/>
      </c>
      <c r="AA54" s="491"/>
      <c r="AB54" s="491"/>
      <c r="AS54" s="715">
        <v>-16040384.2074</v>
      </c>
      <c r="AT54" s="715">
        <v>174021699.42480001</v>
      </c>
      <c r="AU54" s="715">
        <v>15536510.0112</v>
      </c>
      <c r="AV54" s="715">
        <v>-13906496.287799999</v>
      </c>
      <c r="AW54" s="715">
        <v>3542384.2853999999</v>
      </c>
      <c r="AX54" s="715">
        <v>352931823.67862302</v>
      </c>
      <c r="AY54" s="712">
        <v>-0.1794528</v>
      </c>
      <c r="AZ54" s="712">
        <v>-0.23855680000000001</v>
      </c>
    </row>
    <row r="55" spans="1:52" ht="15">
      <c r="A55" s="488"/>
      <c r="B55" s="712" t="s">
        <v>502</v>
      </c>
      <c r="C55" s="712" t="s">
        <v>503</v>
      </c>
      <c r="D55" s="712" t="s">
        <v>376</v>
      </c>
      <c r="E55" s="712" t="s">
        <v>377</v>
      </c>
      <c r="F55" s="541">
        <f t="shared" si="31"/>
        <v>-0.34198138175047488</v>
      </c>
      <c r="G55" s="541">
        <f t="shared" si="32"/>
        <v>-7.0672115448605225E-3</v>
      </c>
      <c r="H55" s="713">
        <f t="shared" si="33"/>
        <v>59904965.174999997</v>
      </c>
      <c r="I55" s="805">
        <f t="shared" si="34"/>
        <v>-0.1235955056179775</v>
      </c>
      <c r="J55" s="541">
        <f t="shared" si="35"/>
        <v>-23.309337575096293</v>
      </c>
      <c r="K55" s="480">
        <f t="shared" si="6"/>
        <v>49</v>
      </c>
      <c r="L55" s="480">
        <f t="shared" si="7"/>
        <v>33</v>
      </c>
      <c r="M55" s="480">
        <f t="shared" si="8"/>
        <v>51</v>
      </c>
      <c r="N55" s="480">
        <f t="shared" si="9"/>
        <v>28</v>
      </c>
      <c r="O55" s="480">
        <f t="shared" si="10"/>
        <v>57</v>
      </c>
      <c r="P55" s="491">
        <f t="shared" si="37"/>
        <v>47</v>
      </c>
      <c r="Q55" s="491">
        <f t="shared" si="38"/>
        <v>6</v>
      </c>
      <c r="R55" s="491">
        <f t="shared" si="39"/>
        <v>40</v>
      </c>
      <c r="S55" s="491">
        <f t="shared" si="40"/>
        <v>17</v>
      </c>
      <c r="T55" s="491">
        <f t="shared" si="41"/>
        <v>55</v>
      </c>
      <c r="U55" s="491">
        <f t="shared" si="42"/>
        <v>165</v>
      </c>
      <c r="V55" s="491">
        <f t="shared" si="22"/>
        <v>51</v>
      </c>
      <c r="W55" s="491">
        <f t="shared" si="36"/>
        <v>51</v>
      </c>
      <c r="Y55" s="491" t="str">
        <f t="shared" si="43"/>
        <v/>
      </c>
      <c r="Z55" s="493" t="str">
        <f t="shared" si="44"/>
        <v/>
      </c>
      <c r="AA55" s="491"/>
      <c r="AB55" s="491"/>
      <c r="AS55" s="715">
        <v>-17735110</v>
      </c>
      <c r="AT55" s="715">
        <v>51859870</v>
      </c>
      <c r="AU55" s="715">
        <v>125310</v>
      </c>
      <c r="AV55" s="715">
        <v>-17731180</v>
      </c>
      <c r="AW55" s="715">
        <v>760690</v>
      </c>
      <c r="AX55" s="715">
        <v>59904965.174999997</v>
      </c>
      <c r="AY55" s="712">
        <v>-7.8E-2</v>
      </c>
      <c r="AZ55" s="712">
        <v>-8.8999999999999996E-2</v>
      </c>
    </row>
    <row r="56" spans="1:52" ht="15">
      <c r="A56" s="488"/>
      <c r="B56" s="712" t="s">
        <v>504</v>
      </c>
      <c r="C56" s="712" t="s">
        <v>505</v>
      </c>
      <c r="D56" s="712" t="s">
        <v>376</v>
      </c>
      <c r="E56" s="712" t="s">
        <v>377</v>
      </c>
      <c r="F56" s="541">
        <f t="shared" si="31"/>
        <v>-0.38705013392289356</v>
      </c>
      <c r="G56" s="541">
        <f t="shared" si="32"/>
        <v>-1.5305404582950221E-3</v>
      </c>
      <c r="H56" s="713">
        <f t="shared" si="33"/>
        <v>87122790.295000002</v>
      </c>
      <c r="I56" s="805">
        <f t="shared" si="34"/>
        <v>0.65151515151515138</v>
      </c>
      <c r="J56" s="541">
        <f t="shared" si="35"/>
        <v>-23.01460953385044</v>
      </c>
      <c r="K56" s="480">
        <f t="shared" si="6"/>
        <v>51</v>
      </c>
      <c r="L56" s="480">
        <f t="shared" si="7"/>
        <v>32</v>
      </c>
      <c r="M56" s="480">
        <f t="shared" si="8"/>
        <v>45</v>
      </c>
      <c r="N56" s="480">
        <f t="shared" si="9"/>
        <v>11</v>
      </c>
      <c r="O56" s="480">
        <f t="shared" si="10"/>
        <v>56</v>
      </c>
      <c r="P56" s="491">
        <f t="shared" si="37"/>
        <v>49</v>
      </c>
      <c r="Q56" s="491">
        <f t="shared" si="38"/>
        <v>5</v>
      </c>
      <c r="R56" s="491">
        <f t="shared" si="39"/>
        <v>34</v>
      </c>
      <c r="S56" s="491">
        <f t="shared" si="40"/>
        <v>34</v>
      </c>
      <c r="T56" s="491">
        <f t="shared" si="41"/>
        <v>54</v>
      </c>
      <c r="U56" s="491">
        <f t="shared" si="42"/>
        <v>176</v>
      </c>
      <c r="V56" s="491">
        <f t="shared" si="22"/>
        <v>55</v>
      </c>
      <c r="W56" s="491">
        <f t="shared" si="36"/>
        <v>55</v>
      </c>
      <c r="Y56" s="491" t="str">
        <f t="shared" si="43"/>
        <v/>
      </c>
      <c r="Z56" s="493" t="str">
        <f t="shared" si="44"/>
        <v/>
      </c>
      <c r="AA56" s="491"/>
      <c r="AB56" s="491"/>
      <c r="AS56" s="715">
        <v>-12233780</v>
      </c>
      <c r="AT56" s="715">
        <v>31607740</v>
      </c>
      <c r="AU56" s="715">
        <v>18710</v>
      </c>
      <c r="AV56" s="715">
        <v>-12224440</v>
      </c>
      <c r="AW56" s="715">
        <v>531160</v>
      </c>
      <c r="AX56" s="715">
        <v>87122790.295000002</v>
      </c>
      <c r="AY56" s="712">
        <v>-0.109</v>
      </c>
      <c r="AZ56" s="712">
        <v>-6.6000000000000003E-2</v>
      </c>
    </row>
    <row r="57" spans="1:52" ht="15">
      <c r="A57" s="488"/>
      <c r="B57" s="712" t="s">
        <v>506</v>
      </c>
      <c r="C57" s="712" t="s">
        <v>507</v>
      </c>
      <c r="D57" s="712" t="s">
        <v>376</v>
      </c>
      <c r="E57" s="712" t="s">
        <v>383</v>
      </c>
      <c r="F57" s="541">
        <f t="shared" si="31"/>
        <v>-0.57735316672500547</v>
      </c>
      <c r="G57" s="541">
        <f t="shared" si="32"/>
        <v>-0.42842097094267245</v>
      </c>
      <c r="H57" s="713">
        <f t="shared" si="33"/>
        <v>1409079923.1777999</v>
      </c>
      <c r="I57" s="805">
        <f t="shared" si="34"/>
        <v>-0.41336577215020254</v>
      </c>
      <c r="J57" s="541">
        <f t="shared" si="35"/>
        <v>-46.221368178324369</v>
      </c>
      <c r="K57" s="480">
        <f t="shared" si="6"/>
        <v>56</v>
      </c>
      <c r="L57" s="480">
        <f t="shared" si="7"/>
        <v>45</v>
      </c>
      <c r="M57" s="480">
        <f t="shared" si="8"/>
        <v>20</v>
      </c>
      <c r="N57" s="480">
        <f t="shared" si="9"/>
        <v>36</v>
      </c>
      <c r="O57" s="480">
        <f t="shared" si="10"/>
        <v>58</v>
      </c>
      <c r="P57" s="491">
        <f t="shared" ref="P57:P63" si="45">IFERROR(ABS(K$3-K57),"N/A")</f>
        <v>54</v>
      </c>
      <c r="Q57" s="491">
        <f t="shared" ref="Q57:Q63" si="46">IFERROR(ABS(L$3-L57),"N/A")</f>
        <v>18</v>
      </c>
      <c r="R57" s="491">
        <f t="shared" ref="R57:R63" si="47">IFERROR(ABS(M$3-M57),"N/A")</f>
        <v>9</v>
      </c>
      <c r="S57" s="491">
        <f t="shared" ref="S57:S63" si="48">IFERROR(ABS(N$3-N57),"N/A")</f>
        <v>9</v>
      </c>
      <c r="T57" s="491">
        <f t="shared" ref="T57:T63" si="49">IFERROR(ABS(O$3-O57),"N/A")</f>
        <v>56</v>
      </c>
      <c r="U57" s="491">
        <f t="shared" ref="U57:U63" si="50">SUM(P57:T57)</f>
        <v>146</v>
      </c>
      <c r="V57" s="491">
        <f t="shared" si="22"/>
        <v>40</v>
      </c>
      <c r="W57" s="491">
        <f t="shared" si="36"/>
        <v>40</v>
      </c>
      <c r="Y57" s="491" t="str">
        <f t="shared" si="43"/>
        <v/>
      </c>
      <c r="Z57" s="493" t="str">
        <f t="shared" si="44"/>
        <v/>
      </c>
      <c r="AA57" s="491"/>
      <c r="AB57" s="491"/>
      <c r="AS57" s="715">
        <v>-317291012.25</v>
      </c>
      <c r="AT57" s="715">
        <v>549561395.92999995</v>
      </c>
      <c r="AU57" s="715">
        <v>113492017.84</v>
      </c>
      <c r="AV57" s="715">
        <v>-264907708.86000001</v>
      </c>
      <c r="AW57" s="715">
        <v>5731282.29</v>
      </c>
      <c r="AX57" s="715">
        <v>1409079923.1777999</v>
      </c>
      <c r="AY57" s="712">
        <v>-1.5359458994999999</v>
      </c>
      <c r="AZ57" s="712">
        <v>-2.6182343725999999</v>
      </c>
    </row>
    <row r="58" spans="1:52" ht="15">
      <c r="A58" s="488"/>
      <c r="B58" s="712" t="s">
        <v>508</v>
      </c>
      <c r="C58" s="712" t="s">
        <v>509</v>
      </c>
      <c r="D58" s="712" t="s">
        <v>376</v>
      </c>
      <c r="E58" s="712" t="s">
        <v>377</v>
      </c>
      <c r="F58" s="541">
        <f t="shared" si="31"/>
        <v>-5.5744823535466996E-2</v>
      </c>
      <c r="G58" s="541">
        <f t="shared" si="32"/>
        <v>-8.4974906968010647E-2</v>
      </c>
      <c r="H58" s="713">
        <f t="shared" si="33"/>
        <v>26903123.594999999</v>
      </c>
      <c r="I58" s="805">
        <f t="shared" si="34"/>
        <v>-1</v>
      </c>
      <c r="J58" s="541">
        <f t="shared" si="35"/>
        <v>-19.767175057362667</v>
      </c>
      <c r="K58" s="480">
        <f t="shared" si="6"/>
        <v>35</v>
      </c>
      <c r="L58" s="480">
        <f t="shared" si="7"/>
        <v>40</v>
      </c>
      <c r="M58" s="480">
        <f t="shared" si="8"/>
        <v>59</v>
      </c>
      <c r="N58" s="480">
        <f t="shared" si="9"/>
        <v>47</v>
      </c>
      <c r="O58" s="480">
        <f t="shared" si="10"/>
        <v>55</v>
      </c>
      <c r="P58" s="491">
        <f t="shared" si="45"/>
        <v>33</v>
      </c>
      <c r="Q58" s="491">
        <f t="shared" si="46"/>
        <v>13</v>
      </c>
      <c r="R58" s="491">
        <f t="shared" si="47"/>
        <v>48</v>
      </c>
      <c r="S58" s="491">
        <f t="shared" si="48"/>
        <v>2</v>
      </c>
      <c r="T58" s="491">
        <f t="shared" si="49"/>
        <v>53</v>
      </c>
      <c r="U58" s="491">
        <f t="shared" si="50"/>
        <v>149</v>
      </c>
      <c r="V58" s="491">
        <f t="shared" si="22"/>
        <v>45</v>
      </c>
      <c r="W58" s="491" t="str">
        <f t="shared" si="36"/>
        <v>-</v>
      </c>
      <c r="Y58" s="754" t="s">
        <v>481</v>
      </c>
      <c r="Z58" s="753"/>
      <c r="AA58" s="491"/>
      <c r="AB58" s="491"/>
      <c r="AS58" s="715">
        <v>-1472970</v>
      </c>
      <c r="AT58" s="715">
        <v>26423440</v>
      </c>
      <c r="AU58" s="715">
        <v>124450</v>
      </c>
      <c r="AV58" s="715">
        <v>-1464550</v>
      </c>
      <c r="AW58" s="715">
        <v>74090</v>
      </c>
      <c r="AX58" s="715">
        <v>26903123.594999999</v>
      </c>
      <c r="AY58" s="712"/>
      <c r="AZ58" s="712">
        <v>9.1E-4</v>
      </c>
    </row>
    <row r="59" spans="1:52" ht="15">
      <c r="A59" s="488"/>
      <c r="B59" s="712" t="s">
        <v>510</v>
      </c>
      <c r="C59" s="712" t="s">
        <v>511</v>
      </c>
      <c r="D59" s="712" t="s">
        <v>376</v>
      </c>
      <c r="E59" s="712" t="s">
        <v>377</v>
      </c>
      <c r="F59" s="541">
        <f t="shared" si="31"/>
        <v>-0.10861203325949589</v>
      </c>
      <c r="G59" s="541">
        <f t="shared" si="32"/>
        <v>-3.0703657914530506E-2</v>
      </c>
      <c r="H59" s="713">
        <f t="shared" si="33"/>
        <v>66149886.240000002</v>
      </c>
      <c r="I59" s="805">
        <f t="shared" si="34"/>
        <v>-1</v>
      </c>
      <c r="J59" s="541">
        <f t="shared" si="35"/>
        <v>-97.691722972972968</v>
      </c>
      <c r="K59" s="480">
        <f t="shared" si="6"/>
        <v>42</v>
      </c>
      <c r="L59" s="480">
        <f t="shared" si="7"/>
        <v>39</v>
      </c>
      <c r="M59" s="480">
        <f t="shared" si="8"/>
        <v>48</v>
      </c>
      <c r="N59" s="480">
        <f t="shared" si="9"/>
        <v>47</v>
      </c>
      <c r="O59" s="480">
        <f t="shared" si="10"/>
        <v>61</v>
      </c>
      <c r="P59" s="491">
        <f t="shared" si="45"/>
        <v>40</v>
      </c>
      <c r="Q59" s="491">
        <f t="shared" si="46"/>
        <v>12</v>
      </c>
      <c r="R59" s="491">
        <f t="shared" si="47"/>
        <v>37</v>
      </c>
      <c r="S59" s="491">
        <f t="shared" si="48"/>
        <v>2</v>
      </c>
      <c r="T59" s="491">
        <f t="shared" si="49"/>
        <v>59</v>
      </c>
      <c r="U59" s="491">
        <f t="shared" si="50"/>
        <v>150</v>
      </c>
      <c r="V59" s="491">
        <f t="shared" si="22"/>
        <v>46</v>
      </c>
      <c r="W59" s="491" t="str">
        <f t="shared" si="36"/>
        <v>-</v>
      </c>
      <c r="Y59" s="754" t="s">
        <v>481</v>
      </c>
      <c r="Z59" s="753"/>
      <c r="AA59" s="491"/>
      <c r="AB59" s="491"/>
      <c r="AS59" s="715">
        <v>-5521990</v>
      </c>
      <c r="AT59" s="715">
        <v>50841420</v>
      </c>
      <c r="AU59" s="715">
        <v>177570</v>
      </c>
      <c r="AV59" s="715">
        <v>-5783350</v>
      </c>
      <c r="AW59" s="715">
        <v>59200</v>
      </c>
      <c r="AX59" s="715">
        <v>66149886.240000002</v>
      </c>
      <c r="AY59" s="712"/>
      <c r="AZ59" s="712">
        <v>-1E-3</v>
      </c>
    </row>
    <row r="60" spans="1:52" ht="15">
      <c r="A60" s="488"/>
      <c r="B60" s="712" t="s">
        <v>512</v>
      </c>
      <c r="C60" s="712" t="s">
        <v>513</v>
      </c>
      <c r="D60" s="712" t="s">
        <v>376</v>
      </c>
      <c r="E60" s="712" t="s">
        <v>377</v>
      </c>
      <c r="F60" s="541">
        <f t="shared" si="31"/>
        <v>-0.35071905907511358</v>
      </c>
      <c r="G60" s="541">
        <f t="shared" si="32"/>
        <v>-2.4714148742826885E-2</v>
      </c>
      <c r="H60" s="713">
        <f t="shared" si="33"/>
        <v>474535230.88</v>
      </c>
      <c r="I60" s="805">
        <f t="shared" si="34"/>
        <v>-0.30784234983649816</v>
      </c>
      <c r="J60" s="541">
        <f t="shared" si="35"/>
        <v>-76.537787513691129</v>
      </c>
      <c r="K60" s="480">
        <f t="shared" si="6"/>
        <v>50</v>
      </c>
      <c r="L60" s="480">
        <f t="shared" si="7"/>
        <v>38</v>
      </c>
      <c r="M60" s="480">
        <f t="shared" si="8"/>
        <v>25</v>
      </c>
      <c r="N60" s="480">
        <f t="shared" si="9"/>
        <v>35</v>
      </c>
      <c r="O60" s="480">
        <f t="shared" si="10"/>
        <v>60</v>
      </c>
      <c r="P60" s="491">
        <f t="shared" si="45"/>
        <v>48</v>
      </c>
      <c r="Q60" s="491">
        <f t="shared" si="46"/>
        <v>11</v>
      </c>
      <c r="R60" s="491">
        <f t="shared" si="47"/>
        <v>14</v>
      </c>
      <c r="S60" s="491">
        <f t="shared" si="48"/>
        <v>10</v>
      </c>
      <c r="T60" s="491">
        <f t="shared" si="49"/>
        <v>58</v>
      </c>
      <c r="U60" s="491">
        <f t="shared" si="50"/>
        <v>141</v>
      </c>
      <c r="V60" s="491">
        <f t="shared" si="22"/>
        <v>37</v>
      </c>
      <c r="W60" s="491">
        <f t="shared" si="36"/>
        <v>37</v>
      </c>
      <c r="Y60" s="491" t="str">
        <f t="shared" si="43"/>
        <v/>
      </c>
      <c r="Z60" s="493"/>
      <c r="AA60" s="491"/>
      <c r="AB60" s="491"/>
      <c r="AS60" s="715">
        <v>-65602000</v>
      </c>
      <c r="AT60" s="715">
        <v>187050000</v>
      </c>
      <c r="AU60" s="715">
        <v>1727000</v>
      </c>
      <c r="AV60" s="715">
        <v>-69879000</v>
      </c>
      <c r="AW60" s="715">
        <v>913000</v>
      </c>
      <c r="AX60" s="715">
        <v>474535230.88</v>
      </c>
      <c r="AY60" s="712">
        <v>-0.12064999999999999</v>
      </c>
      <c r="AZ60" s="712">
        <v>-0.17430999999999999</v>
      </c>
    </row>
    <row r="61" spans="1:52" ht="15">
      <c r="A61" s="488"/>
      <c r="B61" s="712" t="s">
        <v>514</v>
      </c>
      <c r="C61" s="712" t="s">
        <v>515</v>
      </c>
      <c r="D61" s="712" t="s">
        <v>376</v>
      </c>
      <c r="E61" s="712" t="s">
        <v>377</v>
      </c>
      <c r="F61" s="541">
        <f t="shared" si="31"/>
        <v>-9.8721299955252195E-2</v>
      </c>
      <c r="G61" s="541">
        <f t="shared" si="32"/>
        <v>-1.9379265966492771E-2</v>
      </c>
      <c r="H61" s="713">
        <f t="shared" si="33"/>
        <v>53946292.169</v>
      </c>
      <c r="I61" s="805">
        <f t="shared" si="34"/>
        <v>-1</v>
      </c>
      <c r="J61" s="541">
        <f t="shared" si="35"/>
        <v>-66.729201277955269</v>
      </c>
      <c r="K61" s="480">
        <f t="shared" si="6"/>
        <v>40</v>
      </c>
      <c r="L61" s="480">
        <f t="shared" si="7"/>
        <v>37</v>
      </c>
      <c r="M61" s="480">
        <f t="shared" si="8"/>
        <v>52</v>
      </c>
      <c r="N61" s="480">
        <f t="shared" si="9"/>
        <v>47</v>
      </c>
      <c r="O61" s="480">
        <f t="shared" si="10"/>
        <v>59</v>
      </c>
      <c r="P61" s="491">
        <f t="shared" si="45"/>
        <v>38</v>
      </c>
      <c r="Q61" s="491">
        <f t="shared" si="46"/>
        <v>10</v>
      </c>
      <c r="R61" s="491">
        <f t="shared" si="47"/>
        <v>41</v>
      </c>
      <c r="S61" s="491">
        <f t="shared" si="48"/>
        <v>2</v>
      </c>
      <c r="T61" s="491">
        <f t="shared" si="49"/>
        <v>57</v>
      </c>
      <c r="U61" s="491">
        <f t="shared" si="50"/>
        <v>148</v>
      </c>
      <c r="V61" s="491">
        <f t="shared" si="22"/>
        <v>42</v>
      </c>
      <c r="W61" s="491" t="str">
        <f t="shared" si="36"/>
        <v>-</v>
      </c>
      <c r="Y61" s="754" t="s">
        <v>481</v>
      </c>
      <c r="Z61" s="753"/>
      <c r="AA61" s="491"/>
      <c r="AB61" s="491"/>
      <c r="AS61" s="715">
        <v>-5012420</v>
      </c>
      <c r="AT61" s="715">
        <v>50773440</v>
      </c>
      <c r="AU61" s="715">
        <v>101190</v>
      </c>
      <c r="AV61" s="715">
        <v>-5221560</v>
      </c>
      <c r="AW61" s="715">
        <v>78250</v>
      </c>
      <c r="AX61" s="715">
        <v>53946292.169</v>
      </c>
      <c r="AY61" s="712"/>
      <c r="AZ61" s="712">
        <v>-5.47E-3</v>
      </c>
    </row>
    <row r="62" spans="1:52" ht="15">
      <c r="A62" s="488"/>
      <c r="B62" s="712" t="s">
        <v>516</v>
      </c>
      <c r="C62" s="712" t="s">
        <v>517</v>
      </c>
      <c r="D62" s="712" t="s">
        <v>376</v>
      </c>
      <c r="E62" s="712" t="s">
        <v>377</v>
      </c>
      <c r="F62" s="541">
        <f t="shared" si="31"/>
        <v>-0.9381763972814906</v>
      </c>
      <c r="G62" s="541">
        <f t="shared" si="32"/>
        <v>-9.2008796770708095E-3</v>
      </c>
      <c r="H62" s="713">
        <f t="shared" si="33"/>
        <v>1651246470</v>
      </c>
      <c r="I62" s="805">
        <f t="shared" si="34"/>
        <v>-5.7142857142857162E-2</v>
      </c>
      <c r="J62" s="541">
        <f t="shared" si="35"/>
        <v>-418.12852619458835</v>
      </c>
      <c r="K62" s="480">
        <f t="shared" si="6"/>
        <v>58</v>
      </c>
      <c r="L62" s="480">
        <f t="shared" si="7"/>
        <v>34</v>
      </c>
      <c r="M62" s="480">
        <f t="shared" si="8"/>
        <v>19</v>
      </c>
      <c r="N62" s="480">
        <f t="shared" si="9"/>
        <v>24</v>
      </c>
      <c r="O62" s="480">
        <f t="shared" si="10"/>
        <v>62</v>
      </c>
      <c r="P62" s="491">
        <f t="shared" si="45"/>
        <v>56</v>
      </c>
      <c r="Q62" s="491">
        <f t="shared" si="46"/>
        <v>7</v>
      </c>
      <c r="R62" s="491">
        <f t="shared" si="47"/>
        <v>8</v>
      </c>
      <c r="S62" s="491">
        <f t="shared" si="48"/>
        <v>21</v>
      </c>
      <c r="T62" s="491">
        <f t="shared" si="49"/>
        <v>60</v>
      </c>
      <c r="U62" s="491">
        <f t="shared" si="50"/>
        <v>152</v>
      </c>
      <c r="V62" s="491">
        <f t="shared" si="22"/>
        <v>47</v>
      </c>
      <c r="W62" s="491">
        <f t="shared" si="36"/>
        <v>47</v>
      </c>
      <c r="Y62" s="491" t="str">
        <f t="shared" si="43"/>
        <v/>
      </c>
      <c r="Z62" s="493"/>
      <c r="AA62" s="491"/>
      <c r="AB62" s="491"/>
      <c r="AS62" s="715">
        <v>-29081470</v>
      </c>
      <c r="AT62" s="715">
        <v>30997870</v>
      </c>
      <c r="AU62" s="715">
        <v>267300</v>
      </c>
      <c r="AV62" s="715">
        <v>-29051570</v>
      </c>
      <c r="AW62" s="715">
        <v>69480</v>
      </c>
      <c r="AX62" s="715">
        <v>1651246470</v>
      </c>
      <c r="AY62" s="712">
        <v>-3.3000000000000002E-2</v>
      </c>
      <c r="AZ62" s="712">
        <v>-3.5000000000000003E-2</v>
      </c>
    </row>
    <row r="63" spans="1:52" ht="15">
      <c r="A63" s="488"/>
      <c r="B63" s="712" t="s">
        <v>518</v>
      </c>
      <c r="C63" s="712" t="s">
        <v>519</v>
      </c>
      <c r="D63" s="712" t="s">
        <v>376</v>
      </c>
      <c r="E63" s="712" t="s">
        <v>377</v>
      </c>
      <c r="F63" s="541">
        <f t="shared" si="31"/>
        <v>-6.8907004976583516E-2</v>
      </c>
      <c r="G63" s="541">
        <f t="shared" si="32"/>
        <v>-25.221914328345747</v>
      </c>
      <c r="H63" s="713">
        <f t="shared" si="33"/>
        <v>138943602.22999999</v>
      </c>
      <c r="I63" s="805">
        <f t="shared" si="34"/>
        <v>-1</v>
      </c>
      <c r="J63" s="541">
        <f t="shared" si="35"/>
        <v>-0.14976720183750436</v>
      </c>
      <c r="K63" s="480">
        <f t="shared" si="6"/>
        <v>38</v>
      </c>
      <c r="L63" s="480">
        <f t="shared" si="7"/>
        <v>62</v>
      </c>
      <c r="M63" s="480">
        <f t="shared" si="8"/>
        <v>40</v>
      </c>
      <c r="N63" s="480">
        <f t="shared" si="9"/>
        <v>47</v>
      </c>
      <c r="O63" s="480">
        <f t="shared" si="10"/>
        <v>33</v>
      </c>
      <c r="P63" s="491">
        <f t="shared" si="45"/>
        <v>36</v>
      </c>
      <c r="Q63" s="491">
        <f t="shared" si="46"/>
        <v>35</v>
      </c>
      <c r="R63" s="491">
        <f t="shared" si="47"/>
        <v>29</v>
      </c>
      <c r="S63" s="491">
        <f t="shared" si="48"/>
        <v>2</v>
      </c>
      <c r="T63" s="491">
        <f t="shared" si="49"/>
        <v>31</v>
      </c>
      <c r="U63" s="491">
        <f t="shared" si="50"/>
        <v>133</v>
      </c>
      <c r="V63" s="491">
        <f t="shared" si="22"/>
        <v>34</v>
      </c>
      <c r="W63" s="491" t="str">
        <f t="shared" si="36"/>
        <v>-</v>
      </c>
      <c r="Y63" s="754" t="s">
        <v>481</v>
      </c>
      <c r="Z63" s="753"/>
      <c r="AA63" s="491"/>
      <c r="AB63" s="491"/>
      <c r="AS63" s="715">
        <v>-11540570</v>
      </c>
      <c r="AT63" s="715">
        <v>167480360</v>
      </c>
      <c r="AU63" s="715">
        <v>229551200</v>
      </c>
      <c r="AV63" s="715">
        <v>-9101260</v>
      </c>
      <c r="AW63" s="715">
        <v>60769380</v>
      </c>
      <c r="AX63" s="715">
        <v>138943602.22999999</v>
      </c>
      <c r="AY63" s="712"/>
      <c r="AZ63" s="712">
        <v>-0.01</v>
      </c>
    </row>
    <row r="64" spans="1:52" ht="15">
      <c r="A64" s="747"/>
      <c r="B64" s="748" t="s">
        <v>520</v>
      </c>
      <c r="C64" s="748" t="s">
        <v>521</v>
      </c>
      <c r="D64" s="748" t="s">
        <v>376</v>
      </c>
      <c r="E64" s="748" t="s">
        <v>377</v>
      </c>
      <c r="F64" s="749">
        <f t="shared" si="31"/>
        <v>-0.23443772262113416</v>
      </c>
      <c r="G64" s="749">
        <f t="shared" si="32"/>
        <v>-2.7180453394429036</v>
      </c>
      <c r="H64" s="750">
        <f t="shared" si="33"/>
        <v>103937991.64</v>
      </c>
      <c r="I64" s="806">
        <f t="shared" si="34"/>
        <v>5.8201058201058142E-2</v>
      </c>
      <c r="J64" s="751">
        <f t="shared" si="35"/>
        <v>-0.16966733499734032</v>
      </c>
      <c r="K64" s="746">
        <f t="shared" si="6"/>
        <v>48</v>
      </c>
      <c r="L64" s="746">
        <f t="shared" si="7"/>
        <v>57</v>
      </c>
      <c r="M64" s="746">
        <f t="shared" si="8"/>
        <v>43</v>
      </c>
      <c r="N64" s="746">
        <f t="shared" si="9"/>
        <v>18</v>
      </c>
      <c r="O64" s="746">
        <f t="shared" si="10"/>
        <v>35</v>
      </c>
      <c r="P64" s="496">
        <f t="shared" ref="P64" si="51">IFERROR(ABS(K$3-K64),"N/A")</f>
        <v>46</v>
      </c>
      <c r="Q64" s="496">
        <f t="shared" ref="Q64" si="52">IFERROR(ABS(L$3-L64),"N/A")</f>
        <v>30</v>
      </c>
      <c r="R64" s="496">
        <f t="shared" ref="R64" si="53">IFERROR(ABS(M$3-M64),"N/A")</f>
        <v>32</v>
      </c>
      <c r="S64" s="496">
        <f t="shared" ref="S64" si="54">IFERROR(ABS(N$3-N64),"N/A")</f>
        <v>27</v>
      </c>
      <c r="T64" s="496">
        <f t="shared" ref="T64" si="55">IFERROR(ABS(O$3-O64),"N/A")</f>
        <v>33</v>
      </c>
      <c r="U64" s="496">
        <f t="shared" ref="U64" si="56">SUM(P64:T64)</f>
        <v>168</v>
      </c>
      <c r="V64" s="744">
        <f t="shared" si="22"/>
        <v>52</v>
      </c>
      <c r="W64" s="496">
        <f t="shared" si="36"/>
        <v>52</v>
      </c>
      <c r="Y64" s="744" t="str">
        <f t="shared" ref="Y64" si="57">IF(OR(Z64="Y",AA64="Y"),"Not suitable","")</f>
        <v/>
      </c>
      <c r="Z64" s="745" t="str">
        <f t="shared" ref="Z64" si="58">IF(OR(N64="N/A",O64="N/A"),"Y","")</f>
        <v/>
      </c>
      <c r="AA64" s="744"/>
      <c r="AB64" s="744"/>
      <c r="AS64" s="715">
        <v>-33172000</v>
      </c>
      <c r="AT64" s="715">
        <v>141496000</v>
      </c>
      <c r="AU64" s="715">
        <v>90163000</v>
      </c>
      <c r="AV64" s="715">
        <v>-33172000</v>
      </c>
      <c r="AW64" s="715">
        <v>195512000</v>
      </c>
      <c r="AX64" s="715">
        <v>103937991.64</v>
      </c>
      <c r="AY64" s="712">
        <v>-0.01</v>
      </c>
      <c r="AZ64" s="712">
        <v>-9.4500000000000001E-3</v>
      </c>
    </row>
  </sheetData>
  <mergeCells count="20">
    <mergeCell ref="AE14:AI14"/>
    <mergeCell ref="AJ14:AL14"/>
    <mergeCell ref="AM14:AN14"/>
    <mergeCell ref="AE13:AI13"/>
    <mergeCell ref="AJ13:AL13"/>
    <mergeCell ref="AM13:AN13"/>
    <mergeCell ref="AD1:AD12"/>
    <mergeCell ref="AE1:AI1"/>
    <mergeCell ref="AJ1:AL1"/>
    <mergeCell ref="AM1:AN1"/>
    <mergeCell ref="AE10:AI10"/>
    <mergeCell ref="AJ10:AN10"/>
    <mergeCell ref="AH11:AI11"/>
    <mergeCell ref="AH12:AI12"/>
    <mergeCell ref="AE9:AI9"/>
    <mergeCell ref="F1:J1"/>
    <mergeCell ref="K1:O1"/>
    <mergeCell ref="P1:T1"/>
    <mergeCell ref="U1:W1"/>
    <mergeCell ref="Y1:AB1"/>
  </mergeCells>
  <conditionalFormatting sqref="AJ14:AN14">
    <cfRule type="cellIs" dxfId="593" priority="1" operator="lessThan">
      <formula>0</formula>
    </cfRule>
    <cfRule type="cellIs" dxfId="592" priority="2" operator="greaterThan">
      <formula>0</formula>
    </cfRule>
  </conditionalFormatting>
  <dataValidations count="1">
    <dataValidation allowBlank="1" showInputMessage="1" showErrorMessage="1" prompt="Average: 0.5347106581265141" sqref="I3:I64" xr:uid="{441619D8-68EF-4763-B7AA-BE34DD4CF6E1}"/>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M100"/>
  <sheetViews>
    <sheetView showGridLines="0" topLeftCell="J3" zoomScale="60" zoomScaleNormal="60" workbookViewId="0">
      <selection activeCell="L11" sqref="L11:P11"/>
    </sheetView>
  </sheetViews>
  <sheetFormatPr defaultColWidth="11.42578125" defaultRowHeight="12.95"/>
  <cols>
    <col min="1" max="1" width="3" style="64" bestFit="1" customWidth="1"/>
    <col min="2" max="2" width="59.42578125" style="64" customWidth="1"/>
    <col min="3" max="4" width="12.7109375" style="64" customWidth="1"/>
    <col min="5" max="5" width="11.42578125" style="64" bestFit="1" customWidth="1"/>
    <col min="6" max="6" width="11" style="64" customWidth="1"/>
    <col min="7" max="7" width="10.28515625" style="64" customWidth="1"/>
    <col min="8" max="8" width="20.28515625" style="355" customWidth="1"/>
    <col min="9" max="9" width="28.7109375" style="355" customWidth="1"/>
    <col min="10" max="10" width="64.28515625" style="64" customWidth="1"/>
    <col min="11" max="11" width="34.7109375" style="64" bestFit="1" customWidth="1"/>
    <col min="12" max="12" width="21.28515625" style="64" customWidth="1"/>
    <col min="13" max="13" width="19.7109375" style="64" customWidth="1"/>
    <col min="14" max="14" width="20.7109375" style="64" bestFit="1" customWidth="1"/>
    <col min="15" max="16" width="20.7109375" style="64" customWidth="1"/>
    <col min="17" max="18" width="19.7109375" style="64" hidden="1" customWidth="1"/>
    <col min="19" max="19" width="22.28515625" style="64" hidden="1" customWidth="1"/>
    <col min="20" max="20" width="13.28515625" style="64" bestFit="1" customWidth="1"/>
    <col min="21" max="23" width="18.7109375" style="64" bestFit="1" customWidth="1"/>
    <col min="24" max="24" width="20.28515625" style="64" bestFit="1" customWidth="1"/>
    <col min="25" max="25" width="18.42578125" style="64" bestFit="1" customWidth="1"/>
    <col min="26" max="26" width="18.7109375" style="64" bestFit="1" customWidth="1"/>
    <col min="27" max="27" width="16.42578125" style="64" bestFit="1" customWidth="1"/>
    <col min="28" max="28" width="18.7109375" style="64" bestFit="1" customWidth="1"/>
    <col min="29" max="29" width="20.28515625" style="64" bestFit="1" customWidth="1"/>
    <col min="30" max="30" width="13.7109375" style="64" bestFit="1" customWidth="1"/>
    <col min="31" max="33" width="18.7109375" style="64" bestFit="1" customWidth="1"/>
    <col min="34" max="34" width="20.28515625" style="64" bestFit="1" customWidth="1"/>
    <col min="35" max="35" width="11.42578125" style="64" bestFit="1" customWidth="1"/>
    <col min="36" max="36" width="20.28515625" style="64" bestFit="1" customWidth="1"/>
    <col min="37" max="37" width="13.7109375" style="64" bestFit="1" customWidth="1"/>
    <col min="38" max="39" width="11.42578125" style="64"/>
    <col min="40" max="42" width="12.7109375" style="64" bestFit="1" customWidth="1"/>
    <col min="43" max="43" width="13.7109375" style="64" bestFit="1" customWidth="1"/>
    <col min="44" max="45" width="11.42578125" style="64"/>
    <col min="46" max="46" width="13.7109375" style="64" bestFit="1" customWidth="1"/>
    <col min="47" max="16384" width="11.42578125" style="64"/>
  </cols>
  <sheetData>
    <row r="1" spans="1:37">
      <c r="B1" s="182" t="s">
        <v>522</v>
      </c>
      <c r="C1" s="68"/>
      <c r="D1" s="68"/>
      <c r="E1" s="68"/>
      <c r="F1" s="68"/>
      <c r="G1" s="68"/>
      <c r="H1" s="350"/>
      <c r="I1" s="350"/>
      <c r="J1" s="68"/>
    </row>
    <row r="2" spans="1:37" ht="14.1" thickBot="1">
      <c r="B2" s="74" t="s">
        <v>523</v>
      </c>
      <c r="C2" s="183" t="s">
        <v>524</v>
      </c>
      <c r="D2" s="68"/>
      <c r="E2" s="68"/>
      <c r="F2" s="68"/>
      <c r="G2" s="68"/>
      <c r="H2" s="350"/>
      <c r="I2" s="350"/>
      <c r="J2" s="68"/>
      <c r="U2"/>
      <c r="V2" s="357"/>
      <c r="W2" s="357"/>
      <c r="X2" s="357"/>
      <c r="Y2" s="357"/>
      <c r="Z2" s="357"/>
      <c r="AA2" s="357"/>
      <c r="AB2" s="357"/>
      <c r="AC2" s="357"/>
      <c r="AD2" s="357"/>
      <c r="AE2" s="357"/>
      <c r="AF2" s="357"/>
      <c r="AG2" s="357"/>
      <c r="AH2" s="357"/>
      <c r="AI2" s="357"/>
      <c r="AJ2" s="357"/>
    </row>
    <row r="3" spans="1:37" ht="21" thickBot="1">
      <c r="B3" s="1425" t="s">
        <v>525</v>
      </c>
      <c r="C3" s="1425"/>
      <c r="D3" s="1425"/>
      <c r="E3" s="1425"/>
      <c r="F3" s="1425"/>
      <c r="G3" s="1425"/>
      <c r="H3" s="1425"/>
      <c r="I3" s="1425"/>
      <c r="J3" s="1425"/>
      <c r="K3" s="1426" t="s">
        <v>526</v>
      </c>
      <c r="L3" s="1426"/>
      <c r="M3" s="1426"/>
      <c r="N3" s="1426"/>
      <c r="O3" s="1426"/>
      <c r="P3" s="1426"/>
      <c r="Q3" s="1426"/>
      <c r="R3" s="1426"/>
      <c r="S3" s="1426"/>
      <c r="U3" s="357"/>
      <c r="V3" s="357"/>
      <c r="W3" s="357"/>
      <c r="X3" s="357"/>
      <c r="Y3" s="357"/>
      <c r="Z3" s="357"/>
      <c r="AA3" s="357"/>
      <c r="AB3" s="357"/>
      <c r="AC3" s="357"/>
      <c r="AD3" s="357"/>
      <c r="AE3" s="357"/>
      <c r="AF3" s="357"/>
      <c r="AG3" s="357"/>
      <c r="AH3" s="357"/>
      <c r="AI3" s="357"/>
      <c r="AJ3" s="357"/>
    </row>
    <row r="4" spans="1:37" ht="35.1" thickBot="1">
      <c r="B4" s="173" t="s">
        <v>527</v>
      </c>
      <c r="C4" s="203" t="s">
        <v>528</v>
      </c>
      <c r="D4" s="203" t="s">
        <v>529</v>
      </c>
      <c r="E4" s="203" t="s">
        <v>530</v>
      </c>
      <c r="F4" s="203" t="s">
        <v>531</v>
      </c>
      <c r="G4" s="203" t="s">
        <v>532</v>
      </c>
      <c r="H4" s="174" t="s">
        <v>533</v>
      </c>
      <c r="I4" s="174" t="s">
        <v>534</v>
      </c>
      <c r="J4" s="175" t="s">
        <v>535</v>
      </c>
      <c r="K4" s="173" t="s">
        <v>527</v>
      </c>
      <c r="L4" s="539" t="e" vm="1">
        <f>Peers!C8</f>
        <v>#VALUE!</v>
      </c>
      <c r="M4" s="538" t="e" vm="2">
        <f>Peers!D8</f>
        <v>#VALUE!</v>
      </c>
      <c r="N4" s="538" t="e" vm="3">
        <f>Peers!E8</f>
        <v>#VALUE!</v>
      </c>
      <c r="O4" s="538" t="e" vm="4">
        <f>Peers!F8</f>
        <v>#VALUE!</v>
      </c>
      <c r="P4" s="538" t="e" vm="5">
        <f>Peers!G8</f>
        <v>#VALUE!</v>
      </c>
      <c r="Q4" s="538" t="e">
        <f>Peers!#REF!</f>
        <v>#REF!</v>
      </c>
      <c r="R4" s="206" t="e">
        <f>Peers!#REF!</f>
        <v>#REF!</v>
      </c>
      <c r="S4" s="206" t="e">
        <f>Peers!#REF!</f>
        <v>#REF!</v>
      </c>
      <c r="T4" s="586" t="s">
        <v>242</v>
      </c>
      <c r="U4" s="357"/>
      <c r="V4" s="357"/>
      <c r="W4" s="357"/>
      <c r="X4" s="357"/>
      <c r="Y4" s="357"/>
      <c r="Z4" s="357"/>
      <c r="AA4" s="357"/>
      <c r="AB4" s="357"/>
      <c r="AC4" s="357"/>
      <c r="AD4" s="357"/>
      <c r="AE4" s="357"/>
      <c r="AF4" s="357"/>
      <c r="AG4" s="357"/>
      <c r="AH4" s="357"/>
      <c r="AI4" s="357"/>
      <c r="AJ4" s="357"/>
    </row>
    <row r="5" spans="1:37" ht="14.1">
      <c r="B5" s="184" t="s">
        <v>536</v>
      </c>
      <c r="C5" s="185"/>
      <c r="D5" s="186"/>
      <c r="E5" s="186"/>
      <c r="F5" s="186"/>
      <c r="G5" s="186"/>
      <c r="H5" s="351"/>
      <c r="I5" s="351"/>
      <c r="J5" s="187"/>
      <c r="K5" s="184" t="s">
        <v>537</v>
      </c>
      <c r="L5" s="186"/>
      <c r="M5" s="186"/>
      <c r="N5" s="186"/>
      <c r="O5" s="186"/>
      <c r="P5" s="186"/>
      <c r="Q5" s="186"/>
      <c r="R5" s="187"/>
      <c r="S5" s="187"/>
      <c r="T5" s="186"/>
    </row>
    <row r="6" spans="1:37" ht="84.95" thickBot="1">
      <c r="A6" s="64">
        <v>1</v>
      </c>
      <c r="B6" s="178" t="s">
        <v>538</v>
      </c>
      <c r="C6" s="176" t="str">
        <f>VLOOKUP($B$2,'Sector Impact'!$K$4:$AA$16,A6+1,FALSE)</f>
        <v>Very High</v>
      </c>
      <c r="D6" s="176" t="s">
        <v>539</v>
      </c>
      <c r="E6" s="826" t="s">
        <v>540</v>
      </c>
      <c r="F6" s="827" t="s">
        <v>539</v>
      </c>
      <c r="G6" s="445"/>
      <c r="H6" s="177" t="s">
        <v>539</v>
      </c>
      <c r="I6" s="177" t="s">
        <v>541</v>
      </c>
      <c r="J6" s="177" t="s">
        <v>542</v>
      </c>
      <c r="K6" s="178" t="s">
        <v>543</v>
      </c>
      <c r="L6" s="589">
        <f t="shared" ref="L6:Q9" si="0">IFERROR(L12/L$11,"N/A")</f>
        <v>36.699803149606296</v>
      </c>
      <c r="M6" s="589">
        <f t="shared" si="0"/>
        <v>200.41407867494823</v>
      </c>
      <c r="N6" s="589">
        <f t="shared" si="0"/>
        <v>131.67522886854502</v>
      </c>
      <c r="O6" s="589" t="str">
        <f t="shared" si="0"/>
        <v>N/A</v>
      </c>
      <c r="P6" s="589" t="str">
        <f t="shared" si="0"/>
        <v>N/A</v>
      </c>
      <c r="Q6" s="589" t="str">
        <f t="shared" si="0"/>
        <v>N/A</v>
      </c>
      <c r="R6" s="588" t="e">
        <f t="shared" ref="R6:S9" si="1">R12/R$11</f>
        <v>#DIV/0!</v>
      </c>
      <c r="S6" s="588" t="e">
        <f t="shared" si="1"/>
        <v>#DIV/0!</v>
      </c>
      <c r="T6" s="585">
        <f>IFERROR(AVERAGE(L6:Q6),"")</f>
        <v>122.92970356436653</v>
      </c>
    </row>
    <row r="7" spans="1:37" s="68" customFormat="1" ht="24" customHeight="1" thickBot="1">
      <c r="A7" s="68">
        <v>2</v>
      </c>
      <c r="B7" s="178" t="s">
        <v>544</v>
      </c>
      <c r="C7" s="176" t="str">
        <f>VLOOKUP($B$2,'Sector Impact'!$K$4:$AA$16,A7+1,FALSE)</f>
        <v>Very High</v>
      </c>
      <c r="D7" s="824" t="s">
        <v>545</v>
      </c>
      <c r="E7" s="176" t="s">
        <v>88</v>
      </c>
      <c r="F7" s="176" t="s">
        <v>88</v>
      </c>
      <c r="G7" s="825"/>
      <c r="H7" s="177" t="s">
        <v>88</v>
      </c>
      <c r="I7" s="177"/>
      <c r="J7" s="177" t="s">
        <v>546</v>
      </c>
      <c r="K7" s="178" t="s">
        <v>547</v>
      </c>
      <c r="L7" s="589">
        <f t="shared" si="0"/>
        <v>1072.8346456692914</v>
      </c>
      <c r="M7" s="589">
        <f t="shared" si="0"/>
        <v>786.74948240165634</v>
      </c>
      <c r="N7" s="589">
        <f t="shared" si="0"/>
        <v>2611.1141231890497</v>
      </c>
      <c r="O7" s="589" t="str">
        <f t="shared" si="0"/>
        <v>N/A</v>
      </c>
      <c r="P7" s="589" t="str">
        <f t="shared" si="0"/>
        <v>N/A</v>
      </c>
      <c r="Q7" s="589" t="str">
        <f t="shared" si="0"/>
        <v>N/A</v>
      </c>
      <c r="R7" s="588" t="e">
        <f t="shared" si="1"/>
        <v>#DIV/0!</v>
      </c>
      <c r="S7" s="588" t="e">
        <f t="shared" si="1"/>
        <v>#DIV/0!</v>
      </c>
      <c r="T7" s="585">
        <f t="shared" ref="T7:T9" si="2">IFERROR(AVERAGE(L7:Q7),"")</f>
        <v>1490.2327504199991</v>
      </c>
      <c r="U7" s="64"/>
      <c r="V7" s="64"/>
      <c r="W7" s="64"/>
      <c r="X7" s="64"/>
      <c r="Y7" s="64"/>
      <c r="Z7" s="64"/>
      <c r="AA7" s="64"/>
      <c r="AB7" s="64"/>
      <c r="AC7" s="64"/>
      <c r="AD7" s="64"/>
      <c r="AE7" s="64"/>
      <c r="AF7" s="64"/>
      <c r="AG7" s="64"/>
      <c r="AH7" s="64"/>
      <c r="AI7" s="64"/>
      <c r="AJ7" s="64"/>
    </row>
    <row r="8" spans="1:37" ht="43.35" customHeight="1" thickBot="1">
      <c r="A8" s="64">
        <v>3</v>
      </c>
      <c r="B8" s="178" t="s">
        <v>548</v>
      </c>
      <c r="C8" s="176" t="str">
        <f>VLOOKUP($B$2,'Sector Impact'!$K$4:$AA$16,A8+1,FALSE)</f>
        <v>Very High</v>
      </c>
      <c r="D8" s="824" t="s">
        <v>545</v>
      </c>
      <c r="E8" s="176" t="s">
        <v>88</v>
      </c>
      <c r="F8" s="176" t="s">
        <v>539</v>
      </c>
      <c r="G8" s="856"/>
      <c r="H8" s="177" t="s">
        <v>88</v>
      </c>
      <c r="I8" s="177" t="s">
        <v>549</v>
      </c>
      <c r="J8" s="857" t="s">
        <v>550</v>
      </c>
      <c r="K8" s="178" t="s">
        <v>551</v>
      </c>
      <c r="L8" s="589">
        <f t="shared" si="0"/>
        <v>370.91633858267716</v>
      </c>
      <c r="M8" s="589">
        <f t="shared" si="0"/>
        <v>959.28226363008969</v>
      </c>
      <c r="N8" s="589">
        <f t="shared" si="0"/>
        <v>665.08630343969423</v>
      </c>
      <c r="O8" s="589" t="str">
        <f t="shared" si="0"/>
        <v>N/A</v>
      </c>
      <c r="P8" s="589" t="str">
        <f t="shared" si="0"/>
        <v>N/A</v>
      </c>
      <c r="Q8" s="589" t="str">
        <f t="shared" si="0"/>
        <v>N/A</v>
      </c>
      <c r="R8" s="588" t="e">
        <f t="shared" si="1"/>
        <v>#DIV/0!</v>
      </c>
      <c r="S8" s="588" t="e">
        <f t="shared" si="1"/>
        <v>#DIV/0!</v>
      </c>
      <c r="T8" s="585">
        <f>IFERROR(AVERAGE(L8:Q8),"N/A")</f>
        <v>665.09496855082034</v>
      </c>
    </row>
    <row r="9" spans="1:37" ht="80.25" customHeight="1" thickBot="1">
      <c r="A9" s="64">
        <v>4</v>
      </c>
      <c r="B9" s="178" t="s">
        <v>552</v>
      </c>
      <c r="C9" s="176" t="str">
        <f>VLOOKUP($B$2,'Sector Impact'!$K$4:$AA$16,A9+1,FALSE)</f>
        <v>Very High</v>
      </c>
      <c r="D9" s="176" t="s">
        <v>539</v>
      </c>
      <c r="E9" s="822" t="s">
        <v>553</v>
      </c>
      <c r="F9" s="823" t="s">
        <v>545</v>
      </c>
      <c r="G9" s="444"/>
      <c r="H9" s="177" t="s">
        <v>539</v>
      </c>
      <c r="I9" s="176" t="s">
        <v>88</v>
      </c>
      <c r="J9" s="179" t="s">
        <v>554</v>
      </c>
      <c r="K9" s="178" t="s">
        <v>555</v>
      </c>
      <c r="L9" s="589">
        <f t="shared" si="0"/>
        <v>2.4279035433070866</v>
      </c>
      <c r="M9" s="589">
        <f t="shared" si="0"/>
        <v>0.6211180124223602</v>
      </c>
      <c r="N9" s="589">
        <f t="shared" si="0"/>
        <v>1.7933517020709271</v>
      </c>
      <c r="O9" s="589" t="str">
        <f t="shared" si="0"/>
        <v>N/A</v>
      </c>
      <c r="P9" s="589" t="str">
        <f t="shared" si="0"/>
        <v>N/A</v>
      </c>
      <c r="Q9" s="589" t="str">
        <f t="shared" si="0"/>
        <v>N/A</v>
      </c>
      <c r="R9" s="588" t="e">
        <f t="shared" si="1"/>
        <v>#DIV/0!</v>
      </c>
      <c r="S9" s="588" t="e">
        <f t="shared" si="1"/>
        <v>#DIV/0!</v>
      </c>
      <c r="T9" s="585">
        <f t="shared" si="2"/>
        <v>1.6141244192667912</v>
      </c>
    </row>
    <row r="10" spans="1:37" ht="84.95" thickBot="1">
      <c r="A10" s="64">
        <v>5</v>
      </c>
      <c r="B10" s="178" t="s">
        <v>556</v>
      </c>
      <c r="C10" s="176" t="str">
        <f>VLOOKUP($B$2,'Sector Impact'!$K$4:$AA$16,A10+1,FALSE)</f>
        <v>High</v>
      </c>
      <c r="D10" s="176" t="s">
        <v>545</v>
      </c>
      <c r="E10" s="176"/>
      <c r="F10" s="188"/>
      <c r="G10" s="445"/>
      <c r="H10" s="177" t="s">
        <v>88</v>
      </c>
      <c r="I10" s="177" t="s">
        <v>557</v>
      </c>
      <c r="J10" s="563" t="s">
        <v>558</v>
      </c>
      <c r="K10" s="184" t="s">
        <v>559</v>
      </c>
      <c r="L10" s="186"/>
      <c r="M10" s="186"/>
      <c r="N10" s="186"/>
      <c r="O10" s="186"/>
      <c r="P10" s="832"/>
      <c r="Q10" s="186"/>
      <c r="R10" s="186"/>
      <c r="S10" s="187"/>
    </row>
    <row r="11" spans="1:37" ht="18">
      <c r="B11" s="184" t="s">
        <v>560</v>
      </c>
      <c r="C11" s="181"/>
      <c r="D11" s="181"/>
      <c r="E11" s="189"/>
      <c r="F11" s="682"/>
      <c r="G11" s="190"/>
      <c r="H11" s="352"/>
      <c r="I11" s="352"/>
      <c r="J11" s="191"/>
      <c r="K11" s="178" t="s">
        <v>135</v>
      </c>
      <c r="L11" s="587">
        <v>4064</v>
      </c>
      <c r="M11" s="587">
        <v>14490</v>
      </c>
      <c r="N11" s="591">
        <v>11251</v>
      </c>
      <c r="O11" s="829">
        <v>4779.1000000000004</v>
      </c>
      <c r="P11" s="828">
        <v>1795.8</v>
      </c>
      <c r="Q11" s="830"/>
      <c r="R11" s="339"/>
      <c r="S11" s="339"/>
      <c r="T11" s="576"/>
    </row>
    <row r="12" spans="1:37" ht="18.95">
      <c r="A12" s="64">
        <v>6</v>
      </c>
      <c r="B12" s="178" t="s">
        <v>561</v>
      </c>
      <c r="C12" s="176" t="str">
        <f>VLOOKUP($B$2,'Sector Impact'!$K$4:$AA$16,A12+1,FALSE)</f>
        <v>High</v>
      </c>
      <c r="D12" s="176"/>
      <c r="E12" s="176"/>
      <c r="F12" s="188"/>
      <c r="G12" s="445"/>
      <c r="H12" s="177" t="s">
        <v>88</v>
      </c>
      <c r="I12" s="821" t="s">
        <v>88</v>
      </c>
      <c r="J12" s="192" t="s">
        <v>88</v>
      </c>
      <c r="K12" s="178" t="s">
        <v>562</v>
      </c>
      <c r="L12" s="590">
        <v>149148</v>
      </c>
      <c r="M12" s="591">
        <v>2904000</v>
      </c>
      <c r="N12" s="591">
        <v>1481478</v>
      </c>
      <c r="O12" s="829" t="s">
        <v>88</v>
      </c>
      <c r="P12" s="828" t="s">
        <v>88</v>
      </c>
      <c r="Q12" s="831"/>
      <c r="R12" s="592"/>
      <c r="S12" s="592"/>
      <c r="T12" s="593"/>
    </row>
    <row r="13" spans="1:37" ht="18">
      <c r="A13" s="64">
        <v>7</v>
      </c>
      <c r="B13" s="178" t="s">
        <v>563</v>
      </c>
      <c r="C13" s="176" t="str">
        <f>VLOOKUP($B$2,'Sector Impact'!$K$4:$AA$16,A13+1,FALSE)</f>
        <v>High</v>
      </c>
      <c r="D13" s="176" t="s">
        <v>539</v>
      </c>
      <c r="E13" s="176" t="s">
        <v>564</v>
      </c>
      <c r="F13" s="193" t="s">
        <v>545</v>
      </c>
      <c r="G13" s="445"/>
      <c r="H13" s="177" t="s">
        <v>565</v>
      </c>
      <c r="I13" s="563" t="s">
        <v>88</v>
      </c>
      <c r="J13" s="194" t="s">
        <v>566</v>
      </c>
      <c r="K13" s="178" t="s">
        <v>567</v>
      </c>
      <c r="L13" s="591">
        <v>4360000</v>
      </c>
      <c r="M13" s="591">
        <v>11400000</v>
      </c>
      <c r="N13" s="591">
        <v>29377645</v>
      </c>
      <c r="O13" s="829" t="s">
        <v>88</v>
      </c>
      <c r="P13" s="828" t="s">
        <v>88</v>
      </c>
      <c r="Q13" s="831"/>
      <c r="R13" s="592"/>
      <c r="S13" s="592"/>
      <c r="T13" s="593"/>
    </row>
    <row r="14" spans="1:37" ht="18">
      <c r="A14" s="64">
        <v>8</v>
      </c>
      <c r="B14" s="195" t="s">
        <v>568</v>
      </c>
      <c r="C14" s="176" t="str">
        <f>VLOOKUP($B$2,'Sector Impact'!$K$4:$AA$16,A14+1,FALSE)</f>
        <v>Medium</v>
      </c>
      <c r="D14" s="176" t="s">
        <v>545</v>
      </c>
      <c r="E14" s="176" t="s">
        <v>564</v>
      </c>
      <c r="F14" s="188" t="s">
        <v>545</v>
      </c>
      <c r="G14" s="812"/>
      <c r="H14" s="177" t="s">
        <v>539</v>
      </c>
      <c r="I14" s="563" t="s">
        <v>88</v>
      </c>
      <c r="J14" s="194" t="s">
        <v>88</v>
      </c>
      <c r="K14" s="178" t="s">
        <v>569</v>
      </c>
      <c r="L14" s="591">
        <v>1507404</v>
      </c>
      <c r="M14" s="591">
        <v>13900000</v>
      </c>
      <c r="N14" s="591">
        <v>7482886</v>
      </c>
      <c r="O14" s="829" t="s">
        <v>88</v>
      </c>
      <c r="P14" s="828" t="s">
        <v>88</v>
      </c>
      <c r="Q14" s="831"/>
      <c r="R14" s="592"/>
      <c r="S14" s="592"/>
      <c r="T14" s="593"/>
    </row>
    <row r="15" spans="1:37" ht="27.95">
      <c r="A15" s="64">
        <v>9</v>
      </c>
      <c r="B15" s="195" t="s">
        <v>570</v>
      </c>
      <c r="C15" s="176" t="str">
        <f>VLOOKUP($B$2,'Sector Impact'!$K$4:$AA$16,A15+1,FALSE)</f>
        <v>High</v>
      </c>
      <c r="D15" s="176" t="s">
        <v>545</v>
      </c>
      <c r="E15" s="176" t="s">
        <v>553</v>
      </c>
      <c r="F15" s="188" t="s">
        <v>539</v>
      </c>
      <c r="G15" s="444"/>
      <c r="H15" s="561" t="s">
        <v>545</v>
      </c>
      <c r="I15" s="561" t="s">
        <v>88</v>
      </c>
      <c r="J15" s="194" t="s">
        <v>571</v>
      </c>
      <c r="K15" s="178" t="s">
        <v>572</v>
      </c>
      <c r="L15" s="590">
        <v>9867</v>
      </c>
      <c r="M15" s="591">
        <v>9000</v>
      </c>
      <c r="N15" s="591">
        <v>20177</v>
      </c>
      <c r="O15" s="829" t="s">
        <v>88</v>
      </c>
      <c r="P15" s="828" t="s">
        <v>88</v>
      </c>
      <c r="Q15" s="831"/>
      <c r="R15" s="592"/>
      <c r="S15" s="592"/>
      <c r="T15" s="593"/>
      <c r="AK15" s="572"/>
    </row>
    <row r="16" spans="1:37" ht="27.95">
      <c r="A16" s="64">
        <v>10</v>
      </c>
      <c r="B16" s="178" t="s">
        <v>573</v>
      </c>
      <c r="C16" s="176" t="str">
        <f>VLOOKUP($B$2,'Sector Impact'!$K$4:$AA$16,A16+1,FALSE)</f>
        <v>Low</v>
      </c>
      <c r="D16" s="176" t="s">
        <v>539</v>
      </c>
      <c r="E16" s="176" t="s">
        <v>553</v>
      </c>
      <c r="F16" s="188" t="s">
        <v>539</v>
      </c>
      <c r="G16" s="444"/>
      <c r="H16" s="177" t="s">
        <v>539</v>
      </c>
      <c r="I16" s="353"/>
      <c r="J16" s="815" t="s">
        <v>574</v>
      </c>
      <c r="K16" s="184" t="s">
        <v>575</v>
      </c>
      <c r="L16" s="186"/>
      <c r="M16" s="186"/>
      <c r="N16" s="186"/>
      <c r="O16" s="186"/>
      <c r="P16" s="833"/>
      <c r="Q16" s="186"/>
      <c r="R16" s="187"/>
      <c r="S16" s="187"/>
    </row>
    <row r="17" spans="1:39" ht="14.1">
      <c r="A17" s="64">
        <v>11</v>
      </c>
      <c r="B17" s="178" t="s">
        <v>576</v>
      </c>
      <c r="C17" s="176" t="str">
        <f>VLOOKUP($B$2,'Sector Impact'!$K$4:$AA$16,A17+1,FALSE)</f>
        <v>Very High</v>
      </c>
      <c r="D17" s="196" t="s">
        <v>539</v>
      </c>
      <c r="E17" s="196" t="s">
        <v>577</v>
      </c>
      <c r="F17" s="196" t="s">
        <v>539</v>
      </c>
      <c r="G17" s="445"/>
      <c r="H17" s="177" t="s">
        <v>539</v>
      </c>
      <c r="I17" s="353"/>
      <c r="J17" s="194" t="s">
        <v>88</v>
      </c>
      <c r="K17" s="178" t="s">
        <v>578</v>
      </c>
      <c r="L17" s="596">
        <v>44</v>
      </c>
      <c r="M17" s="595">
        <v>72</v>
      </c>
      <c r="N17" s="595">
        <v>81</v>
      </c>
      <c r="O17" s="595" t="s">
        <v>88</v>
      </c>
      <c r="P17" s="595" t="s">
        <v>88</v>
      </c>
      <c r="Q17" s="595"/>
      <c r="R17" s="204"/>
      <c r="S17" s="204"/>
      <c r="T17" s="357"/>
      <c r="AK17" s="357"/>
      <c r="AL17" s="357"/>
      <c r="AM17" s="357"/>
    </row>
    <row r="18" spans="1:39" ht="56.1">
      <c r="A18" s="64">
        <v>12</v>
      </c>
      <c r="B18" s="178" t="s">
        <v>579</v>
      </c>
      <c r="C18" s="176" t="str">
        <f>VLOOKUP($B$2,'Sector Impact'!$K$4:$AA$16,A18+1,FALSE)</f>
        <v>Medium</v>
      </c>
      <c r="D18" s="176" t="s">
        <v>539</v>
      </c>
      <c r="E18" s="176" t="s">
        <v>564</v>
      </c>
      <c r="F18" s="188" t="s">
        <v>539</v>
      </c>
      <c r="G18" s="812"/>
      <c r="H18" s="561" t="s">
        <v>539</v>
      </c>
      <c r="I18" s="561" t="s">
        <v>88</v>
      </c>
      <c r="J18" s="565" t="s">
        <v>580</v>
      </c>
      <c r="K18" s="178" t="s">
        <v>581</v>
      </c>
      <c r="L18" s="595" t="s">
        <v>582</v>
      </c>
      <c r="M18" s="595" t="s">
        <v>583</v>
      </c>
      <c r="N18" s="595" t="s">
        <v>584</v>
      </c>
      <c r="O18" s="595" t="s">
        <v>585</v>
      </c>
      <c r="P18" s="595" t="s">
        <v>586</v>
      </c>
      <c r="Q18" s="595"/>
      <c r="R18" s="204"/>
      <c r="S18" s="204"/>
      <c r="T18" s="357"/>
      <c r="AK18" s="357"/>
      <c r="AL18" s="357"/>
      <c r="AM18" s="357"/>
    </row>
    <row r="19" spans="1:39" ht="84">
      <c r="A19" s="64">
        <v>13</v>
      </c>
      <c r="B19" s="178" t="s">
        <v>587</v>
      </c>
      <c r="C19" s="176" t="str">
        <f>VLOOKUP($B$2,'Sector Impact'!$K$4:$AA$16,A19+1,FALSE)</f>
        <v>Medium</v>
      </c>
      <c r="D19" s="176" t="s">
        <v>539</v>
      </c>
      <c r="E19" s="176" t="s">
        <v>564</v>
      </c>
      <c r="F19" s="188" t="s">
        <v>545</v>
      </c>
      <c r="G19" s="445"/>
      <c r="H19" s="177" t="s">
        <v>545</v>
      </c>
      <c r="I19" s="353"/>
      <c r="J19" s="194" t="s">
        <v>588</v>
      </c>
      <c r="K19" s="178" t="s">
        <v>589</v>
      </c>
      <c r="L19" s="186" t="s">
        <v>590</v>
      </c>
      <c r="M19" s="186" t="s">
        <v>591</v>
      </c>
      <c r="N19" s="186" t="s">
        <v>590</v>
      </c>
      <c r="O19" s="186" t="s">
        <v>590</v>
      </c>
      <c r="P19" s="186" t="s">
        <v>590</v>
      </c>
      <c r="Q19" s="595"/>
      <c r="R19" s="205"/>
      <c r="S19" s="205"/>
      <c r="T19" s="357"/>
      <c r="AK19" s="357"/>
      <c r="AL19" s="357"/>
      <c r="AM19" s="357"/>
    </row>
    <row r="20" spans="1:39" ht="27.95">
      <c r="A20" s="64">
        <v>14</v>
      </c>
      <c r="B20" s="178" t="s">
        <v>592</v>
      </c>
      <c r="C20" s="176" t="str">
        <f>VLOOKUP($B$2,'Sector Impact'!$K$4:$AA$16,A20+1,FALSE)</f>
        <v>Very High</v>
      </c>
      <c r="D20" s="176" t="s">
        <v>539</v>
      </c>
      <c r="E20" s="176" t="s">
        <v>564</v>
      </c>
      <c r="F20" s="679" t="s">
        <v>545</v>
      </c>
      <c r="G20" s="444"/>
      <c r="H20" s="680" t="s">
        <v>539</v>
      </c>
      <c r="I20" s="594" t="s">
        <v>88</v>
      </c>
      <c r="J20" s="194" t="s">
        <v>593</v>
      </c>
      <c r="K20" s="178" t="s">
        <v>594</v>
      </c>
      <c r="L20" s="595" t="s">
        <v>595</v>
      </c>
      <c r="M20" s="595" t="s">
        <v>596</v>
      </c>
      <c r="N20" s="595" t="s">
        <v>597</v>
      </c>
      <c r="O20" s="595" t="s">
        <v>88</v>
      </c>
      <c r="P20" s="595" t="s">
        <v>88</v>
      </c>
      <c r="Q20" s="595"/>
      <c r="R20" s="204"/>
      <c r="S20" s="204"/>
      <c r="V20" s="72"/>
    </row>
    <row r="21" spans="1:39" ht="14.1">
      <c r="A21" s="64">
        <v>15</v>
      </c>
      <c r="B21" s="178" t="s">
        <v>598</v>
      </c>
      <c r="C21" s="176" t="str">
        <f>VLOOKUP($B$2,'Sector Impact'!$K$4:$AA$16,A21+1,FALSE)</f>
        <v>High</v>
      </c>
      <c r="D21" s="176" t="s">
        <v>539</v>
      </c>
      <c r="E21" s="176" t="s">
        <v>564</v>
      </c>
      <c r="F21" s="188" t="s">
        <v>545</v>
      </c>
      <c r="G21" s="445"/>
      <c r="H21" s="177" t="s">
        <v>545</v>
      </c>
      <c r="I21" s="353"/>
      <c r="J21" s="194" t="s">
        <v>88</v>
      </c>
      <c r="V21" s="72"/>
    </row>
    <row r="22" spans="1:39" ht="27.95">
      <c r="A22" s="64">
        <v>16</v>
      </c>
      <c r="B22" s="178" t="s">
        <v>599</v>
      </c>
      <c r="C22" s="180" t="str">
        <f>VLOOKUP($B$2,'Sector Impact'!$K$4:$AA$16,A22+1,FALSE)</f>
        <v>Medium</v>
      </c>
      <c r="D22" s="176" t="s">
        <v>539</v>
      </c>
      <c r="E22" s="176" t="s">
        <v>564</v>
      </c>
      <c r="F22" s="188" t="s">
        <v>545</v>
      </c>
      <c r="G22" s="444"/>
      <c r="H22" s="561" t="s">
        <v>545</v>
      </c>
      <c r="I22" s="594" t="s">
        <v>88</v>
      </c>
      <c r="J22" s="179" t="s">
        <v>600</v>
      </c>
      <c r="V22" s="72"/>
    </row>
    <row r="23" spans="1:39" ht="14.1">
      <c r="B23" s="184" t="s">
        <v>601</v>
      </c>
      <c r="C23" s="197"/>
      <c r="D23" s="181"/>
      <c r="E23" s="189"/>
      <c r="F23" s="189"/>
      <c r="G23" s="190"/>
      <c r="H23" s="352"/>
      <c r="I23" s="352"/>
      <c r="J23" s="191"/>
      <c r="K23" s="1427" t="s">
        <v>602</v>
      </c>
      <c r="L23" s="1428"/>
      <c r="M23" s="1429"/>
      <c r="U23"/>
      <c r="V23"/>
      <c r="W23"/>
      <c r="X23"/>
      <c r="Y23"/>
      <c r="Z23"/>
      <c r="AA23"/>
      <c r="AB23"/>
      <c r="AC23"/>
    </row>
    <row r="24" spans="1:39" ht="42">
      <c r="A24" s="64">
        <v>17</v>
      </c>
      <c r="B24" s="178" t="s">
        <v>603</v>
      </c>
      <c r="C24" s="198"/>
      <c r="D24" s="199"/>
      <c r="E24" s="193" t="s">
        <v>553</v>
      </c>
      <c r="F24" s="193" t="s">
        <v>539</v>
      </c>
      <c r="G24" s="1125"/>
      <c r="H24" s="177" t="s">
        <v>545</v>
      </c>
      <c r="I24" s="353"/>
      <c r="J24" s="200" t="s">
        <v>604</v>
      </c>
      <c r="K24" s="226" t="s">
        <v>605</v>
      </c>
      <c r="L24" s="65" t="s">
        <v>606</v>
      </c>
      <c r="M24" s="66" t="s">
        <v>607</v>
      </c>
      <c r="P24" s="443" t="s">
        <v>262</v>
      </c>
      <c r="U24"/>
      <c r="V24"/>
      <c r="W24"/>
      <c r="X24"/>
      <c r="Y24"/>
      <c r="Z24"/>
      <c r="AA24"/>
      <c r="AB24"/>
      <c r="AC24"/>
    </row>
    <row r="25" spans="1:39" ht="45" customHeight="1">
      <c r="A25" s="64">
        <v>18</v>
      </c>
      <c r="B25" s="178" t="s">
        <v>608</v>
      </c>
      <c r="C25" s="198"/>
      <c r="D25" s="199"/>
      <c r="E25" s="193" t="s">
        <v>577</v>
      </c>
      <c r="F25" s="193" t="s">
        <v>545</v>
      </c>
      <c r="G25" s="444"/>
      <c r="H25" s="177" t="s">
        <v>545</v>
      </c>
      <c r="I25" s="353"/>
      <c r="J25" s="194" t="s">
        <v>609</v>
      </c>
      <c r="K25" s="167" t="s">
        <v>610</v>
      </c>
      <c r="L25" s="168" t="s">
        <v>577</v>
      </c>
      <c r="M25" s="1430" t="s">
        <v>611</v>
      </c>
      <c r="P25" s="444"/>
    </row>
    <row r="26" spans="1:39" ht="15.75" customHeight="1">
      <c r="A26" s="64">
        <v>19</v>
      </c>
      <c r="B26" s="178" t="s">
        <v>612</v>
      </c>
      <c r="C26" s="198"/>
      <c r="D26" s="199"/>
      <c r="E26" s="193" t="s">
        <v>564</v>
      </c>
      <c r="F26" s="193" t="s">
        <v>539</v>
      </c>
      <c r="G26" s="445"/>
      <c r="H26" s="177" t="s">
        <v>539</v>
      </c>
      <c r="I26" s="353"/>
      <c r="J26" s="200" t="s">
        <v>613</v>
      </c>
      <c r="K26" s="167" t="s">
        <v>564</v>
      </c>
      <c r="L26" s="168" t="s">
        <v>553</v>
      </c>
      <c r="M26" s="1431"/>
      <c r="P26" s="445"/>
    </row>
    <row r="27" spans="1:39" ht="14.1">
      <c r="A27" s="64">
        <v>20</v>
      </c>
      <c r="B27" s="178" t="s">
        <v>614</v>
      </c>
      <c r="C27" s="198"/>
      <c r="D27" s="199"/>
      <c r="E27" s="193" t="s">
        <v>577</v>
      </c>
      <c r="F27" s="193" t="s">
        <v>539</v>
      </c>
      <c r="G27" s="445"/>
      <c r="H27" s="177" t="s">
        <v>539</v>
      </c>
      <c r="I27" s="353"/>
      <c r="J27" s="200" t="s">
        <v>615</v>
      </c>
      <c r="K27" s="169" t="s">
        <v>616</v>
      </c>
      <c r="L27" s="170" t="s">
        <v>564</v>
      </c>
      <c r="M27" s="1431"/>
      <c r="N27" s="64" t="s">
        <v>335</v>
      </c>
      <c r="P27" s="446"/>
    </row>
    <row r="28" spans="1:39" ht="14.1">
      <c r="A28" s="64">
        <v>21</v>
      </c>
      <c r="B28" s="178" t="s">
        <v>617</v>
      </c>
      <c r="C28" s="198"/>
      <c r="D28" s="199"/>
      <c r="E28" s="193" t="s">
        <v>553</v>
      </c>
      <c r="F28" s="193" t="s">
        <v>545</v>
      </c>
      <c r="G28" s="446"/>
      <c r="H28" s="177" t="s">
        <v>545</v>
      </c>
      <c r="I28" s="353"/>
      <c r="J28" s="194" t="s">
        <v>618</v>
      </c>
      <c r="K28" s="171" t="s">
        <v>619</v>
      </c>
      <c r="L28" s="172" t="s">
        <v>540</v>
      </c>
      <c r="M28" s="1432"/>
    </row>
    <row r="29" spans="1:39" ht="14.1">
      <c r="A29" s="64">
        <v>22</v>
      </c>
      <c r="B29" s="178" t="s">
        <v>620</v>
      </c>
      <c r="C29" s="198"/>
      <c r="D29" s="199"/>
      <c r="E29" s="193" t="s">
        <v>564</v>
      </c>
      <c r="F29" s="193" t="s">
        <v>539</v>
      </c>
      <c r="G29" s="445"/>
      <c r="H29" s="177" t="s">
        <v>545</v>
      </c>
      <c r="I29" s="353"/>
      <c r="J29" s="194" t="s">
        <v>88</v>
      </c>
    </row>
    <row r="30" spans="1:39" ht="14.1">
      <c r="A30" s="64">
        <v>23</v>
      </c>
      <c r="B30" s="178" t="s">
        <v>621</v>
      </c>
      <c r="C30" s="198"/>
      <c r="D30" s="199"/>
      <c r="E30" s="193" t="s">
        <v>564</v>
      </c>
      <c r="F30" s="193" t="s">
        <v>545</v>
      </c>
      <c r="G30" s="445"/>
      <c r="H30" s="177" t="s">
        <v>545</v>
      </c>
      <c r="I30" s="353"/>
      <c r="J30" s="200" t="s">
        <v>88</v>
      </c>
    </row>
    <row r="31" spans="1:39" ht="26.25" customHeight="1">
      <c r="A31" s="64">
        <v>24</v>
      </c>
      <c r="B31" s="201" t="s">
        <v>622</v>
      </c>
      <c r="C31" s="198"/>
      <c r="D31" s="199"/>
      <c r="E31" s="193" t="s">
        <v>553</v>
      </c>
      <c r="F31" s="193" t="s">
        <v>545</v>
      </c>
      <c r="G31" s="444"/>
      <c r="H31" s="177" t="s">
        <v>545</v>
      </c>
      <c r="I31" s="353"/>
      <c r="J31" s="192" t="s">
        <v>623</v>
      </c>
      <c r="L31" s="419"/>
    </row>
    <row r="32" spans="1:39" ht="14.1">
      <c r="A32" s="64">
        <v>25</v>
      </c>
      <c r="B32" s="178" t="s">
        <v>624</v>
      </c>
      <c r="C32" s="198"/>
      <c r="D32" s="193" t="s">
        <v>539</v>
      </c>
      <c r="E32" s="193" t="s">
        <v>553</v>
      </c>
      <c r="F32" s="193" t="s">
        <v>545</v>
      </c>
      <c r="G32" s="445"/>
      <c r="H32" s="177" t="s">
        <v>539</v>
      </c>
      <c r="I32" s="353"/>
      <c r="J32" s="194" t="s">
        <v>88</v>
      </c>
      <c r="L32" s="420"/>
    </row>
    <row r="33" spans="1:21" ht="30.75" customHeight="1">
      <c r="A33" s="64">
        <v>26</v>
      </c>
      <c r="B33" s="178" t="s">
        <v>625</v>
      </c>
      <c r="C33" s="198"/>
      <c r="D33" s="193" t="s">
        <v>539</v>
      </c>
      <c r="E33" s="193" t="s">
        <v>577</v>
      </c>
      <c r="F33" s="193" t="s">
        <v>539</v>
      </c>
      <c r="G33" s="445"/>
      <c r="H33" s="177" t="s">
        <v>545</v>
      </c>
      <c r="I33" s="353"/>
      <c r="J33" s="194" t="s">
        <v>626</v>
      </c>
      <c r="L33" s="260"/>
      <c r="N33" s="260"/>
      <c r="O33" s="260"/>
      <c r="P33" s="260"/>
    </row>
    <row r="34" spans="1:21" ht="17.25" customHeight="1">
      <c r="A34" s="64">
        <v>27</v>
      </c>
      <c r="B34" s="178" t="s">
        <v>627</v>
      </c>
      <c r="C34" s="198"/>
      <c r="D34" s="202" t="s">
        <v>539</v>
      </c>
      <c r="E34" s="193" t="s">
        <v>553</v>
      </c>
      <c r="F34" s="193" t="s">
        <v>539</v>
      </c>
      <c r="G34" s="444"/>
      <c r="H34" s="177" t="s">
        <v>545</v>
      </c>
      <c r="I34" s="353"/>
      <c r="J34" s="194" t="s">
        <v>628</v>
      </c>
      <c r="L34" s="261"/>
      <c r="N34" s="261"/>
      <c r="O34" s="261"/>
      <c r="P34" s="261"/>
    </row>
    <row r="35" spans="1:21">
      <c r="B35" s="71"/>
      <c r="C35" s="71"/>
      <c r="D35" s="71"/>
      <c r="E35" s="71"/>
      <c r="F35" s="71"/>
      <c r="G35" s="71"/>
      <c r="H35" s="354"/>
      <c r="I35" s="354"/>
      <c r="J35" s="71"/>
      <c r="M35" s="564"/>
    </row>
    <row r="36" spans="1:21" ht="18">
      <c r="B36" s="73"/>
    </row>
    <row r="37" spans="1:21">
      <c r="K37"/>
    </row>
    <row r="38" spans="1:21">
      <c r="C38"/>
      <c r="D38"/>
      <c r="E38"/>
      <c r="J38"/>
      <c r="K38"/>
      <c r="L38"/>
      <c r="M38"/>
      <c r="N38"/>
      <c r="O38"/>
      <c r="P38"/>
      <c r="Q38"/>
      <c r="R38"/>
      <c r="S38"/>
      <c r="T38"/>
    </row>
    <row r="39" spans="1:21">
      <c r="C39" s="259"/>
      <c r="D39" s="146"/>
      <c r="E39"/>
      <c r="J39"/>
      <c r="M39"/>
      <c r="N39"/>
      <c r="O39"/>
      <c r="P39"/>
      <c r="Q39"/>
      <c r="R39"/>
      <c r="S39"/>
      <c r="T39"/>
      <c r="U39" s="694"/>
    </row>
    <row r="40" spans="1:21">
      <c r="C40" s="542"/>
      <c r="D40" s="543"/>
      <c r="F40" s="542"/>
      <c r="G40" s="691"/>
      <c r="U40" s="357"/>
    </row>
    <row r="41" spans="1:21">
      <c r="C41" s="542"/>
      <c r="D41" s="543"/>
      <c r="U41" s="358"/>
    </row>
    <row r="42" spans="1:21">
      <c r="C42" s="542"/>
      <c r="D42" s="543"/>
      <c r="U42" s="358"/>
    </row>
    <row r="43" spans="1:21">
      <c r="D43" s="542"/>
      <c r="U43" s="358"/>
    </row>
    <row r="44" spans="1:21">
      <c r="U44" s="358"/>
    </row>
    <row r="45" spans="1:21">
      <c r="U45" s="358"/>
    </row>
    <row r="46" spans="1:21">
      <c r="C46"/>
      <c r="D46"/>
      <c r="E46" s="356"/>
      <c r="F46" s="356"/>
      <c r="U46" s="358"/>
    </row>
    <row r="47" spans="1:21">
      <c r="C47"/>
      <c r="D47" s="259"/>
      <c r="E47" s="556"/>
      <c r="F47" s="557"/>
      <c r="G47" s="542"/>
      <c r="U47" s="358"/>
    </row>
    <row r="48" spans="1:21">
      <c r="D48" s="542"/>
      <c r="E48" s="556"/>
      <c r="F48" s="556"/>
      <c r="G48" s="542"/>
      <c r="U48" s="358"/>
    </row>
    <row r="49" spans="4:21">
      <c r="E49" s="355"/>
      <c r="F49" s="355"/>
      <c r="U49" s="358"/>
    </row>
    <row r="50" spans="4:21">
      <c r="U50" s="358"/>
    </row>
    <row r="51" spans="4:21">
      <c r="U51" s="693"/>
    </row>
    <row r="52" spans="4:21">
      <c r="U52" s="358"/>
    </row>
    <row r="53" spans="4:21">
      <c r="U53" s="358"/>
    </row>
    <row r="54" spans="4:21">
      <c r="D54" s="543"/>
      <c r="E54" s="543"/>
      <c r="F54" s="542"/>
      <c r="N54" s="694"/>
      <c r="O54" s="694"/>
      <c r="P54" s="694"/>
      <c r="Q54" s="694"/>
      <c r="R54" s="694"/>
      <c r="S54" s="694"/>
      <c r="T54" s="694"/>
      <c r="U54" s="358"/>
    </row>
    <row r="55" spans="4:21">
      <c r="Q55" s="357"/>
      <c r="R55" s="357"/>
      <c r="S55" s="357"/>
      <c r="T55" s="357"/>
      <c r="U55" s="358"/>
    </row>
    <row r="56" spans="4:21">
      <c r="N56" s="358"/>
      <c r="O56" s="358"/>
      <c r="P56" s="358"/>
      <c r="Q56" s="358"/>
      <c r="R56" s="358"/>
      <c r="S56" s="358"/>
      <c r="T56" s="358"/>
      <c r="U56" s="358"/>
    </row>
    <row r="57" spans="4:21">
      <c r="N57" s="358"/>
      <c r="O57" s="358"/>
      <c r="P57" s="358"/>
      <c r="Q57" s="358"/>
      <c r="R57" s="358"/>
      <c r="S57" s="358"/>
      <c r="T57" s="358"/>
      <c r="U57" s="358"/>
    </row>
    <row r="58" spans="4:21">
      <c r="N58" s="358"/>
      <c r="O58" s="358"/>
      <c r="P58" s="358"/>
      <c r="Q58" s="358"/>
      <c r="R58" s="358"/>
      <c r="S58" s="358"/>
      <c r="T58" s="358"/>
      <c r="U58" s="358"/>
    </row>
    <row r="59" spans="4:21">
      <c r="N59" s="358"/>
      <c r="O59" s="358"/>
      <c r="P59" s="358"/>
      <c r="Q59" s="358"/>
      <c r="R59" s="358"/>
      <c r="S59" s="358"/>
      <c r="T59" s="358"/>
      <c r="U59" s="358"/>
    </row>
    <row r="60" spans="4:21">
      <c r="N60" s="358"/>
      <c r="O60" s="358"/>
      <c r="P60" s="358"/>
      <c r="Q60" s="358"/>
      <c r="R60" s="358"/>
      <c r="S60" s="358"/>
      <c r="T60" s="358"/>
      <c r="U60" s="358"/>
    </row>
    <row r="61" spans="4:21">
      <c r="G61" s="691"/>
      <c r="N61" s="358"/>
      <c r="O61" s="358"/>
      <c r="P61" s="358"/>
      <c r="Q61" s="358"/>
      <c r="R61" s="358"/>
      <c r="S61" s="358"/>
      <c r="T61" s="358"/>
      <c r="U61" s="358"/>
    </row>
    <row r="62" spans="4:21">
      <c r="N62" s="358"/>
      <c r="O62" s="358"/>
      <c r="P62" s="358"/>
      <c r="Q62" s="358"/>
      <c r="R62" s="358"/>
      <c r="S62" s="358"/>
      <c r="T62" s="358"/>
      <c r="U62" s="358"/>
    </row>
    <row r="63" spans="4:21">
      <c r="N63" s="358"/>
      <c r="O63" s="358"/>
      <c r="P63" s="358"/>
      <c r="Q63" s="358"/>
      <c r="R63" s="358"/>
      <c r="S63" s="358"/>
      <c r="T63" s="358"/>
      <c r="U63" s="693"/>
    </row>
    <row r="64" spans="4:21">
      <c r="N64" s="358"/>
      <c r="O64" s="358"/>
      <c r="P64" s="358"/>
      <c r="Q64" s="358"/>
      <c r="R64" s="358"/>
      <c r="S64" s="358"/>
      <c r="T64" s="358"/>
      <c r="U64" s="358"/>
    </row>
    <row r="65" spans="14:21">
      <c r="N65" s="358"/>
      <c r="O65" s="358"/>
      <c r="P65" s="358"/>
      <c r="Q65" s="358"/>
      <c r="R65" s="358"/>
      <c r="S65" s="358"/>
      <c r="T65" s="358"/>
      <c r="U65" s="358"/>
    </row>
    <row r="66" spans="14:21">
      <c r="N66" s="693"/>
      <c r="O66" s="693"/>
      <c r="P66" s="693"/>
      <c r="Q66" s="693"/>
      <c r="R66" s="693"/>
      <c r="S66" s="693"/>
      <c r="T66" s="693"/>
      <c r="U66" s="358"/>
    </row>
    <row r="67" spans="14:21">
      <c r="N67" s="358"/>
      <c r="O67" s="358"/>
      <c r="P67" s="358"/>
      <c r="Q67" s="358"/>
      <c r="R67" s="358"/>
      <c r="S67" s="358"/>
      <c r="T67" s="358"/>
      <c r="U67" s="358"/>
    </row>
    <row r="68" spans="14:21">
      <c r="N68" s="358"/>
      <c r="O68" s="358"/>
      <c r="P68" s="358"/>
      <c r="Q68" s="358"/>
      <c r="R68" s="358"/>
      <c r="S68" s="358"/>
      <c r="T68" s="358"/>
      <c r="U68" s="358"/>
    </row>
    <row r="69" spans="14:21">
      <c r="N69" s="358"/>
      <c r="O69" s="358"/>
      <c r="P69" s="358"/>
      <c r="Q69" s="358"/>
      <c r="R69" s="358"/>
      <c r="S69" s="358"/>
      <c r="T69" s="358"/>
      <c r="U69" s="358"/>
    </row>
    <row r="70" spans="14:21">
      <c r="N70" s="358"/>
      <c r="O70" s="358"/>
      <c r="P70" s="358"/>
      <c r="Q70" s="358"/>
      <c r="R70" s="358"/>
      <c r="S70" s="358"/>
      <c r="T70" s="358"/>
      <c r="U70" s="358"/>
    </row>
    <row r="71" spans="14:21">
      <c r="N71" s="358"/>
      <c r="O71" s="358"/>
      <c r="P71" s="358"/>
      <c r="Q71" s="358"/>
      <c r="R71" s="358"/>
      <c r="S71" s="358"/>
      <c r="T71" s="358"/>
      <c r="U71" s="358"/>
    </row>
    <row r="72" spans="14:21">
      <c r="N72" s="358"/>
      <c r="O72" s="358"/>
      <c r="P72" s="358"/>
      <c r="Q72" s="358"/>
      <c r="R72" s="358"/>
      <c r="S72" s="358"/>
      <c r="T72" s="358"/>
      <c r="U72" s="358"/>
    </row>
    <row r="73" spans="14:21">
      <c r="N73" s="358"/>
      <c r="O73" s="358"/>
      <c r="P73" s="358"/>
      <c r="Q73" s="358"/>
      <c r="R73" s="358"/>
      <c r="S73" s="358"/>
      <c r="T73" s="358"/>
      <c r="U73" s="358"/>
    </row>
    <row r="74" spans="14:21">
      <c r="N74" s="359"/>
      <c r="O74" s="359"/>
      <c r="P74" s="359"/>
      <c r="Q74" s="358"/>
      <c r="R74" s="358"/>
      <c r="S74" s="358"/>
      <c r="T74" s="358"/>
      <c r="U74" s="358"/>
    </row>
    <row r="75" spans="14:21">
      <c r="N75" s="359"/>
      <c r="O75" s="359"/>
      <c r="P75" s="359"/>
      <c r="Q75" s="358"/>
      <c r="R75" s="358"/>
      <c r="S75" s="358"/>
      <c r="T75" s="358"/>
      <c r="U75" s="693"/>
    </row>
    <row r="76" spans="14:21">
      <c r="N76" s="359"/>
      <c r="O76" s="359"/>
      <c r="P76" s="359"/>
      <c r="Q76" s="358"/>
      <c r="R76" s="358"/>
      <c r="S76" s="358"/>
      <c r="T76" s="358"/>
      <c r="U76" s="358"/>
    </row>
    <row r="77" spans="14:21">
      <c r="N77" s="358"/>
      <c r="O77" s="358"/>
      <c r="P77" s="358"/>
      <c r="Q77" s="358"/>
      <c r="R77" s="358"/>
      <c r="S77" s="358"/>
      <c r="T77" s="358"/>
      <c r="U77" s="358"/>
    </row>
    <row r="78" spans="14:21">
      <c r="N78" s="693"/>
      <c r="O78" s="693"/>
      <c r="P78" s="693"/>
      <c r="Q78" s="693"/>
      <c r="R78" s="693"/>
      <c r="S78" s="693"/>
      <c r="T78" s="693"/>
      <c r="U78" s="358"/>
    </row>
    <row r="79" spans="14:21">
      <c r="N79" s="358"/>
      <c r="O79" s="358"/>
      <c r="P79" s="358"/>
      <c r="Q79" s="358"/>
      <c r="R79" s="358"/>
      <c r="S79" s="358"/>
      <c r="T79" s="358"/>
      <c r="U79" s="358"/>
    </row>
    <row r="80" spans="14:21">
      <c r="N80" s="358"/>
      <c r="O80" s="358"/>
      <c r="P80" s="358"/>
      <c r="Q80" s="358"/>
      <c r="R80" s="358"/>
      <c r="S80" s="358"/>
      <c r="T80" s="358"/>
      <c r="U80" s="358"/>
    </row>
    <row r="81" spans="14:21">
      <c r="N81" s="358"/>
      <c r="O81" s="358"/>
      <c r="P81" s="358"/>
      <c r="Q81" s="358"/>
      <c r="R81" s="358"/>
      <c r="S81" s="358"/>
      <c r="T81" s="358"/>
      <c r="U81" s="358"/>
    </row>
    <row r="82" spans="14:21">
      <c r="N82" s="358"/>
      <c r="O82" s="358"/>
      <c r="P82" s="358"/>
      <c r="Q82" s="358"/>
      <c r="R82" s="358"/>
      <c r="S82" s="358"/>
      <c r="T82" s="358"/>
      <c r="U82" s="358"/>
    </row>
    <row r="83" spans="14:21">
      <c r="N83" s="358"/>
      <c r="O83" s="358"/>
      <c r="P83" s="358"/>
      <c r="Q83" s="358"/>
      <c r="R83" s="358"/>
      <c r="S83" s="358"/>
      <c r="T83" s="358"/>
      <c r="U83" s="358"/>
    </row>
    <row r="84" spans="14:21">
      <c r="N84" s="358"/>
      <c r="O84" s="358"/>
      <c r="P84" s="358"/>
      <c r="Q84" s="358"/>
      <c r="R84" s="358"/>
      <c r="S84" s="358"/>
      <c r="T84" s="358"/>
      <c r="U84" s="358"/>
    </row>
    <row r="85" spans="14:21">
      <c r="N85" s="358"/>
      <c r="O85" s="358"/>
      <c r="P85" s="358"/>
      <c r="Q85" s="358"/>
      <c r="R85" s="358"/>
      <c r="S85" s="358"/>
      <c r="T85" s="358"/>
      <c r="U85" s="358"/>
    </row>
    <row r="86" spans="14:21">
      <c r="N86" s="359"/>
      <c r="O86" s="359"/>
      <c r="P86" s="359"/>
      <c r="Q86" s="358"/>
      <c r="R86" s="358"/>
      <c r="S86" s="358"/>
      <c r="T86" s="358"/>
    </row>
    <row r="87" spans="14:21">
      <c r="N87" s="359"/>
      <c r="O87" s="359"/>
      <c r="P87" s="359"/>
      <c r="Q87" s="358"/>
      <c r="R87" s="358"/>
      <c r="S87" s="358"/>
      <c r="T87" s="358"/>
    </row>
    <row r="88" spans="14:21">
      <c r="N88" s="359"/>
      <c r="O88" s="359"/>
      <c r="P88" s="359"/>
      <c r="Q88" s="358"/>
      <c r="R88" s="358"/>
      <c r="S88" s="358"/>
      <c r="T88" s="358"/>
    </row>
    <row r="89" spans="14:21">
      <c r="N89" s="358"/>
      <c r="O89" s="358"/>
      <c r="P89" s="358"/>
      <c r="Q89" s="358"/>
      <c r="R89" s="358"/>
      <c r="S89" s="358"/>
      <c r="T89" s="358"/>
    </row>
    <row r="90" spans="14:21">
      <c r="N90" s="693"/>
      <c r="O90" s="693"/>
      <c r="P90" s="693"/>
      <c r="Q90" s="693"/>
      <c r="R90" s="693"/>
      <c r="S90" s="693"/>
      <c r="T90" s="693"/>
    </row>
    <row r="91" spans="14:21">
      <c r="N91" s="358"/>
      <c r="O91" s="358"/>
      <c r="P91" s="358"/>
      <c r="Q91" s="358"/>
      <c r="R91" s="358"/>
      <c r="S91" s="358"/>
      <c r="T91" s="358"/>
    </row>
    <row r="92" spans="14:21">
      <c r="N92" s="359"/>
      <c r="O92" s="359"/>
      <c r="P92" s="359"/>
      <c r="Q92" s="358"/>
      <c r="R92" s="358"/>
      <c r="S92" s="358"/>
      <c r="T92" s="358"/>
    </row>
    <row r="93" spans="14:21">
      <c r="N93" s="359"/>
      <c r="O93" s="359"/>
      <c r="P93" s="359"/>
      <c r="Q93" s="358"/>
      <c r="R93" s="358"/>
      <c r="S93" s="358"/>
      <c r="T93" s="358"/>
    </row>
    <row r="94" spans="14:21">
      <c r="N94" s="359"/>
      <c r="O94" s="359"/>
      <c r="P94" s="359"/>
      <c r="Q94" s="358"/>
      <c r="R94" s="358"/>
      <c r="S94" s="358"/>
      <c r="T94" s="358"/>
    </row>
    <row r="95" spans="14:21">
      <c r="N95" s="359"/>
      <c r="O95" s="359"/>
      <c r="P95" s="359"/>
      <c r="Q95" s="358"/>
      <c r="R95" s="358"/>
      <c r="S95" s="358"/>
      <c r="T95" s="358"/>
    </row>
    <row r="96" spans="14:21">
      <c r="N96" s="359"/>
      <c r="O96" s="359"/>
      <c r="P96" s="359"/>
      <c r="Q96" s="358"/>
      <c r="R96" s="358"/>
      <c r="S96" s="358"/>
      <c r="T96" s="358"/>
    </row>
    <row r="97" spans="14:20">
      <c r="N97" s="359"/>
      <c r="O97" s="359"/>
      <c r="P97" s="359"/>
      <c r="Q97" s="358"/>
      <c r="R97" s="358"/>
      <c r="S97" s="358"/>
      <c r="T97" s="358"/>
    </row>
    <row r="98" spans="14:20">
      <c r="N98" s="359"/>
      <c r="O98" s="359"/>
      <c r="P98" s="359"/>
      <c r="Q98" s="358"/>
      <c r="R98" s="358"/>
      <c r="S98" s="358"/>
      <c r="T98" s="358"/>
    </row>
    <row r="99" spans="14:20">
      <c r="N99" s="359"/>
      <c r="O99" s="359"/>
      <c r="P99" s="359"/>
      <c r="Q99" s="358"/>
      <c r="R99" s="358"/>
      <c r="S99" s="358"/>
      <c r="T99" s="358"/>
    </row>
    <row r="100" spans="14:20">
      <c r="N100" s="359"/>
      <c r="O100" s="359"/>
      <c r="P100" s="359"/>
      <c r="Q100" s="358"/>
      <c r="R100" s="358"/>
      <c r="S100" s="358"/>
      <c r="T100" s="358"/>
    </row>
  </sheetData>
  <mergeCells count="4">
    <mergeCell ref="B3:J3"/>
    <mergeCell ref="K3:S3"/>
    <mergeCell ref="K23:M23"/>
    <mergeCell ref="M25:M28"/>
  </mergeCells>
  <conditionalFormatting sqref="C10:F10">
    <cfRule type="expression" dxfId="591" priority="31">
      <formula>$C$10="Low"</formula>
    </cfRule>
  </conditionalFormatting>
  <conditionalFormatting sqref="D7">
    <cfRule type="expression" dxfId="590" priority="47">
      <formula>$C$7="Low"</formula>
    </cfRule>
  </conditionalFormatting>
  <conditionalFormatting sqref="D8">
    <cfRule type="expression" dxfId="589" priority="46">
      <formula>$C$8="Low"</formula>
    </cfRule>
  </conditionalFormatting>
  <conditionalFormatting sqref="D6:F6">
    <cfRule type="expression" dxfId="588" priority="48">
      <formula>$C$6="Low"</formula>
    </cfRule>
  </conditionalFormatting>
  <conditionalFormatting sqref="D9:F9 J9">
    <cfRule type="expression" dxfId="587" priority="45">
      <formula>$C$9="Low"</formula>
    </cfRule>
  </conditionalFormatting>
  <conditionalFormatting sqref="D12:F12 J12">
    <cfRule type="expression" dxfId="586" priority="43">
      <formula>$C$12="Low"</formula>
    </cfRule>
  </conditionalFormatting>
  <conditionalFormatting sqref="D13:F13 J13">
    <cfRule type="expression" dxfId="585" priority="42">
      <formula>$C$13="Low"</formula>
    </cfRule>
  </conditionalFormatting>
  <conditionalFormatting sqref="D14:F14 J14">
    <cfRule type="expression" dxfId="584" priority="41">
      <formula>$C$14="Low"</formula>
    </cfRule>
  </conditionalFormatting>
  <conditionalFormatting sqref="D15:F15 H15:J15">
    <cfRule type="expression" dxfId="583" priority="40">
      <formula>$C$15="Low"</formula>
    </cfRule>
  </conditionalFormatting>
  <conditionalFormatting sqref="D16:F16">
    <cfRule type="expression" dxfId="582" priority="39">
      <formula>$C$16="Low"</formula>
    </cfRule>
  </conditionalFormatting>
  <conditionalFormatting sqref="D17:F17 J17">
    <cfRule type="expression" dxfId="581" priority="38">
      <formula>$C$17="Low"</formula>
    </cfRule>
  </conditionalFormatting>
  <conditionalFormatting sqref="D18:F18 H18:J18">
    <cfRule type="expression" dxfId="580" priority="37">
      <formula>$C$18="Low"</formula>
    </cfRule>
  </conditionalFormatting>
  <conditionalFormatting sqref="D19:F19 J20">
    <cfRule type="expression" dxfId="579" priority="36">
      <formula>$C$19="Low"</formula>
    </cfRule>
  </conditionalFormatting>
  <conditionalFormatting sqref="D20:F20 H20:J20">
    <cfRule type="expression" dxfId="578" priority="35">
      <formula>$C$20="Low"</formula>
    </cfRule>
  </conditionalFormatting>
  <conditionalFormatting sqref="D21:F21 J21">
    <cfRule type="expression" dxfId="577" priority="34">
      <formula>$C$21="Low"</formula>
    </cfRule>
  </conditionalFormatting>
  <conditionalFormatting sqref="D22:F22 H22:J22">
    <cfRule type="expression" dxfId="576" priority="33">
      <formula>$C$22="Low"</formula>
    </cfRule>
  </conditionalFormatting>
  <conditionalFormatting sqref="H12 H13:I14">
    <cfRule type="expression" dxfId="575" priority="19">
      <formula>$C$6="Low"</formula>
    </cfRule>
  </conditionalFormatting>
  <conditionalFormatting sqref="H16:H17">
    <cfRule type="expression" dxfId="574" priority="18">
      <formula>$C$6="Low"</formula>
    </cfRule>
  </conditionalFormatting>
  <conditionalFormatting sqref="H19">
    <cfRule type="expression" dxfId="573" priority="17">
      <formula>$C$6="Low"</formula>
    </cfRule>
  </conditionalFormatting>
  <conditionalFormatting sqref="H21">
    <cfRule type="expression" dxfId="572" priority="16">
      <formula>$C$6="Low"</formula>
    </cfRule>
  </conditionalFormatting>
  <conditionalFormatting sqref="H24:H34">
    <cfRule type="expression" dxfId="571" priority="7">
      <formula>$C$6="Low"</formula>
    </cfRule>
  </conditionalFormatting>
  <conditionalFormatting sqref="H6:J7 H8:I8 H9 H10:J10">
    <cfRule type="expression" dxfId="570" priority="26">
      <formula>$C$6="Low"</formula>
    </cfRule>
  </conditionalFormatting>
  <conditionalFormatting sqref="I16:I17">
    <cfRule type="expression" dxfId="569" priority="23">
      <formula>$C$16="Low"</formula>
    </cfRule>
  </conditionalFormatting>
  <conditionalFormatting sqref="I19">
    <cfRule type="expression" dxfId="568" priority="22">
      <formula>$C$16="Low"</formula>
    </cfRule>
  </conditionalFormatting>
  <conditionalFormatting sqref="I21">
    <cfRule type="expression" dxfId="567" priority="21">
      <formula>$C$16="Low"</formula>
    </cfRule>
  </conditionalFormatting>
  <conditionalFormatting sqref="I24:I34">
    <cfRule type="expression" dxfId="566" priority="20">
      <formula>$C$16="Low"</formula>
    </cfRule>
  </conditionalFormatting>
  <conditionalFormatting sqref="J19">
    <cfRule type="expression" dxfId="565" priority="14">
      <formula>$C$17="Low"</formula>
    </cfRule>
  </conditionalFormatting>
  <dataValidations count="3">
    <dataValidation type="list" showInputMessage="1" showErrorMessage="1" sqref="B2" xr:uid="{A02853CE-D21D-44BD-9939-055BC887EFBD}">
      <formula1>Sectors</formula1>
    </dataValidation>
    <dataValidation type="list" allowBlank="1" showInputMessage="1" showErrorMessage="1" sqref="E12:E22 E24:E34 E6 E9:E10" xr:uid="{21B53BAA-5CFE-4F77-8669-06D93A31F2C2}">
      <formula1>$L$25:$L$28</formula1>
    </dataValidation>
    <dataValidation type="list" allowBlank="1" showInputMessage="1" showErrorMessage="1" sqref="D6:D22 C11 F12:F22 D32:D34 F24:F34 F6 F9:F10" xr:uid="{3F3EAFB5-AA53-4ACB-815F-B2974A5D886C}">
      <formula1>#REF!</formula1>
    </dataValidation>
  </dataValidation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138"/>
  <sheetViews>
    <sheetView showGridLines="0" tabSelected="1" topLeftCell="B1" zoomScale="99" zoomScaleNormal="99" workbookViewId="0">
      <selection activeCell="L8" sqref="L8"/>
    </sheetView>
  </sheetViews>
  <sheetFormatPr defaultColWidth="11.42578125" defaultRowHeight="12.95" outlineLevelCol="1"/>
  <cols>
    <col min="1" max="1" width="24.42578125" bestFit="1" customWidth="1"/>
    <col min="2" max="2" width="22.710937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28515625" style="2" customWidth="1"/>
    <col min="12" max="12" width="19" style="2" customWidth="1"/>
    <col min="13" max="14" width="24.28515625" style="2" bestFit="1" customWidth="1"/>
    <col min="15" max="15" width="23.28515625" style="2" bestFit="1" customWidth="1"/>
    <col min="16" max="25" width="24.28515625" style="2" bestFit="1" customWidth="1"/>
    <col min="26" max="28" width="23.28515625" style="2" bestFit="1" customWidth="1"/>
    <col min="29" max="30" width="24.28515625" style="2" bestFit="1" customWidth="1"/>
    <col min="31" max="32" width="23.28515625" style="2" bestFit="1" customWidth="1"/>
    <col min="33" max="33" width="14.42578125" customWidth="1"/>
  </cols>
  <sheetData>
    <row r="1" spans="1:40" ht="21" customHeight="1">
      <c r="A1" s="1438" t="s">
        <v>629</v>
      </c>
      <c r="B1" s="1438"/>
      <c r="C1" s="1438"/>
      <c r="D1" s="1438"/>
      <c r="E1" s="1438"/>
      <c r="F1" s="1438"/>
      <c r="G1" s="1438"/>
      <c r="H1" s="1438"/>
      <c r="I1" s="1438"/>
      <c r="J1" s="1438"/>
      <c r="K1" s="1438"/>
      <c r="L1" s="1438"/>
      <c r="M1" s="1438"/>
      <c r="N1" s="1438"/>
      <c r="O1" s="1438"/>
      <c r="P1" s="1438"/>
      <c r="Q1" s="1438"/>
      <c r="R1" s="1438"/>
      <c r="S1" s="1438"/>
      <c r="T1" s="1438"/>
      <c r="U1" s="1438"/>
      <c r="V1" s="1438"/>
      <c r="W1" s="1438"/>
      <c r="X1" s="1438"/>
      <c r="Y1" s="1438"/>
      <c r="Z1" s="1438"/>
      <c r="AA1" s="1438"/>
      <c r="AB1" s="1438"/>
      <c r="AC1" s="1438"/>
      <c r="AD1" s="1438"/>
      <c r="AE1" s="1438"/>
      <c r="AF1" s="1438"/>
      <c r="AG1" s="10"/>
      <c r="AH1" s="10"/>
      <c r="AI1" s="10"/>
      <c r="AJ1" s="10"/>
      <c r="AK1" s="10"/>
      <c r="AL1" s="10"/>
      <c r="AM1" s="10"/>
      <c r="AN1" s="10"/>
    </row>
    <row r="2" spans="1:40" ht="3.75" customHeight="1" thickBot="1">
      <c r="A2" s="1438"/>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8"/>
      <c r="AF2" s="1438"/>
      <c r="AG2" s="360"/>
      <c r="AH2" s="10"/>
      <c r="AI2" s="10"/>
      <c r="AJ2" s="10"/>
      <c r="AK2" s="10"/>
      <c r="AL2" s="10"/>
      <c r="AM2" s="10"/>
      <c r="AN2" s="10"/>
    </row>
    <row r="3" spans="1:40" ht="20.100000000000001" thickBot="1">
      <c r="A3" s="207"/>
      <c r="B3" s="207"/>
      <c r="C3" s="207"/>
      <c r="D3" s="207"/>
      <c r="E3" s="207"/>
      <c r="F3" s="207"/>
      <c r="G3" s="1444" t="s">
        <v>630</v>
      </c>
      <c r="H3" s="1444"/>
      <c r="I3" s="1444"/>
      <c r="J3" s="1444"/>
      <c r="K3" s="1445" t="s">
        <v>631</v>
      </c>
      <c r="L3" s="1445"/>
      <c r="M3" s="1445"/>
      <c r="N3" s="1445"/>
      <c r="O3" s="1445"/>
      <c r="P3" s="1445"/>
      <c r="Q3" s="1445"/>
      <c r="R3" s="1445"/>
      <c r="S3" s="1445"/>
      <c r="T3" s="1445"/>
      <c r="U3" s="1445"/>
      <c r="V3" s="1445"/>
      <c r="W3" s="1445"/>
      <c r="X3" s="1445"/>
      <c r="Y3" s="1445"/>
      <c r="Z3" s="1445"/>
      <c r="AA3" s="1445"/>
      <c r="AB3" s="1445"/>
      <c r="AC3" s="1445"/>
      <c r="AD3" s="1445"/>
      <c r="AE3" s="1445"/>
      <c r="AF3" s="1445"/>
      <c r="AG3" s="360"/>
      <c r="AH3" s="10"/>
      <c r="AI3" s="10"/>
      <c r="AJ3" s="10"/>
      <c r="AK3" s="10"/>
      <c r="AL3" s="10"/>
      <c r="AM3" s="10"/>
      <c r="AN3" s="10"/>
    </row>
    <row r="4" spans="1:40" ht="15.95" thickBot="1">
      <c r="A4" s="230" t="s">
        <v>632</v>
      </c>
      <c r="B4" s="233" t="s">
        <v>633</v>
      </c>
      <c r="C4" s="234" t="s">
        <v>634</v>
      </c>
      <c r="D4" s="243" t="str">
        <f>OP!J21-2&amp;" (Real)"</f>
        <v>2021 (Real)</v>
      </c>
      <c r="E4" s="243" t="str">
        <f>OP!J21-1&amp;" (Real)"</f>
        <v>2022 (Real)</v>
      </c>
      <c r="F4" s="244" t="str">
        <f>OP!J21&amp;" (Real)"</f>
        <v>2023 (Real)</v>
      </c>
      <c r="G4" s="243">
        <f>OP!J21+1</f>
        <v>2024</v>
      </c>
      <c r="H4" s="243">
        <f>G4+1</f>
        <v>2025</v>
      </c>
      <c r="I4" s="243">
        <f t="shared" ref="I4:AF4" si="0">H4+1</f>
        <v>2026</v>
      </c>
      <c r="J4" s="244">
        <f t="shared" si="0"/>
        <v>2027</v>
      </c>
      <c r="K4" s="245">
        <f t="shared" si="0"/>
        <v>2028</v>
      </c>
      <c r="L4" s="245">
        <f t="shared" si="0"/>
        <v>2029</v>
      </c>
      <c r="M4" s="245">
        <f t="shared" si="0"/>
        <v>2030</v>
      </c>
      <c r="N4" s="245">
        <f t="shared" si="0"/>
        <v>2031</v>
      </c>
      <c r="O4" s="245">
        <f t="shared" si="0"/>
        <v>2032</v>
      </c>
      <c r="P4" s="245">
        <f t="shared" si="0"/>
        <v>2033</v>
      </c>
      <c r="Q4" s="245">
        <f t="shared" si="0"/>
        <v>2034</v>
      </c>
      <c r="R4" s="245">
        <f t="shared" si="0"/>
        <v>2035</v>
      </c>
      <c r="S4" s="245">
        <f t="shared" si="0"/>
        <v>2036</v>
      </c>
      <c r="T4" s="245">
        <f t="shared" si="0"/>
        <v>2037</v>
      </c>
      <c r="U4" s="245">
        <f t="shared" si="0"/>
        <v>2038</v>
      </c>
      <c r="V4" s="245">
        <f t="shared" si="0"/>
        <v>2039</v>
      </c>
      <c r="W4" s="245">
        <f t="shared" si="0"/>
        <v>2040</v>
      </c>
      <c r="X4" s="245">
        <f t="shared" si="0"/>
        <v>2041</v>
      </c>
      <c r="Y4" s="245">
        <f t="shared" si="0"/>
        <v>2042</v>
      </c>
      <c r="Z4" s="245">
        <f t="shared" si="0"/>
        <v>2043</v>
      </c>
      <c r="AA4" s="245">
        <f t="shared" si="0"/>
        <v>2044</v>
      </c>
      <c r="AB4" s="245">
        <f t="shared" si="0"/>
        <v>2045</v>
      </c>
      <c r="AC4" s="245">
        <f t="shared" si="0"/>
        <v>2046</v>
      </c>
      <c r="AD4" s="245">
        <f t="shared" si="0"/>
        <v>2047</v>
      </c>
      <c r="AE4" s="245">
        <f t="shared" si="0"/>
        <v>2048</v>
      </c>
      <c r="AF4" s="246">
        <f t="shared" si="0"/>
        <v>2049</v>
      </c>
      <c r="AG4" s="360"/>
      <c r="AH4" s="10"/>
      <c r="AI4" s="10"/>
      <c r="AJ4" s="10"/>
      <c r="AK4" s="10"/>
      <c r="AL4" s="10"/>
      <c r="AM4" s="10"/>
      <c r="AN4" s="10"/>
    </row>
    <row r="5" spans="1:40">
      <c r="A5" s="1165" t="s">
        <v>635</v>
      </c>
      <c r="B5" s="235">
        <v>1</v>
      </c>
      <c r="C5" s="241" t="s">
        <v>636</v>
      </c>
      <c r="D5" s="249">
        <f>'Fin. Data'!D6</f>
        <v>1.0903686087990492</v>
      </c>
      <c r="E5" s="252">
        <f t="shared" ref="E5:F5" si="1">+E6/D6-1</f>
        <v>5.7667804323094414</v>
      </c>
      <c r="F5" s="872">
        <f t="shared" si="1"/>
        <v>2.4162743779421656</v>
      </c>
      <c r="G5" s="879">
        <f>Assumptions!S182</f>
        <v>-0.41902792729934291</v>
      </c>
      <c r="H5" s="879">
        <f>D136</f>
        <v>0.10854150729225374</v>
      </c>
      <c r="I5" s="879">
        <f>[3]Assumptions!U182</f>
        <v>0.40692169061165018</v>
      </c>
      <c r="J5" s="879">
        <f>[3]Assumptions!V182</f>
        <v>0.19813857193062867</v>
      </c>
      <c r="K5" s="879">
        <f>[3]Assumptions!W182</f>
        <v>0.12220070343408884</v>
      </c>
      <c r="L5" s="879">
        <f>[3]Assumptions!X182</f>
        <v>-8.6028584563467736E-2</v>
      </c>
      <c r="M5" s="879">
        <f>[3]Assumptions!Y182</f>
        <v>0.20099173729455844</v>
      </c>
      <c r="N5" s="879">
        <f>[3]Assumptions!Z182</f>
        <v>0.11512577611331931</v>
      </c>
      <c r="O5" s="879">
        <f>[3]Assumptions!AA182</f>
        <v>8.5566695144856597E-2</v>
      </c>
      <c r="P5" s="879">
        <f>[3]Assumptions!AB182</f>
        <v>0.16578895324677778</v>
      </c>
      <c r="Q5" s="879">
        <f>[3]Assumptions!AC182</f>
        <v>0.1078881592346197</v>
      </c>
      <c r="R5" s="879">
        <f>[3]Assumptions!AD182</f>
        <v>0.10268237773318856</v>
      </c>
      <c r="S5" s="879">
        <f>[3]Assumptions!AE182</f>
        <v>9.7920406435489604E-2</v>
      </c>
      <c r="T5" s="879">
        <f>[3]Assumptions!AF182</f>
        <v>9.3553839288429974E-2</v>
      </c>
      <c r="U5" s="879">
        <f>[3]Assumptions!AG182</f>
        <v>8.953966934261004E-2</v>
      </c>
      <c r="V5" s="879">
        <f>[3]Assumptions!AH182</f>
        <v>8.5839975654545708E-2</v>
      </c>
      <c r="W5" s="879">
        <f>[3]Assumptions!AI182</f>
        <v>8.2421459834404631E-2</v>
      </c>
      <c r="X5" s="879">
        <f>[3]Assumptions!AJ182</f>
        <v>7.9254928894747945E-2</v>
      </c>
      <c r="Y5" s="879">
        <f>[3]Assumptions!AK182</f>
        <v>7.6314788700239999E-2</v>
      </c>
      <c r="Z5" s="879">
        <f>[3]Assumptions!AL182</f>
        <v>7.3578577024861813E-2</v>
      </c>
      <c r="AA5" s="879">
        <f>[3]Assumptions!AM182</f>
        <v>7.1026546922421718E-2</v>
      </c>
      <c r="AB5" s="879">
        <f>[3]Assumptions!AN182</f>
        <v>6.8641301869392879E-2</v>
      </c>
      <c r="AC5" s="879">
        <f>[3]Assumptions!AO182</f>
        <v>6.6407479723034513E-2</v>
      </c>
      <c r="AD5" s="879">
        <f>[3]Assumptions!AP182</f>
        <v>6.431148068089243E-2</v>
      </c>
      <c r="AE5" s="879">
        <f>[3]Assumptions!AQ182</f>
        <v>6.2341233900014559E-2</v>
      </c>
      <c r="AF5" s="879">
        <v>0.02</v>
      </c>
      <c r="AG5" s="303"/>
      <c r="AH5" s="10"/>
      <c r="AI5" s="10"/>
      <c r="AJ5" s="10"/>
      <c r="AK5" s="10"/>
      <c r="AL5" s="10"/>
      <c r="AM5" s="10"/>
      <c r="AN5" s="10"/>
    </row>
    <row r="6" spans="1:40" ht="15">
      <c r="A6" s="1165"/>
      <c r="B6" s="235">
        <v>2</v>
      </c>
      <c r="C6" s="229" t="s">
        <v>637</v>
      </c>
      <c r="D6" s="505">
        <f>'Inputs (AUD)'!D6</f>
        <v>175.8</v>
      </c>
      <c r="E6" s="807">
        <f>'Inputs (AUD)'!C6</f>
        <v>1189.5999999999999</v>
      </c>
      <c r="F6" s="873">
        <f>'Inputs (AUD)'!B6</f>
        <v>4064</v>
      </c>
      <c r="G6" s="871">
        <f>F6*(1+G5)</f>
        <v>2361.0705034554703</v>
      </c>
      <c r="H6" s="896">
        <f>G6*(1+H5)</f>
        <v>2617.3446547238077</v>
      </c>
      <c r="I6" s="896">
        <f>H6*(1+I5)</f>
        <v>3682.3989665373851</v>
      </c>
      <c r="J6" s="620">
        <f>I6*(1+J5)</f>
        <v>4412.0242390459262</v>
      </c>
      <c r="K6" s="282">
        <f>J6*(1+K5)</f>
        <v>4951.1767046255891</v>
      </c>
      <c r="L6" s="281">
        <f t="shared" ref="L6:AF6" si="2">K6*(1+L5)</f>
        <v>4525.2339808030347</v>
      </c>
      <c r="M6" s="281">
        <f t="shared" si="2"/>
        <v>5434.7686202690074</v>
      </c>
      <c r="N6" s="281">
        <f t="shared" si="2"/>
        <v>6060.4505756737908</v>
      </c>
      <c r="O6" s="281">
        <f t="shared" si="2"/>
        <v>6579.0233025229409</v>
      </c>
      <c r="P6" s="281">
        <f t="shared" si="2"/>
        <v>7669.7526892343785</v>
      </c>
      <c r="Q6" s="281">
        <f t="shared" si="2"/>
        <v>8497.2281886606506</v>
      </c>
      <c r="R6" s="281">
        <f t="shared" si="2"/>
        <v>9369.7437832138003</v>
      </c>
      <c r="S6" s="281">
        <f t="shared" si="2"/>
        <v>10287.232902662496</v>
      </c>
      <c r="T6" s="281">
        <f t="shared" si="2"/>
        <v>11249.643036360831</v>
      </c>
      <c r="U6" s="281">
        <f t="shared" si="2"/>
        <v>12256.932354058976</v>
      </c>
      <c r="V6" s="281">
        <f t="shared" si="2"/>
        <v>13309.06712893081</v>
      </c>
      <c r="W6" s="281">
        <f t="shared" si="2"/>
        <v>14406.019870731376</v>
      </c>
      <c r="X6" s="281">
        <f t="shared" si="2"/>
        <v>15547.767951242517</v>
      </c>
      <c r="Y6" s="281">
        <f t="shared" si="2"/>
        <v>16734.292577201952</v>
      </c>
      <c r="Z6" s="281">
        <f t="shared" si="2"/>
        <v>17965.578012550177</v>
      </c>
      <c r="AA6" s="281">
        <f t="shared" si="2"/>
        <v>19241.610982247003</v>
      </c>
      <c r="AB6" s="281">
        <f t="shared" si="2"/>
        <v>20562.380210132847</v>
      </c>
      <c r="AC6" s="281">
        <f t="shared" si="2"/>
        <v>21927.87605699457</v>
      </c>
      <c r="AD6" s="281">
        <f t="shared" si="2"/>
        <v>23338.09023440698</v>
      </c>
      <c r="AE6" s="281">
        <f t="shared" si="2"/>
        <v>24793.01557648979</v>
      </c>
      <c r="AF6" s="413">
        <f t="shared" si="2"/>
        <v>25288.875888019586</v>
      </c>
      <c r="AG6" s="361"/>
      <c r="AH6" s="10"/>
      <c r="AI6" s="10"/>
      <c r="AJ6" s="10"/>
      <c r="AK6" s="10"/>
      <c r="AL6" s="10"/>
      <c r="AM6" s="10"/>
      <c r="AN6" s="10"/>
    </row>
    <row r="7" spans="1:40" ht="15">
      <c r="A7" s="1165"/>
      <c r="B7" s="235">
        <v>3</v>
      </c>
      <c r="C7" s="78" t="s">
        <v>136</v>
      </c>
      <c r="D7" s="270">
        <f>D8/D6</f>
        <v>-0.19169510807736065</v>
      </c>
      <c r="E7" s="894">
        <f t="shared" ref="E7:F7" si="3">E8/E6</f>
        <v>0.61054135843981183</v>
      </c>
      <c r="F7" s="273">
        <f t="shared" si="3"/>
        <v>0.76210629921259854</v>
      </c>
      <c r="G7" s="895">
        <v>0.55000000000000004</v>
      </c>
      <c r="H7" s="874">
        <v>0.65</v>
      </c>
      <c r="I7" s="1095">
        <v>0.65</v>
      </c>
      <c r="J7" s="1095">
        <v>0.6</v>
      </c>
      <c r="K7" s="1095">
        <v>0.57999999999999996</v>
      </c>
      <c r="L7" s="875">
        <f t="shared" ref="L7:AE7" si="4">M7+1.75%</f>
        <v>0.6</v>
      </c>
      <c r="M7" s="875">
        <f t="shared" si="4"/>
        <v>0.58250000000000002</v>
      </c>
      <c r="N7" s="875">
        <f t="shared" si="4"/>
        <v>0.56500000000000006</v>
      </c>
      <c r="O7" s="875">
        <f t="shared" si="4"/>
        <v>0.5475000000000001</v>
      </c>
      <c r="P7" s="875">
        <f t="shared" si="4"/>
        <v>0.53000000000000014</v>
      </c>
      <c r="Q7" s="875">
        <f t="shared" si="4"/>
        <v>0.51250000000000018</v>
      </c>
      <c r="R7" s="875">
        <f t="shared" si="4"/>
        <v>0.49500000000000022</v>
      </c>
      <c r="S7" s="875">
        <f t="shared" si="4"/>
        <v>0.4775000000000002</v>
      </c>
      <c r="T7" s="875">
        <f t="shared" si="4"/>
        <v>0.46000000000000019</v>
      </c>
      <c r="U7" s="875">
        <f t="shared" si="4"/>
        <v>0.44250000000000017</v>
      </c>
      <c r="V7" s="875">
        <f t="shared" si="4"/>
        <v>0.42500000000000016</v>
      </c>
      <c r="W7" s="875">
        <f t="shared" si="4"/>
        <v>0.40750000000000014</v>
      </c>
      <c r="X7" s="875">
        <f t="shared" si="4"/>
        <v>0.39000000000000012</v>
      </c>
      <c r="Y7" s="875">
        <f t="shared" si="4"/>
        <v>0.37250000000000011</v>
      </c>
      <c r="Z7" s="875">
        <f t="shared" si="4"/>
        <v>0.35500000000000009</v>
      </c>
      <c r="AA7" s="875">
        <f t="shared" si="4"/>
        <v>0.33750000000000008</v>
      </c>
      <c r="AB7" s="875">
        <f t="shared" si="4"/>
        <v>0.32000000000000006</v>
      </c>
      <c r="AC7" s="875">
        <f t="shared" si="4"/>
        <v>0.30250000000000005</v>
      </c>
      <c r="AD7" s="875">
        <f t="shared" si="4"/>
        <v>0.28500000000000003</v>
      </c>
      <c r="AE7" s="875">
        <f t="shared" si="4"/>
        <v>0.26750000000000002</v>
      </c>
      <c r="AF7" s="875">
        <v>0.25</v>
      </c>
      <c r="AH7" s="10"/>
      <c r="AI7" s="10"/>
      <c r="AJ7" s="10"/>
      <c r="AK7" s="10"/>
      <c r="AL7" s="10"/>
      <c r="AM7" s="10"/>
      <c r="AN7" s="10"/>
    </row>
    <row r="8" spans="1:40" ht="15">
      <c r="A8" s="1165"/>
      <c r="B8" s="235">
        <v>4</v>
      </c>
      <c r="C8" s="216" t="s">
        <v>71</v>
      </c>
      <c r="D8" s="891">
        <f>'Fin. Data'!D16</f>
        <v>-33.700000000000003</v>
      </c>
      <c r="E8" s="611">
        <f>'Fin. Data'!C16</f>
        <v>726.30000000000007</v>
      </c>
      <c r="F8" s="871">
        <f>'Fin. Data'!B16</f>
        <v>3097.2000000000003</v>
      </c>
      <c r="G8" s="604">
        <f>G7*G6</f>
        <v>1298.5887769005087</v>
      </c>
      <c r="H8" s="642">
        <f t="shared" ref="H8:AF8" si="5">H7*H6</f>
        <v>1701.274025570475</v>
      </c>
      <c r="I8" s="642">
        <f t="shared" si="5"/>
        <v>2393.5593282493005</v>
      </c>
      <c r="J8" s="602">
        <f t="shared" si="5"/>
        <v>2647.2145434275558</v>
      </c>
      <c r="K8" s="604">
        <f t="shared" si="5"/>
        <v>2871.6824886828413</v>
      </c>
      <c r="L8" s="605">
        <f t="shared" si="5"/>
        <v>2715.1403884818205</v>
      </c>
      <c r="M8" s="605">
        <f t="shared" si="5"/>
        <v>3165.7527213066969</v>
      </c>
      <c r="N8" s="605">
        <f t="shared" si="5"/>
        <v>3424.1545752556922</v>
      </c>
      <c r="O8" s="605">
        <f t="shared" si="5"/>
        <v>3602.0152581313109</v>
      </c>
      <c r="P8" s="605">
        <f t="shared" si="5"/>
        <v>4064.9689252942217</v>
      </c>
      <c r="Q8" s="605">
        <f t="shared" si="5"/>
        <v>4354.8294466885845</v>
      </c>
      <c r="R8" s="605">
        <f t="shared" si="5"/>
        <v>4638.0231726908332</v>
      </c>
      <c r="S8" s="605">
        <f t="shared" si="5"/>
        <v>4912.153711021344</v>
      </c>
      <c r="T8" s="605">
        <f t="shared" si="5"/>
        <v>5174.8357967259844</v>
      </c>
      <c r="U8" s="605">
        <f t="shared" si="5"/>
        <v>5423.6925666710986</v>
      </c>
      <c r="V8" s="605">
        <f t="shared" si="5"/>
        <v>5656.3535297955968</v>
      </c>
      <c r="W8" s="605">
        <f t="shared" si="5"/>
        <v>5870.4530973230376</v>
      </c>
      <c r="X8" s="605">
        <f t="shared" si="5"/>
        <v>6063.6295009845835</v>
      </c>
      <c r="Y8" s="605">
        <f t="shared" si="5"/>
        <v>6233.5239850077287</v>
      </c>
      <c r="Z8" s="605">
        <f t="shared" si="5"/>
        <v>6377.7801944553148</v>
      </c>
      <c r="AA8" s="605">
        <f t="shared" si="5"/>
        <v>6494.0437065083652</v>
      </c>
      <c r="AB8" s="605">
        <f t="shared" si="5"/>
        <v>6579.9616672425127</v>
      </c>
      <c r="AC8" s="605">
        <f t="shared" si="5"/>
        <v>6633.1825072408583</v>
      </c>
      <c r="AD8" s="605">
        <f t="shared" si="5"/>
        <v>6651.3557168059897</v>
      </c>
      <c r="AE8" s="605">
        <f t="shared" si="5"/>
        <v>6632.1316667110195</v>
      </c>
      <c r="AF8" s="602">
        <f t="shared" si="5"/>
        <v>6322.2189720048964</v>
      </c>
      <c r="AH8" s="7"/>
      <c r="AI8" s="7"/>
      <c r="AJ8" s="7"/>
      <c r="AK8" s="10"/>
      <c r="AL8" s="10"/>
      <c r="AM8" s="10"/>
      <c r="AN8" s="10"/>
    </row>
    <row r="9" spans="1:40" ht="15">
      <c r="A9" s="1165"/>
      <c r="B9" s="235" t="s">
        <v>638</v>
      </c>
      <c r="C9" s="229" t="s">
        <v>639</v>
      </c>
      <c r="D9" s="892">
        <f>-'Fin. Data'!D17</f>
        <v>-0.5</v>
      </c>
      <c r="E9" s="649">
        <f>-'Fin. Data'!C17</f>
        <v>-0.7</v>
      </c>
      <c r="F9" s="893">
        <f>-'Fin. Data'!B17</f>
        <v>-1.5</v>
      </c>
      <c r="G9" s="337">
        <f>$D$53*DCF!F40</f>
        <v>-46.178999999999995</v>
      </c>
      <c r="H9" s="311">
        <f>$D$53*DCF!G40</f>
        <v>-51.137248057256485</v>
      </c>
      <c r="I9" s="311">
        <f>$D$53*DCF!H40</f>
        <v>-56.633671832176482</v>
      </c>
      <c r="J9" s="312">
        <f>$D$53*DCF!I40</f>
        <v>-64.366709661904991</v>
      </c>
      <c r="K9" s="606">
        <f>$E$53*DCF!J40</f>
        <v>-98.175947418535259</v>
      </c>
      <c r="L9" s="607">
        <f>$E$53*DCF!K40</f>
        <v>-116.00018355518738</v>
      </c>
      <c r="M9" s="607">
        <f>$E$53*DCF!L40</f>
        <v>-132.2910258860783</v>
      </c>
      <c r="N9" s="607">
        <f>$E$53*DCF!M40</f>
        <v>-151.85619291904672</v>
      </c>
      <c r="O9" s="607">
        <f>$E$53*DCF!N40</f>
        <v>-173.67381499147237</v>
      </c>
      <c r="P9" s="607">
        <f>$E$53*DCF!O40</f>
        <v>-197.35829888055494</v>
      </c>
      <c r="Q9" s="607">
        <f>$E$53*DCF!P40</f>
        <v>-224.9694085617987</v>
      </c>
      <c r="R9" s="607">
        <f>$E$53*DCF!Q40</f>
        <v>-255.55943004097702</v>
      </c>
      <c r="S9" s="607">
        <f>$E$53*DCF!R40</f>
        <v>-289.29050766054672</v>
      </c>
      <c r="T9" s="607">
        <f>$E$53*DCF!S40</f>
        <v>-326.32454611013173</v>
      </c>
      <c r="U9" s="607">
        <f>$E$53*DCF!T40</f>
        <v>-366.82326104103072</v>
      </c>
      <c r="V9" s="607">
        <f>$E$53*DCF!U40</f>
        <v>-410.94821751564308</v>
      </c>
      <c r="W9" s="607">
        <f>$E$53*DCF!V40</f>
        <v>-458.86085917979398</v>
      </c>
      <c r="X9" s="607">
        <f>$E$53*DCF!W40</f>
        <v>-510.72253071442697</v>
      </c>
      <c r="Y9" s="607">
        <f>$E$53*DCF!X40</f>
        <v>-566.69449533890008</v>
      </c>
      <c r="Z9" s="607">
        <f>$E$53*DCF!Y40</f>
        <v>-626.93794861682704</v>
      </c>
      <c r="AA9" s="607">
        <f>$E$53*DCF!Z40</f>
        <v>-691.61402946200781</v>
      </c>
      <c r="AB9" s="607">
        <f>$E$53*DCF!AA40</f>
        <v>-760.88382899809699</v>
      </c>
      <c r="AC9" s="607">
        <f>$E$53*DCF!AB40</f>
        <v>-834.90839775457528</v>
      </c>
      <c r="AD9" s="607">
        <f>$E$53*DCF!AC40</f>
        <v>-913.84875155975578</v>
      </c>
      <c r="AE9" s="607">
        <f>$E$53*DCF!AD40</f>
        <v>-997.86587640362097</v>
      </c>
      <c r="AF9" s="608">
        <f>$E$53*DCF!AE40</f>
        <v>-1087.1207324789841</v>
      </c>
      <c r="AG9" s="348">
        <f>SUM(D9:AF9)</f>
        <v>-10413.74491463933</v>
      </c>
      <c r="AH9" s="7"/>
      <c r="AI9" s="7"/>
      <c r="AJ9" s="7"/>
      <c r="AK9" s="10"/>
      <c r="AL9" s="10"/>
      <c r="AM9" s="10"/>
      <c r="AN9" s="10"/>
    </row>
    <row r="10" spans="1:40" ht="15" hidden="1">
      <c r="A10" s="1165"/>
      <c r="B10" s="235" t="s">
        <v>640</v>
      </c>
      <c r="C10" s="320" t="s">
        <v>641</v>
      </c>
      <c r="D10" s="582">
        <v>0</v>
      </c>
      <c r="E10" s="649">
        <v>0</v>
      </c>
      <c r="F10" s="650">
        <v>0</v>
      </c>
      <c r="G10" s="337">
        <f>F38*0</f>
        <v>0</v>
      </c>
      <c r="H10" s="337">
        <f t="shared" ref="H10:AF10" si="6">G38*0</f>
        <v>0</v>
      </c>
      <c r="I10" s="337">
        <f t="shared" si="6"/>
        <v>0</v>
      </c>
      <c r="J10" s="337">
        <f t="shared" si="6"/>
        <v>0</v>
      </c>
      <c r="K10" s="337">
        <f t="shared" si="6"/>
        <v>0</v>
      </c>
      <c r="L10" s="609">
        <f t="shared" si="6"/>
        <v>0</v>
      </c>
      <c r="M10" s="609">
        <f t="shared" si="6"/>
        <v>0</v>
      </c>
      <c r="N10" s="609">
        <f t="shared" si="6"/>
        <v>0</v>
      </c>
      <c r="O10" s="609">
        <f t="shared" si="6"/>
        <v>0</v>
      </c>
      <c r="P10" s="609">
        <f t="shared" si="6"/>
        <v>0</v>
      </c>
      <c r="Q10" s="609">
        <f t="shared" si="6"/>
        <v>0</v>
      </c>
      <c r="R10" s="609">
        <f t="shared" si="6"/>
        <v>0</v>
      </c>
      <c r="S10" s="609">
        <f t="shared" si="6"/>
        <v>0</v>
      </c>
      <c r="T10" s="609">
        <f t="shared" si="6"/>
        <v>0</v>
      </c>
      <c r="U10" s="609">
        <f t="shared" si="6"/>
        <v>0</v>
      </c>
      <c r="V10" s="609">
        <f t="shared" si="6"/>
        <v>0</v>
      </c>
      <c r="W10" s="609">
        <f t="shared" si="6"/>
        <v>0</v>
      </c>
      <c r="X10" s="609">
        <f t="shared" si="6"/>
        <v>0</v>
      </c>
      <c r="Y10" s="609">
        <f t="shared" si="6"/>
        <v>0</v>
      </c>
      <c r="Z10" s="609">
        <f t="shared" si="6"/>
        <v>0</v>
      </c>
      <c r="AA10" s="609">
        <f t="shared" si="6"/>
        <v>0</v>
      </c>
      <c r="AB10" s="609">
        <f t="shared" si="6"/>
        <v>0</v>
      </c>
      <c r="AC10" s="609">
        <f t="shared" si="6"/>
        <v>0</v>
      </c>
      <c r="AD10" s="609">
        <f t="shared" si="6"/>
        <v>0</v>
      </c>
      <c r="AE10" s="609">
        <f t="shared" si="6"/>
        <v>0</v>
      </c>
      <c r="AF10" s="609">
        <f t="shared" si="6"/>
        <v>0</v>
      </c>
      <c r="AG10" s="347"/>
      <c r="AH10" s="7"/>
      <c r="AI10" s="7"/>
      <c r="AJ10" s="7"/>
    </row>
    <row r="11" spans="1:40" ht="15">
      <c r="A11" s="1165"/>
      <c r="B11" s="235" t="s">
        <v>642</v>
      </c>
      <c r="C11" s="229" t="s">
        <v>643</v>
      </c>
      <c r="D11" s="582">
        <f>D20</f>
        <v>0</v>
      </c>
      <c r="E11" s="649">
        <f>E20</f>
        <v>0</v>
      </c>
      <c r="F11" s="650">
        <f>F20</f>
        <v>-12.8</v>
      </c>
      <c r="G11" s="337">
        <f>G6*$D$55</f>
        <v>0</v>
      </c>
      <c r="H11" s="609">
        <f t="shared" ref="H11:J11" si="7">H6*$D$55</f>
        <v>0</v>
      </c>
      <c r="I11" s="609">
        <f t="shared" si="7"/>
        <v>0</v>
      </c>
      <c r="J11" s="610">
        <f t="shared" si="7"/>
        <v>0</v>
      </c>
      <c r="K11" s="337">
        <f>K6*$E$55</f>
        <v>-99.023534092511781</v>
      </c>
      <c r="L11" s="609">
        <f t="shared" ref="L11:AF11" si="8">L6*$E$55</f>
        <v>-90.504679616060699</v>
      </c>
      <c r="M11" s="609">
        <f t="shared" si="8"/>
        <v>-108.69537240538016</v>
      </c>
      <c r="N11" s="609">
        <f t="shared" si="8"/>
        <v>-121.20901151347582</v>
      </c>
      <c r="O11" s="609">
        <f t="shared" si="8"/>
        <v>-131.58046605045882</v>
      </c>
      <c r="P11" s="609">
        <f t="shared" si="8"/>
        <v>-153.39505378468758</v>
      </c>
      <c r="Q11" s="609">
        <f t="shared" si="8"/>
        <v>-169.94456377321302</v>
      </c>
      <c r="R11" s="609">
        <f t="shared" si="8"/>
        <v>-187.39487566427601</v>
      </c>
      <c r="S11" s="609">
        <f t="shared" si="8"/>
        <v>-205.74465805324991</v>
      </c>
      <c r="T11" s="609">
        <f t="shared" si="8"/>
        <v>-224.99286072721662</v>
      </c>
      <c r="U11" s="609">
        <f t="shared" si="8"/>
        <v>-245.13864708117953</v>
      </c>
      <c r="V11" s="609">
        <f t="shared" si="8"/>
        <v>-266.18134257861618</v>
      </c>
      <c r="W11" s="609">
        <f t="shared" si="8"/>
        <v>-288.12039741462752</v>
      </c>
      <c r="X11" s="609">
        <f t="shared" si="8"/>
        <v>-310.95535902485034</v>
      </c>
      <c r="Y11" s="609">
        <f t="shared" si="8"/>
        <v>-334.68585154403905</v>
      </c>
      <c r="Z11" s="609">
        <f t="shared" si="8"/>
        <v>-359.31156025100353</v>
      </c>
      <c r="AA11" s="609">
        <f t="shared" si="8"/>
        <v>-384.83221964494004</v>
      </c>
      <c r="AB11" s="609">
        <f t="shared" si="8"/>
        <v>-411.24760420265693</v>
      </c>
      <c r="AC11" s="609">
        <f t="shared" si="8"/>
        <v>-438.55752113989138</v>
      </c>
      <c r="AD11" s="609">
        <f t="shared" si="8"/>
        <v>-466.76180468813959</v>
      </c>
      <c r="AE11" s="609">
        <f t="shared" si="8"/>
        <v>-495.86031152979581</v>
      </c>
      <c r="AF11" s="610">
        <f t="shared" si="8"/>
        <v>-505.77751776039173</v>
      </c>
      <c r="AG11" s="347"/>
      <c r="AH11" s="7"/>
      <c r="AI11" s="7"/>
      <c r="AJ11" s="7"/>
      <c r="AK11" s="10"/>
      <c r="AL11" s="10"/>
      <c r="AM11" s="10"/>
      <c r="AN11" s="10"/>
    </row>
    <row r="12" spans="1:40" ht="15">
      <c r="A12" s="1165"/>
      <c r="B12" s="235">
        <v>6</v>
      </c>
      <c r="C12" s="216" t="s">
        <v>63</v>
      </c>
      <c r="D12" s="271">
        <f t="shared" ref="D12:AF12" si="9">D8-D9-D10</f>
        <v>-33.200000000000003</v>
      </c>
      <c r="E12" s="611">
        <f t="shared" si="9"/>
        <v>727.00000000000011</v>
      </c>
      <c r="F12" s="651">
        <f t="shared" si="9"/>
        <v>3098.7000000000003</v>
      </c>
      <c r="G12" s="271">
        <f t="shared" si="9"/>
        <v>1344.7677769005088</v>
      </c>
      <c r="H12" s="611">
        <f t="shared" si="9"/>
        <v>1752.4112736277316</v>
      </c>
      <c r="I12" s="611">
        <f t="shared" si="9"/>
        <v>2450.1930000814768</v>
      </c>
      <c r="J12" s="612">
        <f t="shared" si="9"/>
        <v>2711.5812530894609</v>
      </c>
      <c r="K12" s="271">
        <f t="shared" si="9"/>
        <v>2969.8584361013764</v>
      </c>
      <c r="L12" s="611">
        <f t="shared" si="9"/>
        <v>2831.140572037008</v>
      </c>
      <c r="M12" s="611">
        <f t="shared" si="9"/>
        <v>3298.0437471927753</v>
      </c>
      <c r="N12" s="611">
        <f t="shared" si="9"/>
        <v>3576.010768174739</v>
      </c>
      <c r="O12" s="611">
        <f t="shared" si="9"/>
        <v>3775.6890731227832</v>
      </c>
      <c r="P12" s="611">
        <f t="shared" si="9"/>
        <v>4262.3272241747763</v>
      </c>
      <c r="Q12" s="611">
        <f t="shared" si="9"/>
        <v>4579.798855250383</v>
      </c>
      <c r="R12" s="611">
        <f t="shared" si="9"/>
        <v>4893.5826027318099</v>
      </c>
      <c r="S12" s="611">
        <f t="shared" si="9"/>
        <v>5201.4442186818906</v>
      </c>
      <c r="T12" s="611">
        <f t="shared" si="9"/>
        <v>5501.1603428361159</v>
      </c>
      <c r="U12" s="611">
        <f t="shared" si="9"/>
        <v>5790.5158277121291</v>
      </c>
      <c r="V12" s="611">
        <f t="shared" si="9"/>
        <v>6067.3017473112395</v>
      </c>
      <c r="W12" s="611">
        <f t="shared" si="9"/>
        <v>6329.3139565028314</v>
      </c>
      <c r="X12" s="611">
        <f t="shared" si="9"/>
        <v>6574.3520316990107</v>
      </c>
      <c r="Y12" s="611">
        <f t="shared" si="9"/>
        <v>6800.2184803466289</v>
      </c>
      <c r="Z12" s="611">
        <f t="shared" si="9"/>
        <v>7004.7181430721421</v>
      </c>
      <c r="AA12" s="611">
        <f t="shared" si="9"/>
        <v>7185.6577359703733</v>
      </c>
      <c r="AB12" s="611">
        <f t="shared" si="9"/>
        <v>7340.8454962406095</v>
      </c>
      <c r="AC12" s="611">
        <f t="shared" si="9"/>
        <v>7468.0909049954334</v>
      </c>
      <c r="AD12" s="611">
        <f t="shared" si="9"/>
        <v>7565.2044683657459</v>
      </c>
      <c r="AE12" s="611">
        <f t="shared" si="9"/>
        <v>7629.9975431146404</v>
      </c>
      <c r="AF12" s="612">
        <f t="shared" si="9"/>
        <v>7409.3397044838803</v>
      </c>
      <c r="AG12" s="264"/>
      <c r="AH12" s="7"/>
      <c r="AI12" s="7"/>
      <c r="AJ12" s="7"/>
      <c r="AK12" s="10"/>
      <c r="AL12" s="10"/>
      <c r="AM12" s="10"/>
      <c r="AN12" s="10"/>
    </row>
    <row r="13" spans="1:40" ht="15">
      <c r="A13" s="1165"/>
      <c r="B13" s="235">
        <v>7</v>
      </c>
      <c r="C13" s="229" t="s">
        <v>644</v>
      </c>
      <c r="D13" s="344">
        <f>'Fin. Data'!D14</f>
        <v>-15.100000000000001</v>
      </c>
      <c r="E13" s="345">
        <f>'Fin. Data'!C14</f>
        <v>-12.5</v>
      </c>
      <c r="F13" s="346">
        <f>'Fin. Data'!B14</f>
        <v>44.900000000000006</v>
      </c>
      <c r="G13" s="606">
        <f>F43*$D$58-F44*$D$57</f>
        <v>-9.44</v>
      </c>
      <c r="H13" s="607">
        <f t="shared" ref="H13:I13" si="10">G43*$D$58-G44*$D$57</f>
        <v>-2.6895355538010177</v>
      </c>
      <c r="I13" s="607">
        <f t="shared" si="10"/>
        <v>-3.5048225472554635</v>
      </c>
      <c r="J13" s="608">
        <f>I43*$D$58-I44*$D$57</f>
        <v>-4.9003860001629542</v>
      </c>
      <c r="K13" s="606">
        <f>J43*$E$58-J44*$E$57</f>
        <v>-5.4231625061789224</v>
      </c>
      <c r="L13" s="607">
        <f t="shared" ref="L13:AF13" si="11">K43*$E$58-K44*$E$57</f>
        <v>-8.315603621083854</v>
      </c>
      <c r="M13" s="607">
        <f t="shared" si="11"/>
        <v>-7.9271936017036229</v>
      </c>
      <c r="N13" s="607">
        <f t="shared" si="11"/>
        <v>-9.2345224921397726</v>
      </c>
      <c r="O13" s="607">
        <f t="shared" si="11"/>
        <v>-10.01283015088927</v>
      </c>
      <c r="P13" s="607">
        <f t="shared" si="11"/>
        <v>-10.571929404743795</v>
      </c>
      <c r="Q13" s="607">
        <f t="shared" si="11"/>
        <v>-11.934516227689375</v>
      </c>
      <c r="R13" s="607">
        <f t="shared" si="11"/>
        <v>-12.823436794701074</v>
      </c>
      <c r="S13" s="607">
        <f t="shared" si="11"/>
        <v>-13.702031287649071</v>
      </c>
      <c r="T13" s="607">
        <f t="shared" si="11"/>
        <v>-14.564043812309293</v>
      </c>
      <c r="U13" s="607">
        <f t="shared" si="11"/>
        <v>-15.403248959941127</v>
      </c>
      <c r="V13" s="607">
        <f t="shared" si="11"/>
        <v>-16.213444317593961</v>
      </c>
      <c r="W13" s="607">
        <f t="shared" si="11"/>
        <v>-16.988444892471474</v>
      </c>
      <c r="X13" s="607">
        <f t="shared" si="11"/>
        <v>-17.72207907820793</v>
      </c>
      <c r="Y13" s="607">
        <f t="shared" si="11"/>
        <v>-18.408185688757232</v>
      </c>
      <c r="Z13" s="607">
        <f t="shared" si="11"/>
        <v>-19.040611744970562</v>
      </c>
      <c r="AA13" s="607">
        <f t="shared" si="11"/>
        <v>-19.613210800602001</v>
      </c>
      <c r="AB13" s="607">
        <f t="shared" si="11"/>
        <v>-20.119841660717046</v>
      </c>
      <c r="AC13" s="607">
        <f t="shared" si="11"/>
        <v>-20.554367389473711</v>
      </c>
      <c r="AD13" s="607">
        <f t="shared" si="11"/>
        <v>-20.910654533987216</v>
      </c>
      <c r="AE13" s="607">
        <f t="shared" si="11"/>
        <v>-21.182572511424091</v>
      </c>
      <c r="AF13" s="608">
        <f t="shared" si="11"/>
        <v>-21.363993120720995</v>
      </c>
      <c r="AG13" s="347"/>
      <c r="AH13" s="7"/>
      <c r="AI13" s="7"/>
      <c r="AJ13" s="7"/>
      <c r="AK13" s="10"/>
      <c r="AL13" s="10"/>
      <c r="AM13" s="10"/>
      <c r="AN13" s="10"/>
    </row>
    <row r="14" spans="1:40" ht="15">
      <c r="A14" s="1165"/>
      <c r="B14" s="235">
        <v>8</v>
      </c>
      <c r="C14" s="229" t="s">
        <v>645</v>
      </c>
      <c r="D14" s="272">
        <f>'Fin. Data'!D15</f>
        <v>-1.2999999999999989</v>
      </c>
      <c r="E14" s="269">
        <f>'Fin. Data'!C15</f>
        <v>5.5999999999998629</v>
      </c>
      <c r="F14" s="274">
        <f>'Fin. Data'!B15</f>
        <v>114.69999999999963</v>
      </c>
      <c r="G14" s="604">
        <f t="shared" ref="G14:AF14" si="12">AVERAGE(D14:F14)*(1+G5)</f>
        <v>23.045225550459303</v>
      </c>
      <c r="H14" s="605">
        <f t="shared" si="12"/>
        <v>52.968044131617894</v>
      </c>
      <c r="I14" s="605">
        <f t="shared" si="12"/>
        <v>89.439545267727709</v>
      </c>
      <c r="J14" s="602">
        <f>AVERAGE(G14:I14)*(1+J5)</f>
        <v>66.078466475287286</v>
      </c>
      <c r="K14" s="604">
        <f t="shared" si="12"/>
        <v>77.987732852903918</v>
      </c>
      <c r="L14" s="605">
        <f t="shared" si="12"/>
        <v>71.139191966964461</v>
      </c>
      <c r="M14" s="605">
        <f t="shared" si="12"/>
        <v>86.153298922241419</v>
      </c>
      <c r="N14" s="605">
        <f t="shared" si="12"/>
        <v>87.455680701511866</v>
      </c>
      <c r="O14" s="605">
        <f t="shared" si="12"/>
        <v>88.563487925493916</v>
      </c>
      <c r="P14" s="605">
        <f t="shared" si="12"/>
        <v>101.87925550478722</v>
      </c>
      <c r="Q14" s="605">
        <f t="shared" si="12"/>
        <v>102.62679118852459</v>
      </c>
      <c r="R14" s="605">
        <f t="shared" si="12"/>
        <v>107.72087042487456</v>
      </c>
      <c r="S14" s="605">
        <f t="shared" si="12"/>
        <v>114.26676791416637</v>
      </c>
      <c r="T14" s="605">
        <f t="shared" si="12"/>
        <v>118.32778523276426</v>
      </c>
      <c r="U14" s="605">
        <f t="shared" si="12"/>
        <v>123.5957180235383</v>
      </c>
      <c r="V14" s="605">
        <f t="shared" si="12"/>
        <v>128.92187845870933</v>
      </c>
      <c r="W14" s="605">
        <f t="shared" si="12"/>
        <v>133.80366648293671</v>
      </c>
      <c r="X14" s="605">
        <f t="shared" si="12"/>
        <v>138.97970906400641</v>
      </c>
      <c r="Y14" s="605">
        <f t="shared" si="12"/>
        <v>144.12043519495668</v>
      </c>
      <c r="Z14" s="605">
        <f t="shared" si="12"/>
        <v>149.19299996417703</v>
      </c>
      <c r="AA14" s="605">
        <f t="shared" si="12"/>
        <v>154.33247783851542</v>
      </c>
      <c r="AB14" s="605">
        <f t="shared" si="12"/>
        <v>159.45763708077362</v>
      </c>
      <c r="AC14" s="605">
        <f t="shared" si="12"/>
        <v>164.57621889906574</v>
      </c>
      <c r="AD14" s="605">
        <f t="shared" si="12"/>
        <v>169.71026035136776</v>
      </c>
      <c r="AE14" s="605">
        <f t="shared" si="12"/>
        <v>174.84157792472229</v>
      </c>
      <c r="AF14" s="602">
        <f t="shared" si="12"/>
        <v>173.10353943955297</v>
      </c>
      <c r="AG14" s="347"/>
      <c r="AH14" s="7"/>
      <c r="AI14" s="7"/>
      <c r="AJ14" s="7"/>
      <c r="AK14" s="10"/>
      <c r="AL14" s="10"/>
      <c r="AM14" s="10"/>
      <c r="AN14" s="10"/>
    </row>
    <row r="15" spans="1:40" ht="15">
      <c r="A15" s="1165"/>
      <c r="B15" s="235">
        <v>9</v>
      </c>
      <c r="C15" s="216" t="s">
        <v>646</v>
      </c>
      <c r="D15" s="271">
        <f t="shared" ref="D15:AF15" si="13">D8+D13+D14</f>
        <v>-50.1</v>
      </c>
      <c r="E15" s="611">
        <f t="shared" si="13"/>
        <v>719.4</v>
      </c>
      <c r="F15" s="651">
        <f t="shared" si="13"/>
        <v>3256.8</v>
      </c>
      <c r="G15" s="271">
        <f t="shared" si="13"/>
        <v>1312.1940024509679</v>
      </c>
      <c r="H15" s="611">
        <f t="shared" si="13"/>
        <v>1751.5525341482919</v>
      </c>
      <c r="I15" s="611">
        <f t="shared" si="13"/>
        <v>2479.4940509697726</v>
      </c>
      <c r="J15" s="612">
        <f t="shared" si="13"/>
        <v>2708.39262390268</v>
      </c>
      <c r="K15" s="271">
        <f t="shared" si="13"/>
        <v>2944.2470590295661</v>
      </c>
      <c r="L15" s="611">
        <f t="shared" si="13"/>
        <v>2777.9639768277011</v>
      </c>
      <c r="M15" s="611">
        <f t="shared" si="13"/>
        <v>3243.9788266272349</v>
      </c>
      <c r="N15" s="611">
        <f t="shared" si="13"/>
        <v>3502.3757334650645</v>
      </c>
      <c r="O15" s="611">
        <f t="shared" si="13"/>
        <v>3680.5659159059155</v>
      </c>
      <c r="P15" s="611">
        <f t="shared" si="13"/>
        <v>4156.2762513942653</v>
      </c>
      <c r="Q15" s="611">
        <f t="shared" si="13"/>
        <v>4445.5217216494193</v>
      </c>
      <c r="R15" s="611">
        <f t="shared" si="13"/>
        <v>4732.9206063210067</v>
      </c>
      <c r="S15" s="611">
        <f t="shared" si="13"/>
        <v>5012.7184476478606</v>
      </c>
      <c r="T15" s="611">
        <f t="shared" si="13"/>
        <v>5278.59953814644</v>
      </c>
      <c r="U15" s="611">
        <f t="shared" si="13"/>
        <v>5531.8850357346955</v>
      </c>
      <c r="V15" s="611">
        <f t="shared" si="13"/>
        <v>5769.0619639367123</v>
      </c>
      <c r="W15" s="611">
        <f t="shared" si="13"/>
        <v>5987.2683189135032</v>
      </c>
      <c r="X15" s="611">
        <f t="shared" si="13"/>
        <v>6184.8871309703827</v>
      </c>
      <c r="Y15" s="611">
        <f t="shared" si="13"/>
        <v>6359.2362345139281</v>
      </c>
      <c r="Z15" s="611">
        <f t="shared" si="13"/>
        <v>6507.9325826745217</v>
      </c>
      <c r="AA15" s="611">
        <f t="shared" si="13"/>
        <v>6628.7629735462788</v>
      </c>
      <c r="AB15" s="611">
        <f t="shared" si="13"/>
        <v>6719.2994626625696</v>
      </c>
      <c r="AC15" s="611">
        <f t="shared" si="13"/>
        <v>6777.2043587504504</v>
      </c>
      <c r="AD15" s="611">
        <f t="shared" si="13"/>
        <v>6800.15532262337</v>
      </c>
      <c r="AE15" s="611">
        <f t="shared" si="13"/>
        <v>6785.790672124318</v>
      </c>
      <c r="AF15" s="612">
        <f t="shared" si="13"/>
        <v>6473.9585183237286</v>
      </c>
      <c r="AG15" s="347"/>
      <c r="AH15" s="7"/>
      <c r="AI15" s="7"/>
      <c r="AJ15" s="7"/>
      <c r="AK15" s="10"/>
      <c r="AL15" s="10"/>
      <c r="AM15" s="10"/>
      <c r="AN15" s="10"/>
    </row>
    <row r="16" spans="1:40" ht="15">
      <c r="A16" s="1165"/>
      <c r="B16" s="235">
        <v>10</v>
      </c>
      <c r="C16" s="229" t="s">
        <v>647</v>
      </c>
      <c r="D16" s="341">
        <f>'Fin. Data'!D21</f>
        <v>0</v>
      </c>
      <c r="E16" s="342">
        <f>'Fin. Data'!C21</f>
        <v>-163.19999999999999</v>
      </c>
      <c r="F16" s="343">
        <f>'Fin. Data'!B21</f>
        <v>-980.4</v>
      </c>
      <c r="G16" s="337">
        <f>-(1*$D$56)*G15</f>
        <v>-328.04850061274198</v>
      </c>
      <c r="H16" s="311">
        <f>-(1*$D$56)*H15</f>
        <v>-437.88813353707297</v>
      </c>
      <c r="I16" s="311">
        <f t="shared" ref="I16:J16" si="14">-(1*$D$56)*I15</f>
        <v>-619.87351274244315</v>
      </c>
      <c r="J16" s="312">
        <f t="shared" si="14"/>
        <v>-677.09815597567001</v>
      </c>
      <c r="K16" s="310">
        <f>-(1*$E$56)*K15</f>
        <v>-883.27411770886977</v>
      </c>
      <c r="L16" s="311">
        <f>-(1*$E$56)*L15</f>
        <v>-833.38919304831029</v>
      </c>
      <c r="M16" s="311">
        <f t="shared" ref="M16:AF16" si="15">-(1*$E$56)*M15</f>
        <v>-973.19364798817037</v>
      </c>
      <c r="N16" s="311">
        <f t="shared" si="15"/>
        <v>-1050.7127200395194</v>
      </c>
      <c r="O16" s="311">
        <f t="shared" si="15"/>
        <v>-1104.1697747717747</v>
      </c>
      <c r="P16" s="311">
        <f t="shared" si="15"/>
        <v>-1246.8828754182796</v>
      </c>
      <c r="Q16" s="311">
        <f t="shared" si="15"/>
        <v>-1333.6565164948258</v>
      </c>
      <c r="R16" s="311">
        <f t="shared" si="15"/>
        <v>-1419.8761818963019</v>
      </c>
      <c r="S16" s="311">
        <f t="shared" si="15"/>
        <v>-1503.815534294358</v>
      </c>
      <c r="T16" s="311">
        <f t="shared" si="15"/>
        <v>-1583.579861443932</v>
      </c>
      <c r="U16" s="311">
        <f t="shared" si="15"/>
        <v>-1659.5655107204086</v>
      </c>
      <c r="V16" s="311">
        <f t="shared" si="15"/>
        <v>-1730.7185891810136</v>
      </c>
      <c r="W16" s="311">
        <f t="shared" si="15"/>
        <v>-1796.1804956740509</v>
      </c>
      <c r="X16" s="311">
        <f t="shared" si="15"/>
        <v>-1855.4661392911148</v>
      </c>
      <c r="Y16" s="311">
        <f t="shared" si="15"/>
        <v>-1907.7708703541784</v>
      </c>
      <c r="Z16" s="311">
        <f t="shared" si="15"/>
        <v>-1952.3797748023565</v>
      </c>
      <c r="AA16" s="311">
        <f t="shared" si="15"/>
        <v>-1988.6288920638835</v>
      </c>
      <c r="AB16" s="311">
        <f t="shared" si="15"/>
        <v>-2015.7898387987707</v>
      </c>
      <c r="AC16" s="311">
        <f t="shared" si="15"/>
        <v>-2033.1613076251351</v>
      </c>
      <c r="AD16" s="311">
        <f t="shared" si="15"/>
        <v>-2040.0465967870109</v>
      </c>
      <c r="AE16" s="311">
        <f t="shared" si="15"/>
        <v>-2035.7372016372954</v>
      </c>
      <c r="AF16" s="312">
        <f t="shared" si="15"/>
        <v>-1942.1875554971184</v>
      </c>
      <c r="AG16" s="347"/>
      <c r="AH16" s="7"/>
      <c r="AI16" s="7"/>
      <c r="AJ16" s="7"/>
      <c r="AK16" s="10"/>
      <c r="AL16" s="10"/>
      <c r="AM16" s="10"/>
      <c r="AN16" s="10"/>
    </row>
    <row r="17" spans="1:40" ht="15.95" thickBot="1">
      <c r="A17" s="1165"/>
      <c r="B17" s="236">
        <v>11</v>
      </c>
      <c r="C17" s="242" t="s">
        <v>648</v>
      </c>
      <c r="D17" s="613">
        <f>'Fin. Data'!D23</f>
        <v>-51.4</v>
      </c>
      <c r="E17" s="502">
        <f>'Fin. Data'!C23</f>
        <v>561.79999999999995</v>
      </c>
      <c r="F17" s="502">
        <f>'Fin. Data'!B23</f>
        <v>2391.1</v>
      </c>
      <c r="G17" s="613">
        <f>G16+G15</f>
        <v>984.14550183822598</v>
      </c>
      <c r="H17" s="614">
        <f t="shared" ref="H17:AF17" si="16">H16+H15</f>
        <v>1313.664400611219</v>
      </c>
      <c r="I17" s="614">
        <f t="shared" si="16"/>
        <v>1859.6205382273295</v>
      </c>
      <c r="J17" s="615">
        <f t="shared" si="16"/>
        <v>2031.2944679270099</v>
      </c>
      <c r="K17" s="613">
        <f t="shared" si="16"/>
        <v>2060.9729413206965</v>
      </c>
      <c r="L17" s="614">
        <f t="shared" si="16"/>
        <v>1944.5747837793908</v>
      </c>
      <c r="M17" s="614">
        <f t="shared" si="16"/>
        <v>2270.7851786390647</v>
      </c>
      <c r="N17" s="614">
        <f t="shared" si="16"/>
        <v>2451.6630134255452</v>
      </c>
      <c r="O17" s="614">
        <f t="shared" si="16"/>
        <v>2576.3961411341406</v>
      </c>
      <c r="P17" s="614">
        <f t="shared" si="16"/>
        <v>2909.3933759759857</v>
      </c>
      <c r="Q17" s="614">
        <f t="shared" si="16"/>
        <v>3111.8652051545932</v>
      </c>
      <c r="R17" s="614">
        <f t="shared" si="16"/>
        <v>3313.0444244247046</v>
      </c>
      <c r="S17" s="614">
        <f t="shared" si="16"/>
        <v>3508.9029133535023</v>
      </c>
      <c r="T17" s="614">
        <f t="shared" si="16"/>
        <v>3695.0196767025081</v>
      </c>
      <c r="U17" s="614">
        <f t="shared" si="16"/>
        <v>3872.3195250142871</v>
      </c>
      <c r="V17" s="614">
        <f t="shared" si="16"/>
        <v>4038.3433747556987</v>
      </c>
      <c r="W17" s="614">
        <f t="shared" si="16"/>
        <v>4191.0878232394525</v>
      </c>
      <c r="X17" s="614">
        <f t="shared" si="16"/>
        <v>4329.4209916792679</v>
      </c>
      <c r="Y17" s="614">
        <f t="shared" si="16"/>
        <v>4451.4653641597497</v>
      </c>
      <c r="Z17" s="614">
        <f t="shared" si="16"/>
        <v>4555.5528078721654</v>
      </c>
      <c r="AA17" s="614">
        <f t="shared" si="16"/>
        <v>4640.1340814823952</v>
      </c>
      <c r="AB17" s="614">
        <f t="shared" si="16"/>
        <v>4703.5096238637989</v>
      </c>
      <c r="AC17" s="614">
        <f t="shared" si="16"/>
        <v>4744.0430511253153</v>
      </c>
      <c r="AD17" s="614">
        <f t="shared" si="16"/>
        <v>4760.1087258363586</v>
      </c>
      <c r="AE17" s="614">
        <f t="shared" si="16"/>
        <v>4750.0534704870224</v>
      </c>
      <c r="AF17" s="615">
        <f t="shared" si="16"/>
        <v>4531.7709628266102</v>
      </c>
      <c r="AG17" s="347"/>
      <c r="AH17" s="7"/>
      <c r="AI17" s="7"/>
      <c r="AJ17" s="7"/>
      <c r="AK17" s="10"/>
      <c r="AL17" s="10"/>
      <c r="AM17" s="10"/>
      <c r="AN17" s="10"/>
    </row>
    <row r="18" spans="1:40" ht="15.95" thickBot="1">
      <c r="A18" s="220"/>
      <c r="B18" s="231"/>
      <c r="C18" s="232" t="s">
        <v>649</v>
      </c>
      <c r="D18" s="240" t="s">
        <v>649</v>
      </c>
      <c r="E18" s="240" t="s">
        <v>649</v>
      </c>
      <c r="F18" s="240" t="s">
        <v>649</v>
      </c>
      <c r="G18" s="237" t="s">
        <v>649</v>
      </c>
      <c r="H18" s="237" t="s">
        <v>649</v>
      </c>
      <c r="I18" s="237" t="s">
        <v>649</v>
      </c>
      <c r="J18" s="237" t="s">
        <v>649</v>
      </c>
      <c r="K18" s="237" t="s">
        <v>649</v>
      </c>
      <c r="L18" s="237" t="s">
        <v>649</v>
      </c>
      <c r="M18" s="237" t="s">
        <v>649</v>
      </c>
      <c r="N18" s="237" t="s">
        <v>649</v>
      </c>
      <c r="O18" s="237" t="s">
        <v>649</v>
      </c>
      <c r="P18" s="237" t="s">
        <v>649</v>
      </c>
      <c r="Q18" s="237" t="s">
        <v>649</v>
      </c>
      <c r="R18" s="237" t="s">
        <v>649</v>
      </c>
      <c r="S18" s="237" t="s">
        <v>649</v>
      </c>
      <c r="T18" s="237" t="s">
        <v>649</v>
      </c>
      <c r="U18" s="237" t="s">
        <v>649</v>
      </c>
      <c r="V18" s="237" t="s">
        <v>649</v>
      </c>
      <c r="W18" s="237" t="s">
        <v>649</v>
      </c>
      <c r="X18" s="237" t="s">
        <v>649</v>
      </c>
      <c r="Y18" s="237" t="s">
        <v>649</v>
      </c>
      <c r="Z18" s="237" t="s">
        <v>649</v>
      </c>
      <c r="AA18" s="237" t="s">
        <v>649</v>
      </c>
      <c r="AB18" s="237" t="s">
        <v>649</v>
      </c>
      <c r="AC18" s="237" t="s">
        <v>649</v>
      </c>
      <c r="AD18" s="237" t="s">
        <v>649</v>
      </c>
      <c r="AE18" s="237" t="s">
        <v>649</v>
      </c>
      <c r="AF18" s="247" t="s">
        <v>649</v>
      </c>
      <c r="AG18" s="347"/>
      <c r="AH18" s="7"/>
      <c r="AI18" s="7"/>
      <c r="AJ18" s="7"/>
      <c r="AK18" s="10"/>
      <c r="AL18" s="10"/>
      <c r="AM18" s="10"/>
      <c r="AN18" s="10"/>
    </row>
    <row r="19" spans="1:40" ht="15">
      <c r="A19" s="1442" t="s">
        <v>650</v>
      </c>
      <c r="B19" s="209">
        <v>12</v>
      </c>
      <c r="C19" s="320" t="s">
        <v>651</v>
      </c>
      <c r="D19" s="684">
        <f>'Inputs (AUD)'!D59-'Inputs (AUD)'!D62</f>
        <v>24</v>
      </c>
      <c r="E19" s="685">
        <f>'Inputs (AUD)'!C59-'Inputs (AUD)'!C62</f>
        <v>657.2</v>
      </c>
      <c r="F19" s="686">
        <f>'Inputs (AUD)'!B59-'Inputs (AUD)'!B62</f>
        <v>3414.8999999999996</v>
      </c>
      <c r="G19" s="876">
        <f>G17-G10-G9-G11</f>
        <v>1030.3245018382261</v>
      </c>
      <c r="H19" s="877">
        <f t="shared" ref="H19:AE19" si="17">H17-H10-H9-H11</f>
        <v>1364.8016486684755</v>
      </c>
      <c r="I19" s="877">
        <f t="shared" si="17"/>
        <v>1916.254210059506</v>
      </c>
      <c r="J19" s="878">
        <f t="shared" si="17"/>
        <v>2095.6611775889151</v>
      </c>
      <c r="K19" s="876">
        <f t="shared" si="17"/>
        <v>2258.1724228317435</v>
      </c>
      <c r="L19" s="877">
        <f t="shared" si="17"/>
        <v>2151.079646950639</v>
      </c>
      <c r="M19" s="877">
        <f t="shared" si="17"/>
        <v>2511.7715769305232</v>
      </c>
      <c r="N19" s="877">
        <f t="shared" si="17"/>
        <v>2724.7282178580676</v>
      </c>
      <c r="O19" s="877">
        <f t="shared" si="17"/>
        <v>2881.6504221760715</v>
      </c>
      <c r="P19" s="877">
        <f t="shared" si="17"/>
        <v>3260.1467286412285</v>
      </c>
      <c r="Q19" s="877">
        <f t="shared" si="17"/>
        <v>3506.779177489605</v>
      </c>
      <c r="R19" s="877">
        <f t="shared" si="17"/>
        <v>3755.9987301299579</v>
      </c>
      <c r="S19" s="877">
        <f t="shared" si="17"/>
        <v>4003.938079067299</v>
      </c>
      <c r="T19" s="877">
        <f t="shared" si="17"/>
        <v>4246.3370835398564</v>
      </c>
      <c r="U19" s="877">
        <f t="shared" si="17"/>
        <v>4484.2814331364971</v>
      </c>
      <c r="V19" s="877">
        <f t="shared" si="17"/>
        <v>4715.4729348499577</v>
      </c>
      <c r="W19" s="877">
        <f t="shared" si="17"/>
        <v>4938.0690798338737</v>
      </c>
      <c r="X19" s="877">
        <f t="shared" si="17"/>
        <v>5151.0988814185457</v>
      </c>
      <c r="Y19" s="877">
        <f t="shared" si="17"/>
        <v>5352.8457110426889</v>
      </c>
      <c r="Z19" s="877">
        <f t="shared" si="17"/>
        <v>5541.8023167399961</v>
      </c>
      <c r="AA19" s="877">
        <f t="shared" si="17"/>
        <v>5716.5803305893432</v>
      </c>
      <c r="AB19" s="877">
        <f t="shared" si="17"/>
        <v>5875.641057064553</v>
      </c>
      <c r="AC19" s="877">
        <f t="shared" si="17"/>
        <v>6017.5089700197823</v>
      </c>
      <c r="AD19" s="877">
        <f t="shared" si="17"/>
        <v>6140.7192820842538</v>
      </c>
      <c r="AE19" s="877">
        <f t="shared" si="17"/>
        <v>6243.7796584204389</v>
      </c>
      <c r="AF19" s="880">
        <f>AF17-AF10-AF9-AF11</f>
        <v>6124.6692130659858</v>
      </c>
      <c r="AG19" s="347"/>
      <c r="AH19" s="7"/>
      <c r="AI19" s="7"/>
      <c r="AJ19" s="7"/>
      <c r="AK19" s="10"/>
      <c r="AL19" s="10"/>
      <c r="AM19" s="10"/>
      <c r="AN19" s="10"/>
    </row>
    <row r="20" spans="1:40" ht="15">
      <c r="A20" s="1443"/>
      <c r="B20" s="209">
        <v>13</v>
      </c>
      <c r="C20" s="229" t="s">
        <v>652</v>
      </c>
      <c r="D20" s="687">
        <f>-'Inputs (AUD)'!D103</f>
        <v>0</v>
      </c>
      <c r="E20" s="688">
        <f>-'Inputs (AUD)'!C103</f>
        <v>0</v>
      </c>
      <c r="F20" s="689">
        <f>-'Inputs (AUD)'!B103</f>
        <v>-12.8</v>
      </c>
      <c r="G20" s="281">
        <f>G11</f>
        <v>0</v>
      </c>
      <c r="H20" s="281">
        <f t="shared" ref="H20:AF20" si="18">H11</f>
        <v>0</v>
      </c>
      <c r="I20" s="281">
        <f t="shared" si="18"/>
        <v>0</v>
      </c>
      <c r="J20" s="620">
        <f t="shared" si="18"/>
        <v>0</v>
      </c>
      <c r="K20" s="282">
        <f t="shared" si="18"/>
        <v>-99.023534092511781</v>
      </c>
      <c r="L20" s="281">
        <f t="shared" si="18"/>
        <v>-90.504679616060699</v>
      </c>
      <c r="M20" s="281">
        <f t="shared" si="18"/>
        <v>-108.69537240538016</v>
      </c>
      <c r="N20" s="281">
        <f t="shared" si="18"/>
        <v>-121.20901151347582</v>
      </c>
      <c r="O20" s="281">
        <f t="shared" si="18"/>
        <v>-131.58046605045882</v>
      </c>
      <c r="P20" s="281">
        <f t="shared" si="18"/>
        <v>-153.39505378468758</v>
      </c>
      <c r="Q20" s="281">
        <f t="shared" si="18"/>
        <v>-169.94456377321302</v>
      </c>
      <c r="R20" s="281">
        <f t="shared" si="18"/>
        <v>-187.39487566427601</v>
      </c>
      <c r="S20" s="281">
        <f t="shared" si="18"/>
        <v>-205.74465805324991</v>
      </c>
      <c r="T20" s="281">
        <f t="shared" si="18"/>
        <v>-224.99286072721662</v>
      </c>
      <c r="U20" s="281">
        <f t="shared" si="18"/>
        <v>-245.13864708117953</v>
      </c>
      <c r="V20" s="281">
        <f t="shared" si="18"/>
        <v>-266.18134257861618</v>
      </c>
      <c r="W20" s="281">
        <f t="shared" si="18"/>
        <v>-288.12039741462752</v>
      </c>
      <c r="X20" s="281">
        <f t="shared" si="18"/>
        <v>-310.95535902485034</v>
      </c>
      <c r="Y20" s="281">
        <f t="shared" si="18"/>
        <v>-334.68585154403905</v>
      </c>
      <c r="Z20" s="281">
        <f t="shared" si="18"/>
        <v>-359.31156025100353</v>
      </c>
      <c r="AA20" s="281">
        <f t="shared" si="18"/>
        <v>-384.83221964494004</v>
      </c>
      <c r="AB20" s="281">
        <f t="shared" si="18"/>
        <v>-411.24760420265693</v>
      </c>
      <c r="AC20" s="281">
        <f t="shared" si="18"/>
        <v>-438.55752113989138</v>
      </c>
      <c r="AD20" s="281">
        <f t="shared" si="18"/>
        <v>-466.76180468813959</v>
      </c>
      <c r="AE20" s="281">
        <f t="shared" si="18"/>
        <v>-495.86031152979581</v>
      </c>
      <c r="AF20" s="413">
        <f t="shared" si="18"/>
        <v>-505.77751776039173</v>
      </c>
      <c r="AG20" s="347"/>
      <c r="AH20" s="7"/>
      <c r="AI20" s="7"/>
      <c r="AJ20" s="7"/>
      <c r="AK20" s="10"/>
      <c r="AL20" s="10"/>
      <c r="AM20" s="10"/>
      <c r="AN20" s="10"/>
    </row>
    <row r="21" spans="1:40" ht="15">
      <c r="A21" s="1443"/>
      <c r="B21" s="209">
        <v>14</v>
      </c>
      <c r="C21" s="229" t="s">
        <v>653</v>
      </c>
      <c r="D21" s="254">
        <f>'Inputs (AUD)'!D62</f>
        <v>-5.2</v>
      </c>
      <c r="E21" s="253">
        <f>'Inputs (AUD)'!C62</f>
        <v>-9.6</v>
      </c>
      <c r="F21" s="411">
        <f>'Inputs (AUD)'!B62</f>
        <v>41.8</v>
      </c>
      <c r="G21" s="281">
        <f>$D$60*(G6-F6)</f>
        <v>42.573237413613242</v>
      </c>
      <c r="H21" s="281">
        <f t="shared" ref="H21:I21" si="19">$D$60*(H6-G6)</f>
        <v>-6.4068537817084348</v>
      </c>
      <c r="I21" s="281">
        <f t="shared" si="19"/>
        <v>-26.626357795339437</v>
      </c>
      <c r="J21" s="620">
        <f>$D$60*(J6-I6)</f>
        <v>-18.240631812713527</v>
      </c>
      <c r="K21" s="282">
        <f>$E$60*(K6-J6)</f>
        <v>-24.261860951084831</v>
      </c>
      <c r="L21" s="281">
        <f t="shared" ref="L21:AF21" si="20">$E$60*(L6-K6)</f>
        <v>19.167422572014946</v>
      </c>
      <c r="M21" s="281">
        <f t="shared" si="20"/>
        <v>-40.92905877596877</v>
      </c>
      <c r="N21" s="281">
        <f t="shared" si="20"/>
        <v>-28.155687993215249</v>
      </c>
      <c r="O21" s="281">
        <f t="shared" si="20"/>
        <v>-23.335772708211753</v>
      </c>
      <c r="P21" s="281">
        <f t="shared" si="20"/>
        <v>-49.082822402014692</v>
      </c>
      <c r="Q21" s="281">
        <f t="shared" si="20"/>
        <v>-37.23639747418224</v>
      </c>
      <c r="R21" s="281">
        <f t="shared" si="20"/>
        <v>-39.263201754891732</v>
      </c>
      <c r="S21" s="281">
        <f t="shared" si="20"/>
        <v>-41.287010375191294</v>
      </c>
      <c r="T21" s="281">
        <f t="shared" si="20"/>
        <v>-43.308456016425069</v>
      </c>
      <c r="U21" s="281">
        <f t="shared" si="20"/>
        <v>-45.328019296416528</v>
      </c>
      <c r="V21" s="281">
        <f t="shared" si="20"/>
        <v>-47.346064869232549</v>
      </c>
      <c r="W21" s="281">
        <f t="shared" si="20"/>
        <v>-49.362873381025445</v>
      </c>
      <c r="X21" s="281">
        <f t="shared" si="20"/>
        <v>-51.378663623001337</v>
      </c>
      <c r="Y21" s="281">
        <f t="shared" si="20"/>
        <v>-53.393608168174573</v>
      </c>
      <c r="Z21" s="281">
        <f t="shared" si="20"/>
        <v>-55.407844590670138</v>
      </c>
      <c r="AA21" s="281">
        <f t="shared" si="20"/>
        <v>-57.421483636357152</v>
      </c>
      <c r="AB21" s="281">
        <f t="shared" si="20"/>
        <v>-59.434615254863019</v>
      </c>
      <c r="AC21" s="281">
        <f t="shared" si="20"/>
        <v>-61.447313108777507</v>
      </c>
      <c r="AD21" s="281">
        <f t="shared" si="20"/>
        <v>-63.459637983558459</v>
      </c>
      <c r="AE21" s="281">
        <f t="shared" si="20"/>
        <v>-65.471640393726446</v>
      </c>
      <c r="AF21" s="413">
        <f t="shared" si="20"/>
        <v>-22.313714018840802</v>
      </c>
      <c r="AG21" s="347"/>
      <c r="AH21" s="7"/>
      <c r="AI21" s="7"/>
      <c r="AJ21" s="7"/>
      <c r="AK21" s="10"/>
      <c r="AL21" s="10"/>
      <c r="AM21" s="10"/>
      <c r="AN21" s="10"/>
    </row>
    <row r="22" spans="1:40" ht="15">
      <c r="A22" s="1443"/>
      <c r="B22" s="209">
        <v>15</v>
      </c>
      <c r="C22" s="238" t="s">
        <v>654</v>
      </c>
      <c r="D22" s="315">
        <f>D19+D20+D21</f>
        <v>18.8</v>
      </c>
      <c r="E22" s="622">
        <f t="shared" ref="E22:AE22" si="21">E19+E20+E21</f>
        <v>647.6</v>
      </c>
      <c r="F22" s="624">
        <f t="shared" si="21"/>
        <v>3443.8999999999996</v>
      </c>
      <c r="G22" s="616">
        <f>G19+G20+G21</f>
        <v>1072.8977392518393</v>
      </c>
      <c r="H22" s="617">
        <f t="shared" si="21"/>
        <v>1358.3947948867672</v>
      </c>
      <c r="I22" s="617">
        <f t="shared" si="21"/>
        <v>1889.6278522641667</v>
      </c>
      <c r="J22" s="618">
        <f t="shared" si="21"/>
        <v>2077.4205457762014</v>
      </c>
      <c r="K22" s="616">
        <f t="shared" si="21"/>
        <v>2134.8870277881465</v>
      </c>
      <c r="L22" s="617">
        <f t="shared" si="21"/>
        <v>2079.742389906593</v>
      </c>
      <c r="M22" s="617">
        <f t="shared" si="21"/>
        <v>2362.1471457491743</v>
      </c>
      <c r="N22" s="617">
        <f t="shared" si="21"/>
        <v>2575.3635183513766</v>
      </c>
      <c r="O22" s="617">
        <f t="shared" si="21"/>
        <v>2726.7341834174013</v>
      </c>
      <c r="P22" s="617">
        <f t="shared" si="21"/>
        <v>3057.6688524545261</v>
      </c>
      <c r="Q22" s="617">
        <f t="shared" si="21"/>
        <v>3299.5982162422097</v>
      </c>
      <c r="R22" s="617">
        <f t="shared" si="21"/>
        <v>3529.3406527107904</v>
      </c>
      <c r="S22" s="617">
        <f t="shared" si="21"/>
        <v>3756.9064106388578</v>
      </c>
      <c r="T22" s="617">
        <f t="shared" si="21"/>
        <v>3978.0357667962144</v>
      </c>
      <c r="U22" s="617">
        <f t="shared" si="21"/>
        <v>4193.814766758901</v>
      </c>
      <c r="V22" s="617">
        <f t="shared" si="21"/>
        <v>4401.9455274021093</v>
      </c>
      <c r="W22" s="617">
        <f t="shared" si="21"/>
        <v>4600.5858090382208</v>
      </c>
      <c r="X22" s="617">
        <f t="shared" si="21"/>
        <v>4788.7648587706935</v>
      </c>
      <c r="Y22" s="617">
        <f t="shared" si="21"/>
        <v>4964.7662513304749</v>
      </c>
      <c r="Z22" s="617">
        <f>Z19+Z20+Z21</f>
        <v>5127.0829118983229</v>
      </c>
      <c r="AA22" s="617">
        <f t="shared" si="21"/>
        <v>5274.3266273080462</v>
      </c>
      <c r="AB22" s="617">
        <f t="shared" si="21"/>
        <v>5404.9588376070324</v>
      </c>
      <c r="AC22" s="617">
        <f t="shared" si="21"/>
        <v>5517.5041357711125</v>
      </c>
      <c r="AD22" s="617">
        <f t="shared" si="21"/>
        <v>5610.4978394125555</v>
      </c>
      <c r="AE22" s="617">
        <f t="shared" si="21"/>
        <v>5682.4477064969169</v>
      </c>
      <c r="AF22" s="619">
        <f>AF19+AF20+AF21</f>
        <v>5596.5779812867531</v>
      </c>
      <c r="AG22" s="347"/>
      <c r="AH22" s="7"/>
      <c r="AI22" s="7"/>
      <c r="AJ22" s="7"/>
      <c r="AK22" s="10"/>
      <c r="AL22" s="10"/>
      <c r="AM22" s="10"/>
      <c r="AN22" s="10"/>
    </row>
    <row r="23" spans="1:40" ht="15">
      <c r="A23" s="1443"/>
      <c r="B23" s="209">
        <v>16</v>
      </c>
      <c r="C23" s="229" t="s">
        <v>655</v>
      </c>
      <c r="D23" s="262">
        <f>'Fin. Data'!D32</f>
        <v>-20.5</v>
      </c>
      <c r="E23" s="897">
        <f>'Fin. Data'!C32</f>
        <v>-128.30000000000001</v>
      </c>
      <c r="F23" s="412">
        <f>'Fin. Data'!B32</f>
        <v>-385.5</v>
      </c>
      <c r="G23" s="282">
        <f>G6*$D$62</f>
        <v>-165.27493524188293</v>
      </c>
      <c r="H23" s="281">
        <f t="shared" ref="H23:I23" si="22">H6*$D$62</f>
        <v>-183.21412583066655</v>
      </c>
      <c r="I23" s="281">
        <f t="shared" si="22"/>
        <v>-257.76792765761701</v>
      </c>
      <c r="J23" s="620">
        <f>J6*$D$62</f>
        <v>-308.84169673321486</v>
      </c>
      <c r="K23" s="282">
        <f>K6*$E$62</f>
        <v>-445.60590341630302</v>
      </c>
      <c r="L23" s="281">
        <f t="shared" ref="L23:AF23" si="23">L6*$E$62</f>
        <v>-407.27105827227308</v>
      </c>
      <c r="M23" s="281">
        <f t="shared" si="23"/>
        <v>-489.12917582421068</v>
      </c>
      <c r="N23" s="281">
        <f t="shared" si="23"/>
        <v>-545.44055181064118</v>
      </c>
      <c r="O23" s="281">
        <f t="shared" si="23"/>
        <v>-592.11209722706462</v>
      </c>
      <c r="P23" s="281">
        <f t="shared" si="23"/>
        <v>-690.27774203109402</v>
      </c>
      <c r="Q23" s="281">
        <f t="shared" si="23"/>
        <v>-764.7505369794585</v>
      </c>
      <c r="R23" s="281">
        <f t="shared" si="23"/>
        <v>-843.27694048924195</v>
      </c>
      <c r="S23" s="281">
        <f t="shared" si="23"/>
        <v>-925.85096123962455</v>
      </c>
      <c r="T23" s="281">
        <f t="shared" si="23"/>
        <v>-1012.4678732724747</v>
      </c>
      <c r="U23" s="281">
        <f t="shared" si="23"/>
        <v>-1103.1239118653077</v>
      </c>
      <c r="V23" s="281">
        <f t="shared" si="23"/>
        <v>-1197.8160416037729</v>
      </c>
      <c r="W23" s="281">
        <f t="shared" si="23"/>
        <v>-1296.5417883658238</v>
      </c>
      <c r="X23" s="281">
        <f t="shared" si="23"/>
        <v>-1399.2991156118264</v>
      </c>
      <c r="Y23" s="281">
        <f t="shared" si="23"/>
        <v>-1506.0863319481755</v>
      </c>
      <c r="Z23" s="281">
        <f t="shared" si="23"/>
        <v>-1616.9020211295158</v>
      </c>
      <c r="AA23" s="281">
        <f t="shared" si="23"/>
        <v>-1731.7449884022301</v>
      </c>
      <c r="AB23" s="281">
        <f t="shared" si="23"/>
        <v>-1850.6142189119562</v>
      </c>
      <c r="AC23" s="281">
        <f t="shared" si="23"/>
        <v>-1973.5088451295112</v>
      </c>
      <c r="AD23" s="281">
        <f t="shared" si="23"/>
        <v>-2100.4281210966283</v>
      </c>
      <c r="AE23" s="281">
        <f t="shared" si="23"/>
        <v>-2231.371401884081</v>
      </c>
      <c r="AF23" s="413">
        <f t="shared" si="23"/>
        <v>-2275.9988299217625</v>
      </c>
      <c r="AG23" s="348">
        <f>SUM(D23:AF23)</f>
        <v>-28449.017141896362</v>
      </c>
      <c r="AH23" s="7"/>
      <c r="AI23" s="7"/>
      <c r="AJ23" s="7"/>
      <c r="AK23" s="10"/>
      <c r="AL23" s="10"/>
      <c r="AM23" s="10"/>
      <c r="AN23" s="10"/>
    </row>
    <row r="24" spans="1:40" ht="15">
      <c r="A24" s="1443"/>
      <c r="B24" s="209">
        <v>17</v>
      </c>
      <c r="C24" s="229" t="s">
        <v>656</v>
      </c>
      <c r="D24" s="254">
        <f>'Fin. Data'!D33</f>
        <v>-210.3</v>
      </c>
      <c r="E24" s="898">
        <f>'Fin. Data'!C33</f>
        <v>-76.2</v>
      </c>
      <c r="F24" s="411">
        <f>'Fin. Data'!B33</f>
        <v>-22.4</v>
      </c>
      <c r="G24" s="282">
        <f>-G6*2%</f>
        <v>-47.22141006910941</v>
      </c>
      <c r="H24" s="281">
        <f t="shared" ref="H24:I24" si="24">-H6*2%</f>
        <v>-52.346893094476158</v>
      </c>
      <c r="I24" s="281">
        <f t="shared" si="24"/>
        <v>-73.647979330747702</v>
      </c>
      <c r="J24" s="413">
        <f>J6*$D$63</f>
        <v>0</v>
      </c>
      <c r="K24" s="695">
        <f>K6*$E$63</f>
        <v>0</v>
      </c>
      <c r="L24" s="281">
        <f>L6*$E$63</f>
        <v>0</v>
      </c>
      <c r="M24" s="281">
        <f t="shared" ref="M24:W24" si="25">M6*$E$63</f>
        <v>0</v>
      </c>
      <c r="N24" s="281">
        <f>-N6*1%</f>
        <v>-60.604505756737908</v>
      </c>
      <c r="O24" s="281">
        <f>-O6*2%</f>
        <v>-131.58046605045882</v>
      </c>
      <c r="P24" s="281">
        <f>-P6*3%</f>
        <v>-230.09258067703135</v>
      </c>
      <c r="Q24" s="281">
        <f>-Q6*4%</f>
        <v>-339.88912754642604</v>
      </c>
      <c r="R24" s="281">
        <f>-R6*4.5%</f>
        <v>-421.63847024462098</v>
      </c>
      <c r="S24" s="281">
        <f t="shared" si="25"/>
        <v>0</v>
      </c>
      <c r="T24" s="281">
        <f t="shared" si="25"/>
        <v>0</v>
      </c>
      <c r="U24" s="281">
        <f t="shared" si="25"/>
        <v>0</v>
      </c>
      <c r="V24" s="281">
        <f t="shared" si="25"/>
        <v>0</v>
      </c>
      <c r="W24" s="281">
        <f t="shared" si="25"/>
        <v>0</v>
      </c>
      <c r="X24" s="281">
        <f>-X6*1%</f>
        <v>-155.47767951242517</v>
      </c>
      <c r="Y24" s="281">
        <f>-Y6*2%</f>
        <v>-334.68585154403905</v>
      </c>
      <c r="Z24" s="281">
        <f>-Z6*3%</f>
        <v>-538.96734037650526</v>
      </c>
      <c r="AA24" s="281">
        <f t="shared" ref="AA24:AF24" si="26">-AA6*3.5%</f>
        <v>-673.45638437864511</v>
      </c>
      <c r="AB24" s="281">
        <f t="shared" si="26"/>
        <v>-719.68330735464974</v>
      </c>
      <c r="AC24" s="281">
        <f t="shared" si="26"/>
        <v>-767.47566199481003</v>
      </c>
      <c r="AD24" s="281">
        <f t="shared" si="26"/>
        <v>-816.83315820424434</v>
      </c>
      <c r="AE24" s="281">
        <f t="shared" si="26"/>
        <v>-867.75554517714272</v>
      </c>
      <c r="AF24" s="413">
        <f t="shared" si="26"/>
        <v>-885.11065608068554</v>
      </c>
      <c r="AG24" s="347"/>
      <c r="AH24" s="349">
        <f>AG9-AG23</f>
        <v>18035.272227257032</v>
      </c>
      <c r="AI24" s="7"/>
      <c r="AJ24" s="7"/>
      <c r="AK24" s="10"/>
      <c r="AL24" s="10"/>
      <c r="AM24" s="10"/>
      <c r="AN24" s="10"/>
    </row>
    <row r="25" spans="1:40" ht="15">
      <c r="A25" s="1443"/>
      <c r="B25" s="209">
        <v>18</v>
      </c>
      <c r="C25" s="229" t="s">
        <v>657</v>
      </c>
      <c r="D25" s="254">
        <f>'Inputs (AUD)'!D67</f>
        <v>0</v>
      </c>
      <c r="E25" s="898">
        <f>'Inputs (AUD)'!C67</f>
        <v>0</v>
      </c>
      <c r="F25" s="411">
        <f>'Inputs (AUD)'!B67</f>
        <v>-0.10000000000000142</v>
      </c>
      <c r="G25" s="282">
        <f t="shared" ref="G25:AF25" si="27">(1+G5)*AVERAGE(D25:F25)</f>
        <v>-1.9365735756688842E-2</v>
      </c>
      <c r="H25" s="281">
        <f t="shared" si="27"/>
        <v>-4.4107290878256766E-2</v>
      </c>
      <c r="I25" s="281">
        <f t="shared" si="27"/>
        <v>-7.6664582334214332E-2</v>
      </c>
      <c r="J25" s="620">
        <f>(1+J5)*AVERAGE(G25:I25)</f>
        <v>-5.5968091561360719E-2</v>
      </c>
      <c r="K25" s="282">
        <f t="shared" si="27"/>
        <v>-6.6112570931370046E-2</v>
      </c>
      <c r="L25" s="281">
        <f t="shared" si="27"/>
        <v>-6.0549157575254378E-2</v>
      </c>
      <c r="M25" s="281">
        <f t="shared" si="27"/>
        <v>-7.3112301628414034E-2</v>
      </c>
      <c r="N25" s="281">
        <f t="shared" si="27"/>
        <v>-7.4257723467206799E-2</v>
      </c>
      <c r="O25" s="281">
        <f t="shared" si="27"/>
        <v>-7.523671332974724E-2</v>
      </c>
      <c r="P25" s="281">
        <f t="shared" si="27"/>
        <v>-8.6504158858196373E-2</v>
      </c>
      <c r="Q25" s="281">
        <f t="shared" si="27"/>
        <v>-8.7153349907446637E-2</v>
      </c>
      <c r="R25" s="281">
        <f t="shared" si="27"/>
        <v>-9.1483757541399077E-2</v>
      </c>
      <c r="S25" s="281">
        <f t="shared" si="27"/>
        <v>-9.7034668955549339E-2</v>
      </c>
      <c r="T25" s="281">
        <f t="shared" si="27"/>
        <v>-0.10048730982349592</v>
      </c>
      <c r="U25" s="281">
        <f t="shared" si="27"/>
        <v>-0.10496107146289815</v>
      </c>
      <c r="V25" s="281">
        <f t="shared" si="27"/>
        <v>-0.10948272930354151</v>
      </c>
      <c r="W25" s="281">
        <f t="shared" si="27"/>
        <v>-0.11362939749067615</v>
      </c>
      <c r="X25" s="281">
        <f t="shared" si="27"/>
        <v>-0.11802487208575202</v>
      </c>
      <c r="Y25" s="281">
        <f t="shared" si="27"/>
        <v>-0.12239026562244286</v>
      </c>
      <c r="Z25" s="281">
        <f t="shared" si="27"/>
        <v>-0.12669820943407753</v>
      </c>
      <c r="AA25" s="281">
        <f t="shared" si="27"/>
        <v>-0.13106271350630677</v>
      </c>
      <c r="AB25" s="281">
        <f t="shared" si="27"/>
        <v>-0.13541508701765892</v>
      </c>
      <c r="AC25" s="281">
        <f t="shared" si="27"/>
        <v>-0.13976194595563854</v>
      </c>
      <c r="AD25" s="281">
        <f t="shared" si="27"/>
        <v>-0.1441218753623793</v>
      </c>
      <c r="AE25" s="281">
        <f t="shared" si="27"/>
        <v>-0.14847950655141731</v>
      </c>
      <c r="AF25" s="413">
        <f t="shared" si="27"/>
        <v>-0.14700353147560793</v>
      </c>
      <c r="AG25" s="264"/>
      <c r="AH25" s="7"/>
      <c r="AI25" s="7"/>
      <c r="AJ25" s="7"/>
      <c r="AK25" s="10"/>
      <c r="AL25" s="10"/>
      <c r="AM25" s="10"/>
      <c r="AN25" s="10"/>
    </row>
    <row r="26" spans="1:40" ht="15">
      <c r="A26" s="1443"/>
      <c r="B26" s="209">
        <v>19</v>
      </c>
      <c r="C26" s="238" t="s">
        <v>658</v>
      </c>
      <c r="D26" s="616">
        <f t="shared" ref="D26:AF26" si="28">D23+D24+D25</f>
        <v>-230.8</v>
      </c>
      <c r="E26" s="622">
        <f t="shared" si="28"/>
        <v>-204.5</v>
      </c>
      <c r="F26" s="624">
        <f t="shared" si="28"/>
        <v>-408</v>
      </c>
      <c r="G26" s="621">
        <f>G23+G24+G25</f>
        <v>-212.51571104674903</v>
      </c>
      <c r="H26" s="622">
        <f t="shared" si="28"/>
        <v>-235.60512621602098</v>
      </c>
      <c r="I26" s="622">
        <f t="shared" si="28"/>
        <v>-331.49257157069894</v>
      </c>
      <c r="J26" s="623">
        <f t="shared" si="28"/>
        <v>-308.8976648247762</v>
      </c>
      <c r="K26" s="621">
        <f t="shared" si="28"/>
        <v>-445.67201598723437</v>
      </c>
      <c r="L26" s="622">
        <f t="shared" si="28"/>
        <v>-407.33160742984836</v>
      </c>
      <c r="M26" s="622">
        <f t="shared" si="28"/>
        <v>-489.20228812583912</v>
      </c>
      <c r="N26" s="622">
        <f t="shared" si="28"/>
        <v>-606.11931529084632</v>
      </c>
      <c r="O26" s="622">
        <f t="shared" si="28"/>
        <v>-723.76779999085329</v>
      </c>
      <c r="P26" s="622">
        <f t="shared" si="28"/>
        <v>-920.45682686698365</v>
      </c>
      <c r="Q26" s="622">
        <f t="shared" si="28"/>
        <v>-1104.726817875792</v>
      </c>
      <c r="R26" s="622">
        <f t="shared" si="28"/>
        <v>-1265.0068944914044</v>
      </c>
      <c r="S26" s="622">
        <f t="shared" si="28"/>
        <v>-925.94799590858008</v>
      </c>
      <c r="T26" s="622">
        <f t="shared" si="28"/>
        <v>-1012.5683605822982</v>
      </c>
      <c r="U26" s="622">
        <f t="shared" si="28"/>
        <v>-1103.2288729367706</v>
      </c>
      <c r="V26" s="622">
        <f t="shared" si="28"/>
        <v>-1197.9255243330765</v>
      </c>
      <c r="W26" s="622">
        <f t="shared" si="28"/>
        <v>-1296.6554177633145</v>
      </c>
      <c r="X26" s="622">
        <f t="shared" si="28"/>
        <v>-1554.8948199963372</v>
      </c>
      <c r="Y26" s="622">
        <f t="shared" si="28"/>
        <v>-1840.894573757837</v>
      </c>
      <c r="Z26" s="622">
        <f t="shared" si="28"/>
        <v>-2155.996059715455</v>
      </c>
      <c r="AA26" s="622">
        <f t="shared" si="28"/>
        <v>-2405.3324354943816</v>
      </c>
      <c r="AB26" s="622">
        <f t="shared" si="28"/>
        <v>-2570.4329413536234</v>
      </c>
      <c r="AC26" s="622">
        <f t="shared" si="28"/>
        <v>-2741.124269070277</v>
      </c>
      <c r="AD26" s="622">
        <f t="shared" si="28"/>
        <v>-2917.405401176235</v>
      </c>
      <c r="AE26" s="622">
        <f t="shared" si="28"/>
        <v>-3099.275426567775</v>
      </c>
      <c r="AF26" s="624">
        <f t="shared" si="28"/>
        <v>-3161.2564895339237</v>
      </c>
      <c r="AG26" s="347"/>
      <c r="AH26" s="7"/>
      <c r="AI26" s="7"/>
      <c r="AJ26" s="7"/>
      <c r="AK26" s="10"/>
      <c r="AL26" s="10"/>
      <c r="AM26" s="10"/>
      <c r="AN26" s="10"/>
    </row>
    <row r="27" spans="1:40" ht="15">
      <c r="A27" s="1443"/>
      <c r="B27" s="209">
        <v>20</v>
      </c>
      <c r="C27" s="229" t="s">
        <v>659</v>
      </c>
      <c r="D27" s="254">
        <f>'Inputs (AUD)'!D71+'Inputs (AUD)'!D72</f>
        <v>-20.047999999999998</v>
      </c>
      <c r="E27" s="253">
        <f>'Inputs (AUD)'!C71+'Inputs (AUD)'!C72</f>
        <v>-26.864000000000001</v>
      </c>
      <c r="F27" s="412">
        <f>'Inputs (AUD)'!B71+'Inputs (AUD)'!B72</f>
        <v>-54.631</v>
      </c>
      <c r="G27" s="626">
        <v>0</v>
      </c>
      <c r="H27" s="626">
        <v>0</v>
      </c>
      <c r="I27" s="626">
        <v>0</v>
      </c>
      <c r="J27" s="627">
        <v>0</v>
      </c>
      <c r="K27" s="625">
        <v>0</v>
      </c>
      <c r="L27" s="626">
        <v>0</v>
      </c>
      <c r="M27" s="626">
        <v>0</v>
      </c>
      <c r="N27" s="626">
        <v>0</v>
      </c>
      <c r="O27" s="626">
        <v>0</v>
      </c>
      <c r="P27" s="626">
        <v>0</v>
      </c>
      <c r="Q27" s="626">
        <v>0</v>
      </c>
      <c r="R27" s="626">
        <v>0</v>
      </c>
      <c r="S27" s="626">
        <v>0</v>
      </c>
      <c r="T27" s="626">
        <v>0</v>
      </c>
      <c r="U27" s="626">
        <v>0</v>
      </c>
      <c r="V27" s="626">
        <v>0</v>
      </c>
      <c r="W27" s="626">
        <v>0</v>
      </c>
      <c r="X27" s="626">
        <v>0</v>
      </c>
      <c r="Y27" s="626">
        <v>0</v>
      </c>
      <c r="Z27" s="626">
        <v>0</v>
      </c>
      <c r="AA27" s="626">
        <v>0</v>
      </c>
      <c r="AB27" s="626">
        <v>0</v>
      </c>
      <c r="AC27" s="626">
        <v>0</v>
      </c>
      <c r="AD27" s="626">
        <v>0</v>
      </c>
      <c r="AE27" s="626">
        <v>0</v>
      </c>
      <c r="AF27" s="628">
        <v>0</v>
      </c>
      <c r="AG27" s="347"/>
      <c r="AH27" s="7"/>
      <c r="AI27" s="7"/>
      <c r="AJ27" s="7"/>
      <c r="AK27" s="10"/>
      <c r="AL27" s="10"/>
      <c r="AM27" s="10"/>
      <c r="AN27" s="10"/>
    </row>
    <row r="28" spans="1:40" ht="15">
      <c r="A28" s="1443"/>
      <c r="B28" s="209">
        <v>21</v>
      </c>
      <c r="C28" s="229" t="s">
        <v>660</v>
      </c>
      <c r="D28" s="254">
        <f>+SUM('Inputs (AUD)'!D69:D70)</f>
        <v>6.2000000000000171</v>
      </c>
      <c r="E28" s="253">
        <f>+SUM('Inputs (AUD)'!C69:C70)</f>
        <v>57.5</v>
      </c>
      <c r="F28" s="411">
        <f>+SUM('Inputs (AUD)'!B69:B70)</f>
        <v>51.299999999999983</v>
      </c>
      <c r="G28" s="282">
        <f>G44-F44</f>
        <v>-337.52322230994912</v>
      </c>
      <c r="H28" s="281">
        <f t="shared" ref="H28:AF28" si="29">H44-G44</f>
        <v>40.76434967272229</v>
      </c>
      <c r="I28" s="281">
        <f t="shared" si="29"/>
        <v>69.778172645374525</v>
      </c>
      <c r="J28" s="620">
        <f>J44-I44</f>
        <v>26.13882530079843</v>
      </c>
      <c r="K28" s="282">
        <f>K44-J44</f>
        <v>144.6220557452466</v>
      </c>
      <c r="L28" s="281">
        <f t="shared" si="29"/>
        <v>-19.420500969011584</v>
      </c>
      <c r="M28" s="281">
        <f t="shared" si="29"/>
        <v>65.366444521807466</v>
      </c>
      <c r="N28" s="281">
        <f t="shared" si="29"/>
        <v>38.915382937474931</v>
      </c>
      <c r="O28" s="281">
        <f t="shared" si="29"/>
        <v>27.954962692726156</v>
      </c>
      <c r="P28" s="281">
        <f t="shared" si="29"/>
        <v>68.129341147279092</v>
      </c>
      <c r="Q28" s="281">
        <f t="shared" si="29"/>
        <v>44.446028350584925</v>
      </c>
      <c r="R28" s="281">
        <f t="shared" si="29"/>
        <v>43.92972464739978</v>
      </c>
      <c r="S28" s="281">
        <f t="shared" si="29"/>
        <v>43.100626233011212</v>
      </c>
      <c r="T28" s="281">
        <f t="shared" si="29"/>
        <v>41.960257381591646</v>
      </c>
      <c r="U28" s="281">
        <f t="shared" si="29"/>
        <v>40.509767882641768</v>
      </c>
      <c r="V28" s="281">
        <f t="shared" si="29"/>
        <v>38.750028743875532</v>
      </c>
      <c r="W28" s="281">
        <f t="shared" si="29"/>
        <v>36.681709286822866</v>
      </c>
      <c r="X28" s="281">
        <f t="shared" si="29"/>
        <v>34.305330527465117</v>
      </c>
      <c r="Y28" s="281">
        <f t="shared" si="29"/>
        <v>31.621302810666521</v>
      </c>
      <c r="Z28" s="281">
        <f t="shared" si="29"/>
        <v>28.629952781571887</v>
      </c>
      <c r="AA28" s="281">
        <f t="shared" si="29"/>
        <v>25.331543005752337</v>
      </c>
      <c r="AB28" s="281">
        <f t="shared" si="29"/>
        <v>21.726286437833096</v>
      </c>
      <c r="AC28" s="281">
        <f t="shared" si="29"/>
        <v>17.814357225675394</v>
      </c>
      <c r="AD28" s="281">
        <f t="shared" si="29"/>
        <v>13.595898871843701</v>
      </c>
      <c r="AE28" s="281">
        <f t="shared" si="29"/>
        <v>9.0710304648450801</v>
      </c>
      <c r="AF28" s="413">
        <f t="shared" si="29"/>
        <v>-30.892097408306199</v>
      </c>
      <c r="AG28" s="347"/>
      <c r="AH28" s="7"/>
      <c r="AI28" s="7"/>
      <c r="AJ28" s="7"/>
      <c r="AK28" s="10"/>
      <c r="AL28" s="10"/>
      <c r="AM28" s="10"/>
      <c r="AN28" s="10"/>
    </row>
    <row r="29" spans="1:40" ht="15">
      <c r="A29" s="1443"/>
      <c r="B29" s="209">
        <v>22</v>
      </c>
      <c r="C29" s="229" t="s">
        <v>661</v>
      </c>
      <c r="D29" s="262">
        <f>'Fin. Data'!D28</f>
        <v>239.7</v>
      </c>
      <c r="E29" s="253">
        <f>'Fin. Data'!C28</f>
        <v>3.6</v>
      </c>
      <c r="F29" s="412">
        <f>'Fin. Data'!B28</f>
        <v>1.2</v>
      </c>
      <c r="G29" s="282">
        <f>-G17*$D$65</f>
        <v>-39.365820073529044</v>
      </c>
      <c r="H29" s="281">
        <f>-H17*$D$65</f>
        <v>-52.546576024448761</v>
      </c>
      <c r="I29" s="281">
        <f>-I17*$D$65</f>
        <v>-74.384821529093173</v>
      </c>
      <c r="J29" s="620">
        <f>-J17*$D$65</f>
        <v>-81.251778717080398</v>
      </c>
      <c r="K29" s="282">
        <f t="shared" ref="K29:AF29" si="30">-K17*$E$65</f>
        <v>-103.04864706603483</v>
      </c>
      <c r="L29" s="281">
        <f t="shared" si="30"/>
        <v>-97.228739188969541</v>
      </c>
      <c r="M29" s="281">
        <f t="shared" si="30"/>
        <v>-113.53925893195324</v>
      </c>
      <c r="N29" s="281">
        <f t="shared" si="30"/>
        <v>-122.58315067127727</v>
      </c>
      <c r="O29" s="281">
        <f t="shared" si="30"/>
        <v>-128.81980705670705</v>
      </c>
      <c r="P29" s="281">
        <f t="shared" si="30"/>
        <v>-145.46966879879929</v>
      </c>
      <c r="Q29" s="281">
        <f t="shared" si="30"/>
        <v>-155.59326025772967</v>
      </c>
      <c r="R29" s="281">
        <f t="shared" si="30"/>
        <v>-165.65222122123524</v>
      </c>
      <c r="S29" s="281">
        <f t="shared" si="30"/>
        <v>-175.44514566767512</v>
      </c>
      <c r="T29" s="281">
        <f t="shared" si="30"/>
        <v>-184.75098383512542</v>
      </c>
      <c r="U29" s="281">
        <f t="shared" si="30"/>
        <v>-193.61597625071437</v>
      </c>
      <c r="V29" s="281">
        <f t="shared" si="30"/>
        <v>-201.91716873778495</v>
      </c>
      <c r="W29" s="281">
        <f t="shared" si="30"/>
        <v>-209.55439116197263</v>
      </c>
      <c r="X29" s="281">
        <f t="shared" si="30"/>
        <v>-216.47104958396341</v>
      </c>
      <c r="Y29" s="281">
        <f t="shared" si="30"/>
        <v>-222.5732682079875</v>
      </c>
      <c r="Z29" s="281">
        <f t="shared" si="30"/>
        <v>-227.77764039360829</v>
      </c>
      <c r="AA29" s="281">
        <f t="shared" si="30"/>
        <v>-232.00670407411977</v>
      </c>
      <c r="AB29" s="281">
        <f t="shared" si="30"/>
        <v>-235.17548119318997</v>
      </c>
      <c r="AC29" s="281">
        <f t="shared" si="30"/>
        <v>-237.20215255626579</v>
      </c>
      <c r="AD29" s="281">
        <f t="shared" si="30"/>
        <v>-238.00543629181794</v>
      </c>
      <c r="AE29" s="281">
        <f t="shared" si="30"/>
        <v>-237.50267352435114</v>
      </c>
      <c r="AF29" s="413">
        <f t="shared" si="30"/>
        <v>-226.58854814133053</v>
      </c>
      <c r="AG29" s="347"/>
      <c r="AH29" s="7"/>
      <c r="AI29" s="7"/>
      <c r="AJ29" s="7"/>
      <c r="AK29" s="10"/>
      <c r="AL29" s="10"/>
      <c r="AM29" s="10"/>
      <c r="AN29" s="10"/>
    </row>
    <row r="30" spans="1:40" s="7" customFormat="1" ht="15">
      <c r="A30" s="1443"/>
      <c r="B30" s="209">
        <v>23</v>
      </c>
      <c r="C30" s="229" t="s">
        <v>662</v>
      </c>
      <c r="D30" s="254">
        <f>'Fin. Data'!D27</f>
        <v>0</v>
      </c>
      <c r="E30" s="253">
        <f>'Fin. Data'!C27</f>
        <v>0</v>
      </c>
      <c r="F30" s="411">
        <f>'Fin. Data'!B27</f>
        <v>-329.8</v>
      </c>
      <c r="G30" s="282">
        <f>-$D$64*G17</f>
        <v>-98.414550183822598</v>
      </c>
      <c r="H30" s="281">
        <f>-$D$64*H17</f>
        <v>-131.36644006112189</v>
      </c>
      <c r="I30" s="281">
        <f t="shared" ref="I30" si="31">-$D$64*I17</f>
        <v>-185.96205382273297</v>
      </c>
      <c r="J30" s="281">
        <f>-$D$64*J17</f>
        <v>-203.129446792701</v>
      </c>
      <c r="K30" s="281">
        <f>-$E$64*K17</f>
        <v>-370.97512943772534</v>
      </c>
      <c r="L30" s="281">
        <f t="shared" ref="L30:AE30" si="32">-$E$64*L17</f>
        <v>-350.02346108029036</v>
      </c>
      <c r="M30" s="281">
        <f t="shared" si="32"/>
        <v>-408.74133215503161</v>
      </c>
      <c r="N30" s="281">
        <f t="shared" si="32"/>
        <v>-441.29934241659811</v>
      </c>
      <c r="O30" s="281">
        <f t="shared" si="32"/>
        <v>-463.75130540414528</v>
      </c>
      <c r="P30" s="281">
        <f t="shared" si="32"/>
        <v>-523.69080767567743</v>
      </c>
      <c r="Q30" s="281">
        <f t="shared" si="32"/>
        <v>-560.13573692782677</v>
      </c>
      <c r="R30" s="281">
        <f t="shared" si="32"/>
        <v>-596.34799639644677</v>
      </c>
      <c r="S30" s="281">
        <f t="shared" si="32"/>
        <v>-631.60252440363035</v>
      </c>
      <c r="T30" s="281">
        <f t="shared" si="32"/>
        <v>-665.1035418064514</v>
      </c>
      <c r="U30" s="281">
        <f t="shared" si="32"/>
        <v>-697.01751450257166</v>
      </c>
      <c r="V30" s="281">
        <f t="shared" si="32"/>
        <v>-726.90180745602572</v>
      </c>
      <c r="W30" s="281">
        <f t="shared" si="32"/>
        <v>-754.39580818310139</v>
      </c>
      <c r="X30" s="281">
        <f t="shared" si="32"/>
        <v>-779.29577850226815</v>
      </c>
      <c r="Y30" s="281">
        <f t="shared" si="32"/>
        <v>-801.26376554875492</v>
      </c>
      <c r="Z30" s="281">
        <f t="shared" si="32"/>
        <v>-819.99950541698979</v>
      </c>
      <c r="AA30" s="281">
        <f t="shared" si="32"/>
        <v>-835.22413466683111</v>
      </c>
      <c r="AB30" s="281">
        <f t="shared" si="32"/>
        <v>-846.63173229548374</v>
      </c>
      <c r="AC30" s="281">
        <f t="shared" si="32"/>
        <v>-853.9277492025567</v>
      </c>
      <c r="AD30" s="281">
        <f t="shared" si="32"/>
        <v>-856.81957065054451</v>
      </c>
      <c r="AE30" s="281">
        <f t="shared" si="32"/>
        <v>-855.00962468766397</v>
      </c>
      <c r="AF30" s="413">
        <f>-$E$64*AF17</f>
        <v>-815.71877330878976</v>
      </c>
      <c r="AG30" s="347"/>
      <c r="AK30" s="10"/>
      <c r="AL30" s="10"/>
      <c r="AM30" s="10"/>
      <c r="AN30" s="10"/>
    </row>
    <row r="31" spans="1:40" s="3" customFormat="1" ht="15">
      <c r="A31" s="1443"/>
      <c r="B31" s="209">
        <v>24</v>
      </c>
      <c r="C31" s="229" t="s">
        <v>663</v>
      </c>
      <c r="D31" s="282">
        <f>'Inputs (AUD)'!D75</f>
        <v>6.8479999999999848</v>
      </c>
      <c r="E31" s="281">
        <f>'Inputs (AUD)'!C75</f>
        <v>11.264000000000001</v>
      </c>
      <c r="F31" s="413">
        <f>'Inputs (AUD)'!B75</f>
        <v>16.831000000000007</v>
      </c>
      <c r="G31" s="282">
        <f t="shared" ref="G31:AF31" si="33">(1+G5)*AVERAGE(D31:F31)</f>
        <v>6.7669690454596862</v>
      </c>
      <c r="H31" s="281">
        <f t="shared" si="33"/>
        <v>12.881979904276594</v>
      </c>
      <c r="I31" s="281">
        <f t="shared" si="33"/>
        <v>17.108143816596556</v>
      </c>
      <c r="J31" s="620">
        <f>(1+J5)*AVERAGE(G31:I31)</f>
        <v>14.680030211791887</v>
      </c>
      <c r="K31" s="629">
        <f t="shared" si="33"/>
        <v>16.709626055248577</v>
      </c>
      <c r="L31" s="630">
        <f t="shared" si="33"/>
        <v>14.775200995999899</v>
      </c>
      <c r="M31" s="630">
        <f t="shared" si="33"/>
        <v>18.481204042098053</v>
      </c>
      <c r="N31" s="630">
        <f t="shared" si="33"/>
        <v>18.572803067423429</v>
      </c>
      <c r="O31" s="630">
        <f t="shared" si="33"/>
        <v>18.754687385028621</v>
      </c>
      <c r="P31" s="630">
        <f t="shared" si="33"/>
        <v>21.687053178956923</v>
      </c>
      <c r="Q31" s="630">
        <f t="shared" si="33"/>
        <v>21.793838037290946</v>
      </c>
      <c r="R31" s="630">
        <f t="shared" si="33"/>
        <v>22.875358597218767</v>
      </c>
      <c r="S31" s="630">
        <f t="shared" si="33"/>
        <v>24.28462692157872</v>
      </c>
      <c r="T31" s="630">
        <f t="shared" si="33"/>
        <v>25.13490616112583</v>
      </c>
      <c r="U31" s="630">
        <f t="shared" si="33"/>
        <v>26.256050792034486</v>
      </c>
      <c r="V31" s="630">
        <f t="shared" si="33"/>
        <v>27.390524717396719</v>
      </c>
      <c r="W31" s="630">
        <f t="shared" si="33"/>
        <v>28.424922132587241</v>
      </c>
      <c r="X31" s="630">
        <f t="shared" si="33"/>
        <v>29.525356117307361</v>
      </c>
      <c r="Y31" s="630">
        <f t="shared" si="33"/>
        <v>30.617856104416326</v>
      </c>
      <c r="Z31" s="630">
        <f t="shared" si="33"/>
        <v>31.694950549949301</v>
      </c>
      <c r="AA31" s="630">
        <f t="shared" si="33"/>
        <v>32.787036783014742</v>
      </c>
      <c r="AB31" s="630">
        <f t="shared" si="33"/>
        <v>33.875873499499207</v>
      </c>
      <c r="AC31" s="630">
        <f t="shared" si="33"/>
        <v>34.963186160432031</v>
      </c>
      <c r="AD31" s="630">
        <f t="shared" si="33"/>
        <v>36.053940393670331</v>
      </c>
      <c r="AE31" s="630">
        <f t="shared" si="33"/>
        <v>37.144053034805793</v>
      </c>
      <c r="AF31" s="631">
        <f t="shared" si="33"/>
        <v>36.774801060228775</v>
      </c>
      <c r="AG31" s="347"/>
      <c r="AH31" s="364"/>
      <c r="AI31" s="364"/>
      <c r="AJ31" s="364"/>
      <c r="AK31" s="362"/>
      <c r="AL31" s="362"/>
      <c r="AM31" s="362"/>
      <c r="AN31" s="362"/>
    </row>
    <row r="32" spans="1:40" s="7" customFormat="1" ht="16.5" customHeight="1" thickBot="1">
      <c r="A32" s="1443"/>
      <c r="B32" s="210">
        <v>25</v>
      </c>
      <c r="C32" s="239" t="s">
        <v>664</v>
      </c>
      <c r="D32" s="315">
        <f t="shared" ref="D32:AF32" si="34">D27+D28+D29+D30+D31</f>
        <v>232.7</v>
      </c>
      <c r="E32" s="316">
        <f t="shared" si="34"/>
        <v>45.5</v>
      </c>
      <c r="F32" s="414">
        <f t="shared" si="34"/>
        <v>-315.10000000000002</v>
      </c>
      <c r="G32" s="315">
        <f>G27+G28+G29+G30+G31</f>
        <v>-468.53662352184108</v>
      </c>
      <c r="H32" s="316">
        <f t="shared" si="34"/>
        <v>-130.26668650857178</v>
      </c>
      <c r="I32" s="316">
        <f t="shared" si="34"/>
        <v>-173.46055888985506</v>
      </c>
      <c r="J32" s="317">
        <f t="shared" si="34"/>
        <v>-243.5623699971911</v>
      </c>
      <c r="K32" s="315">
        <f t="shared" si="34"/>
        <v>-312.69209470326501</v>
      </c>
      <c r="L32" s="316">
        <f t="shared" si="34"/>
        <v>-451.89750024227158</v>
      </c>
      <c r="M32" s="316">
        <f t="shared" si="34"/>
        <v>-438.4329425230793</v>
      </c>
      <c r="N32" s="316">
        <f t="shared" si="34"/>
        <v>-506.39430708297704</v>
      </c>
      <c r="O32" s="316">
        <f t="shared" si="34"/>
        <v>-545.86146238309755</v>
      </c>
      <c r="P32" s="316">
        <f t="shared" si="34"/>
        <v>-579.34408214824066</v>
      </c>
      <c r="Q32" s="316">
        <f t="shared" si="34"/>
        <v>-649.48913079768056</v>
      </c>
      <c r="R32" s="316">
        <f t="shared" si="34"/>
        <v>-695.19513437306341</v>
      </c>
      <c r="S32" s="316">
        <f t="shared" si="34"/>
        <v>-739.66241691671553</v>
      </c>
      <c r="T32" s="316">
        <f t="shared" si="34"/>
        <v>-782.75936209885936</v>
      </c>
      <c r="U32" s="316">
        <f t="shared" si="34"/>
        <v>-823.86767207860987</v>
      </c>
      <c r="V32" s="316">
        <f t="shared" si="34"/>
        <v>-862.67842273253848</v>
      </c>
      <c r="W32" s="316">
        <f t="shared" si="34"/>
        <v>-898.84356792566393</v>
      </c>
      <c r="X32" s="316">
        <f t="shared" si="34"/>
        <v>-931.93614144145909</v>
      </c>
      <c r="Y32" s="316">
        <f t="shared" si="34"/>
        <v>-961.59787484165952</v>
      </c>
      <c r="Z32" s="316">
        <f t="shared" si="34"/>
        <v>-987.45224247907686</v>
      </c>
      <c r="AA32" s="316">
        <f t="shared" si="34"/>
        <v>-1009.1122589521839</v>
      </c>
      <c r="AB32" s="316">
        <f t="shared" si="34"/>
        <v>-1026.2050535513415</v>
      </c>
      <c r="AC32" s="316">
        <f t="shared" si="34"/>
        <v>-1038.3523583727151</v>
      </c>
      <c r="AD32" s="316">
        <f t="shared" si="34"/>
        <v>-1045.1751676768486</v>
      </c>
      <c r="AE32" s="316">
        <f t="shared" si="34"/>
        <v>-1046.2972147123642</v>
      </c>
      <c r="AF32" s="414">
        <f t="shared" si="34"/>
        <v>-1036.4246177981977</v>
      </c>
      <c r="AG32" s="347"/>
      <c r="AK32" s="10"/>
      <c r="AL32" s="10"/>
      <c r="AM32" s="10"/>
      <c r="AN32" s="10"/>
    </row>
    <row r="33" spans="1:40" ht="14.1" thickBot="1">
      <c r="A33" s="1433"/>
      <c r="B33" s="1434"/>
      <c r="C33" s="1434"/>
      <c r="D33" s="1434"/>
      <c r="E33" s="1434"/>
      <c r="F33" s="1434"/>
      <c r="G33" s="1434"/>
      <c r="H33" s="1434"/>
      <c r="I33" s="1434"/>
      <c r="J33" s="1434"/>
      <c r="K33" s="1434"/>
      <c r="L33" s="1434"/>
      <c r="M33" s="1434"/>
      <c r="N33" s="1434"/>
      <c r="O33" s="1434"/>
      <c r="P33" s="1434"/>
      <c r="Q33" s="1434"/>
      <c r="R33" s="1434"/>
      <c r="S33" s="1434"/>
      <c r="T33" s="1434"/>
      <c r="U33" s="1434"/>
      <c r="V33" s="1434"/>
      <c r="W33" s="1434"/>
      <c r="X33" s="1434"/>
      <c r="Y33" s="1434"/>
      <c r="Z33" s="1434"/>
      <c r="AA33" s="1434"/>
      <c r="AB33" s="1434"/>
      <c r="AC33" s="1434"/>
      <c r="AD33" s="1434"/>
      <c r="AE33" s="1434"/>
      <c r="AF33" s="1435"/>
      <c r="AG33" s="7"/>
      <c r="AH33" s="7"/>
      <c r="AI33" s="7"/>
      <c r="AJ33" s="7"/>
      <c r="AK33" s="10"/>
      <c r="AL33" s="10"/>
      <c r="AM33" s="10"/>
      <c r="AN33" s="10"/>
    </row>
    <row r="34" spans="1:40" ht="15">
      <c r="A34" s="1452" t="s">
        <v>665</v>
      </c>
      <c r="B34" s="209">
        <v>26</v>
      </c>
      <c r="C34" s="213" t="s">
        <v>666</v>
      </c>
      <c r="D34" s="313">
        <f>D22+D26+D27+D28+D31</f>
        <v>-219</v>
      </c>
      <c r="E34" s="314">
        <f t="shared" ref="E34:AE34" si="35">E22+E26+E27+E28+E31</f>
        <v>485.00000000000006</v>
      </c>
      <c r="F34" s="841">
        <f t="shared" si="35"/>
        <v>3049.4</v>
      </c>
      <c r="G34" s="632">
        <f>G22+G26+G27+G28+G31</f>
        <v>529.62577494060076</v>
      </c>
      <c r="H34" s="633">
        <f t="shared" si="35"/>
        <v>1176.4359982477451</v>
      </c>
      <c r="I34" s="633">
        <f t="shared" si="35"/>
        <v>1645.0215971554389</v>
      </c>
      <c r="J34" s="634">
        <f>J22+J26+J27+J28+J31</f>
        <v>1809.3417364640156</v>
      </c>
      <c r="K34" s="633">
        <f>K22+K26+K27+K28+K31</f>
        <v>1850.5466936014072</v>
      </c>
      <c r="L34" s="633">
        <f t="shared" si="35"/>
        <v>1667.765482503733</v>
      </c>
      <c r="M34" s="633">
        <f t="shared" si="35"/>
        <v>1956.7925061872406</v>
      </c>
      <c r="N34" s="633">
        <f t="shared" si="35"/>
        <v>2026.7323890654286</v>
      </c>
      <c r="O34" s="633">
        <f t="shared" si="35"/>
        <v>2049.6760335043027</v>
      </c>
      <c r="P34" s="633">
        <f t="shared" si="35"/>
        <v>2227.0284199137782</v>
      </c>
      <c r="Q34" s="633">
        <f t="shared" si="35"/>
        <v>2261.1112647542936</v>
      </c>
      <c r="R34" s="633">
        <f t="shared" si="35"/>
        <v>2331.1388414640046</v>
      </c>
      <c r="S34" s="633">
        <f t="shared" si="35"/>
        <v>2898.3436678848675</v>
      </c>
      <c r="T34" s="633">
        <f t="shared" si="35"/>
        <v>3032.5625697566334</v>
      </c>
      <c r="U34" s="633">
        <f t="shared" si="35"/>
        <v>3157.3517124968066</v>
      </c>
      <c r="V34" s="633">
        <f t="shared" si="35"/>
        <v>3270.1605565303053</v>
      </c>
      <c r="W34" s="633">
        <f t="shared" si="35"/>
        <v>3369.0370226943164</v>
      </c>
      <c r="X34" s="633">
        <f t="shared" si="35"/>
        <v>3297.700725419129</v>
      </c>
      <c r="Y34" s="633">
        <f t="shared" si="35"/>
        <v>3186.1108364877209</v>
      </c>
      <c r="Z34" s="633">
        <f t="shared" si="35"/>
        <v>3031.4117555143889</v>
      </c>
      <c r="AA34" s="633">
        <f t="shared" si="35"/>
        <v>2927.1127716024316</v>
      </c>
      <c r="AB34" s="633">
        <f t="shared" si="35"/>
        <v>2890.1280561907411</v>
      </c>
      <c r="AC34" s="633">
        <f t="shared" si="35"/>
        <v>2829.1574100869429</v>
      </c>
      <c r="AD34" s="633">
        <f t="shared" si="35"/>
        <v>2742.7422775018345</v>
      </c>
      <c r="AE34" s="633">
        <f t="shared" si="35"/>
        <v>2629.3873634287929</v>
      </c>
      <c r="AF34" s="634">
        <f>AF22+AF26+AF27+AF28+AF31</f>
        <v>2441.2041954047518</v>
      </c>
      <c r="AG34" s="347"/>
      <c r="AH34" s="7"/>
      <c r="AI34" s="7"/>
      <c r="AJ34" s="7"/>
      <c r="AK34" s="10"/>
      <c r="AL34" s="10"/>
      <c r="AM34" s="10"/>
      <c r="AN34" s="10"/>
    </row>
    <row r="35" spans="1:40" s="3" customFormat="1" ht="15">
      <c r="A35" s="1452"/>
      <c r="B35" s="209">
        <v>27</v>
      </c>
      <c r="C35" s="213" t="s">
        <v>667</v>
      </c>
      <c r="D35" s="276">
        <f>-1*(D29+D30)</f>
        <v>-239.7</v>
      </c>
      <c r="E35" s="275">
        <f t="shared" ref="E35:AF35" si="36">-1*(E29+E30)</f>
        <v>-3.6</v>
      </c>
      <c r="F35" s="277">
        <f t="shared" si="36"/>
        <v>328.6</v>
      </c>
      <c r="G35" s="635">
        <f>-1*(G29+G30)</f>
        <v>137.78037025735165</v>
      </c>
      <c r="H35" s="636">
        <f t="shared" si="36"/>
        <v>183.91301608557066</v>
      </c>
      <c r="I35" s="636">
        <f t="shared" si="36"/>
        <v>260.34687535182616</v>
      </c>
      <c r="J35" s="637">
        <f>-1*(J29+J30)</f>
        <v>284.38122550978142</v>
      </c>
      <c r="K35" s="636">
        <f t="shared" si="36"/>
        <v>474.02377650376019</v>
      </c>
      <c r="L35" s="636">
        <f t="shared" si="36"/>
        <v>447.2522002692599</v>
      </c>
      <c r="M35" s="636">
        <f t="shared" si="36"/>
        <v>522.28059108698483</v>
      </c>
      <c r="N35" s="636">
        <f t="shared" si="36"/>
        <v>563.88249308787533</v>
      </c>
      <c r="O35" s="636">
        <f t="shared" si="36"/>
        <v>592.57111246085231</v>
      </c>
      <c r="P35" s="636">
        <f t="shared" si="36"/>
        <v>669.1604764744767</v>
      </c>
      <c r="Q35" s="636">
        <f t="shared" si="36"/>
        <v>715.72899718555641</v>
      </c>
      <c r="R35" s="636">
        <f t="shared" si="36"/>
        <v>762.00021761768198</v>
      </c>
      <c r="S35" s="636">
        <f t="shared" si="36"/>
        <v>807.04767007130545</v>
      </c>
      <c r="T35" s="636">
        <f t="shared" si="36"/>
        <v>849.85452564157686</v>
      </c>
      <c r="U35" s="636">
        <f t="shared" si="36"/>
        <v>890.63349075328597</v>
      </c>
      <c r="V35" s="636">
        <f t="shared" si="36"/>
        <v>928.81897619381061</v>
      </c>
      <c r="W35" s="636">
        <f t="shared" si="36"/>
        <v>963.950199345074</v>
      </c>
      <c r="X35" s="636">
        <f t="shared" si="36"/>
        <v>995.7668280862315</v>
      </c>
      <c r="Y35" s="636">
        <f t="shared" si="36"/>
        <v>1023.8370337567424</v>
      </c>
      <c r="Z35" s="636">
        <f t="shared" si="36"/>
        <v>1047.7771458105981</v>
      </c>
      <c r="AA35" s="636">
        <f t="shared" si="36"/>
        <v>1067.230838740951</v>
      </c>
      <c r="AB35" s="636">
        <f t="shared" si="36"/>
        <v>1081.8072134886738</v>
      </c>
      <c r="AC35" s="636">
        <f t="shared" si="36"/>
        <v>1091.1299017588226</v>
      </c>
      <c r="AD35" s="636">
        <f t="shared" si="36"/>
        <v>1094.8250069423625</v>
      </c>
      <c r="AE35" s="636">
        <f t="shared" si="36"/>
        <v>1092.5122982120151</v>
      </c>
      <c r="AF35" s="637">
        <f t="shared" si="36"/>
        <v>1042.3073214501203</v>
      </c>
      <c r="AG35" s="347"/>
      <c r="AH35" s="364"/>
      <c r="AI35" s="364"/>
      <c r="AJ35" s="364"/>
      <c r="AK35" s="362"/>
      <c r="AL35" s="362"/>
      <c r="AM35" s="362"/>
      <c r="AN35" s="362"/>
    </row>
    <row r="36" spans="1:40" s="7" customFormat="1" ht="15.95" thickBot="1">
      <c r="A36" s="1452"/>
      <c r="B36" s="210">
        <v>28</v>
      </c>
      <c r="C36" s="208" t="s">
        <v>668</v>
      </c>
      <c r="D36" s="843">
        <f>D34-D35</f>
        <v>20.699999999999989</v>
      </c>
      <c r="E36" s="844">
        <f>E34-E35</f>
        <v>488.60000000000008</v>
      </c>
      <c r="F36" s="842">
        <f>F34-F35</f>
        <v>2720.8</v>
      </c>
      <c r="G36" s="638">
        <f>G34-G35</f>
        <v>391.84540468324911</v>
      </c>
      <c r="H36" s="639">
        <f t="shared" ref="H36:AF36" si="37">H34-H35</f>
        <v>992.52298216217446</v>
      </c>
      <c r="I36" s="639">
        <f t="shared" si="37"/>
        <v>1384.6747218036128</v>
      </c>
      <c r="J36" s="640">
        <f>J34-J35</f>
        <v>1524.9605109542342</v>
      </c>
      <c r="K36" s="639">
        <f>K34-K35</f>
        <v>1376.522917097647</v>
      </c>
      <c r="L36" s="639">
        <f>L34-L35</f>
        <v>1220.5132822344731</v>
      </c>
      <c r="M36" s="639">
        <f t="shared" si="37"/>
        <v>1434.5119151002559</v>
      </c>
      <c r="N36" s="639">
        <f t="shared" si="37"/>
        <v>1462.8498959775534</v>
      </c>
      <c r="O36" s="639">
        <f t="shared" si="37"/>
        <v>1457.1049210434503</v>
      </c>
      <c r="P36" s="639">
        <f t="shared" si="37"/>
        <v>1557.8679434393016</v>
      </c>
      <c r="Q36" s="639">
        <f>Q34-Q35</f>
        <v>1545.3822675687372</v>
      </c>
      <c r="R36" s="639">
        <f t="shared" si="37"/>
        <v>1569.1386238463226</v>
      </c>
      <c r="S36" s="639">
        <f t="shared" si="37"/>
        <v>2091.2959978135623</v>
      </c>
      <c r="T36" s="639">
        <f t="shared" si="37"/>
        <v>2182.7080441150565</v>
      </c>
      <c r="U36" s="639">
        <f t="shared" si="37"/>
        <v>2266.7182217435206</v>
      </c>
      <c r="V36" s="639">
        <f t="shared" si="37"/>
        <v>2341.3415803364946</v>
      </c>
      <c r="W36" s="639">
        <f t="shared" si="37"/>
        <v>2405.0868233492424</v>
      </c>
      <c r="X36" s="639">
        <f t="shared" si="37"/>
        <v>2301.9338973328977</v>
      </c>
      <c r="Y36" s="639">
        <f t="shared" si="37"/>
        <v>2162.2738027309788</v>
      </c>
      <c r="Z36" s="639">
        <f t="shared" si="37"/>
        <v>1983.6346097037908</v>
      </c>
      <c r="AA36" s="639">
        <f t="shared" si="37"/>
        <v>1859.8819328614807</v>
      </c>
      <c r="AB36" s="639">
        <f t="shared" si="37"/>
        <v>1808.3208427020672</v>
      </c>
      <c r="AC36" s="639">
        <f t="shared" si="37"/>
        <v>1738.0275083281203</v>
      </c>
      <c r="AD36" s="639">
        <f t="shared" si="37"/>
        <v>1647.9172705594719</v>
      </c>
      <c r="AE36" s="639">
        <f t="shared" si="37"/>
        <v>1536.8750652167778</v>
      </c>
      <c r="AF36" s="640">
        <f t="shared" si="37"/>
        <v>1398.8968739546315</v>
      </c>
      <c r="AG36" s="347"/>
      <c r="AK36" s="10"/>
      <c r="AL36" s="10"/>
      <c r="AM36" s="10"/>
      <c r="AN36" s="10"/>
    </row>
    <row r="37" spans="1:40" ht="15.95" thickBot="1">
      <c r="A37" s="219"/>
      <c r="B37" s="217"/>
      <c r="C37" s="218"/>
      <c r="D37" s="318"/>
      <c r="E37" s="318"/>
      <c r="F37" s="318"/>
      <c r="G37" s="318"/>
      <c r="H37" s="318"/>
      <c r="I37" s="318"/>
      <c r="J37" s="318"/>
      <c r="K37" s="318"/>
      <c r="L37" s="318"/>
      <c r="M37" s="318"/>
      <c r="N37" s="318"/>
      <c r="O37" s="318"/>
      <c r="P37" s="318"/>
      <c r="Q37" s="318"/>
      <c r="R37" s="318"/>
      <c r="S37" s="318"/>
      <c r="T37" s="318"/>
      <c r="U37" s="318"/>
      <c r="V37" s="318"/>
      <c r="W37" s="318"/>
      <c r="X37" s="318"/>
      <c r="Y37" s="318"/>
      <c r="Z37" s="318"/>
      <c r="AA37" s="318"/>
      <c r="AB37" s="318"/>
      <c r="AC37" s="318"/>
      <c r="AD37" s="318"/>
      <c r="AE37" s="318"/>
      <c r="AF37" s="319"/>
      <c r="AG37" s="347"/>
      <c r="AH37" s="7"/>
      <c r="AI37" s="7"/>
      <c r="AJ37" s="7"/>
      <c r="AK37" s="10"/>
      <c r="AL37" s="10"/>
      <c r="AM37" s="10"/>
      <c r="AN37" s="10"/>
    </row>
    <row r="38" spans="1:40" ht="15" hidden="1">
      <c r="A38" s="1453" t="s">
        <v>669</v>
      </c>
      <c r="B38" s="211">
        <v>29</v>
      </c>
      <c r="C38" s="213" t="s">
        <v>670</v>
      </c>
      <c r="D38" s="652">
        <f>'Inputs (AUD)'!D91</f>
        <v>0</v>
      </c>
      <c r="E38" s="652">
        <f>'Inputs (AUD)'!C91</f>
        <v>0</v>
      </c>
      <c r="F38" s="652">
        <f>'Inputs (AUD)'!B91</f>
        <v>0</v>
      </c>
      <c r="G38" s="282">
        <f>+F38+(-G10)</f>
        <v>0</v>
      </c>
      <c r="H38" s="282">
        <f>+G38+(-H10)</f>
        <v>0</v>
      </c>
      <c r="I38" s="282">
        <f>+H38+(-I10)</f>
        <v>0</v>
      </c>
      <c r="J38" s="282">
        <f>+I38+(-J10)</f>
        <v>0</v>
      </c>
      <c r="K38" s="282">
        <f>+J38+(-K10)</f>
        <v>0</v>
      </c>
      <c r="L38" s="282">
        <f t="shared" ref="L38:Q38" si="38">+K38+(-L10)</f>
        <v>0</v>
      </c>
      <c r="M38" s="282">
        <f t="shared" si="38"/>
        <v>0</v>
      </c>
      <c r="N38" s="282">
        <f t="shared" si="38"/>
        <v>0</v>
      </c>
      <c r="O38" s="282">
        <f t="shared" si="38"/>
        <v>0</v>
      </c>
      <c r="P38" s="282">
        <f t="shared" si="38"/>
        <v>0</v>
      </c>
      <c r="Q38" s="282">
        <f t="shared" si="38"/>
        <v>0</v>
      </c>
      <c r="R38" s="282">
        <f t="shared" ref="R38:AF38" si="39">+Q38+(-R10)</f>
        <v>0</v>
      </c>
      <c r="S38" s="282">
        <f t="shared" si="39"/>
        <v>0</v>
      </c>
      <c r="T38" s="282">
        <f t="shared" si="39"/>
        <v>0</v>
      </c>
      <c r="U38" s="282">
        <f t="shared" si="39"/>
        <v>0</v>
      </c>
      <c r="V38" s="282">
        <f t="shared" si="39"/>
        <v>0</v>
      </c>
      <c r="W38" s="282">
        <f t="shared" si="39"/>
        <v>0</v>
      </c>
      <c r="X38" s="282">
        <f t="shared" si="39"/>
        <v>0</v>
      </c>
      <c r="Y38" s="282">
        <f t="shared" si="39"/>
        <v>0</v>
      </c>
      <c r="Z38" s="282">
        <f t="shared" si="39"/>
        <v>0</v>
      </c>
      <c r="AA38" s="282">
        <f t="shared" si="39"/>
        <v>0</v>
      </c>
      <c r="AB38" s="282">
        <f t="shared" si="39"/>
        <v>0</v>
      </c>
      <c r="AC38" s="282">
        <f t="shared" si="39"/>
        <v>0</v>
      </c>
      <c r="AD38" s="282">
        <f t="shared" si="39"/>
        <v>0</v>
      </c>
      <c r="AE38" s="282">
        <f t="shared" si="39"/>
        <v>0</v>
      </c>
      <c r="AF38" s="282">
        <f t="shared" si="39"/>
        <v>0</v>
      </c>
      <c r="AG38" s="641">
        <f>SUM(G38:AF38)</f>
        <v>0</v>
      </c>
      <c r="AH38" s="7"/>
      <c r="AI38" s="7"/>
      <c r="AJ38" s="7"/>
      <c r="AK38" s="10"/>
      <c r="AL38" s="10"/>
      <c r="AM38" s="10"/>
      <c r="AN38" s="10"/>
    </row>
    <row r="39" spans="1:40" ht="15" hidden="1">
      <c r="A39" s="1452"/>
      <c r="B39" s="211">
        <v>30</v>
      </c>
      <c r="C39" s="213" t="s">
        <v>671</v>
      </c>
      <c r="D39" s="653">
        <v>0</v>
      </c>
      <c r="E39" s="654">
        <v>0</v>
      </c>
      <c r="F39" s="655">
        <v>0</v>
      </c>
      <c r="G39" s="884">
        <f t="shared" ref="G39:AF39" si="40">F39-G10</f>
        <v>0</v>
      </c>
      <c r="H39" s="884">
        <f t="shared" si="40"/>
        <v>0</v>
      </c>
      <c r="I39" s="884">
        <f t="shared" si="40"/>
        <v>0</v>
      </c>
      <c r="J39" s="884">
        <f t="shared" si="40"/>
        <v>0</v>
      </c>
      <c r="K39" s="884">
        <f t="shared" si="40"/>
        <v>0</v>
      </c>
      <c r="L39" s="884">
        <f t="shared" si="40"/>
        <v>0</v>
      </c>
      <c r="M39" s="884">
        <f t="shared" si="40"/>
        <v>0</v>
      </c>
      <c r="N39" s="884">
        <f t="shared" si="40"/>
        <v>0</v>
      </c>
      <c r="O39" s="884">
        <f t="shared" si="40"/>
        <v>0</v>
      </c>
      <c r="P39" s="884">
        <f t="shared" si="40"/>
        <v>0</v>
      </c>
      <c r="Q39" s="884">
        <f t="shared" si="40"/>
        <v>0</v>
      </c>
      <c r="R39" s="884">
        <f t="shared" si="40"/>
        <v>0</v>
      </c>
      <c r="S39" s="884">
        <f t="shared" si="40"/>
        <v>0</v>
      </c>
      <c r="T39" s="884">
        <f t="shared" si="40"/>
        <v>0</v>
      </c>
      <c r="U39" s="884">
        <f t="shared" si="40"/>
        <v>0</v>
      </c>
      <c r="V39" s="884">
        <f t="shared" si="40"/>
        <v>0</v>
      </c>
      <c r="W39" s="884">
        <f t="shared" si="40"/>
        <v>0</v>
      </c>
      <c r="X39" s="884">
        <f t="shared" si="40"/>
        <v>0</v>
      </c>
      <c r="Y39" s="884">
        <f t="shared" si="40"/>
        <v>0</v>
      </c>
      <c r="Z39" s="884">
        <f t="shared" si="40"/>
        <v>0</v>
      </c>
      <c r="AA39" s="884">
        <f t="shared" si="40"/>
        <v>0</v>
      </c>
      <c r="AB39" s="884">
        <f t="shared" si="40"/>
        <v>0</v>
      </c>
      <c r="AC39" s="884">
        <f t="shared" si="40"/>
        <v>0</v>
      </c>
      <c r="AD39" s="884">
        <f t="shared" si="40"/>
        <v>0</v>
      </c>
      <c r="AE39" s="884">
        <f t="shared" si="40"/>
        <v>0</v>
      </c>
      <c r="AF39" s="282">
        <f t="shared" si="40"/>
        <v>0</v>
      </c>
      <c r="AG39" s="641">
        <f>SUM(G39:AF39)</f>
        <v>0</v>
      </c>
      <c r="AH39" s="7"/>
      <c r="AI39" s="7"/>
      <c r="AJ39" s="7"/>
      <c r="AK39" s="10"/>
      <c r="AL39" s="10"/>
      <c r="AM39" s="10"/>
      <c r="AN39" s="10"/>
    </row>
    <row r="40" spans="1:40" ht="15">
      <c r="A40" s="1452"/>
      <c r="B40" s="211">
        <v>31</v>
      </c>
      <c r="C40" s="213" t="s">
        <v>672</v>
      </c>
      <c r="D40" s="653">
        <f>'Inputs (AUD)'!D95</f>
        <v>0</v>
      </c>
      <c r="E40" s="654">
        <f>'Inputs (AUD)'!C95</f>
        <v>1003.7</v>
      </c>
      <c r="F40" s="655">
        <f>'Inputs (AUD)'!B95</f>
        <v>1539.3</v>
      </c>
      <c r="G40" s="876">
        <f>F40+(-G23)</f>
        <v>1704.5749352418829</v>
      </c>
      <c r="H40" s="877">
        <f t="shared" ref="H40:AF40" si="41">G40+(-H23)</f>
        <v>1887.7890610725494</v>
      </c>
      <c r="I40" s="877">
        <f t="shared" si="41"/>
        <v>2145.5569887301663</v>
      </c>
      <c r="J40" s="880">
        <f t="shared" si="41"/>
        <v>2454.3986854633813</v>
      </c>
      <c r="K40" s="885">
        <f t="shared" si="41"/>
        <v>2900.0045888796844</v>
      </c>
      <c r="L40" s="877">
        <f t="shared" si="41"/>
        <v>3307.2756471519574</v>
      </c>
      <c r="M40" s="877">
        <f t="shared" si="41"/>
        <v>3796.4048229761679</v>
      </c>
      <c r="N40" s="877">
        <f t="shared" si="41"/>
        <v>4341.8453747868089</v>
      </c>
      <c r="O40" s="877">
        <f t="shared" si="41"/>
        <v>4933.9574720138735</v>
      </c>
      <c r="P40" s="877">
        <f t="shared" si="41"/>
        <v>5624.2352140449675</v>
      </c>
      <c r="Q40" s="877">
        <f t="shared" si="41"/>
        <v>6388.9857510244256</v>
      </c>
      <c r="R40" s="877">
        <f t="shared" si="41"/>
        <v>7232.262691513668</v>
      </c>
      <c r="S40" s="877">
        <f t="shared" si="41"/>
        <v>8158.1136527532926</v>
      </c>
      <c r="T40" s="877">
        <f t="shared" si="41"/>
        <v>9170.5815260257677</v>
      </c>
      <c r="U40" s="877">
        <f t="shared" si="41"/>
        <v>10273.705437891076</v>
      </c>
      <c r="V40" s="877">
        <f t="shared" si="41"/>
        <v>11471.52147949485</v>
      </c>
      <c r="W40" s="877">
        <f t="shared" si="41"/>
        <v>12768.063267860674</v>
      </c>
      <c r="X40" s="877">
        <f t="shared" si="41"/>
        <v>14167.3623834725</v>
      </c>
      <c r="Y40" s="877">
        <f t="shared" si="41"/>
        <v>15673.448715420676</v>
      </c>
      <c r="Z40" s="877">
        <f t="shared" si="41"/>
        <v>17290.350736550194</v>
      </c>
      <c r="AA40" s="877">
        <f t="shared" si="41"/>
        <v>19022.095724952425</v>
      </c>
      <c r="AB40" s="877">
        <f t="shared" si="41"/>
        <v>20872.709943864382</v>
      </c>
      <c r="AC40" s="877">
        <f t="shared" si="41"/>
        <v>22846.218788993894</v>
      </c>
      <c r="AD40" s="877">
        <f t="shared" si="41"/>
        <v>24946.646910090523</v>
      </c>
      <c r="AE40" s="877">
        <f t="shared" si="41"/>
        <v>27178.018311974603</v>
      </c>
      <c r="AF40" s="413">
        <f t="shared" si="41"/>
        <v>29454.017141896366</v>
      </c>
      <c r="AG40" s="641">
        <f>SUM(G40:AF40)</f>
        <v>290010.14525414078</v>
      </c>
      <c r="AH40" s="7"/>
      <c r="AI40" s="7"/>
      <c r="AJ40" s="7"/>
      <c r="AK40" s="10"/>
      <c r="AL40" s="10"/>
      <c r="AM40" s="10"/>
      <c r="AN40" s="10"/>
    </row>
    <row r="41" spans="1:40" ht="15.95" thickBot="1">
      <c r="A41" s="1452"/>
      <c r="B41" s="212">
        <v>32</v>
      </c>
      <c r="C41" s="208" t="s">
        <v>673</v>
      </c>
      <c r="D41" s="656">
        <f>'Inputs (AUD)'!D93</f>
        <v>0</v>
      </c>
      <c r="E41" s="654">
        <f>'Inputs (AUD)'!C93</f>
        <v>-74.3</v>
      </c>
      <c r="F41" s="657">
        <f>'Inputs (AUD)'!B93</f>
        <v>-163.80000000000001</v>
      </c>
      <c r="G41" s="881">
        <f t="shared" ref="G41:AF41" si="42">F41-G9</f>
        <v>-117.62100000000001</v>
      </c>
      <c r="H41" s="882">
        <f t="shared" si="42"/>
        <v>-66.483751942743524</v>
      </c>
      <c r="I41" s="882">
        <f t="shared" si="42"/>
        <v>-9.8500801105670419</v>
      </c>
      <c r="J41" s="883">
        <f t="shared" si="42"/>
        <v>54.51662955133795</v>
      </c>
      <c r="K41" s="886">
        <f t="shared" si="42"/>
        <v>152.69257696987322</v>
      </c>
      <c r="L41" s="882">
        <f t="shared" si="42"/>
        <v>268.69276052506058</v>
      </c>
      <c r="M41" s="882">
        <f t="shared" si="42"/>
        <v>400.98378641113891</v>
      </c>
      <c r="N41" s="882">
        <f t="shared" si="42"/>
        <v>552.83997933018566</v>
      </c>
      <c r="O41" s="882">
        <f t="shared" si="42"/>
        <v>726.513794321658</v>
      </c>
      <c r="P41" s="882">
        <f t="shared" si="42"/>
        <v>923.87209320221291</v>
      </c>
      <c r="Q41" s="882">
        <f t="shared" si="42"/>
        <v>1148.8415017640116</v>
      </c>
      <c r="R41" s="882">
        <f t="shared" si="42"/>
        <v>1404.4009318049887</v>
      </c>
      <c r="S41" s="882">
        <f t="shared" si="42"/>
        <v>1693.6914394655355</v>
      </c>
      <c r="T41" s="882">
        <f t="shared" si="42"/>
        <v>2020.0159855756672</v>
      </c>
      <c r="U41" s="882">
        <f t="shared" si="42"/>
        <v>2386.8392466166979</v>
      </c>
      <c r="V41" s="882">
        <f t="shared" si="42"/>
        <v>2797.787464132341</v>
      </c>
      <c r="W41" s="882">
        <f t="shared" si="42"/>
        <v>3256.6483233121348</v>
      </c>
      <c r="X41" s="882">
        <f t="shared" si="42"/>
        <v>3767.3708540265616</v>
      </c>
      <c r="Y41" s="882">
        <f t="shared" si="42"/>
        <v>4334.0653493654618</v>
      </c>
      <c r="Z41" s="882">
        <f t="shared" si="42"/>
        <v>4961.003297982289</v>
      </c>
      <c r="AA41" s="882">
        <f t="shared" si="42"/>
        <v>5652.6173274442972</v>
      </c>
      <c r="AB41" s="882">
        <f t="shared" si="42"/>
        <v>6413.5011564423939</v>
      </c>
      <c r="AC41" s="882">
        <f t="shared" si="42"/>
        <v>7248.4095541969691</v>
      </c>
      <c r="AD41" s="882">
        <f t="shared" si="42"/>
        <v>8162.2583057567244</v>
      </c>
      <c r="AE41" s="882">
        <f t="shared" si="42"/>
        <v>9160.1241821603453</v>
      </c>
      <c r="AF41" s="883">
        <f t="shared" si="42"/>
        <v>10247.24491463933</v>
      </c>
      <c r="AG41" s="641">
        <f>SUM(G41:AF41)</f>
        <v>77540.976622943912</v>
      </c>
      <c r="AH41" s="7"/>
      <c r="AI41" s="7"/>
      <c r="AJ41" s="7"/>
      <c r="AK41" s="10"/>
      <c r="AL41" s="10"/>
      <c r="AM41" s="10"/>
      <c r="AN41" s="10"/>
    </row>
    <row r="42" spans="1:40" s="7" customFormat="1" ht="15.95" thickBot="1">
      <c r="A42" s="1446"/>
      <c r="B42" s="1447"/>
      <c r="C42" s="1447"/>
      <c r="D42" s="1447"/>
      <c r="E42" s="1447"/>
      <c r="F42" s="1447"/>
      <c r="G42" s="1447"/>
      <c r="H42" s="1447"/>
      <c r="I42" s="1447"/>
      <c r="J42" s="1447"/>
      <c r="K42" s="1447"/>
      <c r="L42" s="1447"/>
      <c r="M42" s="1447"/>
      <c r="N42" s="1447"/>
      <c r="O42" s="1447"/>
      <c r="P42" s="1447"/>
      <c r="Q42" s="1447"/>
      <c r="R42" s="1447"/>
      <c r="S42" s="1447"/>
      <c r="T42" s="1447"/>
      <c r="U42" s="1447"/>
      <c r="V42" s="1447"/>
      <c r="W42" s="1447"/>
      <c r="X42" s="1447"/>
      <c r="Y42" s="1447"/>
      <c r="Z42" s="1447"/>
      <c r="AA42" s="1447"/>
      <c r="AB42" s="1447"/>
      <c r="AC42" s="1447"/>
      <c r="AD42" s="1447"/>
      <c r="AE42" s="1447"/>
      <c r="AF42" s="1448"/>
      <c r="AG42" s="347"/>
      <c r="AK42" s="10"/>
      <c r="AL42" s="10"/>
      <c r="AM42" s="10"/>
      <c r="AN42" s="10"/>
    </row>
    <row r="43" spans="1:40" ht="15" customHeight="1">
      <c r="A43" s="1443" t="s">
        <v>674</v>
      </c>
      <c r="B43" s="209">
        <v>33</v>
      </c>
      <c r="C43" s="213" t="s">
        <v>675</v>
      </c>
      <c r="D43" s="405">
        <f>'Fin. Data'!D39</f>
        <v>79</v>
      </c>
      <c r="E43" s="268">
        <f>E36+D43</f>
        <v>567.60000000000014</v>
      </c>
      <c r="F43" s="647">
        <f>F36+E43</f>
        <v>3288.4000000000005</v>
      </c>
      <c r="G43" s="405">
        <f>G36+F43</f>
        <v>3680.2454046832495</v>
      </c>
      <c r="H43" s="642">
        <f t="shared" ref="H43:AF43" si="43">H36+G43</f>
        <v>4672.7683868454242</v>
      </c>
      <c r="I43" s="642">
        <f>I36+H43</f>
        <v>6057.4431086490367</v>
      </c>
      <c r="J43" s="603">
        <f>J36+I43</f>
        <v>7582.4036196032712</v>
      </c>
      <c r="K43" s="268">
        <f>K36+J43</f>
        <v>8958.9265367009175</v>
      </c>
      <c r="L43" s="642">
        <f>L36+K43</f>
        <v>10179.439818935391</v>
      </c>
      <c r="M43" s="642">
        <f>M36+L43</f>
        <v>11613.951734035647</v>
      </c>
      <c r="N43" s="642">
        <f t="shared" si="43"/>
        <v>13076.8016300132</v>
      </c>
      <c r="O43" s="642">
        <f t="shared" si="43"/>
        <v>14533.906551056651</v>
      </c>
      <c r="P43" s="642">
        <f t="shared" si="43"/>
        <v>16091.774494495952</v>
      </c>
      <c r="Q43" s="642">
        <f t="shared" si="43"/>
        <v>17637.156762064689</v>
      </c>
      <c r="R43" s="642">
        <f>R36+Q43</f>
        <v>19206.295385911013</v>
      </c>
      <c r="S43" s="642">
        <f t="shared" si="43"/>
        <v>21297.591383724575</v>
      </c>
      <c r="T43" s="642">
        <f t="shared" si="43"/>
        <v>23480.299427839633</v>
      </c>
      <c r="U43" s="642">
        <f t="shared" si="43"/>
        <v>25747.017649583155</v>
      </c>
      <c r="V43" s="642">
        <f t="shared" si="43"/>
        <v>28088.35922991965</v>
      </c>
      <c r="W43" s="642">
        <f t="shared" si="43"/>
        <v>30493.446053268894</v>
      </c>
      <c r="X43" s="642">
        <f t="shared" si="43"/>
        <v>32795.379950601789</v>
      </c>
      <c r="Y43" s="642">
        <f t="shared" si="43"/>
        <v>34957.653753332765</v>
      </c>
      <c r="Z43" s="642">
        <f t="shared" si="43"/>
        <v>36941.288363036554</v>
      </c>
      <c r="AA43" s="642">
        <f t="shared" si="43"/>
        <v>38801.170295898031</v>
      </c>
      <c r="AB43" s="642">
        <f t="shared" si="43"/>
        <v>40609.491138600097</v>
      </c>
      <c r="AC43" s="642">
        <f t="shared" si="43"/>
        <v>42347.51864692822</v>
      </c>
      <c r="AD43" s="642">
        <f t="shared" si="43"/>
        <v>43995.435917487688</v>
      </c>
      <c r="AE43" s="642">
        <f t="shared" si="43"/>
        <v>45532.310982704468</v>
      </c>
      <c r="AF43" s="643">
        <f t="shared" si="43"/>
        <v>46931.207856659101</v>
      </c>
      <c r="AG43" s="347"/>
      <c r="AH43" s="7"/>
      <c r="AI43" s="7"/>
      <c r="AJ43" s="7"/>
      <c r="AK43" s="10"/>
      <c r="AL43" s="10"/>
      <c r="AM43" s="10"/>
      <c r="AN43" s="10"/>
    </row>
    <row r="44" spans="1:40" ht="15">
      <c r="A44" s="1443"/>
      <c r="B44" s="209">
        <v>34</v>
      </c>
      <c r="C44" s="213" t="s">
        <v>325</v>
      </c>
      <c r="D44" s="405">
        <f>'Fin. Data'!D58</f>
        <v>166.9</v>
      </c>
      <c r="E44" s="268">
        <f>'Fin. Data'!C58</f>
        <v>292</v>
      </c>
      <c r="F44" s="406">
        <f>'Fin. Data'!B58</f>
        <v>472</v>
      </c>
      <c r="G44" s="604">
        <f>G12*$D$68</f>
        <v>134.47677769005088</v>
      </c>
      <c r="H44" s="644">
        <f>H12*$D$68</f>
        <v>175.24112736277317</v>
      </c>
      <c r="I44" s="644">
        <f>I12*$D$68</f>
        <v>245.0193000081477</v>
      </c>
      <c r="J44" s="553">
        <f>J12*$D$68</f>
        <v>271.15812530894613</v>
      </c>
      <c r="K44" s="644">
        <f>K12*$E$68</f>
        <v>415.78018105419272</v>
      </c>
      <c r="L44" s="644">
        <f>L12*$E$68</f>
        <v>396.35968008518114</v>
      </c>
      <c r="M44" s="644">
        <f t="shared" ref="M44:AE44" si="44">M12*$E$68</f>
        <v>461.72612460698861</v>
      </c>
      <c r="N44" s="644">
        <f t="shared" si="44"/>
        <v>500.64150754446354</v>
      </c>
      <c r="O44" s="644">
        <f>O12*$E$68</f>
        <v>528.59647023718969</v>
      </c>
      <c r="P44" s="644">
        <f t="shared" si="44"/>
        <v>596.72581138446878</v>
      </c>
      <c r="Q44" s="644">
        <f t="shared" si="44"/>
        <v>641.17183973505371</v>
      </c>
      <c r="R44" s="644">
        <f t="shared" si="44"/>
        <v>685.10156438245349</v>
      </c>
      <c r="S44" s="644">
        <f t="shared" si="44"/>
        <v>728.2021906154647</v>
      </c>
      <c r="T44" s="644">
        <f t="shared" si="44"/>
        <v>770.16244799705635</v>
      </c>
      <c r="U44" s="644">
        <f t="shared" si="44"/>
        <v>810.67221587969811</v>
      </c>
      <c r="V44" s="644">
        <f t="shared" si="44"/>
        <v>849.42224462357365</v>
      </c>
      <c r="W44" s="644">
        <f t="shared" si="44"/>
        <v>886.10395391039651</v>
      </c>
      <c r="X44" s="644">
        <f t="shared" si="44"/>
        <v>920.40928443786163</v>
      </c>
      <c r="Y44" s="644">
        <f t="shared" si="44"/>
        <v>952.03058724852815</v>
      </c>
      <c r="Z44" s="644">
        <f t="shared" si="44"/>
        <v>980.66054003010004</v>
      </c>
      <c r="AA44" s="644">
        <f t="shared" si="44"/>
        <v>1005.9920830358524</v>
      </c>
      <c r="AB44" s="644">
        <f t="shared" si="44"/>
        <v>1027.7183694736855</v>
      </c>
      <c r="AC44" s="644">
        <f t="shared" si="44"/>
        <v>1045.5327266993609</v>
      </c>
      <c r="AD44" s="644">
        <f t="shared" si="44"/>
        <v>1059.1286255712046</v>
      </c>
      <c r="AE44" s="645">
        <f t="shared" si="44"/>
        <v>1068.1996560360496</v>
      </c>
      <c r="AF44" s="646">
        <f>AF12*$E$68</f>
        <v>1037.3075586277434</v>
      </c>
      <c r="AG44" s="361"/>
      <c r="AH44" s="10"/>
      <c r="AI44" s="10"/>
      <c r="AJ44" s="10"/>
      <c r="AK44" s="10"/>
      <c r="AL44" s="10"/>
      <c r="AM44" s="10"/>
      <c r="AN44" s="10"/>
    </row>
    <row r="45" spans="1:40" ht="15">
      <c r="A45" s="1443"/>
      <c r="B45" s="209">
        <v>35</v>
      </c>
      <c r="C45" s="213" t="s">
        <v>676</v>
      </c>
      <c r="D45" s="407"/>
      <c r="E45" s="309"/>
      <c r="F45" s="408">
        <f>1/((1+$F$50)^G50)</f>
        <v>1</v>
      </c>
      <c r="G45" s="278">
        <f t="shared" ref="G45:AF45" si="45">1/((1+$F$50)^G49)</f>
        <v>0.91324200913242015</v>
      </c>
      <c r="H45" s="263">
        <f t="shared" si="45"/>
        <v>0.8340109672442193</v>
      </c>
      <c r="I45" s="263">
        <f t="shared" si="45"/>
        <v>0.76165385136458386</v>
      </c>
      <c r="J45" s="279">
        <f t="shared" si="45"/>
        <v>0.6955742934836382</v>
      </c>
      <c r="K45" s="307">
        <f t="shared" si="45"/>
        <v>0.63522766528186136</v>
      </c>
      <c r="L45" s="263">
        <f t="shared" si="45"/>
        <v>0.58011658929850352</v>
      </c>
      <c r="M45" s="263">
        <f t="shared" si="45"/>
        <v>0.52978683954201233</v>
      </c>
      <c r="N45" s="263">
        <f t="shared" si="45"/>
        <v>0.4838235977552624</v>
      </c>
      <c r="O45" s="263">
        <f t="shared" si="45"/>
        <v>0.44184803447969173</v>
      </c>
      <c r="P45" s="263">
        <f t="shared" si="45"/>
        <v>0.40351418673944445</v>
      </c>
      <c r="Q45" s="263">
        <f t="shared" si="45"/>
        <v>0.36850610661136479</v>
      </c>
      <c r="R45" s="263">
        <f t="shared" si="45"/>
        <v>0.33653525717932858</v>
      </c>
      <c r="S45" s="263">
        <f t="shared" si="45"/>
        <v>0.30733813441034574</v>
      </c>
      <c r="T45" s="263">
        <f t="shared" si="45"/>
        <v>0.2806740953519139</v>
      </c>
      <c r="U45" s="263">
        <f t="shared" si="45"/>
        <v>0.25632337475060635</v>
      </c>
      <c r="V45" s="263">
        <f t="shared" si="45"/>
        <v>0.23408527374484595</v>
      </c>
      <c r="W45" s="263">
        <f t="shared" si="45"/>
        <v>0.21377650570305565</v>
      </c>
      <c r="X45" s="263">
        <f t="shared" si="45"/>
        <v>0.19522968557356679</v>
      </c>
      <c r="Y45" s="263">
        <f t="shared" si="45"/>
        <v>0.1782919502954948</v>
      </c>
      <c r="Z45" s="263">
        <f t="shared" si="45"/>
        <v>0.16282369889999526</v>
      </c>
      <c r="AA45" s="263">
        <f t="shared" si="45"/>
        <v>0.14869744191780387</v>
      </c>
      <c r="AB45" s="263">
        <f t="shared" si="45"/>
        <v>0.13579675060986654</v>
      </c>
      <c r="AC45" s="263">
        <f t="shared" si="45"/>
        <v>0.12401529736060873</v>
      </c>
      <c r="AD45" s="263">
        <f t="shared" si="45"/>
        <v>0.11325597932475681</v>
      </c>
      <c r="AE45" s="263">
        <f t="shared" si="45"/>
        <v>0.10343011810480077</v>
      </c>
      <c r="AF45" s="504">
        <f t="shared" si="45"/>
        <v>9.4456728862831726E-2</v>
      </c>
      <c r="AG45" s="361"/>
      <c r="AH45" s="10"/>
      <c r="AI45" s="10"/>
      <c r="AJ45" s="10"/>
      <c r="AK45" s="10"/>
      <c r="AL45" s="10"/>
      <c r="AM45" s="10"/>
      <c r="AN45" s="10"/>
    </row>
    <row r="46" spans="1:40" ht="15">
      <c r="A46" s="1443"/>
      <c r="B46" s="209">
        <v>36</v>
      </c>
      <c r="C46" s="213" t="s">
        <v>677</v>
      </c>
      <c r="D46" s="409"/>
      <c r="E46" s="410" t="s">
        <v>678</v>
      </c>
      <c r="F46" s="279">
        <f>1/((1+$F$50+0.001)^G50)</f>
        <v>1</v>
      </c>
      <c r="G46" s="278">
        <f>1/((1+$F$50+0.001)^G49)</f>
        <v>0.9124087591240877</v>
      </c>
      <c r="H46" s="263">
        <f t="shared" ref="H46:AF46" si="46">1/((1+$F$50+0.001)^H49)</f>
        <v>0.83248974372635753</v>
      </c>
      <c r="I46" s="263">
        <f t="shared" si="46"/>
        <v>0.75957093405689569</v>
      </c>
      <c r="J46" s="279">
        <f t="shared" si="46"/>
        <v>0.69303917340957644</v>
      </c>
      <c r="K46" s="307">
        <f t="shared" si="46"/>
        <v>0.63233501223501509</v>
      </c>
      <c r="L46" s="263">
        <f t="shared" si="46"/>
        <v>0.57694800386406497</v>
      </c>
      <c r="M46" s="263">
        <f t="shared" si="46"/>
        <v>0.5264124122847309</v>
      </c>
      <c r="N46" s="263">
        <f t="shared" si="46"/>
        <v>0.48030329588022896</v>
      </c>
      <c r="O46" s="263">
        <f t="shared" si="46"/>
        <v>0.43823293419728926</v>
      </c>
      <c r="P46" s="263">
        <f t="shared" si="46"/>
        <v>0.39984756769825669</v>
      </c>
      <c r="Q46" s="263">
        <f t="shared" si="46"/>
        <v>0.36482442308235102</v>
      </c>
      <c r="R46" s="263">
        <f t="shared" si="46"/>
        <v>0.33286899916272911</v>
      </c>
      <c r="S46" s="263">
        <f t="shared" si="46"/>
        <v>0.30371259047694271</v>
      </c>
      <c r="T46" s="263">
        <f t="shared" si="46"/>
        <v>0.27711002780742949</v>
      </c>
      <c r="U46" s="263">
        <f t="shared" si="46"/>
        <v>0.25283761661261817</v>
      </c>
      <c r="V46" s="263">
        <f t="shared" si="46"/>
        <v>0.23069125603341076</v>
      </c>
      <c r="W46" s="263">
        <f t="shared" si="46"/>
        <v>0.21048472265822155</v>
      </c>
      <c r="X46" s="263">
        <f t="shared" si="46"/>
        <v>0.19204810461516567</v>
      </c>
      <c r="Y46" s="263">
        <f t="shared" si="46"/>
        <v>0.17522637282405629</v>
      </c>
      <c r="Z46" s="263">
        <f t="shared" si="46"/>
        <v>0.15987807739421195</v>
      </c>
      <c r="AA46" s="263">
        <f t="shared" si="46"/>
        <v>0.14587415820639779</v>
      </c>
      <c r="AB46" s="263">
        <f t="shared" si="46"/>
        <v>0.13309685967737026</v>
      </c>
      <c r="AC46" s="263">
        <f t="shared" si="46"/>
        <v>0.12143874058154225</v>
      </c>
      <c r="AD46" s="263">
        <f t="shared" si="46"/>
        <v>0.11080177060359694</v>
      </c>
      <c r="AE46" s="263">
        <f t="shared" si="46"/>
        <v>0.10109650602517971</v>
      </c>
      <c r="AF46" s="279">
        <f t="shared" si="46"/>
        <v>9.2241337614215088E-2</v>
      </c>
      <c r="AG46" s="361"/>
      <c r="AH46" s="10"/>
      <c r="AI46" s="10"/>
      <c r="AJ46" s="10"/>
      <c r="AK46" s="10"/>
      <c r="AL46" s="10"/>
      <c r="AM46" s="10"/>
      <c r="AN46" s="10"/>
    </row>
    <row r="47" spans="1:40" ht="15.95" thickBot="1">
      <c r="A47" s="1443"/>
      <c r="B47" s="210">
        <v>37</v>
      </c>
      <c r="C47" s="208" t="s">
        <v>679</v>
      </c>
      <c r="D47" s="409"/>
      <c r="E47" s="410" t="s">
        <v>680</v>
      </c>
      <c r="F47" s="415">
        <f>1/((1+$F$50+0.005)^G50)</f>
        <v>1</v>
      </c>
      <c r="G47" s="416">
        <f t="shared" ref="G47:AF47" si="47">1/((1+$F$50+0.005)^G49)</f>
        <v>0.90909090909090917</v>
      </c>
      <c r="H47" s="417">
        <f t="shared" si="47"/>
        <v>0.82644628099173567</v>
      </c>
      <c r="I47" s="417">
        <f t="shared" si="47"/>
        <v>0.75131480090157798</v>
      </c>
      <c r="J47" s="415">
        <f t="shared" si="47"/>
        <v>0.68301345536507108</v>
      </c>
      <c r="K47" s="418">
        <f t="shared" si="47"/>
        <v>0.62092132305915559</v>
      </c>
      <c r="L47" s="417">
        <f t="shared" si="47"/>
        <v>0.56447393005377777</v>
      </c>
      <c r="M47" s="417">
        <f t="shared" si="47"/>
        <v>0.51315811823070723</v>
      </c>
      <c r="N47" s="417">
        <f t="shared" si="47"/>
        <v>0.46650738020973387</v>
      </c>
      <c r="O47" s="417">
        <f t="shared" si="47"/>
        <v>0.42409761837248539</v>
      </c>
      <c r="P47" s="417">
        <f t="shared" si="47"/>
        <v>0.3855432894295322</v>
      </c>
      <c r="Q47" s="417">
        <f t="shared" si="47"/>
        <v>0.35049389948139298</v>
      </c>
      <c r="R47" s="417">
        <f t="shared" si="47"/>
        <v>0.31863081771035728</v>
      </c>
      <c r="S47" s="417">
        <f t="shared" si="47"/>
        <v>0.28966437973668846</v>
      </c>
      <c r="T47" s="417">
        <f t="shared" si="47"/>
        <v>0.2633312543060804</v>
      </c>
      <c r="U47" s="417">
        <f t="shared" si="47"/>
        <v>0.23939204936916406</v>
      </c>
      <c r="V47" s="417">
        <f t="shared" si="47"/>
        <v>0.21762913579014917</v>
      </c>
      <c r="W47" s="417">
        <f t="shared" si="47"/>
        <v>0.19784466890013563</v>
      </c>
      <c r="X47" s="417">
        <f t="shared" si="47"/>
        <v>0.17985878990921422</v>
      </c>
      <c r="Y47" s="417">
        <f t="shared" si="47"/>
        <v>0.16350799082655842</v>
      </c>
      <c r="Z47" s="417">
        <f t="shared" si="47"/>
        <v>0.14864362802414405</v>
      </c>
      <c r="AA47" s="417">
        <f t="shared" si="47"/>
        <v>0.13513057093104003</v>
      </c>
      <c r="AB47" s="417">
        <f t="shared" si="47"/>
        <v>0.12284597357367279</v>
      </c>
      <c r="AC47" s="417">
        <f t="shared" si="47"/>
        <v>0.111678157794248</v>
      </c>
      <c r="AD47" s="417">
        <f t="shared" si="47"/>
        <v>0.10152559799477091</v>
      </c>
      <c r="AE47" s="417">
        <f t="shared" si="47"/>
        <v>9.2295998177064478E-2</v>
      </c>
      <c r="AF47" s="415">
        <f t="shared" si="47"/>
        <v>8.3905452888240445E-2</v>
      </c>
      <c r="AG47" s="361"/>
      <c r="AH47" s="10"/>
      <c r="AI47" s="10"/>
      <c r="AJ47" s="10"/>
      <c r="AK47" s="10"/>
      <c r="AL47" s="10"/>
      <c r="AM47" s="10"/>
      <c r="AN47" s="10"/>
    </row>
    <row r="48" spans="1:40" ht="15.95" thickBot="1">
      <c r="A48" s="1449" t="s">
        <v>649</v>
      </c>
      <c r="B48" s="1450"/>
      <c r="C48" s="1450"/>
      <c r="D48" s="1450"/>
      <c r="E48" s="1450"/>
      <c r="F48" s="1450"/>
      <c r="G48" s="1450"/>
      <c r="H48" s="1450"/>
      <c r="I48" s="1450"/>
      <c r="J48" s="1450"/>
      <c r="K48" s="1450"/>
      <c r="L48" s="1450"/>
      <c r="M48" s="1450"/>
      <c r="N48" s="1450"/>
      <c r="O48" s="1450"/>
      <c r="P48" s="1450"/>
      <c r="Q48" s="1450"/>
      <c r="R48" s="1450"/>
      <c r="S48" s="1450"/>
      <c r="T48" s="1450"/>
      <c r="U48" s="1450"/>
      <c r="V48" s="1450"/>
      <c r="W48" s="1450"/>
      <c r="X48" s="1450"/>
      <c r="Y48" s="1450"/>
      <c r="Z48" s="1450"/>
      <c r="AA48" s="1450"/>
      <c r="AB48" s="1450"/>
      <c r="AC48" s="1450"/>
      <c r="AD48" s="1450"/>
      <c r="AE48" s="1450"/>
      <c r="AF48" s="1451"/>
      <c r="AG48" s="361"/>
      <c r="AH48" s="10"/>
      <c r="AI48" s="10"/>
      <c r="AJ48" s="363"/>
      <c r="AK48" s="10"/>
      <c r="AL48" s="10"/>
      <c r="AM48" s="10"/>
      <c r="AN48" s="10"/>
    </row>
    <row r="49" spans="1:40" ht="15">
      <c r="A49" s="1454" t="s">
        <v>681</v>
      </c>
      <c r="C49" s="224" t="s">
        <v>682</v>
      </c>
      <c r="D49" s="214" t="s">
        <v>683</v>
      </c>
      <c r="E49" s="215" t="s">
        <v>684</v>
      </c>
      <c r="F49" s="225" t="s">
        <v>685</v>
      </c>
      <c r="G49" s="264">
        <v>1</v>
      </c>
      <c r="H49" s="265">
        <v>2</v>
      </c>
      <c r="I49" s="265">
        <v>3</v>
      </c>
      <c r="J49" s="264">
        <v>4</v>
      </c>
      <c r="K49" s="265">
        <v>5</v>
      </c>
      <c r="L49" s="265">
        <v>6</v>
      </c>
      <c r="M49" s="264">
        <v>7</v>
      </c>
      <c r="N49" s="265">
        <v>8</v>
      </c>
      <c r="O49" s="265">
        <v>9</v>
      </c>
      <c r="P49" s="264">
        <v>10</v>
      </c>
      <c r="Q49" s="265">
        <v>11</v>
      </c>
      <c r="R49" s="265">
        <v>12</v>
      </c>
      <c r="S49" s="264">
        <v>13</v>
      </c>
      <c r="T49" s="265">
        <v>14</v>
      </c>
      <c r="U49" s="265">
        <v>15</v>
      </c>
      <c r="V49" s="264">
        <v>16</v>
      </c>
      <c r="W49" s="265">
        <v>17</v>
      </c>
      <c r="X49" s="265">
        <v>18</v>
      </c>
      <c r="Y49" s="264">
        <v>19</v>
      </c>
      <c r="Z49" s="265">
        <v>20</v>
      </c>
      <c r="AA49" s="265">
        <v>21</v>
      </c>
      <c r="AB49" s="264">
        <v>22</v>
      </c>
      <c r="AC49" s="265">
        <v>23</v>
      </c>
      <c r="AD49" s="265">
        <v>24</v>
      </c>
      <c r="AE49" s="264">
        <v>25</v>
      </c>
      <c r="AF49" s="265">
        <v>26</v>
      </c>
      <c r="AG49" s="361"/>
      <c r="AH49" s="10"/>
      <c r="AI49" s="10"/>
      <c r="AJ49" s="10"/>
      <c r="AK49" s="10"/>
      <c r="AL49" s="10"/>
      <c r="AM49" s="10"/>
      <c r="AN49" s="10"/>
    </row>
    <row r="50" spans="1:40" ht="15.95" thickBot="1">
      <c r="A50" s="1455"/>
      <c r="C50" s="221">
        <v>0.04</v>
      </c>
      <c r="D50" s="222">
        <v>4.4999999999999998E-2</v>
      </c>
      <c r="E50" s="820">
        <v>0.01</v>
      </c>
      <c r="F50" s="223">
        <f>E50+D50+C50</f>
        <v>9.5000000000000001E-2</v>
      </c>
      <c r="G50" s="264"/>
      <c r="S50" s="207"/>
      <c r="T50" s="207"/>
      <c r="U50" s="207"/>
      <c r="V50" s="207"/>
      <c r="W50" s="207"/>
      <c r="X50" s="207"/>
      <c r="Y50" s="207"/>
      <c r="Z50" s="207"/>
      <c r="AA50" s="207"/>
      <c r="AB50" s="207"/>
      <c r="AC50" s="207"/>
      <c r="AD50" s="207"/>
      <c r="AE50" s="207"/>
      <c r="AF50" s="207"/>
      <c r="AG50" s="360"/>
      <c r="AH50" s="10"/>
      <c r="AI50" s="10"/>
      <c r="AJ50" s="10"/>
      <c r="AK50" s="10"/>
      <c r="AL50" s="10"/>
      <c r="AM50" s="10"/>
      <c r="AN50" s="10"/>
    </row>
    <row r="51" spans="1:40" ht="15">
      <c r="A51" s="207"/>
      <c r="C51" s="207"/>
      <c r="D51" s="207"/>
      <c r="G51" s="803">
        <f>G17/G6</f>
        <v>0.4168217342082377</v>
      </c>
      <c r="H51" s="803">
        <f t="shared" ref="H51:AF51" si="48">H17/H6</f>
        <v>0.50190730450432097</v>
      </c>
      <c r="I51" s="803">
        <f t="shared" si="48"/>
        <v>0.50500246038683816</v>
      </c>
      <c r="J51" s="803">
        <f t="shared" si="48"/>
        <v>0.46039966189448345</v>
      </c>
      <c r="K51" s="803">
        <f t="shared" si="48"/>
        <v>0.4162592176108868</v>
      </c>
      <c r="L51" s="803">
        <f t="shared" si="48"/>
        <v>0.42971806364680226</v>
      </c>
      <c r="M51" s="803">
        <f t="shared" si="48"/>
        <v>0.41782554829844193</v>
      </c>
      <c r="N51" s="803">
        <f t="shared" si="48"/>
        <v>0.40453477556047446</v>
      </c>
      <c r="O51" s="803">
        <f t="shared" si="48"/>
        <v>0.39160769352285735</v>
      </c>
      <c r="P51" s="803">
        <f t="shared" si="48"/>
        <v>0.37933340146152894</v>
      </c>
      <c r="Q51" s="803">
        <f t="shared" si="48"/>
        <v>0.36622121191323348</v>
      </c>
      <c r="R51" s="803">
        <f t="shared" si="48"/>
        <v>0.35358964994967429</v>
      </c>
      <c r="S51" s="803">
        <f t="shared" si="48"/>
        <v>0.34109297870036009</v>
      </c>
      <c r="T51" s="803">
        <f t="shared" si="48"/>
        <v>0.32845661544633487</v>
      </c>
      <c r="U51" s="803">
        <f t="shared" si="48"/>
        <v>0.31592893010720902</v>
      </c>
      <c r="V51" s="803">
        <f t="shared" si="48"/>
        <v>0.3034279815132408</v>
      </c>
      <c r="W51" s="803">
        <f t="shared" si="48"/>
        <v>0.2909261448232805</v>
      </c>
      <c r="X51" s="803">
        <f t="shared" si="48"/>
        <v>0.27845932646128008</v>
      </c>
      <c r="Y51" s="803">
        <f t="shared" si="48"/>
        <v>0.26600857751371132</v>
      </c>
      <c r="Z51" s="803">
        <f t="shared" si="48"/>
        <v>0.25357117954623015</v>
      </c>
      <c r="AA51" s="803">
        <f t="shared" si="48"/>
        <v>0.24115101826783364</v>
      </c>
      <c r="AB51" s="803">
        <f t="shared" si="48"/>
        <v>0.22874344194579072</v>
      </c>
      <c r="AC51" s="803">
        <f t="shared" si="48"/>
        <v>0.21634758600398313</v>
      </c>
      <c r="AD51" s="803">
        <f t="shared" si="48"/>
        <v>0.20396307829929483</v>
      </c>
      <c r="AE51" s="803">
        <f t="shared" si="48"/>
        <v>0.19158837116172772</v>
      </c>
      <c r="AF51" s="803">
        <f t="shared" si="48"/>
        <v>0.17920017413559702</v>
      </c>
      <c r="AG51" s="360"/>
      <c r="AH51" s="10"/>
      <c r="AI51" s="10"/>
      <c r="AJ51" s="10"/>
      <c r="AK51" s="10"/>
      <c r="AL51" s="10"/>
      <c r="AM51" s="10"/>
      <c r="AN51" s="10"/>
    </row>
    <row r="52" spans="1:40" ht="15" customHeight="1">
      <c r="A52" s="1456" t="s">
        <v>686</v>
      </c>
      <c r="C52" s="323" t="s">
        <v>649</v>
      </c>
      <c r="D52" s="324" t="s">
        <v>630</v>
      </c>
      <c r="E52" s="325" t="s">
        <v>631</v>
      </c>
      <c r="F52" s="324" t="s">
        <v>687</v>
      </c>
      <c r="G52" s="207"/>
      <c r="J52" s="338"/>
      <c r="K52" s="207"/>
      <c r="S52" s="207"/>
      <c r="T52" s="207"/>
      <c r="U52" s="207"/>
      <c r="V52" s="207"/>
      <c r="W52" s="207"/>
      <c r="X52" s="207"/>
      <c r="Y52" s="207"/>
      <c r="Z52" s="207"/>
      <c r="AA52" s="207"/>
      <c r="AB52" s="207"/>
      <c r="AC52" s="207"/>
      <c r="AD52" s="207"/>
      <c r="AE52" s="207"/>
      <c r="AF52" s="207"/>
      <c r="AG52" s="360"/>
      <c r="AH52" s="10"/>
      <c r="AI52" s="10"/>
      <c r="AJ52" s="10"/>
      <c r="AK52" s="10"/>
      <c r="AL52" s="10"/>
      <c r="AM52" s="10"/>
      <c r="AN52" s="10"/>
    </row>
    <row r="53" spans="1:40" ht="15" customHeight="1">
      <c r="A53" s="1456"/>
      <c r="C53" s="326" t="s">
        <v>688</v>
      </c>
      <c r="D53" s="817">
        <f>-Assumptions!S16</f>
        <v>-0.03</v>
      </c>
      <c r="E53" s="817">
        <f>-Assumptions!T16</f>
        <v>-0.04</v>
      </c>
      <c r="F53" s="327" t="s">
        <v>689</v>
      </c>
      <c r="G53" s="340"/>
      <c r="H53" s="1">
        <f>D44/D12</f>
        <v>-5.0271084337349397</v>
      </c>
      <c r="I53" s="1">
        <f>E44/E12</f>
        <v>0.40165061898211823</v>
      </c>
      <c r="J53" s="1">
        <f>F44/F12</f>
        <v>0.15232194145932162</v>
      </c>
      <c r="K53" s="207"/>
      <c r="S53" s="207"/>
      <c r="T53" s="207"/>
      <c r="U53" s="207"/>
      <c r="V53" s="207"/>
      <c r="W53" s="207"/>
      <c r="X53" s="207"/>
      <c r="Y53" s="207"/>
      <c r="Z53" s="207"/>
      <c r="AA53" s="207"/>
      <c r="AB53" s="207"/>
      <c r="AC53" s="207"/>
      <c r="AD53" s="207"/>
      <c r="AE53" s="207"/>
      <c r="AF53" s="207"/>
      <c r="AG53" s="360"/>
      <c r="AH53" s="10"/>
      <c r="AI53" s="10"/>
      <c r="AJ53" s="10"/>
      <c r="AK53" s="10"/>
      <c r="AL53" s="10"/>
      <c r="AM53" s="10"/>
      <c r="AN53" s="10"/>
    </row>
    <row r="54" spans="1:40" ht="15" hidden="1" customHeight="1">
      <c r="A54" s="1456"/>
      <c r="C54" s="323" t="s">
        <v>690</v>
      </c>
      <c r="D54" s="817">
        <f>Assumptions!S17</f>
        <v>0</v>
      </c>
      <c r="E54" s="817">
        <f>Assumptions!T17</f>
        <v>0</v>
      </c>
      <c r="F54" s="329" t="s">
        <v>691</v>
      </c>
      <c r="G54" s="207"/>
      <c r="J54" s="207"/>
      <c r="K54" s="207"/>
      <c r="S54" s="207"/>
      <c r="T54" s="207"/>
      <c r="U54" s="207"/>
      <c r="V54" s="207"/>
      <c r="W54" s="207"/>
      <c r="X54" s="207"/>
      <c r="Y54" s="207"/>
      <c r="Z54" s="207"/>
      <c r="AA54" s="207"/>
      <c r="AB54" s="207"/>
      <c r="AC54" s="207"/>
      <c r="AD54" s="207"/>
      <c r="AE54" s="207"/>
      <c r="AF54" s="207"/>
      <c r="AG54" s="360"/>
      <c r="AH54" s="10"/>
      <c r="AI54" s="10"/>
      <c r="AJ54" s="10"/>
      <c r="AK54" s="10"/>
      <c r="AL54" s="10"/>
      <c r="AM54" s="10"/>
      <c r="AN54" s="10"/>
    </row>
    <row r="55" spans="1:40" ht="15" customHeight="1">
      <c r="A55" s="1456"/>
      <c r="C55" s="658" t="s">
        <v>692</v>
      </c>
      <c r="D55" s="817">
        <f>-Assumptions!S18</f>
        <v>0</v>
      </c>
      <c r="E55" s="817">
        <f>-Assumptions!T18</f>
        <v>-0.02</v>
      </c>
      <c r="F55" s="327" t="s">
        <v>693</v>
      </c>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360"/>
      <c r="AH55" s="10"/>
      <c r="AI55" s="10"/>
      <c r="AJ55" s="10"/>
      <c r="AK55" s="10"/>
      <c r="AL55" s="10"/>
      <c r="AM55" s="10"/>
      <c r="AN55" s="10"/>
    </row>
    <row r="56" spans="1:40" ht="15" customHeight="1">
      <c r="A56" s="1456"/>
      <c r="C56" s="328" t="s">
        <v>694</v>
      </c>
      <c r="D56" s="817">
        <f>Assumptions!S19</f>
        <v>0.25</v>
      </c>
      <c r="E56" s="817">
        <f>Assumptions!T19</f>
        <v>0.3</v>
      </c>
      <c r="F56" s="327" t="s">
        <v>695</v>
      </c>
      <c r="G56" s="803">
        <f t="shared" ref="G56:AF56" si="49">G43/G44</f>
        <v>27.367144483233172</v>
      </c>
      <c r="H56" s="803">
        <f t="shared" si="49"/>
        <v>26.664793003597566</v>
      </c>
      <c r="I56" s="803">
        <f t="shared" si="49"/>
        <v>24.722310072911018</v>
      </c>
      <c r="J56" s="803">
        <f t="shared" si="49"/>
        <v>27.96303304931099</v>
      </c>
      <c r="K56" s="803">
        <f t="shared" si="49"/>
        <v>21.547266909129593</v>
      </c>
      <c r="L56" s="803">
        <f t="shared" si="49"/>
        <v>25.682329284219172</v>
      </c>
      <c r="M56" s="803">
        <f t="shared" si="49"/>
        <v>25.15333466115047</v>
      </c>
      <c r="N56" s="803">
        <f t="shared" si="49"/>
        <v>26.120090789419429</v>
      </c>
      <c r="O56" s="803">
        <f t="shared" si="49"/>
        <v>27.495277341778415</v>
      </c>
      <c r="P56" s="803">
        <f t="shared" si="49"/>
        <v>26.966781371768192</v>
      </c>
      <c r="Q56" s="803">
        <f t="shared" si="49"/>
        <v>27.507690870130464</v>
      </c>
      <c r="R56" s="803">
        <f t="shared" si="49"/>
        <v>28.034230812512384</v>
      </c>
      <c r="S56" s="803">
        <f t="shared" si="49"/>
        <v>29.246810375184666</v>
      </c>
      <c r="T56" s="803">
        <f t="shared" si="49"/>
        <v>30.487463377245028</v>
      </c>
      <c r="U56" s="803">
        <f t="shared" si="49"/>
        <v>31.760083971354401</v>
      </c>
      <c r="V56" s="803">
        <f t="shared" si="49"/>
        <v>33.067604960554299</v>
      </c>
      <c r="W56" s="803">
        <f t="shared" si="49"/>
        <v>34.412944348911473</v>
      </c>
      <c r="X56" s="803">
        <f t="shared" si="49"/>
        <v>35.631300667106494</v>
      </c>
      <c r="Y56" s="803">
        <f t="shared" si="49"/>
        <v>36.719044767631033</v>
      </c>
      <c r="Z56" s="803">
        <f t="shared" si="49"/>
        <v>37.669801990709949</v>
      </c>
      <c r="AA56" s="803">
        <f t="shared" si="49"/>
        <v>38.570055321712907</v>
      </c>
      <c r="AB56" s="803">
        <f t="shared" si="49"/>
        <v>39.51422135170845</v>
      </c>
      <c r="AC56" s="803">
        <f t="shared" si="49"/>
        <v>40.503293264300751</v>
      </c>
      <c r="AD56" s="803">
        <f t="shared" si="49"/>
        <v>41.539275641577774</v>
      </c>
      <c r="AE56" s="803">
        <f t="shared" si="49"/>
        <v>42.625281449414587</v>
      </c>
      <c r="AF56" s="803">
        <f t="shared" si="49"/>
        <v>45.243291120662903</v>
      </c>
      <c r="AG56" s="360"/>
      <c r="AH56" s="10"/>
      <c r="AI56" s="10"/>
      <c r="AJ56" s="10"/>
      <c r="AK56" s="10"/>
      <c r="AL56" s="10"/>
      <c r="AM56" s="10"/>
      <c r="AN56" s="10"/>
    </row>
    <row r="57" spans="1:40" ht="15" customHeight="1">
      <c r="A57" s="1456"/>
      <c r="C57" s="308" t="s">
        <v>696</v>
      </c>
      <c r="D57" s="817">
        <v>0.02</v>
      </c>
      <c r="E57" s="817">
        <v>0.02</v>
      </c>
      <c r="F57" s="329" t="s">
        <v>697</v>
      </c>
      <c r="G57" s="265"/>
      <c r="H57" s="4"/>
      <c r="I57" s="207"/>
      <c r="J57" s="207"/>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360"/>
      <c r="AH57" s="10"/>
      <c r="AI57" s="10"/>
      <c r="AJ57" s="10"/>
      <c r="AK57" s="10"/>
      <c r="AL57" s="10"/>
      <c r="AM57" s="10"/>
      <c r="AN57" s="10"/>
    </row>
    <row r="58" spans="1:40" ht="15" hidden="1" customHeight="1">
      <c r="A58" s="1456"/>
      <c r="C58" s="328" t="s">
        <v>698</v>
      </c>
      <c r="D58" s="817">
        <f>-Assumptions!S21</f>
        <v>0</v>
      </c>
      <c r="E58" s="817">
        <f>-Assumptions!T21</f>
        <v>0</v>
      </c>
      <c r="F58" s="327" t="s">
        <v>699</v>
      </c>
      <c r="G58" s="265"/>
      <c r="H58" s="4"/>
      <c r="I58" s="207"/>
      <c r="J58" s="227"/>
      <c r="K58" s="227"/>
      <c r="L58" s="227"/>
      <c r="M58" s="227"/>
      <c r="N58" s="227"/>
      <c r="O58" s="207"/>
      <c r="P58" s="207"/>
      <c r="Q58" s="207"/>
      <c r="R58" s="207"/>
      <c r="S58" s="207"/>
      <c r="T58" s="207"/>
      <c r="U58" s="207"/>
      <c r="V58" s="207"/>
      <c r="W58" s="207"/>
      <c r="X58" s="207"/>
      <c r="Y58" s="207"/>
      <c r="Z58" s="207"/>
      <c r="AA58" s="207"/>
      <c r="AB58" s="207"/>
      <c r="AC58" s="207"/>
      <c r="AD58" s="207"/>
      <c r="AE58" s="207"/>
      <c r="AF58" s="207"/>
      <c r="AG58" s="360"/>
      <c r="AH58" s="10"/>
      <c r="AI58" s="10"/>
      <c r="AJ58" s="10"/>
      <c r="AK58" s="10"/>
      <c r="AL58" s="10"/>
      <c r="AM58" s="10"/>
      <c r="AN58" s="10"/>
    </row>
    <row r="59" spans="1:40" ht="15" hidden="1" customHeight="1">
      <c r="A59" s="1456"/>
      <c r="C59" s="308" t="s">
        <v>700</v>
      </c>
      <c r="D59" s="817">
        <f>-Assumptions!S22</f>
        <v>0</v>
      </c>
      <c r="E59" s="817">
        <f>Assumptions!T22</f>
        <v>0</v>
      </c>
      <c r="F59" s="329" t="s">
        <v>701</v>
      </c>
      <c r="G59" s="265"/>
      <c r="H59" s="347"/>
      <c r="I59" s="601"/>
      <c r="J59" s="228"/>
      <c r="K59" s="228"/>
      <c r="L59" s="228"/>
      <c r="M59" s="228"/>
      <c r="N59" s="227"/>
      <c r="O59" s="207"/>
      <c r="P59" s="207"/>
      <c r="Q59" s="207"/>
      <c r="R59" s="207"/>
      <c r="S59" s="207"/>
      <c r="T59" s="207"/>
      <c r="U59" s="207"/>
      <c r="V59" s="207"/>
      <c r="W59" s="207"/>
      <c r="X59" s="207"/>
      <c r="Y59" s="207"/>
      <c r="Z59" s="207"/>
      <c r="AA59" s="207"/>
      <c r="AB59" s="207"/>
      <c r="AC59" s="207"/>
      <c r="AD59" s="207"/>
      <c r="AE59" s="207"/>
      <c r="AF59" s="207"/>
      <c r="AG59" s="360"/>
      <c r="AH59" s="10"/>
      <c r="AI59" s="10"/>
      <c r="AJ59" s="10"/>
      <c r="AK59" s="10"/>
      <c r="AL59" s="10"/>
      <c r="AM59" s="10"/>
      <c r="AN59" s="10"/>
    </row>
    <row r="60" spans="1:40" ht="15" customHeight="1">
      <c r="A60" s="1456"/>
      <c r="C60" s="323" t="s">
        <v>702</v>
      </c>
      <c r="D60" s="817">
        <f>-Assumptions!S23</f>
        <v>-2.5000000000000001E-2</v>
      </c>
      <c r="E60" s="817">
        <f>-Assumptions!T23</f>
        <v>-4.4999999999999998E-2</v>
      </c>
      <c r="F60" s="331" t="s">
        <v>703</v>
      </c>
      <c r="G60" s="265"/>
      <c r="H60" s="347"/>
      <c r="I60" s="601"/>
      <c r="J60" s="227"/>
      <c r="K60" s="227"/>
      <c r="L60" s="227"/>
      <c r="M60" s="227"/>
      <c r="N60" s="227"/>
      <c r="O60" s="207"/>
      <c r="P60" s="207"/>
      <c r="Q60" s="207"/>
      <c r="R60" s="207"/>
      <c r="S60" s="207"/>
      <c r="T60" s="207"/>
      <c r="U60" s="207"/>
      <c r="V60" s="207"/>
      <c r="W60" s="207"/>
      <c r="X60" s="207"/>
      <c r="Y60" s="207"/>
      <c r="Z60" s="207"/>
      <c r="AA60" s="207"/>
      <c r="AB60" s="207"/>
      <c r="AC60" s="207"/>
      <c r="AD60" s="207"/>
      <c r="AE60" s="207"/>
      <c r="AF60" s="207"/>
      <c r="AG60" s="360"/>
      <c r="AH60" s="10"/>
      <c r="AI60" s="10"/>
      <c r="AJ60" s="10"/>
      <c r="AK60" s="10"/>
      <c r="AL60" s="10"/>
      <c r="AM60" s="10"/>
      <c r="AN60" s="10"/>
    </row>
    <row r="61" spans="1:40" ht="15" hidden="1" customHeight="1">
      <c r="A61" s="1456"/>
      <c r="C61" s="332" t="s">
        <v>704</v>
      </c>
      <c r="D61" s="817">
        <f>Assumptions!S24</f>
        <v>0</v>
      </c>
      <c r="E61" s="817">
        <f>Assumptions!T24</f>
        <v>0</v>
      </c>
      <c r="F61" s="327" t="s">
        <v>705</v>
      </c>
      <c r="G61" s="265"/>
      <c r="H61" s="347"/>
      <c r="I61" s="601"/>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360"/>
      <c r="AH61" s="10"/>
      <c r="AI61" s="10"/>
      <c r="AJ61" s="10"/>
      <c r="AK61" s="10"/>
      <c r="AL61" s="10"/>
      <c r="AM61" s="10"/>
      <c r="AN61" s="10"/>
    </row>
    <row r="62" spans="1:40" ht="15" customHeight="1">
      <c r="A62" s="1456"/>
      <c r="C62" s="332" t="s">
        <v>706</v>
      </c>
      <c r="D62" s="817">
        <f>-Assumptions!S25</f>
        <v>-7.0000000000000007E-2</v>
      </c>
      <c r="E62" s="817">
        <f>-Assumptions!T25</f>
        <v>-0.09</v>
      </c>
      <c r="F62" s="327" t="s">
        <v>693</v>
      </c>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360"/>
      <c r="AH62" s="10"/>
      <c r="AI62" s="10"/>
      <c r="AJ62" s="10"/>
      <c r="AK62" s="10"/>
      <c r="AL62" s="10"/>
      <c r="AM62" s="10"/>
      <c r="AN62" s="10"/>
    </row>
    <row r="63" spans="1:40" ht="15" customHeight="1">
      <c r="A63" s="1456"/>
      <c r="C63" s="332" t="s">
        <v>707</v>
      </c>
      <c r="D63" s="817">
        <f>Assumptions!S26</f>
        <v>0</v>
      </c>
      <c r="E63" s="817">
        <f>Assumptions!T26</f>
        <v>0</v>
      </c>
      <c r="F63" s="327" t="s">
        <v>693</v>
      </c>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360"/>
      <c r="AH63" s="10"/>
      <c r="AI63" s="10"/>
      <c r="AJ63" s="10"/>
      <c r="AK63" s="10"/>
      <c r="AL63" s="10"/>
      <c r="AM63" s="10"/>
      <c r="AN63" s="10"/>
    </row>
    <row r="64" spans="1:40" ht="15" customHeight="1">
      <c r="A64" s="1456"/>
      <c r="C64" s="332" t="s">
        <v>146</v>
      </c>
      <c r="D64" s="817">
        <v>0.1</v>
      </c>
      <c r="E64" s="817">
        <v>0.18</v>
      </c>
      <c r="F64" s="327" t="s">
        <v>708</v>
      </c>
      <c r="G64" s="451"/>
      <c r="H64" s="662"/>
      <c r="I64" s="662"/>
      <c r="J64" s="662"/>
      <c r="K64" s="662"/>
      <c r="L64" s="662"/>
      <c r="M64" s="662"/>
      <c r="N64" s="662"/>
      <c r="O64" s="662"/>
      <c r="P64" s="662"/>
      <c r="Q64" s="662"/>
      <c r="R64" s="662"/>
      <c r="S64" s="662"/>
      <c r="T64" s="662"/>
      <c r="U64" s="662"/>
      <c r="V64" s="662"/>
      <c r="W64" s="662"/>
      <c r="X64" s="662"/>
      <c r="Y64" s="662"/>
      <c r="Z64" s="662"/>
      <c r="AA64" s="662"/>
      <c r="AB64" s="662"/>
      <c r="AC64" s="662"/>
      <c r="AD64" s="662"/>
      <c r="AE64" s="662"/>
      <c r="AF64" s="662"/>
      <c r="AG64" s="663"/>
    </row>
    <row r="65" spans="1:33" ht="15" customHeight="1">
      <c r="A65" s="1456"/>
      <c r="C65" s="332" t="s">
        <v>709</v>
      </c>
      <c r="D65" s="817">
        <f>Assumptions!S28</f>
        <v>0.04</v>
      </c>
      <c r="E65" s="817">
        <f>Assumptions!T28</f>
        <v>0.05</v>
      </c>
      <c r="F65" s="327" t="s">
        <v>708</v>
      </c>
      <c r="G65" s="207">
        <f>D43/D44</f>
        <v>0.47333732774116238</v>
      </c>
      <c r="H65" s="207">
        <f>E43/E44</f>
        <v>1.9438356164383566</v>
      </c>
      <c r="I65" s="207">
        <f>F43/F44</f>
        <v>6.9669491525423739</v>
      </c>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663"/>
    </row>
    <row r="66" spans="1:33" ht="15" customHeight="1">
      <c r="A66" s="1456"/>
      <c r="C66" s="332" t="s">
        <v>710</v>
      </c>
      <c r="D66" s="817">
        <f>Assumptions!S29</f>
        <v>0.09</v>
      </c>
      <c r="E66" s="817">
        <v>0.11</v>
      </c>
      <c r="F66" s="327" t="s">
        <v>693</v>
      </c>
      <c r="G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row>
    <row r="67" spans="1:33" ht="15.75" hidden="1" customHeight="1">
      <c r="A67" s="1456"/>
      <c r="C67" s="332" t="s">
        <v>711</v>
      </c>
      <c r="D67" s="817">
        <f>Assumptions!S30</f>
        <v>0</v>
      </c>
      <c r="E67" s="817">
        <f>Assumptions!T30</f>
        <v>0</v>
      </c>
      <c r="F67" s="327" t="s">
        <v>693</v>
      </c>
      <c r="G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row>
    <row r="68" spans="1:33" ht="15.75" customHeight="1">
      <c r="A68" s="1456"/>
      <c r="C68" s="328" t="s">
        <v>325</v>
      </c>
      <c r="D68" s="818">
        <v>0.1</v>
      </c>
      <c r="E68" s="819">
        <v>0.14000000000000001</v>
      </c>
      <c r="F68" s="690" t="s">
        <v>712</v>
      </c>
      <c r="G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row>
    <row r="69" spans="1:33" ht="15">
      <c r="A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7"/>
    </row>
    <row r="70" spans="1:33" ht="15">
      <c r="A70" s="1439" t="s">
        <v>121</v>
      </c>
      <c r="C70" s="266"/>
      <c r="D70" t="s">
        <v>713</v>
      </c>
      <c r="E70" s="2"/>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row>
    <row r="71" spans="1:33" ht="15">
      <c r="A71" s="1440"/>
      <c r="C71" s="266" t="s">
        <v>714</v>
      </c>
      <c r="D71" s="782">
        <f>SUMPRODUCT(G35:AF35,G45:AF45)+((AF43-AF44)*AF45)</f>
        <v>9634.6875095491669</v>
      </c>
      <c r="E71" s="280">
        <f>D71/D73</f>
        <v>0.75808786383827298</v>
      </c>
      <c r="G71" s="207"/>
      <c r="H71" s="207"/>
      <c r="I71" s="451"/>
      <c r="J71" s="458"/>
      <c r="K71" s="207"/>
      <c r="L71" s="207"/>
      <c r="M71" s="207"/>
      <c r="N71" s="207"/>
      <c r="O71" s="207"/>
      <c r="P71" s="207"/>
      <c r="Q71" s="207"/>
      <c r="R71" s="207"/>
      <c r="S71" s="207"/>
      <c r="T71" s="207"/>
      <c r="U71" s="207"/>
      <c r="V71" s="207"/>
      <c r="W71" s="207"/>
      <c r="X71" s="207"/>
      <c r="Y71" s="207"/>
      <c r="Z71" s="207"/>
      <c r="AA71" s="207"/>
      <c r="AB71" s="207"/>
      <c r="AC71" s="207"/>
      <c r="AD71" s="207"/>
      <c r="AE71" s="207"/>
      <c r="AF71" s="207"/>
      <c r="AG71" s="207"/>
    </row>
    <row r="72" spans="1:33" ht="15">
      <c r="A72" s="1440"/>
      <c r="C72" s="266" t="s">
        <v>715</v>
      </c>
      <c r="D72" s="782">
        <f>(AF34/(F50-AF5))*AF45</f>
        <v>3074.5088371220527</v>
      </c>
      <c r="E72" s="280">
        <f>D72/D73</f>
        <v>0.24191213616172713</v>
      </c>
      <c r="G72" s="207"/>
      <c r="H72" s="207"/>
      <c r="I72" s="451"/>
      <c r="J72" s="458"/>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row>
    <row r="73" spans="1:33" ht="15">
      <c r="A73" s="1440"/>
      <c r="C73" s="266" t="s">
        <v>716</v>
      </c>
      <c r="D73" s="782">
        <f>D71+D72</f>
        <v>12709.196346671219</v>
      </c>
      <c r="E73" s="2"/>
      <c r="G73" s="662"/>
      <c r="H73" s="662"/>
      <c r="I73" s="451"/>
      <c r="J73" s="458"/>
      <c r="K73" s="662"/>
      <c r="L73" s="662"/>
      <c r="M73" s="662"/>
      <c r="N73" s="662"/>
      <c r="O73" s="662"/>
      <c r="P73" s="662"/>
      <c r="Q73" s="662"/>
      <c r="R73" s="662"/>
      <c r="S73" s="662"/>
      <c r="T73" s="662"/>
      <c r="U73" s="662"/>
      <c r="V73" s="662"/>
      <c r="W73" s="662"/>
      <c r="X73" s="662"/>
      <c r="Y73" s="662"/>
      <c r="Z73" s="662"/>
      <c r="AA73" s="662"/>
      <c r="AB73" s="662"/>
      <c r="AC73" s="662"/>
      <c r="AD73" s="662"/>
      <c r="AE73" s="662"/>
      <c r="AF73" s="662"/>
      <c r="AG73" s="663"/>
    </row>
    <row r="74" spans="1:33" ht="15">
      <c r="A74" s="1440"/>
      <c r="C74" s="808" t="s">
        <v>717</v>
      </c>
      <c r="D74" s="784">
        <f>OP!C21</f>
        <v>3.83</v>
      </c>
      <c r="G74" s="207"/>
      <c r="H74" s="207"/>
      <c r="I74" s="451"/>
      <c r="J74" s="458"/>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row>
    <row r="75" spans="1:33" ht="15">
      <c r="A75" s="1440"/>
      <c r="C75" s="808" t="s">
        <v>718</v>
      </c>
      <c r="D75" s="304">
        <f>D76/D74-1</f>
        <v>0.10262944409161112</v>
      </c>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row>
    <row r="76" spans="1:33" ht="15">
      <c r="A76" s="1441"/>
      <c r="C76" s="305" t="s">
        <v>719</v>
      </c>
      <c r="D76" s="783">
        <f>D73*1000000/OP!C22</f>
        <v>4.223070770870871</v>
      </c>
    </row>
    <row r="77" spans="1:33" ht="15">
      <c r="A77" s="298"/>
      <c r="C77" s="267"/>
      <c r="D77" s="809"/>
    </row>
    <row r="78" spans="1:33" ht="15">
      <c r="A78" s="1436" t="s">
        <v>720</v>
      </c>
      <c r="C78" s="266" t="s">
        <v>721</v>
      </c>
      <c r="D78" s="784">
        <f>(SUMPRODUCT(G35:AF35,G45:AF45)+((AF43-AF44)*AF45)+(AF34/(F50+0.001-AF5))*AF45)*1000000/OP!C22</f>
        <v>4.209628506774246</v>
      </c>
      <c r="E78" s="306">
        <f>D78/D76-1</f>
        <v>-3.1830544231805646E-3</v>
      </c>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row>
    <row r="79" spans="1:33" ht="15">
      <c r="A79" s="1437"/>
      <c r="C79" s="266" t="s">
        <v>722</v>
      </c>
      <c r="D79" s="784">
        <f>(SUMPRODUCT(G35:AF35,G45:AF45)+((AF43-AF44)*AF45)+(AF34/(F50+0.005-AF5))*AF45)*1000000/OP!C22</f>
        <v>4.1592200164119015</v>
      </c>
      <c r="E79" s="306">
        <f>D79/D76-1</f>
        <v>-1.5119508510107793E-2</v>
      </c>
    </row>
    <row r="80" spans="1:33" ht="15">
      <c r="A80" s="321"/>
      <c r="C80" s="322"/>
      <c r="D80" s="809"/>
      <c r="E80" s="306"/>
    </row>
    <row r="81" spans="1:12" ht="15">
      <c r="A81" s="333" t="s">
        <v>723</v>
      </c>
      <c r="C81" s="305" t="s">
        <v>724</v>
      </c>
      <c r="D81" s="783">
        <f>IF(D75&lt;15%,D76/1.15,"")</f>
        <v>3.6722354529311927</v>
      </c>
      <c r="J81" s="5"/>
    </row>
    <row r="82" spans="1:12">
      <c r="G82" s="1"/>
      <c r="H82" s="1"/>
      <c r="I82" s="1"/>
      <c r="J82" s="4"/>
    </row>
    <row r="83" spans="1:12">
      <c r="G83" s="1"/>
      <c r="H83" s="1"/>
      <c r="I83" s="1"/>
      <c r="J83" s="4"/>
    </row>
    <row r="84" spans="1:12">
      <c r="G84" s="1"/>
      <c r="H84" s="1"/>
      <c r="I84" s="1"/>
      <c r="K84" s="4"/>
    </row>
    <row r="85" spans="1:12">
      <c r="D85" s="258"/>
      <c r="E85" s="258"/>
      <c r="F85" s="258"/>
      <c r="L85" s="5"/>
    </row>
    <row r="86" spans="1:12">
      <c r="A86" s="10" t="s">
        <v>725</v>
      </c>
      <c r="D86" s="258"/>
      <c r="E86" s="258"/>
      <c r="F86" s="258"/>
      <c r="G86" s="1"/>
      <c r="H86" s="1"/>
      <c r="I86" s="1"/>
    </row>
    <row r="87" spans="1:12">
      <c r="A87" s="743" t="s">
        <v>726</v>
      </c>
      <c r="G87" s="1"/>
      <c r="H87" s="1"/>
      <c r="I87" s="1"/>
    </row>
    <row r="88" spans="1:12">
      <c r="A88" s="743" t="s">
        <v>727</v>
      </c>
      <c r="C88" s="10"/>
      <c r="D88" s="258"/>
      <c r="E88" s="258"/>
      <c r="F88" s="258"/>
      <c r="G88" s="1"/>
      <c r="H88" s="1"/>
      <c r="I88" s="1"/>
    </row>
    <row r="89" spans="1:12">
      <c r="C89" s="10"/>
      <c r="D89" s="258"/>
      <c r="E89" s="258"/>
      <c r="F89" s="258"/>
    </row>
    <row r="90" spans="1:12">
      <c r="A90" s="1000" t="s">
        <v>728</v>
      </c>
    </row>
    <row r="91" spans="1:12" ht="15">
      <c r="A91" s="347"/>
    </row>
    <row r="92" spans="1:12" ht="56.1">
      <c r="A92" s="1001" t="s">
        <v>729</v>
      </c>
      <c r="B92" s="10" t="s">
        <v>730</v>
      </c>
    </row>
    <row r="93" spans="1:12">
      <c r="H93" s="834"/>
    </row>
    <row r="94" spans="1:12">
      <c r="A94" s="972" t="s">
        <v>731</v>
      </c>
      <c r="B94" s="1002">
        <v>6</v>
      </c>
      <c r="C94" s="972" t="s">
        <v>732</v>
      </c>
      <c r="H94" s="834"/>
    </row>
    <row r="95" spans="1:12">
      <c r="A95" s="972" t="s">
        <v>733</v>
      </c>
      <c r="B95" s="1002">
        <v>11</v>
      </c>
      <c r="C95" s="972" t="s">
        <v>732</v>
      </c>
    </row>
    <row r="96" spans="1:12">
      <c r="A96" s="972" t="s">
        <v>734</v>
      </c>
      <c r="B96" s="1002">
        <v>15</v>
      </c>
      <c r="C96" s="972" t="s">
        <v>732</v>
      </c>
    </row>
    <row r="97" spans="1:3">
      <c r="A97" s="972" t="s">
        <v>735</v>
      </c>
      <c r="B97" s="1002">
        <v>20</v>
      </c>
      <c r="C97" s="972" t="s">
        <v>732</v>
      </c>
    </row>
    <row r="98" spans="1:3">
      <c r="A98" s="972" t="s">
        <v>736</v>
      </c>
      <c r="B98" s="1002">
        <v>27</v>
      </c>
      <c r="C98" s="972" t="s">
        <v>732</v>
      </c>
    </row>
    <row r="99" spans="1:3">
      <c r="A99" s="972" t="s">
        <v>737</v>
      </c>
      <c r="B99" s="1002">
        <v>26</v>
      </c>
      <c r="C99" s="972" t="s">
        <v>732</v>
      </c>
    </row>
    <row r="100" spans="1:3">
      <c r="A100" s="972" t="s">
        <v>738</v>
      </c>
      <c r="B100" s="1002">
        <v>16</v>
      </c>
      <c r="C100" s="972" t="s">
        <v>732</v>
      </c>
    </row>
    <row r="101" spans="1:3">
      <c r="A101" s="972" t="s">
        <v>739</v>
      </c>
      <c r="B101" s="1002">
        <v>15</v>
      </c>
      <c r="C101" s="972" t="s">
        <v>732</v>
      </c>
    </row>
    <row r="102" spans="1:3">
      <c r="A102" s="972" t="s">
        <v>740</v>
      </c>
      <c r="B102" s="1002">
        <v>25</v>
      </c>
      <c r="C102" s="972" t="s">
        <v>732</v>
      </c>
    </row>
    <row r="103" spans="1:3">
      <c r="A103" s="972" t="s">
        <v>741</v>
      </c>
      <c r="B103" s="1002">
        <v>24</v>
      </c>
      <c r="C103" s="972" t="s">
        <v>732</v>
      </c>
    </row>
    <row r="104" spans="1:3">
      <c r="A104" s="972" t="s">
        <v>742</v>
      </c>
      <c r="B104" s="1002">
        <v>13</v>
      </c>
      <c r="C104" s="972" t="s">
        <v>732</v>
      </c>
    </row>
    <row r="105" spans="1:3">
      <c r="A105" s="972" t="s">
        <v>743</v>
      </c>
      <c r="B105" s="1002">
        <v>4</v>
      </c>
      <c r="C105" s="972" t="s">
        <v>732</v>
      </c>
    </row>
    <row r="106" spans="1:3">
      <c r="A106" s="972" t="s">
        <v>744</v>
      </c>
      <c r="B106" s="1002">
        <v>7</v>
      </c>
      <c r="C106" s="972" t="s">
        <v>732</v>
      </c>
    </row>
    <row r="107" spans="1:3">
      <c r="A107" s="972" t="s">
        <v>745</v>
      </c>
      <c r="B107" s="1002">
        <v>-7</v>
      </c>
      <c r="C107" s="972" t="s">
        <v>732</v>
      </c>
    </row>
    <row r="108" spans="1:3">
      <c r="A108" s="972" t="s">
        <v>746</v>
      </c>
      <c r="B108" s="1002">
        <v>6</v>
      </c>
      <c r="C108" s="972" t="s">
        <v>732</v>
      </c>
    </row>
    <row r="109" spans="1:3">
      <c r="A109" s="972" t="s">
        <v>747</v>
      </c>
      <c r="B109" s="1002">
        <v>10</v>
      </c>
      <c r="C109" s="972" t="s">
        <v>732</v>
      </c>
    </row>
    <row r="110" spans="1:3">
      <c r="A110" s="972" t="s">
        <v>748</v>
      </c>
      <c r="B110" s="1002">
        <v>11</v>
      </c>
      <c r="C110" s="972" t="s">
        <v>732</v>
      </c>
    </row>
    <row r="111" spans="1:3">
      <c r="A111" s="972" t="s">
        <v>749</v>
      </c>
      <c r="B111" s="1002">
        <v>9</v>
      </c>
      <c r="C111" s="972" t="s">
        <v>732</v>
      </c>
    </row>
    <row r="112" spans="1:3">
      <c r="A112" s="972" t="s">
        <v>750</v>
      </c>
      <c r="B112" s="1002">
        <v>11</v>
      </c>
      <c r="C112" s="972" t="s">
        <v>732</v>
      </c>
    </row>
    <row r="113" spans="1:28">
      <c r="A113" s="972" t="s">
        <v>751</v>
      </c>
      <c r="B113" s="1002">
        <v>17</v>
      </c>
      <c r="C113" s="972" t="s">
        <v>732</v>
      </c>
    </row>
    <row r="114" spans="1:28">
      <c r="A114" s="972" t="s">
        <v>752</v>
      </c>
      <c r="B114" s="1002">
        <v>16</v>
      </c>
      <c r="C114" s="972" t="s">
        <v>732</v>
      </c>
    </row>
    <row r="115" spans="1:28">
      <c r="A115" s="972" t="s">
        <v>753</v>
      </c>
      <c r="B115" s="1002">
        <v>14</v>
      </c>
      <c r="C115" s="972" t="s">
        <v>732</v>
      </c>
    </row>
    <row r="116" spans="1:28">
      <c r="A116" s="972" t="s">
        <v>754</v>
      </c>
      <c r="B116" s="258">
        <f>AVERAGE(B94:B115)</f>
        <v>13.454545454545455</v>
      </c>
    </row>
    <row r="123" spans="1:28" ht="19.350000000000001" customHeight="1">
      <c r="A123" s="1085" t="s">
        <v>755</v>
      </c>
      <c r="B123" s="1086" t="s">
        <v>756</v>
      </c>
      <c r="C123" s="1085" t="s">
        <v>757</v>
      </c>
      <c r="D123" s="1085" t="s">
        <v>758</v>
      </c>
      <c r="E123" s="1085" t="s">
        <v>759</v>
      </c>
      <c r="F123" s="1085" t="s">
        <v>760</v>
      </c>
      <c r="G123" s="1085" t="s">
        <v>761</v>
      </c>
      <c r="H123" s="1085" t="s">
        <v>762</v>
      </c>
      <c r="I123" s="1085" t="s">
        <v>763</v>
      </c>
      <c r="J123" s="1085" t="s">
        <v>764</v>
      </c>
      <c r="K123" s="1085" t="s">
        <v>765</v>
      </c>
      <c r="L123" s="1085" t="s">
        <v>766</v>
      </c>
      <c r="M123" s="1085" t="s">
        <v>767</v>
      </c>
      <c r="N123" s="1085" t="s">
        <v>768</v>
      </c>
      <c r="O123" s="1085" t="s">
        <v>769</v>
      </c>
      <c r="P123" s="1085" t="s">
        <v>770</v>
      </c>
      <c r="Q123" s="1085" t="s">
        <v>771</v>
      </c>
      <c r="R123" s="1085" t="s">
        <v>772</v>
      </c>
      <c r="S123" s="1085" t="s">
        <v>773</v>
      </c>
      <c r="T123" s="1085" t="s">
        <v>774</v>
      </c>
      <c r="U123" s="1085" t="s">
        <v>775</v>
      </c>
      <c r="V123" s="1085" t="s">
        <v>776</v>
      </c>
      <c r="W123" s="1085" t="s">
        <v>777</v>
      </c>
      <c r="X123" s="1085" t="s">
        <v>778</v>
      </c>
      <c r="Y123" s="1085" t="s">
        <v>779</v>
      </c>
      <c r="Z123" s="1085" t="s">
        <v>780</v>
      </c>
      <c r="AA123" s="1085" t="s">
        <v>781</v>
      </c>
      <c r="AB123" s="1085" t="s">
        <v>782</v>
      </c>
    </row>
    <row r="124" spans="1:28" s="290" customFormat="1" ht="19.350000000000001" customHeight="1">
      <c r="A124" s="1118">
        <f>1-A129</f>
        <v>0.19999999999999996</v>
      </c>
      <c r="B124" s="1087" t="s">
        <v>783</v>
      </c>
      <c r="C124" s="1089"/>
      <c r="D124" s="1089"/>
      <c r="E124" s="1089"/>
      <c r="F124" s="1089"/>
      <c r="G124" s="1089"/>
      <c r="H124" s="1089"/>
      <c r="I124" s="1089"/>
      <c r="J124" s="1089"/>
      <c r="K124" s="1089"/>
      <c r="L124" s="1089"/>
      <c r="M124" s="1089"/>
      <c r="N124" s="1089"/>
      <c r="O124" s="1089"/>
      <c r="P124" s="1089"/>
      <c r="Q124" s="1089"/>
      <c r="R124" s="1089"/>
      <c r="S124" s="1089"/>
      <c r="T124" s="1089"/>
      <c r="U124" s="1089"/>
      <c r="V124" s="1089"/>
      <c r="W124" s="1089"/>
      <c r="X124" s="1089"/>
      <c r="Y124" s="1089"/>
      <c r="Z124" s="1089"/>
      <c r="AA124" s="1089"/>
      <c r="AB124" s="1089"/>
    </row>
    <row r="125" spans="1:28" s="290" customFormat="1" ht="19.350000000000001" customHeight="1">
      <c r="A125" s="1116">
        <v>2.5000000000000001E-2</v>
      </c>
      <c r="B125" s="1091" t="s">
        <v>784</v>
      </c>
      <c r="C125" s="1092">
        <f t="shared" ref="C125:AB125" si="50">C126+$A$125</f>
        <v>0.25100481493997528</v>
      </c>
      <c r="D125" s="1092">
        <f t="shared" si="50"/>
        <v>0.21004377745947353</v>
      </c>
      <c r="E125" s="1092">
        <f t="shared" si="50"/>
        <v>0.19532587876303262</v>
      </c>
      <c r="F125" s="1092">
        <f t="shared" si="50"/>
        <v>0.18264256215056993</v>
      </c>
      <c r="G125" s="1092">
        <f t="shared" si="50"/>
        <v>0.17162752526249511</v>
      </c>
      <c r="H125" s="1092">
        <f t="shared" si="50"/>
        <v>0.16198946312765536</v>
      </c>
      <c r="I125" s="1092">
        <f t="shared" si="50"/>
        <v>0.15349662983607745</v>
      </c>
      <c r="J125" s="1092">
        <f t="shared" si="50"/>
        <v>0.1549026283894078</v>
      </c>
      <c r="K125" s="1092">
        <f t="shared" si="50"/>
        <v>0.1499798772819648</v>
      </c>
      <c r="L125" s="1092">
        <f t="shared" si="50"/>
        <v>0.14279348599967254</v>
      </c>
      <c r="M125" s="1092">
        <f t="shared" si="50"/>
        <v>0.13637207815574789</v>
      </c>
      <c r="N125" s="1092">
        <f t="shared" si="50"/>
        <v>0.13060211090488014</v>
      </c>
      <c r="O125" s="1092">
        <f t="shared" si="50"/>
        <v>0.12539098676339652</v>
      </c>
      <c r="P125" s="1092">
        <f t="shared" si="50"/>
        <v>0.12066254544955232</v>
      </c>
      <c r="Q125" s="1092">
        <f t="shared" si="50"/>
        <v>0.11635364227701314</v>
      </c>
      <c r="R125" s="1092">
        <f t="shared" si="50"/>
        <v>0.112411528694741</v>
      </c>
      <c r="S125" s="1092">
        <f t="shared" si="50"/>
        <v>0.10879182929578576</v>
      </c>
      <c r="T125" s="1092">
        <f t="shared" si="50"/>
        <v>0.10545696593632523</v>
      </c>
      <c r="U125" s="1092">
        <f t="shared" si="50"/>
        <v>0.10237491982472888</v>
      </c>
      <c r="V125" s="1092">
        <f t="shared" si="50"/>
        <v>9.9518251240132777E-2</v>
      </c>
      <c r="W125" s="1092">
        <f t="shared" si="50"/>
        <v>9.686331727119199E-2</v>
      </c>
      <c r="X125" s="1092">
        <f t="shared" si="50"/>
        <v>9.4389642987889738E-2</v>
      </c>
      <c r="Y125" s="1092">
        <f t="shared" si="50"/>
        <v>9.207941242510706E-2</v>
      </c>
      <c r="Z125" s="1092">
        <f t="shared" si="50"/>
        <v>8.9917053823288601E-2</v>
      </c>
      <c r="AA125" s="1092">
        <f t="shared" si="50"/>
        <v>8.7888899552118843E-2</v>
      </c>
      <c r="AB125" s="1092">
        <f t="shared" si="50"/>
        <v>8.5982905611531407E-2</v>
      </c>
    </row>
    <row r="126" spans="1:28" s="290" customFormat="1" ht="19.350000000000001" customHeight="1">
      <c r="A126" s="1090">
        <v>0</v>
      </c>
      <c r="B126" s="1091" t="s">
        <v>785</v>
      </c>
      <c r="C126" s="1092">
        <f>Assumptions!S177</f>
        <v>0.22600481493997526</v>
      </c>
      <c r="D126" s="1092">
        <f>Assumptions!T177</f>
        <v>0.18504377745947354</v>
      </c>
      <c r="E126" s="1092">
        <f>Assumptions!U177</f>
        <v>0.17032587876303262</v>
      </c>
      <c r="F126" s="1092">
        <f>Assumptions!V177</f>
        <v>0.15764256215056993</v>
      </c>
      <c r="G126" s="1092">
        <f>Assumptions!W177</f>
        <v>0.14662752526249512</v>
      </c>
      <c r="H126" s="1092">
        <f>Assumptions!X177</f>
        <v>0.13698946312765536</v>
      </c>
      <c r="I126" s="1092">
        <f>Assumptions!Y177</f>
        <v>0.12849662983607746</v>
      </c>
      <c r="J126" s="1092">
        <f>Assumptions!Z177</f>
        <v>0.1299026283894078</v>
      </c>
      <c r="K126" s="1092">
        <f>Assumptions!AA177</f>
        <v>0.1249798772819648</v>
      </c>
      <c r="L126" s="1092">
        <f>Assumptions!AB177</f>
        <v>0.11779348599967254</v>
      </c>
      <c r="M126" s="1092">
        <f>Assumptions!AC177</f>
        <v>0.1113720781557479</v>
      </c>
      <c r="N126" s="1092">
        <f>Assumptions!AD177</f>
        <v>0.10560211090488014</v>
      </c>
      <c r="O126" s="1092">
        <f>Assumptions!AE177</f>
        <v>0.10039098676339653</v>
      </c>
      <c r="P126" s="1092">
        <f>Assumptions!AF177</f>
        <v>9.5662545449552328E-2</v>
      </c>
      <c r="Q126" s="1092">
        <f>Assumptions!AG177</f>
        <v>9.1353642277013147E-2</v>
      </c>
      <c r="R126" s="1092">
        <f>Assumptions!AH177</f>
        <v>8.7411528694741003E-2</v>
      </c>
      <c r="S126" s="1092">
        <f>Assumptions!AI177</f>
        <v>8.3791829295785769E-2</v>
      </c>
      <c r="T126" s="1092">
        <f>Assumptions!AJ177</f>
        <v>8.0456965936325231E-2</v>
      </c>
      <c r="U126" s="1092">
        <f>Assumptions!AK177</f>
        <v>7.7374919824728883E-2</v>
      </c>
      <c r="V126" s="1092">
        <f>Assumptions!AL177</f>
        <v>7.4518251240132782E-2</v>
      </c>
      <c r="W126" s="1092">
        <f>Assumptions!AM177</f>
        <v>7.1863317271191995E-2</v>
      </c>
      <c r="X126" s="1092">
        <f>Assumptions!AN177</f>
        <v>6.9389642987889744E-2</v>
      </c>
      <c r="Y126" s="1092">
        <f>Assumptions!AO177</f>
        <v>6.7079412425107066E-2</v>
      </c>
      <c r="Z126" s="1092">
        <f>Assumptions!AP177</f>
        <v>6.4917053823288606E-2</v>
      </c>
      <c r="AA126" s="1092">
        <f>Assumptions!AQ177</f>
        <v>6.2888899552118849E-2</v>
      </c>
      <c r="AB126" s="1092">
        <f>Assumptions!AR177</f>
        <v>6.0982905611531413E-2</v>
      </c>
    </row>
    <row r="127" spans="1:28" s="290" customFormat="1" ht="19.350000000000001" customHeight="1" thickBot="1">
      <c r="A127" s="1117">
        <v>-2.5000000000000001E-2</v>
      </c>
      <c r="B127" s="1093" t="s">
        <v>786</v>
      </c>
      <c r="C127" s="1094">
        <f t="shared" ref="C127:AB127" si="51">C126+$A$127</f>
        <v>0.20100481493997527</v>
      </c>
      <c r="D127" s="1094">
        <f t="shared" si="51"/>
        <v>0.16004377745947354</v>
      </c>
      <c r="E127" s="1094">
        <f t="shared" si="51"/>
        <v>0.14532587876303263</v>
      </c>
      <c r="F127" s="1094">
        <f t="shared" si="51"/>
        <v>0.13264256215056994</v>
      </c>
      <c r="G127" s="1094">
        <f t="shared" si="51"/>
        <v>0.12162752526249512</v>
      </c>
      <c r="H127" s="1094">
        <f t="shared" si="51"/>
        <v>0.11198946312765537</v>
      </c>
      <c r="I127" s="1094">
        <f t="shared" si="51"/>
        <v>0.10349662983607746</v>
      </c>
      <c r="J127" s="1094">
        <f t="shared" si="51"/>
        <v>0.10490262838940781</v>
      </c>
      <c r="K127" s="1094">
        <f t="shared" si="51"/>
        <v>9.9979877281964807E-2</v>
      </c>
      <c r="L127" s="1094">
        <f t="shared" si="51"/>
        <v>9.2793485999672548E-2</v>
      </c>
      <c r="M127" s="1094">
        <f t="shared" si="51"/>
        <v>8.6372078155747906E-2</v>
      </c>
      <c r="N127" s="1094">
        <f t="shared" si="51"/>
        <v>8.0602110904880148E-2</v>
      </c>
      <c r="O127" s="1094">
        <f t="shared" si="51"/>
        <v>7.5390986763396534E-2</v>
      </c>
      <c r="P127" s="1094">
        <f t="shared" si="51"/>
        <v>7.0662545449552333E-2</v>
      </c>
      <c r="Q127" s="1094">
        <f t="shared" si="51"/>
        <v>6.6353642277013153E-2</v>
      </c>
      <c r="R127" s="1094">
        <f t="shared" si="51"/>
        <v>6.2411528694741002E-2</v>
      </c>
      <c r="S127" s="1094">
        <f t="shared" si="51"/>
        <v>5.8791829295785768E-2</v>
      </c>
      <c r="T127" s="1094">
        <f t="shared" si="51"/>
        <v>5.545696593632523E-2</v>
      </c>
      <c r="U127" s="1094">
        <f t="shared" si="51"/>
        <v>5.2374919824728881E-2</v>
      </c>
      <c r="V127" s="1094">
        <f t="shared" si="51"/>
        <v>4.9518251240132781E-2</v>
      </c>
      <c r="W127" s="1094">
        <f t="shared" si="51"/>
        <v>4.6863317271191994E-2</v>
      </c>
      <c r="X127" s="1094">
        <f t="shared" si="51"/>
        <v>4.4389642987889742E-2</v>
      </c>
      <c r="Y127" s="1094">
        <f t="shared" si="51"/>
        <v>4.2079412425107064E-2</v>
      </c>
      <c r="Z127" s="1094">
        <f t="shared" si="51"/>
        <v>3.9917053823288605E-2</v>
      </c>
      <c r="AA127" s="1094">
        <f t="shared" si="51"/>
        <v>3.7888899552118847E-2</v>
      </c>
      <c r="AB127" s="1094">
        <f t="shared" si="51"/>
        <v>3.5982905611531411E-2</v>
      </c>
    </row>
    <row r="128" spans="1:28" s="290" customFormat="1" ht="19.350000000000001" customHeight="1">
      <c r="A128" s="1091"/>
      <c r="B128" s="1091"/>
      <c r="C128" s="1092"/>
      <c r="D128" s="1092"/>
      <c r="E128" s="1092"/>
      <c r="F128" s="1092"/>
      <c r="G128" s="1092"/>
      <c r="H128" s="1092"/>
      <c r="I128" s="1092"/>
      <c r="J128" s="1092"/>
      <c r="K128" s="1092"/>
      <c r="L128" s="1092"/>
      <c r="M128" s="1092"/>
      <c r="N128" s="1092"/>
      <c r="O128" s="1092"/>
      <c r="P128" s="1092"/>
      <c r="Q128" s="1092"/>
      <c r="R128" s="1092"/>
      <c r="S128" s="1092"/>
      <c r="T128" s="1092"/>
      <c r="U128" s="1092"/>
      <c r="V128" s="1092"/>
      <c r="W128" s="1092"/>
      <c r="X128" s="1092"/>
      <c r="Y128" s="1092"/>
      <c r="Z128" s="1092"/>
      <c r="AA128" s="1092"/>
      <c r="AB128" s="1092"/>
    </row>
    <row r="129" spans="1:28" s="290" customFormat="1" ht="19.350000000000001" customHeight="1">
      <c r="A129" s="1119">
        <v>0.8</v>
      </c>
      <c r="B129" s="1088" t="s">
        <v>787</v>
      </c>
      <c r="C129" s="944"/>
      <c r="D129" s="944"/>
      <c r="E129" s="944"/>
      <c r="F129" s="944"/>
      <c r="G129" s="944"/>
      <c r="H129" s="944"/>
      <c r="I129" s="944"/>
      <c r="J129" s="944"/>
      <c r="K129" s="944"/>
      <c r="L129" s="944"/>
      <c r="M129" s="944"/>
      <c r="N129" s="944"/>
      <c r="O129" s="944"/>
      <c r="P129" s="944"/>
      <c r="Q129" s="944"/>
      <c r="R129" s="944"/>
      <c r="S129" s="944"/>
      <c r="T129" s="944"/>
      <c r="U129" s="944"/>
      <c r="V129" s="944"/>
      <c r="W129" s="944"/>
      <c r="X129" s="944"/>
      <c r="Y129" s="944"/>
      <c r="Z129" s="944"/>
      <c r="AA129" s="944"/>
      <c r="AB129" s="944"/>
    </row>
    <row r="130" spans="1:28" s="290" customFormat="1" ht="19.350000000000001" customHeight="1">
      <c r="A130" s="1116">
        <v>0.05</v>
      </c>
      <c r="B130" s="1091" t="s">
        <v>784</v>
      </c>
      <c r="C130" s="1109">
        <f t="shared" ref="C130:AB130" si="52">C131+$A$130</f>
        <v>-0.36902792729934292</v>
      </c>
      <c r="D130" s="1110">
        <f t="shared" si="52"/>
        <v>0.1394159397504488</v>
      </c>
      <c r="E130" s="1110">
        <f t="shared" si="52"/>
        <v>0.13517824843966614</v>
      </c>
      <c r="F130" s="1110">
        <f t="shared" si="52"/>
        <v>0.11840822667517954</v>
      </c>
      <c r="G130" s="1110">
        <f t="shared" si="52"/>
        <v>0.10611850428293841</v>
      </c>
      <c r="H130" s="1110">
        <f t="shared" si="52"/>
        <v>9.6849025394519297E-2</v>
      </c>
      <c r="I130" s="1110">
        <f t="shared" si="52"/>
        <v>8.9688457503457733E-2</v>
      </c>
      <c r="J130" s="1110">
        <f t="shared" si="52"/>
        <v>7.9391705080906941E-2</v>
      </c>
      <c r="K130" s="1110">
        <f t="shared" si="52"/>
        <v>6.8091081812855239E-2</v>
      </c>
      <c r="L130" s="1110">
        <f t="shared" si="52"/>
        <v>6.5681907316598578E-2</v>
      </c>
      <c r="M130" s="1110">
        <f t="shared" si="52"/>
        <v>6.3719344756134569E-2</v>
      </c>
      <c r="N130" s="1110">
        <f t="shared" si="52"/>
        <v>6.2100227968754543E-2</v>
      </c>
      <c r="O130" s="1110">
        <f t="shared" si="52"/>
        <v>6.0749384612837035E-2</v>
      </c>
      <c r="P130" s="1110">
        <f t="shared" si="52"/>
        <v>5.9611031417754881E-2</v>
      </c>
      <c r="Q130" s="1110">
        <f t="shared" si="52"/>
        <v>5.864309341534675E-2</v>
      </c>
      <c r="R130" s="1110">
        <f t="shared" si="52"/>
        <v>5.7813367658117135E-2</v>
      </c>
      <c r="S130" s="1110">
        <f t="shared" si="52"/>
        <v>5.7096879349603127E-2</v>
      </c>
      <c r="T130" s="1110">
        <f t="shared" si="52"/>
        <v>5.6474026030120819E-2</v>
      </c>
      <c r="U130" s="1110">
        <f t="shared" si="52"/>
        <v>5.5929253074687948E-2</v>
      </c>
      <c r="V130" s="1110">
        <f t="shared" si="52"/>
        <v>5.5450093956936411E-2</v>
      </c>
      <c r="W130" s="1110">
        <f t="shared" si="52"/>
        <v>5.5026465115633319E-2</v>
      </c>
      <c r="X130" s="1110">
        <f t="shared" si="52"/>
        <v>5.4650141245139408E-2</v>
      </c>
      <c r="Y130" s="1110">
        <f t="shared" si="52"/>
        <v>5.4314360237878126E-2</v>
      </c>
      <c r="Z130" s="1110">
        <f t="shared" si="52"/>
        <v>5.4013522500428748E-2</v>
      </c>
      <c r="AA130" s="1110">
        <f t="shared" si="52"/>
        <v>5.3742959786875225E-2</v>
      </c>
      <c r="AB130" s="1110">
        <f t="shared" si="52"/>
        <v>5.3498755808856394E-2</v>
      </c>
    </row>
    <row r="131" spans="1:28" s="290" customFormat="1" ht="19.350000000000001" customHeight="1">
      <c r="A131" s="1091">
        <v>0</v>
      </c>
      <c r="B131" s="1091" t="s">
        <v>785</v>
      </c>
      <c r="C131" s="1109">
        <f>Assumptions!S180</f>
        <v>-0.41902792729934291</v>
      </c>
      <c r="D131" s="1110">
        <f>Assumptions!T180</f>
        <v>8.9415939750448814E-2</v>
      </c>
      <c r="E131" s="1110">
        <f>Assumptions!U180</f>
        <v>8.5178248439666149E-2</v>
      </c>
      <c r="F131" s="1110">
        <f>Assumptions!V180</f>
        <v>6.840822667517954E-2</v>
      </c>
      <c r="G131" s="1110">
        <f>Assumptions!W180</f>
        <v>5.6118504282938408E-2</v>
      </c>
      <c r="H131" s="1110">
        <f>Assumptions!X180</f>
        <v>4.6849025394519295E-2</v>
      </c>
      <c r="I131" s="1110">
        <f>Assumptions!Y180</f>
        <v>3.968845750345773E-2</v>
      </c>
      <c r="J131" s="1110">
        <f>Assumptions!Z180</f>
        <v>2.9391705080906938E-2</v>
      </c>
      <c r="K131" s="1110">
        <f>Assumptions!AA180</f>
        <v>1.8091081812855236E-2</v>
      </c>
      <c r="L131" s="1110">
        <f>Assumptions!AB180</f>
        <v>1.5681907316598576E-2</v>
      </c>
      <c r="M131" s="1110">
        <f>Assumptions!AC180</f>
        <v>1.3719344756134566E-2</v>
      </c>
      <c r="N131" s="1110">
        <f>Assumptions!AD180</f>
        <v>1.210022796875454E-2</v>
      </c>
      <c r="O131" s="1110">
        <f>Assumptions!AE180</f>
        <v>1.0749384612837032E-2</v>
      </c>
      <c r="P131" s="1110">
        <f>Assumptions!AF180</f>
        <v>9.6110314177548783E-3</v>
      </c>
      <c r="Q131" s="1110">
        <f>Assumptions!AG180</f>
        <v>8.6430934153467476E-3</v>
      </c>
      <c r="R131" s="1110">
        <f>Assumptions!AH180</f>
        <v>7.8133676581171319E-3</v>
      </c>
      <c r="S131" s="1110">
        <f>Assumptions!AI180</f>
        <v>7.0968793496031246E-3</v>
      </c>
      <c r="T131" s="1110">
        <f>Assumptions!AJ180</f>
        <v>6.4740260301208163E-3</v>
      </c>
      <c r="U131" s="1110">
        <f>Assumptions!AK180</f>
        <v>5.9292530746879457E-3</v>
      </c>
      <c r="V131" s="1110">
        <f>Assumptions!AL180</f>
        <v>5.4500939569364082E-3</v>
      </c>
      <c r="W131" s="1110">
        <f>Assumptions!AM180</f>
        <v>5.0264651156333162E-3</v>
      </c>
      <c r="X131" s="1110">
        <f>Assumptions!AN180</f>
        <v>4.6501412451394053E-3</v>
      </c>
      <c r="Y131" s="1110">
        <f>Assumptions!AO180</f>
        <v>4.3143602378781232E-3</v>
      </c>
      <c r="Z131" s="1110">
        <f>Assumptions!AP180</f>
        <v>4.0135225004287456E-3</v>
      </c>
      <c r="AA131" s="1110">
        <f>Assumptions!AQ180</f>
        <v>3.7429597868752218E-3</v>
      </c>
      <c r="AB131" s="1110">
        <f>Assumptions!AR180</f>
        <v>3.4987558088563908E-3</v>
      </c>
    </row>
    <row r="132" spans="1:28" s="290" customFormat="1" ht="19.350000000000001" customHeight="1" thickBot="1">
      <c r="A132" s="1117">
        <v>-0.05</v>
      </c>
      <c r="B132" s="1111" t="s">
        <v>786</v>
      </c>
      <c r="C132" s="1114">
        <f t="shared" ref="C132:AB132" si="53">C131+$A$132</f>
        <v>-0.46902792729934289</v>
      </c>
      <c r="D132" s="1115">
        <f t="shared" si="53"/>
        <v>3.9415939750448811E-2</v>
      </c>
      <c r="E132" s="1115">
        <f t="shared" si="53"/>
        <v>3.5178248439666146E-2</v>
      </c>
      <c r="F132" s="1115">
        <f t="shared" si="53"/>
        <v>1.8408226675179537E-2</v>
      </c>
      <c r="G132" s="1115">
        <f t="shared" si="53"/>
        <v>6.1185042829384056E-3</v>
      </c>
      <c r="H132" s="1115">
        <f t="shared" si="53"/>
        <v>-3.1509746054807081E-3</v>
      </c>
      <c r="I132" s="1115">
        <f t="shared" si="53"/>
        <v>-1.0311542496542273E-2</v>
      </c>
      <c r="J132" s="1115">
        <f t="shared" si="53"/>
        <v>-2.0608294919093065E-2</v>
      </c>
      <c r="K132" s="1115">
        <f t="shared" si="53"/>
        <v>-3.1908918187144766E-2</v>
      </c>
      <c r="L132" s="1115">
        <f t="shared" si="53"/>
        <v>-3.4318092683401427E-2</v>
      </c>
      <c r="M132" s="1115">
        <f t="shared" si="53"/>
        <v>-3.6280655243865437E-2</v>
      </c>
      <c r="N132" s="1115">
        <f t="shared" si="53"/>
        <v>-3.7899772031245463E-2</v>
      </c>
      <c r="O132" s="1115">
        <f t="shared" si="53"/>
        <v>-3.9250615387162971E-2</v>
      </c>
      <c r="P132" s="1115">
        <f t="shared" si="53"/>
        <v>-4.0388968582245124E-2</v>
      </c>
      <c r="Q132" s="1115">
        <f t="shared" si="53"/>
        <v>-4.1356906584653255E-2</v>
      </c>
      <c r="R132" s="1115">
        <f t="shared" si="53"/>
        <v>-4.2186632341882871E-2</v>
      </c>
      <c r="S132" s="1115">
        <f t="shared" si="53"/>
        <v>-4.2903120650396878E-2</v>
      </c>
      <c r="T132" s="1115">
        <f t="shared" si="53"/>
        <v>-4.3525973969879186E-2</v>
      </c>
      <c r="U132" s="1115">
        <f t="shared" si="53"/>
        <v>-4.4070746925312057E-2</v>
      </c>
      <c r="V132" s="1115">
        <f t="shared" si="53"/>
        <v>-4.4549906043063595E-2</v>
      </c>
      <c r="W132" s="1115">
        <f t="shared" si="53"/>
        <v>-4.4973534884366687E-2</v>
      </c>
      <c r="X132" s="1115">
        <f t="shared" si="53"/>
        <v>-4.5349858754860597E-2</v>
      </c>
      <c r="Y132" s="1115">
        <f t="shared" si="53"/>
        <v>-4.568563976212188E-2</v>
      </c>
      <c r="Z132" s="1115">
        <f t="shared" si="53"/>
        <v>-4.5986477499571257E-2</v>
      </c>
      <c r="AA132" s="1115">
        <f t="shared" si="53"/>
        <v>-4.6257040213124781E-2</v>
      </c>
      <c r="AB132" s="1115">
        <f t="shared" si="53"/>
        <v>-4.6501244191143612E-2</v>
      </c>
    </row>
    <row r="133" spans="1:28" s="290" customFormat="1" ht="19.350000000000001" customHeight="1">
      <c r="A133" s="1091"/>
      <c r="B133" s="1091"/>
      <c r="C133" s="1092"/>
      <c r="D133" s="1092"/>
      <c r="E133" s="1092"/>
      <c r="F133" s="1092"/>
      <c r="G133" s="1092"/>
      <c r="H133" s="1092"/>
      <c r="I133" s="1092"/>
      <c r="J133" s="1092"/>
      <c r="K133" s="1092"/>
      <c r="L133" s="1092"/>
      <c r="M133" s="1092"/>
      <c r="N133" s="1092"/>
      <c r="O133" s="1092"/>
      <c r="P133" s="1092"/>
      <c r="Q133" s="1092"/>
      <c r="R133" s="1092"/>
      <c r="S133" s="1092"/>
      <c r="T133" s="1092"/>
      <c r="U133" s="1092"/>
      <c r="V133" s="1092"/>
      <c r="W133" s="1092"/>
      <c r="X133" s="1092"/>
      <c r="Y133" s="1092"/>
      <c r="Z133" s="1092"/>
      <c r="AA133" s="1092"/>
      <c r="AB133" s="1092"/>
    </row>
    <row r="134" spans="1:28" s="290" customFormat="1" ht="19.350000000000001" customHeight="1">
      <c r="A134" s="1091"/>
      <c r="B134" s="1088" t="s">
        <v>369</v>
      </c>
      <c r="C134" s="944"/>
      <c r="D134" s="944"/>
      <c r="E134" s="944"/>
      <c r="F134" s="944"/>
      <c r="G134" s="944"/>
      <c r="H134" s="944"/>
      <c r="I134" s="944"/>
      <c r="J134" s="944"/>
      <c r="K134" s="944"/>
      <c r="L134" s="944"/>
      <c r="M134" s="944"/>
      <c r="N134" s="944"/>
      <c r="O134" s="944"/>
      <c r="P134" s="944"/>
      <c r="Q134" s="944"/>
      <c r="R134" s="944"/>
      <c r="S134" s="944"/>
      <c r="T134" s="944"/>
      <c r="U134" s="944"/>
      <c r="V134" s="944"/>
      <c r="W134" s="944"/>
      <c r="X134" s="944"/>
      <c r="Y134" s="944"/>
      <c r="Z134" s="944"/>
      <c r="AA134" s="944"/>
      <c r="AB134" s="944"/>
    </row>
    <row r="135" spans="1:28" s="290" customFormat="1" ht="19.350000000000001" customHeight="1">
      <c r="A135" s="1091"/>
      <c r="B135" s="1091" t="s">
        <v>784</v>
      </c>
      <c r="C135" s="1092">
        <f t="shared" ref="C135:AB135" si="54">C125*$A$124+$A$129*C130</f>
        <v>-0.24502137885147929</v>
      </c>
      <c r="D135" s="1092">
        <f t="shared" si="54"/>
        <v>0.15354150729225374</v>
      </c>
      <c r="E135" s="1092">
        <f t="shared" si="54"/>
        <v>0.14720777450433942</v>
      </c>
      <c r="F135" s="1092">
        <f t="shared" si="54"/>
        <v>0.13125509377025762</v>
      </c>
      <c r="G135" s="1092">
        <f t="shared" si="54"/>
        <v>0.11922030847884976</v>
      </c>
      <c r="H135" s="1092">
        <f t="shared" si="54"/>
        <v>0.10987711294114649</v>
      </c>
      <c r="I135" s="1092">
        <f t="shared" si="54"/>
        <v>0.10245009196998167</v>
      </c>
      <c r="J135" s="1092">
        <f t="shared" si="54"/>
        <v>9.4493889742607112E-2</v>
      </c>
      <c r="K135" s="1092">
        <f t="shared" si="54"/>
        <v>8.446884090667714E-2</v>
      </c>
      <c r="L135" s="1092">
        <f t="shared" si="54"/>
        <v>8.1104223053213367E-2</v>
      </c>
      <c r="M135" s="1092">
        <f t="shared" si="54"/>
        <v>7.8249891436057234E-2</v>
      </c>
      <c r="N135" s="1092">
        <f t="shared" si="54"/>
        <v>7.5800604555979659E-2</v>
      </c>
      <c r="O135" s="1092">
        <f t="shared" si="54"/>
        <v>7.3677705042948932E-2</v>
      </c>
      <c r="P135" s="1092">
        <f t="shared" si="54"/>
        <v>7.1821334224114367E-2</v>
      </c>
      <c r="Q135" s="1092">
        <f t="shared" si="54"/>
        <v>7.0185203187680026E-2</v>
      </c>
      <c r="R135" s="1092">
        <f t="shared" si="54"/>
        <v>6.8732999865441902E-2</v>
      </c>
      <c r="S135" s="1092">
        <f t="shared" si="54"/>
        <v>6.7435869338839646E-2</v>
      </c>
      <c r="T135" s="1092">
        <f t="shared" si="54"/>
        <v>6.6270614011361695E-2</v>
      </c>
      <c r="U135" s="1092">
        <f t="shared" si="54"/>
        <v>6.5218386424696129E-2</v>
      </c>
      <c r="V135" s="1092">
        <f t="shared" si="54"/>
        <v>6.4263725413575681E-2</v>
      </c>
      <c r="W135" s="1092">
        <f t="shared" si="54"/>
        <v>6.3393835546745048E-2</v>
      </c>
      <c r="X135" s="1092">
        <f t="shared" si="54"/>
        <v>6.259804159368948E-2</v>
      </c>
      <c r="Y135" s="1092">
        <f t="shared" si="54"/>
        <v>6.1867370675323913E-2</v>
      </c>
      <c r="Z135" s="1092">
        <f t="shared" si="54"/>
        <v>6.1194228765000719E-2</v>
      </c>
      <c r="AA135" s="1092">
        <f t="shared" si="54"/>
        <v>6.0572147739923948E-2</v>
      </c>
      <c r="AB135" s="1092">
        <f t="shared" si="54"/>
        <v>5.9995585769391395E-2</v>
      </c>
    </row>
    <row r="136" spans="1:28" s="290" customFormat="1" ht="19.350000000000001" customHeight="1">
      <c r="A136" s="1091"/>
      <c r="B136" s="1091" t="s">
        <v>785</v>
      </c>
      <c r="C136" s="1092">
        <f t="shared" ref="C136:AB136" si="55">C126*$A$124+$A$129*C131</f>
        <v>-0.29002137885147933</v>
      </c>
      <c r="D136" s="1092">
        <f t="shared" si="55"/>
        <v>0.10854150729225374</v>
      </c>
      <c r="E136" s="1092">
        <f t="shared" si="55"/>
        <v>0.10220777450433943</v>
      </c>
      <c r="F136" s="1092">
        <f t="shared" si="55"/>
        <v>8.6255093770257613E-2</v>
      </c>
      <c r="G136" s="1092">
        <f t="shared" si="55"/>
        <v>7.422030847884975E-2</v>
      </c>
      <c r="H136" s="1092">
        <f t="shared" si="55"/>
        <v>6.4877112941146509E-2</v>
      </c>
      <c r="I136" s="1092">
        <f t="shared" si="55"/>
        <v>5.7450091969981673E-2</v>
      </c>
      <c r="J136" s="1092">
        <f t="shared" si="55"/>
        <v>4.9493889742607107E-2</v>
      </c>
      <c r="K136" s="1092">
        <f t="shared" si="55"/>
        <v>3.9468840906677141E-2</v>
      </c>
      <c r="L136" s="1092">
        <f t="shared" si="55"/>
        <v>3.6104223053213362E-2</v>
      </c>
      <c r="M136" s="1092">
        <f t="shared" si="55"/>
        <v>3.3249891436057229E-2</v>
      </c>
      <c r="N136" s="1092">
        <f t="shared" si="55"/>
        <v>3.0800604555979653E-2</v>
      </c>
      <c r="O136" s="1092">
        <f t="shared" si="55"/>
        <v>2.8677705042948927E-2</v>
      </c>
      <c r="P136" s="1092">
        <f t="shared" si="55"/>
        <v>2.6821334224114361E-2</v>
      </c>
      <c r="Q136" s="1092">
        <f t="shared" si="55"/>
        <v>2.5185203187680024E-2</v>
      </c>
      <c r="R136" s="1092">
        <f t="shared" si="55"/>
        <v>2.3732999865441903E-2</v>
      </c>
      <c r="S136" s="1092">
        <f t="shared" si="55"/>
        <v>2.2435869338839648E-2</v>
      </c>
      <c r="T136" s="1092">
        <f t="shared" si="55"/>
        <v>2.1270614011361696E-2</v>
      </c>
      <c r="U136" s="1092">
        <f t="shared" si="55"/>
        <v>2.021838642469613E-2</v>
      </c>
      <c r="V136" s="1092">
        <f t="shared" si="55"/>
        <v>1.926372541357568E-2</v>
      </c>
      <c r="W136" s="1092">
        <f t="shared" si="55"/>
        <v>1.8393835546745049E-2</v>
      </c>
      <c r="X136" s="1092">
        <f t="shared" si="55"/>
        <v>1.7598041593689467E-2</v>
      </c>
      <c r="Y136" s="1092">
        <f t="shared" si="55"/>
        <v>1.6867370675323907E-2</v>
      </c>
      <c r="Z136" s="1092">
        <f t="shared" si="55"/>
        <v>1.6194228765000714E-2</v>
      </c>
      <c r="AA136" s="1092">
        <f t="shared" si="55"/>
        <v>1.5572147739923945E-2</v>
      </c>
      <c r="AB136" s="1092">
        <f t="shared" si="55"/>
        <v>1.4995585769391393E-2</v>
      </c>
    </row>
    <row r="137" spans="1:28" s="290" customFormat="1" ht="19.350000000000001" customHeight="1" thickBot="1">
      <c r="A137" s="1113"/>
      <c r="B137" s="1120" t="s">
        <v>788</v>
      </c>
      <c r="C137" s="1112">
        <f t="shared" ref="C137:AB137" si="56">C127*$A$124+$A$129*C132</f>
        <v>-0.33502137885147931</v>
      </c>
      <c r="D137" s="1112">
        <f t="shared" si="56"/>
        <v>6.3541507292253746E-2</v>
      </c>
      <c r="E137" s="1112">
        <f t="shared" si="56"/>
        <v>5.7207774504339434E-2</v>
      </c>
      <c r="F137" s="1112">
        <f t="shared" si="56"/>
        <v>4.1255093770257614E-2</v>
      </c>
      <c r="G137" s="1112">
        <f t="shared" si="56"/>
        <v>2.9220308478849745E-2</v>
      </c>
      <c r="H137" s="1112">
        <f t="shared" si="56"/>
        <v>1.9877112941146503E-2</v>
      </c>
      <c r="I137" s="1112">
        <f t="shared" si="56"/>
        <v>1.2450091969981671E-2</v>
      </c>
      <c r="J137" s="1112">
        <f t="shared" si="56"/>
        <v>4.4938897426071052E-3</v>
      </c>
      <c r="K137" s="1112">
        <f t="shared" si="56"/>
        <v>-5.5311590933228572E-3</v>
      </c>
      <c r="L137" s="1112">
        <f t="shared" si="56"/>
        <v>-8.8957769467866363E-3</v>
      </c>
      <c r="M137" s="1112">
        <f t="shared" si="56"/>
        <v>-1.1750108563942773E-2</v>
      </c>
      <c r="N137" s="1112">
        <f t="shared" si="56"/>
        <v>-1.4199395444020348E-2</v>
      </c>
      <c r="O137" s="1112">
        <f t="shared" si="56"/>
        <v>-1.6322294957051071E-2</v>
      </c>
      <c r="P137" s="1112">
        <f t="shared" si="56"/>
        <v>-1.8178665775885637E-2</v>
      </c>
      <c r="Q137" s="1112">
        <f t="shared" si="56"/>
        <v>-1.9814796812319978E-2</v>
      </c>
      <c r="R137" s="1112">
        <f t="shared" si="56"/>
        <v>-2.1267000134558098E-2</v>
      </c>
      <c r="S137" s="1112">
        <f t="shared" si="56"/>
        <v>-2.2564130661160354E-2</v>
      </c>
      <c r="T137" s="1112">
        <f t="shared" si="56"/>
        <v>-2.3729385988638309E-2</v>
      </c>
      <c r="U137" s="1112">
        <f t="shared" si="56"/>
        <v>-2.4781613575303868E-2</v>
      </c>
      <c r="V137" s="1112">
        <f t="shared" si="56"/>
        <v>-2.5736274586424326E-2</v>
      </c>
      <c r="W137" s="1112">
        <f t="shared" si="56"/>
        <v>-2.6606164453254953E-2</v>
      </c>
      <c r="X137" s="1112">
        <f t="shared" si="56"/>
        <v>-2.7401958406310531E-2</v>
      </c>
      <c r="Y137" s="1112">
        <f t="shared" si="56"/>
        <v>-2.8132629324676091E-2</v>
      </c>
      <c r="Z137" s="1112">
        <f t="shared" si="56"/>
        <v>-2.8805771234999288E-2</v>
      </c>
      <c r="AA137" s="1112">
        <f t="shared" si="56"/>
        <v>-2.9427852260076059E-2</v>
      </c>
      <c r="AB137" s="1112">
        <f t="shared" si="56"/>
        <v>-3.0004414230608612E-2</v>
      </c>
    </row>
    <row r="138" spans="1:28">
      <c r="A138" s="944"/>
      <c r="B138" s="1121" t="s">
        <v>789</v>
      </c>
      <c r="C138" s="1083">
        <f t="shared" ref="C138:AB138" si="57">AVERAGE(C135:C137)</f>
        <v>-0.29002137885147933</v>
      </c>
      <c r="D138" s="1083">
        <f t="shared" si="57"/>
        <v>0.10854150729225376</v>
      </c>
      <c r="E138" s="1083">
        <f t="shared" si="57"/>
        <v>0.10220777450433943</v>
      </c>
      <c r="F138" s="1083">
        <f t="shared" si="57"/>
        <v>8.6255093770257626E-2</v>
      </c>
      <c r="G138" s="1083">
        <f t="shared" si="57"/>
        <v>7.422030847884975E-2</v>
      </c>
      <c r="H138" s="1083">
        <f t="shared" si="57"/>
        <v>6.4877112941146495E-2</v>
      </c>
      <c r="I138" s="1083">
        <f t="shared" si="57"/>
        <v>5.745009196998168E-2</v>
      </c>
      <c r="J138" s="1083">
        <f t="shared" si="57"/>
        <v>4.9493889742607107E-2</v>
      </c>
      <c r="K138" s="1083">
        <f t="shared" si="57"/>
        <v>3.9468840906677141E-2</v>
      </c>
      <c r="L138" s="1083">
        <f t="shared" si="57"/>
        <v>3.6104223053213362E-2</v>
      </c>
      <c r="M138" s="1083">
        <f t="shared" si="57"/>
        <v>3.3249891436057229E-2</v>
      </c>
      <c r="N138" s="1083">
        <f t="shared" si="57"/>
        <v>3.080060455597965E-2</v>
      </c>
      <c r="O138" s="1083">
        <f t="shared" si="57"/>
        <v>2.867770504294893E-2</v>
      </c>
      <c r="P138" s="1083">
        <f t="shared" si="57"/>
        <v>2.6821334224114358E-2</v>
      </c>
      <c r="Q138" s="1083">
        <f t="shared" si="57"/>
        <v>2.5185203187680028E-2</v>
      </c>
      <c r="R138" s="1083">
        <f t="shared" si="57"/>
        <v>2.3732999865441903E-2</v>
      </c>
      <c r="S138" s="1083">
        <f t="shared" si="57"/>
        <v>2.2435869338839648E-2</v>
      </c>
      <c r="T138" s="1083">
        <f t="shared" si="57"/>
        <v>2.1270614011361693E-2</v>
      </c>
      <c r="U138" s="1083">
        <f t="shared" si="57"/>
        <v>2.021838642469613E-2</v>
      </c>
      <c r="V138" s="1083">
        <f t="shared" si="57"/>
        <v>1.926372541357568E-2</v>
      </c>
      <c r="W138" s="1083">
        <f t="shared" si="57"/>
        <v>1.8393835546745049E-2</v>
      </c>
      <c r="X138" s="1083">
        <f t="shared" si="57"/>
        <v>1.7598041593689471E-2</v>
      </c>
      <c r="Y138" s="1083">
        <f t="shared" si="57"/>
        <v>1.6867370675323907E-2</v>
      </c>
      <c r="Z138" s="1083">
        <f t="shared" si="57"/>
        <v>1.619422876500071E-2</v>
      </c>
      <c r="AA138" s="1083">
        <f t="shared" si="57"/>
        <v>1.5572147739923945E-2</v>
      </c>
      <c r="AB138" s="1083">
        <f t="shared" si="57"/>
        <v>1.4995585769391395E-2</v>
      </c>
    </row>
  </sheetData>
  <mergeCells count="15">
    <mergeCell ref="A33:AF33"/>
    <mergeCell ref="A78:A79"/>
    <mergeCell ref="A1:AF2"/>
    <mergeCell ref="A70:A76"/>
    <mergeCell ref="A5:A17"/>
    <mergeCell ref="A19:A32"/>
    <mergeCell ref="A43:A47"/>
    <mergeCell ref="G3:J3"/>
    <mergeCell ref="K3:AF3"/>
    <mergeCell ref="A42:AF42"/>
    <mergeCell ref="A48:AF48"/>
    <mergeCell ref="A34:A36"/>
    <mergeCell ref="A38:A41"/>
    <mergeCell ref="A49:A50"/>
    <mergeCell ref="A52:A68"/>
  </mergeCells>
  <phoneticPr fontId="0" type="noConversion"/>
  <conditionalFormatting sqref="D75">
    <cfRule type="cellIs" dxfId="564" priority="2" operator="lessThan">
      <formula>0</formula>
    </cfRule>
    <cfRule type="cellIs" dxfId="563" priority="3" operator="greaterThan">
      <formula>0%</formula>
    </cfRule>
  </conditionalFormatting>
  <conditionalFormatting sqref="G43:AF43">
    <cfRule type="cellIs" dxfId="562" priority="1" operator="lessThan">
      <formula>0</formula>
    </cfRule>
  </conditionalFormatting>
  <hyperlinks>
    <hyperlink ref="A90" r:id="rId1" xr:uid="{4D5A5097-7C8B-854D-8FF3-27E415FEE0B5}"/>
    <hyperlink ref="A88" r:id="rId2" xr:uid="{EB87FA40-F63F-6349-AED9-70791A3391CA}"/>
    <hyperlink ref="A87" r:id="rId3" xr:uid="{FA3A11A7-D150-EC41-9F34-BA5BFB651120}"/>
  </hyperlinks>
  <pageMargins left="0.75" right="0.75" top="1" bottom="1" header="0" footer="0"/>
  <pageSetup orientation="portrait" r:id="rId4"/>
  <headerFooter alignWithMargins="0"/>
  <legacyDrawing r:id="rId5"/>
  <tableParts count="1">
    <tablePart r:id="rId6"/>
  </tableParts>
  <extLst>
    <ext xmlns:x14="http://schemas.microsoft.com/office/spreadsheetml/2009/9/main" uri="{05C60535-1F16-4fd2-B633-F4F36F0B64E0}">
      <x14:sparklineGroups xmlns:xm="http://schemas.microsoft.com/office/excel/2006/main">
        <x14:sparklineGroup displayEmptyCellsAs="gap" xr2:uid="{0309BA33-2A80-0D4A-99DA-6F1F2F40F2E2}">
          <x14:colorSeries rgb="FF376092"/>
          <x14:colorNegative rgb="FFD00000"/>
          <x14:colorAxis rgb="FF000000"/>
          <x14:colorMarkers rgb="FFD00000"/>
          <x14:colorFirst rgb="FFD00000"/>
          <x14:colorLast rgb="FFD00000"/>
          <x14:colorHigh rgb="FFD00000"/>
          <x14:colorLow rgb="FFD00000"/>
          <x14:sparklines>
            <x14:sparkline>
              <xm:f>DCF!G43:AF43</xm:f>
              <xm:sqref>H64</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FX1904"/>
  <sheetViews>
    <sheetView showGridLines="0" topLeftCell="A164" zoomScale="92" zoomScaleNormal="90" workbookViewId="0">
      <pane xSplit="2" topLeftCell="C1" activePane="topRight" state="frozen"/>
      <selection pane="topRight" activeCell="B165" sqref="B165"/>
      <selection activeCell="A91" sqref="A91"/>
    </sheetView>
  </sheetViews>
  <sheetFormatPr defaultColWidth="9.28515625" defaultRowHeight="12.95" outlineLevelRow="1"/>
  <cols>
    <col min="1" max="1" width="18" style="451" bestFit="1" customWidth="1"/>
    <col min="2" max="2" width="75.7109375" style="451" bestFit="1" customWidth="1"/>
    <col min="3" max="3" width="25" style="451" bestFit="1" customWidth="1"/>
    <col min="4" max="4" width="18" style="451" customWidth="1"/>
    <col min="5" max="5" width="21.7109375" style="451" bestFit="1" customWidth="1"/>
    <col min="6" max="6" width="25" style="451" bestFit="1" customWidth="1"/>
    <col min="7" max="7" width="16.42578125" style="451" bestFit="1" customWidth="1"/>
    <col min="8" max="8" width="27.140625" style="451" customWidth="1"/>
    <col min="9" max="9" width="21" style="451" bestFit="1" customWidth="1"/>
    <col min="10" max="10" width="27.28515625" style="451" customWidth="1"/>
    <col min="11" max="11" width="21.7109375" style="451" bestFit="1" customWidth="1"/>
    <col min="12" max="12" width="21" style="451" bestFit="1" customWidth="1"/>
    <col min="13" max="13" width="26.42578125" style="451" bestFit="1" customWidth="1"/>
    <col min="14" max="14" width="21.7109375" style="451" bestFit="1" customWidth="1"/>
    <col min="15" max="15" width="29" style="451" customWidth="1"/>
    <col min="16" max="16" width="16.42578125" style="451" bestFit="1" customWidth="1"/>
    <col min="17" max="17" width="21.7109375" style="451" bestFit="1" customWidth="1"/>
    <col min="18" max="18" width="21" style="451" bestFit="1" customWidth="1"/>
    <col min="19" max="19" width="17" style="451" bestFit="1" customWidth="1"/>
    <col min="20" max="20" width="21.7109375" style="451" bestFit="1" customWidth="1"/>
    <col min="21" max="21" width="19.7109375" style="451" customWidth="1"/>
    <col min="22" max="22" width="16.42578125" style="451" bestFit="1" customWidth="1"/>
    <col min="23" max="23" width="21.7109375" style="451" bestFit="1" customWidth="1"/>
    <col min="24" max="24" width="21" style="451" bestFit="1" customWidth="1"/>
    <col min="25" max="25" width="16.42578125" style="451" bestFit="1" customWidth="1"/>
    <col min="26" max="26" width="21.7109375" style="451" bestFit="1" customWidth="1"/>
    <col min="27" max="27" width="21" style="451" bestFit="1" customWidth="1"/>
    <col min="28" max="48" width="14.7109375" style="451" bestFit="1" customWidth="1"/>
    <col min="49" max="122" width="16" style="451" bestFit="1" customWidth="1"/>
    <col min="123" max="123" width="11.28515625" style="451" customWidth="1"/>
    <col min="124" max="16384" width="9.28515625" style="451"/>
  </cols>
  <sheetData>
    <row r="2" spans="1:29" s="450" customFormat="1" ht="14.1">
      <c r="A2" s="447"/>
      <c r="B2" s="448" t="s">
        <v>790</v>
      </c>
      <c r="C2" s="449"/>
      <c r="D2" s="447"/>
      <c r="E2" s="447"/>
      <c r="F2" s="447"/>
      <c r="G2" s="447"/>
      <c r="H2" s="447"/>
      <c r="I2" s="447"/>
      <c r="J2" s="447"/>
      <c r="K2" s="447"/>
      <c r="L2" s="447"/>
      <c r="M2" s="447"/>
      <c r="N2" s="447"/>
      <c r="O2" s="447"/>
      <c r="P2" s="447"/>
      <c r="Q2" s="447"/>
      <c r="R2" s="447"/>
      <c r="S2" s="447"/>
      <c r="T2" s="447"/>
      <c r="U2" s="447"/>
      <c r="V2" s="447"/>
      <c r="W2" s="447"/>
      <c r="X2" s="447"/>
      <c r="Y2" s="447"/>
      <c r="Z2" s="447"/>
      <c r="AA2" s="447"/>
      <c r="AB2" s="447"/>
    </row>
    <row r="3" spans="1:29">
      <c r="C3" s="452"/>
    </row>
    <row r="4" spans="1:29">
      <c r="B4" s="451" t="s">
        <v>791</v>
      </c>
      <c r="F4" s="453"/>
      <c r="G4" s="454"/>
      <c r="H4" s="454"/>
      <c r="I4" s="454"/>
      <c r="J4" s="454"/>
      <c r="K4" s="454"/>
      <c r="L4" s="454"/>
    </row>
    <row r="5" spans="1:29">
      <c r="B5" s="451" t="s">
        <v>792</v>
      </c>
    </row>
    <row r="7" spans="1:29">
      <c r="B7" s="454"/>
      <c r="C7" s="466">
        <f>OP!J21</f>
        <v>2023</v>
      </c>
      <c r="D7" s="466">
        <f>C7-1</f>
        <v>2022</v>
      </c>
      <c r="E7" s="466">
        <f t="shared" ref="E7:G7" si="0">D7-1</f>
        <v>2021</v>
      </c>
      <c r="F7" s="466">
        <f t="shared" si="0"/>
        <v>2020</v>
      </c>
      <c r="G7" s="466">
        <f t="shared" si="0"/>
        <v>2019</v>
      </c>
      <c r="H7" s="466">
        <f t="shared" ref="H7" si="1">G7-1</f>
        <v>2018</v>
      </c>
      <c r="I7" s="466">
        <f t="shared" ref="I7" si="2">H7-1</f>
        <v>2017</v>
      </c>
      <c r="J7" s="466">
        <f t="shared" ref="J7" si="3">I7-1</f>
        <v>2016</v>
      </c>
      <c r="K7" s="466">
        <f t="shared" ref="K7:L7" si="4">J7-1</f>
        <v>2015</v>
      </c>
      <c r="L7" s="466">
        <f t="shared" si="4"/>
        <v>2014</v>
      </c>
      <c r="N7" s="453" t="s">
        <v>793</v>
      </c>
      <c r="O7" s="466" t="s">
        <v>794</v>
      </c>
      <c r="P7" s="453" t="s">
        <v>795</v>
      </c>
      <c r="Q7" s="453" t="s">
        <v>796</v>
      </c>
      <c r="S7" s="462" t="s">
        <v>797</v>
      </c>
      <c r="T7" s="462" t="s">
        <v>798</v>
      </c>
      <c r="U7" s="717" t="s">
        <v>799</v>
      </c>
    </row>
    <row r="8" spans="1:29">
      <c r="B8" s="678" t="s">
        <v>800</v>
      </c>
      <c r="C8" s="259">
        <f>('Inputs (AUD)'!B6-'Inputs (AUD)'!C6)/'Inputs (AUD)'!C6</f>
        <v>2.4162743779421656</v>
      </c>
      <c r="D8" s="259">
        <f>('Inputs (AUD)'!C6-'Inputs (AUD)'!D6)/'Inputs (AUD)'!D6</f>
        <v>5.7667804323094423</v>
      </c>
      <c r="E8" s="259">
        <f>('Inputs (AUD)'!D6-'Inputs (AUD)'!E6)/'Inputs (AUD)'!E6</f>
        <v>1.090368608799049</v>
      </c>
      <c r="F8" s="259">
        <f>('Inputs (AUD)'!E6-'Inputs (AUD)'!F6)/'Inputs (AUD)'!F6</f>
        <v>0.96495327102803741</v>
      </c>
      <c r="G8" s="259">
        <f>('Inputs (AUD)'!F6-'Inputs (AUD)'!G6)/'Inputs (AUD)'!G6</f>
        <v>3.1960784313725488</v>
      </c>
      <c r="H8" s="259" t="e">
        <f>('Inputs (AUD)'!G6-'Inputs (AUD)'!H6)/'Inputs (AUD)'!H6</f>
        <v>#DIV/0!</v>
      </c>
      <c r="I8" s="259" t="e">
        <f>('Inputs (AUD)'!H6-'Inputs (AUD)'!I6)/'Inputs (AUD)'!I6</f>
        <v>#DIV/0!</v>
      </c>
      <c r="J8" s="259">
        <f>('Inputs (AUD)'!I6-'Inputs (AUD)'!J6)/'Inputs (AUD)'!J6</f>
        <v>-1</v>
      </c>
      <c r="K8" s="259">
        <f>('Inputs (AUD)'!J6-'Inputs (AUD)'!K6)/'Inputs (AUD)'!K6</f>
        <v>-0.66666666666666663</v>
      </c>
      <c r="L8" s="259">
        <f>('Inputs (AUD)'!K6-'Inputs (AUD)'!L6)/'Inputs (AUD)'!L6</f>
        <v>-0.99993857493857485</v>
      </c>
      <c r="N8" s="458">
        <f>AVERAGE(C8:E8)</f>
        <v>3.0911411396835522</v>
      </c>
      <c r="O8" s="455">
        <f>AVERAGE(C8:G8)</f>
        <v>2.6868910242902482</v>
      </c>
      <c r="P8" s="458" t="e">
        <f>AVERAGE(C8:L8)</f>
        <v>#DIV/0!</v>
      </c>
      <c r="Q8" s="458" t="e">
        <f>AVERAGE(C8,F8:L8)</f>
        <v>#DIV/0!</v>
      </c>
      <c r="S8" s="463">
        <f>N8/3</f>
        <v>1.0303803798945175</v>
      </c>
      <c r="T8" s="463">
        <f>O8/10</f>
        <v>0.26868910242902483</v>
      </c>
    </row>
    <row r="9" spans="1:29">
      <c r="B9" s="678" t="s">
        <v>136</v>
      </c>
      <c r="C9" s="259">
        <f>'Inputs (AUD)'!B8/'Inputs (AUD)'!B6</f>
        <v>0.79032972440944882</v>
      </c>
      <c r="D9" s="259">
        <f>'Inputs (AUD)'!C8/'Inputs (AUD)'!C6</f>
        <v>0.61524882313382656</v>
      </c>
      <c r="E9" s="259">
        <f>'Inputs (AUD)'!D8/'Inputs (AUD)'!D6</f>
        <v>-0.19908987485779292</v>
      </c>
      <c r="F9" s="259">
        <f>'Inputs (AUD)'!E8/'Inputs (AUD)'!E6</f>
        <v>-0.85136741973840668</v>
      </c>
      <c r="G9" s="259">
        <f>'Inputs (AUD)'!F8/'Inputs (AUD)'!F6</f>
        <v>-0.43224299065420563</v>
      </c>
      <c r="H9" s="259">
        <f>'Inputs (AUD)'!G8/'Inputs (AUD)'!G6</f>
        <v>-1.6568627450980391</v>
      </c>
      <c r="I9" s="259" t="e">
        <f>'Inputs (AUD)'!H8/'Inputs (AUD)'!H6</f>
        <v>#DIV/0!</v>
      </c>
      <c r="J9" s="259" t="e">
        <f>'Inputs (AUD)'!I8/'Inputs (AUD)'!I6</f>
        <v>#DIV/0!</v>
      </c>
      <c r="K9" s="259">
        <f>'Inputs (AUD)'!J8/'Inputs (AUD)'!J6</f>
        <v>-52</v>
      </c>
      <c r="L9" s="259">
        <f>'Inputs (AUD)'!K8/'Inputs (AUD)'!K6</f>
        <v>-10</v>
      </c>
      <c r="N9" s="458">
        <f>AVERAGE(C9:E9)</f>
        <v>0.40216289089516083</v>
      </c>
      <c r="O9" s="455">
        <f>AVERAGE(C9:G9)</f>
        <v>-1.5424347541425975E-2</v>
      </c>
      <c r="P9" s="458" t="e">
        <f>AVERAGE(C9:L9)</f>
        <v>#DIV/0!</v>
      </c>
      <c r="Q9" s="458" t="e">
        <f t="shared" ref="Q9:Q10" si="5">AVERAGE(C9,F9:L9)</f>
        <v>#DIV/0!</v>
      </c>
      <c r="S9" s="463">
        <f>N9/2</f>
        <v>0.20108144544758041</v>
      </c>
      <c r="T9" s="463">
        <v>0.15</v>
      </c>
    </row>
    <row r="10" spans="1:29">
      <c r="Q10" s="458" t="e">
        <f t="shared" si="5"/>
        <v>#DIV/0!</v>
      </c>
    </row>
    <row r="12" spans="1:29" s="450" customFormat="1" ht="14.1">
      <c r="A12" s="447"/>
      <c r="B12" s="449" t="s">
        <v>801</v>
      </c>
      <c r="C12" s="449"/>
      <c r="D12" s="447"/>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row>
    <row r="13" spans="1:29" ht="14.1">
      <c r="A13" s="464"/>
      <c r="B13" s="465"/>
      <c r="C13" s="465"/>
      <c r="D13" s="464"/>
      <c r="E13" s="464"/>
      <c r="F13" s="464"/>
      <c r="G13" s="464"/>
      <c r="H13" s="464"/>
      <c r="I13" s="464"/>
      <c r="J13" s="464"/>
      <c r="K13" s="464"/>
      <c r="L13" s="464"/>
      <c r="M13" s="464"/>
      <c r="N13" s="464"/>
      <c r="O13" s="464"/>
      <c r="P13" s="464"/>
      <c r="Q13" s="464"/>
      <c r="R13" s="464"/>
      <c r="S13" s="464"/>
      <c r="T13" s="464"/>
      <c r="U13" s="464"/>
      <c r="V13" s="464"/>
      <c r="W13" s="464"/>
      <c r="X13" s="464"/>
      <c r="Y13" s="464"/>
      <c r="Z13" s="464"/>
      <c r="AA13" s="464"/>
      <c r="AB13" s="464"/>
    </row>
    <row r="14" spans="1:29" ht="15">
      <c r="C14" s="1457" t="s">
        <v>802</v>
      </c>
      <c r="D14" s="1457"/>
      <c r="E14" s="1457"/>
      <c r="F14" s="1457"/>
      <c r="G14" s="1457"/>
      <c r="H14" s="1457"/>
      <c r="I14" s="1457"/>
      <c r="J14" s="1457"/>
      <c r="K14" s="1457"/>
      <c r="L14" s="1457"/>
    </row>
    <row r="15" spans="1:29" ht="15">
      <c r="B15" s="456"/>
      <c r="C15" s="461">
        <f>OP!J21</f>
        <v>2023</v>
      </c>
      <c r="D15" s="461">
        <f>D7</f>
        <v>2022</v>
      </c>
      <c r="E15" s="461">
        <f>E7</f>
        <v>2021</v>
      </c>
      <c r="F15" s="461">
        <f>F7</f>
        <v>2020</v>
      </c>
      <c r="G15" s="461">
        <f>G7</f>
        <v>2019</v>
      </c>
      <c r="H15" s="461">
        <f t="shared" ref="H15:L15" si="6">H7</f>
        <v>2018</v>
      </c>
      <c r="I15" s="461">
        <f t="shared" si="6"/>
        <v>2017</v>
      </c>
      <c r="J15" s="461">
        <f t="shared" si="6"/>
        <v>2016</v>
      </c>
      <c r="K15" s="461">
        <f t="shared" si="6"/>
        <v>2015</v>
      </c>
      <c r="L15" s="461">
        <f t="shared" si="6"/>
        <v>2014</v>
      </c>
      <c r="N15" s="453" t="s">
        <v>793</v>
      </c>
      <c r="O15" s="681" t="s">
        <v>794</v>
      </c>
      <c r="P15" s="453" t="s">
        <v>795</v>
      </c>
      <c r="Q15" s="453" t="s">
        <v>796</v>
      </c>
      <c r="S15" s="462" t="s">
        <v>797</v>
      </c>
      <c r="T15" s="462" t="s">
        <v>798</v>
      </c>
    </row>
    <row r="16" spans="1:29">
      <c r="B16" s="678" t="s">
        <v>688</v>
      </c>
      <c r="C16" s="457">
        <f>'Inputs (AUD)'!B61/'Inputs (AUD)'!B95</f>
        <v>9.7446891444162933E-4</v>
      </c>
      <c r="D16" s="457">
        <f>'Inputs (AUD)'!C61/'Inputs (AUD)'!C95</f>
        <v>6.9741954767360754E-4</v>
      </c>
      <c r="E16" s="457" t="e">
        <f>'Inputs (AUD)'!D61/'Inputs (AUD)'!D95</f>
        <v>#DIV/0!</v>
      </c>
      <c r="F16" s="457" t="e">
        <f>'Inputs (AUD)'!E61/'Inputs (AUD)'!E95</f>
        <v>#DIV/0!</v>
      </c>
      <c r="G16" s="677" t="s">
        <v>301</v>
      </c>
      <c r="H16" s="457" t="e">
        <f>'Inputs (AUD)'!G61/'Inputs (AUD)'!G95</f>
        <v>#DIV/0!</v>
      </c>
      <c r="I16" s="457" t="e">
        <f>'Inputs (AUD)'!H61/'Inputs (AUD)'!H95</f>
        <v>#DIV/0!</v>
      </c>
      <c r="J16" s="457">
        <f>'Inputs (AUD)'!I61/'Inputs (AUD)'!I95</f>
        <v>7.6923076923076927E-3</v>
      </c>
      <c r="K16" s="457" t="e">
        <f>'Inputs (AUD)'!J61/'Inputs (AUD)'!J95</f>
        <v>#DIV/0!</v>
      </c>
      <c r="L16" s="457" t="e">
        <f>'Inputs (AUD)'!K61/'Inputs (AUD)'!K95</f>
        <v>#DIV/0!</v>
      </c>
      <c r="N16" s="458" t="e">
        <f>AVERAGE(C16:E16)</f>
        <v>#DIV/0!</v>
      </c>
      <c r="O16" s="458" t="e">
        <f>AVERAGE(C16:F16)</f>
        <v>#DIV/0!</v>
      </c>
      <c r="P16" s="458" t="e">
        <f>AVERAGE(C16:L16)</f>
        <v>#DIV/0!</v>
      </c>
      <c r="Q16" s="458" t="e">
        <f t="shared" ref="Q16:Q31" si="7">AVERAGE(C16,F16:L16)</f>
        <v>#DIV/0!</v>
      </c>
      <c r="S16" s="463">
        <v>0.03</v>
      </c>
      <c r="T16" s="463">
        <v>0.04</v>
      </c>
      <c r="U16" s="451" t="s">
        <v>803</v>
      </c>
      <c r="AC16" s="459"/>
    </row>
    <row r="17" spans="2:24">
      <c r="B17" s="678" t="s">
        <v>690</v>
      </c>
      <c r="C17" s="506" t="s">
        <v>804</v>
      </c>
      <c r="D17" s="506" t="s">
        <v>804</v>
      </c>
      <c r="E17" s="506" t="s">
        <v>804</v>
      </c>
      <c r="F17" s="506" t="s">
        <v>804</v>
      </c>
      <c r="G17" s="506" t="s">
        <v>804</v>
      </c>
      <c r="H17" s="506" t="s">
        <v>804</v>
      </c>
      <c r="I17" s="506" t="s">
        <v>804</v>
      </c>
      <c r="J17" s="506" t="s">
        <v>804</v>
      </c>
      <c r="K17" s="506" t="s">
        <v>804</v>
      </c>
      <c r="L17" s="506" t="s">
        <v>804</v>
      </c>
      <c r="N17" s="458" t="e">
        <f t="shared" ref="N17:N31" si="8">AVERAGE(C17:E17)</f>
        <v>#DIV/0!</v>
      </c>
      <c r="O17" s="506" t="s">
        <v>804</v>
      </c>
      <c r="P17" s="458" t="e">
        <f t="shared" ref="P17:P31" si="9">AVERAGE(C17:L17)</f>
        <v>#DIV/0!</v>
      </c>
      <c r="Q17" s="458" t="e">
        <f t="shared" si="7"/>
        <v>#DIV/0!</v>
      </c>
      <c r="S17" s="463"/>
      <c r="T17" s="463"/>
    </row>
    <row r="18" spans="2:24">
      <c r="B18" s="678" t="s">
        <v>692</v>
      </c>
      <c r="C18" s="457">
        <f>-'Inputs (AUD)'!B103/'Fin. Data'!B5</f>
        <v>-3.1496062992125988E-3</v>
      </c>
      <c r="D18" s="457">
        <f>-'Inputs (AUD)'!C103/'Fin. Data'!C5</f>
        <v>0</v>
      </c>
      <c r="E18" s="457">
        <f>-'Inputs (AUD)'!D103/'Fin. Data'!D5</f>
        <v>0</v>
      </c>
      <c r="F18" s="457">
        <f>-'Inputs (AUD)'!E103/'Fin. Data'!E5</f>
        <v>0</v>
      </c>
      <c r="G18" s="457">
        <f>-'Inputs (AUD)'!F103/'Fin. Data'!F5</f>
        <v>0</v>
      </c>
      <c r="H18" s="457">
        <f>-'Inputs (AUD)'!G103/'Fin. Data'!G5</f>
        <v>0</v>
      </c>
      <c r="I18" s="457" t="e">
        <f>-'Inputs (AUD)'!H103/'Fin. Data'!H5</f>
        <v>#DIV/0!</v>
      </c>
      <c r="J18" s="457" t="e">
        <f>-'Inputs (AUD)'!I103/'Fin. Data'!I5</f>
        <v>#DIV/0!</v>
      </c>
      <c r="K18" s="457">
        <f>-'Inputs (AUD)'!J103/'Fin. Data'!J5</f>
        <v>0</v>
      </c>
      <c r="L18" s="457">
        <f>-'Inputs (AUD)'!K103/'Fin. Data'!K5</f>
        <v>0</v>
      </c>
      <c r="N18" s="458">
        <f t="shared" si="8"/>
        <v>-1.0498687664041997E-3</v>
      </c>
      <c r="O18" s="458">
        <f>AVERAGE(C18:G18)</f>
        <v>-6.2992125984251976E-4</v>
      </c>
      <c r="P18" s="458" t="e">
        <f t="shared" si="9"/>
        <v>#DIV/0!</v>
      </c>
      <c r="Q18" s="458" t="e">
        <f t="shared" si="7"/>
        <v>#DIV/0!</v>
      </c>
      <c r="S18" s="463">
        <v>0</v>
      </c>
      <c r="T18" s="463">
        <v>0.02</v>
      </c>
      <c r="U18" s="451" t="s">
        <v>805</v>
      </c>
    </row>
    <row r="19" spans="2:24">
      <c r="B19" s="678" t="s">
        <v>694</v>
      </c>
      <c r="C19" s="457">
        <f>-'Fin. Data'!B21/('Fin. Data'!B11+'Fin. Data'!B14+'Fin. Data'!B15)</f>
        <v>0.29079044935488652</v>
      </c>
      <c r="D19" s="457">
        <f>-'Fin. Data'!C21/('Fin. Data'!C11+'Fin. Data'!C14+'Fin. Data'!C15)</f>
        <v>0.22510344827586209</v>
      </c>
      <c r="E19" s="457">
        <f>-'Fin. Data'!D21/('Fin. Data'!D11+'Fin. Data'!D14+'Fin. Data'!D15)</f>
        <v>0</v>
      </c>
      <c r="F19" s="457">
        <f>-'Fin. Data'!E21/('Fin. Data'!E11+'Fin. Data'!E14+'Fin. Data'!E15)</f>
        <v>0</v>
      </c>
      <c r="G19" s="457">
        <f>-'Fin. Data'!F21/('Fin. Data'!F11+'Fin. Data'!F14+'Fin. Data'!F15)</f>
        <v>0</v>
      </c>
      <c r="H19" s="457">
        <f>-'Fin. Data'!G21/('Fin. Data'!G11+'Fin. Data'!G14+'Fin. Data'!G15)</f>
        <v>0</v>
      </c>
      <c r="I19" s="457">
        <f>-'Fin. Data'!H21/('Fin. Data'!H11+'Fin. Data'!H14+'Fin. Data'!H15)</f>
        <v>0</v>
      </c>
      <c r="J19" s="457">
        <f>-'Fin. Data'!I21/('Fin. Data'!I11+'Fin. Data'!I14+'Fin. Data'!I15)</f>
        <v>-3.6101083032490972E-3</v>
      </c>
      <c r="K19" s="457">
        <f>-'Fin. Data'!J21/('Fin. Data'!J11+'Fin. Data'!J14+'Fin. Data'!J15)</f>
        <v>1.785714285714286E-2</v>
      </c>
      <c r="L19" s="457">
        <f>-'Fin. Data'!K21/('Fin. Data'!K11+'Fin. Data'!K14+'Fin. Data'!K15)</f>
        <v>0</v>
      </c>
      <c r="N19" s="458">
        <f t="shared" si="8"/>
        <v>0.17196463254358285</v>
      </c>
      <c r="O19" s="458">
        <f>AVERAGE(C19:G19)</f>
        <v>0.10317877952614971</v>
      </c>
      <c r="P19" s="458">
        <f t="shared" si="9"/>
        <v>5.3014093218464231E-2</v>
      </c>
      <c r="Q19" s="458">
        <f t="shared" si="7"/>
        <v>3.8129685488597534E-2</v>
      </c>
      <c r="S19" s="463">
        <v>0.25</v>
      </c>
      <c r="T19" s="463">
        <v>0.3</v>
      </c>
      <c r="U19" s="451" t="s">
        <v>806</v>
      </c>
      <c r="V19" s="458"/>
      <c r="W19" s="458"/>
    </row>
    <row r="20" spans="2:24">
      <c r="B20" s="678" t="s">
        <v>696</v>
      </c>
      <c r="C20" s="506">
        <f>0/'Fin. Data'!B58</f>
        <v>0</v>
      </c>
      <c r="D20" s="506" t="s">
        <v>804</v>
      </c>
      <c r="E20" s="506" t="s">
        <v>804</v>
      </c>
      <c r="F20" s="506" t="s">
        <v>804</v>
      </c>
      <c r="G20" s="506" t="s">
        <v>804</v>
      </c>
      <c r="H20" s="506" t="s">
        <v>804</v>
      </c>
      <c r="I20" s="506" t="s">
        <v>804</v>
      </c>
      <c r="J20" s="506" t="s">
        <v>804</v>
      </c>
      <c r="K20" s="506" t="s">
        <v>804</v>
      </c>
      <c r="L20" s="506" t="s">
        <v>804</v>
      </c>
      <c r="N20" s="458">
        <f t="shared" si="8"/>
        <v>0</v>
      </c>
      <c r="O20" s="506" t="s">
        <v>804</v>
      </c>
      <c r="P20" s="458">
        <f t="shared" si="9"/>
        <v>0</v>
      </c>
      <c r="Q20" s="458">
        <f t="shared" si="7"/>
        <v>0</v>
      </c>
      <c r="S20" s="463"/>
      <c r="T20" s="463"/>
    </row>
    <row r="21" spans="2:24">
      <c r="B21" s="678" t="s">
        <v>698</v>
      </c>
      <c r="C21" s="506">
        <f>0/'Inputs (AUD)'!B28</f>
        <v>0</v>
      </c>
      <c r="D21" s="506" t="s">
        <v>804</v>
      </c>
      <c r="E21" s="506" t="s">
        <v>804</v>
      </c>
      <c r="F21" s="506" t="s">
        <v>804</v>
      </c>
      <c r="G21" s="506" t="s">
        <v>804</v>
      </c>
      <c r="H21" s="506" t="s">
        <v>804</v>
      </c>
      <c r="I21" s="506" t="s">
        <v>804</v>
      </c>
      <c r="J21" s="506" t="s">
        <v>804</v>
      </c>
      <c r="K21" s="506" t="s">
        <v>804</v>
      </c>
      <c r="L21" s="506" t="s">
        <v>804</v>
      </c>
      <c r="N21" s="458">
        <f t="shared" si="8"/>
        <v>0</v>
      </c>
      <c r="O21" s="506" t="s">
        <v>804</v>
      </c>
      <c r="P21" s="458">
        <f t="shared" si="9"/>
        <v>0</v>
      </c>
      <c r="Q21" s="458">
        <f t="shared" si="7"/>
        <v>0</v>
      </c>
      <c r="S21" s="463"/>
      <c r="T21" s="463"/>
    </row>
    <row r="22" spans="2:24">
      <c r="B22" s="678" t="s">
        <v>700</v>
      </c>
      <c r="C22" s="457">
        <f>'Inputs (AUD)'!B33/'Inputs (AUD)'!C33-1</f>
        <v>0.47491211249600496</v>
      </c>
      <c r="D22" s="457">
        <f>'Inputs (AUD)'!C33/'Inputs (AUD)'!D33-1</f>
        <v>0.19473081328751429</v>
      </c>
      <c r="E22" s="457">
        <f>'Inputs (AUD)'!D33/'Inputs (AUD)'!E33-1</f>
        <v>0.60740589198036021</v>
      </c>
      <c r="F22" s="457">
        <f>'Inputs (AUD)'!E33/'Inputs (AUD)'!F33-1</f>
        <v>0.11015216897569835</v>
      </c>
      <c r="G22" s="457">
        <f>'Inputs (AUD)'!F33/'Inputs (AUD)'!G33-1</f>
        <v>0.16082256788821514</v>
      </c>
      <c r="H22" s="457">
        <f>'Inputs (AUD)'!G33/'Inputs (AUD)'!H33-1</f>
        <v>2.4263775971093042</v>
      </c>
      <c r="I22" s="457">
        <f>'Inputs (AUD)'!H33/'Inputs (AUD)'!I33-1</f>
        <v>99.636363636363626</v>
      </c>
      <c r="J22" s="457">
        <f>'Inputs (AUD)'!I33/'Inputs (AUD)'!J33-1</f>
        <v>-0.42105263157894735</v>
      </c>
      <c r="K22" s="457">
        <f>'Inputs (AUD)'!J33/'Inputs (AUD)'!K33-1</f>
        <v>-0.38709677419354849</v>
      </c>
      <c r="L22" s="457">
        <f>'Inputs (AUD)'!K33/'Inputs (AUD)'!L33-1</f>
        <v>6.8965517241379448E-2</v>
      </c>
      <c r="N22" s="458">
        <f t="shared" si="8"/>
        <v>0.42568293925462647</v>
      </c>
      <c r="O22" s="458">
        <f>AVERAGE(C22:G22)</f>
        <v>0.30960471092555858</v>
      </c>
      <c r="P22" s="458">
        <f t="shared" si="9"/>
        <v>10.287158089956961</v>
      </c>
      <c r="Q22" s="458">
        <f t="shared" si="7"/>
        <v>12.758680524287717</v>
      </c>
      <c r="S22" s="463"/>
      <c r="T22" s="463"/>
    </row>
    <row r="23" spans="2:24">
      <c r="B23" s="678" t="s">
        <v>702</v>
      </c>
      <c r="C23" s="457">
        <f>'Inputs (AUD)'!B62/('Inputs (AUD)'!B6-'Inputs (AUD)'!C6)</f>
        <v>1.454216532145839E-2</v>
      </c>
      <c r="D23" s="457">
        <f>'Inputs (AUD)'!C62/('Inputs (AUD)'!C6-'Inputs (AUD)'!D6)</f>
        <v>-9.4693233379364774E-3</v>
      </c>
      <c r="E23" s="457">
        <f>'Inputs (AUD)'!D62/('Inputs (AUD)'!D6-'Inputs (AUD)'!E6)</f>
        <v>-5.6706652126499446E-2</v>
      </c>
      <c r="F23" s="457">
        <f>'Inputs (AUD)'!E62/('Inputs (AUD)'!E6-'Inputs (AUD)'!F6)</f>
        <v>-0.14043583535108958</v>
      </c>
      <c r="G23" s="457">
        <f>'Inputs (AUD)'!F62/('Inputs (AUD)'!F6-'Inputs (AUD)'!G6)</f>
        <v>-0.12269938650306751</v>
      </c>
      <c r="H23" s="457">
        <f>'Inputs (AUD)'!G62/('Inputs (AUD)'!G6-'Inputs (AUD)'!H6)</f>
        <v>-0.19607843137254904</v>
      </c>
      <c r="I23" s="457" t="e">
        <f>'Inputs (AUD)'!H62/('Inputs (AUD)'!H6-'Inputs (AUD)'!I6)</f>
        <v>#DIV/0!</v>
      </c>
      <c r="J23" s="457">
        <f>'Inputs (AUD)'!I62/('Inputs (AUD)'!I6-'Inputs (AUD)'!J6)</f>
        <v>95.999999999999986</v>
      </c>
      <c r="K23" s="457">
        <f>'Inputs (AUD)'!J62/('Inputs (AUD)'!J6-'Inputs (AUD)'!K6)</f>
        <v>0</v>
      </c>
      <c r="L23" s="457">
        <f>'Inputs (AUD)'!K62/('Inputs (AUD)'!K6-'Inputs (AUD)'!L6)</f>
        <v>0</v>
      </c>
      <c r="N23" s="458">
        <f t="shared" si="8"/>
        <v>-1.7211270047659179E-2</v>
      </c>
      <c r="O23" s="458">
        <f>AVERAGE(C23:G23)</f>
        <v>-6.2953806399426923E-2</v>
      </c>
      <c r="P23" s="458" t="e">
        <f t="shared" si="9"/>
        <v>#DIV/0!</v>
      </c>
      <c r="Q23" s="458" t="e">
        <f t="shared" si="7"/>
        <v>#DIV/0!</v>
      </c>
      <c r="S23" s="463">
        <v>2.5000000000000001E-2</v>
      </c>
      <c r="T23" s="463">
        <v>4.4999999999999998E-2</v>
      </c>
    </row>
    <row r="24" spans="2:24">
      <c r="B24" s="678" t="s">
        <v>704</v>
      </c>
      <c r="C24" s="506" t="s">
        <v>804</v>
      </c>
      <c r="D24" s="506" t="s">
        <v>804</v>
      </c>
      <c r="E24" s="506" t="s">
        <v>804</v>
      </c>
      <c r="F24" s="506" t="s">
        <v>804</v>
      </c>
      <c r="G24" s="506" t="s">
        <v>804</v>
      </c>
      <c r="H24" s="506" t="s">
        <v>804</v>
      </c>
      <c r="I24" s="506" t="s">
        <v>804</v>
      </c>
      <c r="J24" s="506" t="s">
        <v>804</v>
      </c>
      <c r="K24" s="506" t="s">
        <v>804</v>
      </c>
      <c r="L24" s="506" t="s">
        <v>804</v>
      </c>
      <c r="N24" s="458" t="e">
        <f t="shared" si="8"/>
        <v>#DIV/0!</v>
      </c>
      <c r="O24" s="506" t="s">
        <v>804</v>
      </c>
      <c r="P24" s="458" t="e">
        <f t="shared" si="9"/>
        <v>#DIV/0!</v>
      </c>
      <c r="Q24" s="458" t="e">
        <f t="shared" si="7"/>
        <v>#DIV/0!</v>
      </c>
      <c r="S24" s="463"/>
      <c r="T24" s="463"/>
      <c r="V24" s="549"/>
      <c r="W24" s="458"/>
      <c r="X24" s="458"/>
    </row>
    <row r="25" spans="2:24">
      <c r="B25" s="678" t="s">
        <v>807</v>
      </c>
      <c r="C25" s="457">
        <f>-'Fin. Data'!B32/'Fin. Data'!B5</f>
        <v>9.4857283464566927E-2</v>
      </c>
      <c r="D25" s="457">
        <f>-'Fin. Data'!C32/'Fin. Data'!C5</f>
        <v>0.1078513786146604</v>
      </c>
      <c r="E25" s="457">
        <f>-'Fin. Data'!D32/'Fin. Data'!D5</f>
        <v>0.11660978384527872</v>
      </c>
      <c r="F25" s="457">
        <f>-'Fin. Data'!E32/'Fin. Data'!E5</f>
        <v>0.26872770511296079</v>
      </c>
      <c r="G25" s="457">
        <f>-'Fin. Data'!F32/'Fin. Data'!F5</f>
        <v>4.16588785046729</v>
      </c>
      <c r="H25" s="457">
        <f>-'Fin. Data'!G32/'Fin. Data'!G5</f>
        <v>21.480392156862745</v>
      </c>
      <c r="I25" s="457" t="e">
        <f>-'Fin. Data'!H32/'Fin. Data'!H5</f>
        <v>#DIV/0!</v>
      </c>
      <c r="J25" s="457" t="e">
        <f>-'Fin. Data'!I32/'Fin. Data'!I5</f>
        <v>#DIV/0!</v>
      </c>
      <c r="K25" s="457">
        <f>-'Fin. Data'!J32/'Fin. Data'!J5</f>
        <v>5.9999999999999991</v>
      </c>
      <c r="L25" s="457">
        <f>-'Fin. Data'!K32/'Fin. Data'!K5</f>
        <v>5.3333333333333339</v>
      </c>
      <c r="N25" s="458">
        <f t="shared" si="8"/>
        <v>0.10643948197483534</v>
      </c>
      <c r="O25" s="458">
        <f>AVERAGE(C25:G25)</f>
        <v>0.95078680030095131</v>
      </c>
      <c r="P25" s="458" t="e">
        <f t="shared" si="9"/>
        <v>#DIV/0!</v>
      </c>
      <c r="Q25" s="458" t="e">
        <f t="shared" si="7"/>
        <v>#DIV/0!</v>
      </c>
      <c r="S25" s="463">
        <v>7.0000000000000007E-2</v>
      </c>
      <c r="T25" s="463">
        <v>0.09</v>
      </c>
      <c r="V25" s="549"/>
      <c r="W25" s="458"/>
      <c r="X25" s="458"/>
    </row>
    <row r="26" spans="2:24">
      <c r="B26" s="678" t="s">
        <v>707</v>
      </c>
      <c r="C26" s="457">
        <f>'Fin. Data'!B33/'Fin. Data'!B5</f>
        <v>-5.5118110236220472E-3</v>
      </c>
      <c r="D26" s="457">
        <f>'Fin. Data'!C33/'Fin. Data'!C5</f>
        <v>-6.4055144586415605E-2</v>
      </c>
      <c r="E26" s="457">
        <f>'Fin. Data'!D33/'Fin. Data'!D5</f>
        <v>-1.1962457337883958</v>
      </c>
      <c r="F26" s="457">
        <f>'Fin. Data'!E33/'Fin. Data'!E5</f>
        <v>0</v>
      </c>
      <c r="G26" s="457">
        <f>'Fin. Data'!F33/'Fin. Data'!F5</f>
        <v>0</v>
      </c>
      <c r="H26" s="457">
        <f>'Fin. Data'!G33/'Fin. Data'!G5</f>
        <v>0.42156862745098039</v>
      </c>
      <c r="I26" s="457" t="e">
        <f>'Fin. Data'!H33/'Fin. Data'!H5</f>
        <v>#DIV/0!</v>
      </c>
      <c r="J26" s="457" t="e">
        <f>'Fin. Data'!I33/'Fin. Data'!I5</f>
        <v>#DIV/0!</v>
      </c>
      <c r="K26" s="457">
        <f>'Fin. Data'!J33/'Fin. Data'!J5</f>
        <v>-10</v>
      </c>
      <c r="L26" s="457">
        <f>'Fin. Data'!K33/'Fin. Data'!K5</f>
        <v>0</v>
      </c>
      <c r="N26" s="458">
        <f t="shared" si="8"/>
        <v>-0.42193756313281111</v>
      </c>
      <c r="O26" s="458">
        <f>AVERAGE(C26:G26)</f>
        <v>-0.25316253787968668</v>
      </c>
      <c r="P26" s="458" t="e">
        <f t="shared" si="9"/>
        <v>#DIV/0!</v>
      </c>
      <c r="Q26" s="458" t="e">
        <f t="shared" si="7"/>
        <v>#DIV/0!</v>
      </c>
      <c r="S26" s="463"/>
      <c r="T26" s="463"/>
      <c r="V26" s="549"/>
      <c r="W26" s="458"/>
      <c r="X26" s="458"/>
    </row>
    <row r="27" spans="2:24">
      <c r="B27" s="678" t="s">
        <v>146</v>
      </c>
      <c r="C27" s="457">
        <f>-'Fin. Data'!B27/'Fin. Data'!B23</f>
        <v>0.13792815022374641</v>
      </c>
      <c r="D27" s="457">
        <f>-'Fin. Data'!C27/'Fin. Data'!C23</f>
        <v>0</v>
      </c>
      <c r="E27" s="457">
        <f>-'Fin. Data'!D27/'Fin. Data'!D23</f>
        <v>0</v>
      </c>
      <c r="F27" s="457">
        <f>-'Fin. Data'!E27/'Fin. Data'!E23</f>
        <v>0</v>
      </c>
      <c r="G27" s="457">
        <f>-'Fin. Data'!F27/'Fin. Data'!F23</f>
        <v>0</v>
      </c>
      <c r="H27" s="457">
        <f>-'Fin. Data'!G27/'Fin. Data'!G23</f>
        <v>0</v>
      </c>
      <c r="I27" s="457">
        <f>-'Fin. Data'!H27/'Fin. Data'!H23</f>
        <v>0</v>
      </c>
      <c r="J27" s="457">
        <f>-'Fin. Data'!I27/'Fin. Data'!I23</f>
        <v>0</v>
      </c>
      <c r="K27" s="457">
        <f>-'Fin. Data'!J27/'Fin. Data'!J23</f>
        <v>0</v>
      </c>
      <c r="L27" s="457">
        <f>-'Fin. Data'!K27/'Fin. Data'!K23</f>
        <v>0</v>
      </c>
      <c r="N27" s="458">
        <f t="shared" si="8"/>
        <v>4.5976050074582137E-2</v>
      </c>
      <c r="O27" s="458">
        <f>AVERAGE(C27:G27)</f>
        <v>2.7585630044749281E-2</v>
      </c>
      <c r="P27" s="458">
        <f t="shared" si="9"/>
        <v>1.379281502237464E-2</v>
      </c>
      <c r="Q27" s="458">
        <f t="shared" si="7"/>
        <v>1.7241018777968301E-2</v>
      </c>
      <c r="S27" s="463">
        <v>7.4999999999999997E-2</v>
      </c>
      <c r="T27" s="463">
        <v>0.17499999999999999</v>
      </c>
      <c r="U27" s="451" t="s">
        <v>808</v>
      </c>
      <c r="V27" s="550"/>
      <c r="W27" s="458"/>
      <c r="X27" s="458"/>
    </row>
    <row r="28" spans="2:24">
      <c r="B28" s="678" t="s">
        <v>709</v>
      </c>
      <c r="C28" s="457">
        <f>-'Fin. Data'!B28/'Fin. Data'!B23</f>
        <v>-5.0186106812763996E-4</v>
      </c>
      <c r="D28" s="457">
        <f>-'Fin. Data'!C28/'Fin. Data'!C23</f>
        <v>-6.4079743681025279E-3</v>
      </c>
      <c r="E28" s="457">
        <f>-'Fin. Data'!D28/'Fin. Data'!D23</f>
        <v>4.663424124513619</v>
      </c>
      <c r="F28" s="457">
        <f>-'Fin. Data'!E28/'Fin. Data'!E23</f>
        <v>1.1228600201409868</v>
      </c>
      <c r="G28" s="457">
        <f>-'Fin. Data'!F28/'Fin. Data'!F23</f>
        <v>2.1003460207612457</v>
      </c>
      <c r="H28" s="457">
        <f>-'Fin. Data'!G28/'Fin. Data'!G23</f>
        <v>8.0618556701030943</v>
      </c>
      <c r="I28" s="457">
        <f>-'Fin. Data'!H28/'Fin. Data'!H23</f>
        <v>2.6307692307692312</v>
      </c>
      <c r="J28" s="457">
        <f>-'Fin. Data'!I28/'Fin. Data'!I23</f>
        <v>2.2068345323741005</v>
      </c>
      <c r="K28" s="457">
        <f>-'Fin. Data'!J28/'Fin. Data'!J23</f>
        <v>0.94545454545454544</v>
      </c>
      <c r="L28" s="457">
        <f>-'Fin. Data'!K28/'Fin. Data'!K23</f>
        <v>0.37499999999999994</v>
      </c>
      <c r="N28" s="458">
        <f t="shared" si="8"/>
        <v>1.5521714296924631</v>
      </c>
      <c r="O28" s="458">
        <f>AVERAGE(C28:G28)</f>
        <v>1.5759440659959243</v>
      </c>
      <c r="P28" s="458">
        <f t="shared" si="9"/>
        <v>2.2099634308680591</v>
      </c>
      <c r="Q28" s="458">
        <f t="shared" si="7"/>
        <v>2.1803272698168845</v>
      </c>
      <c r="S28" s="463">
        <v>0.04</v>
      </c>
      <c r="T28" s="463">
        <v>0.05</v>
      </c>
      <c r="V28" s="549"/>
      <c r="W28" s="552"/>
      <c r="X28" s="552"/>
    </row>
    <row r="29" spans="2:24">
      <c r="B29" s="678" t="s">
        <v>710</v>
      </c>
      <c r="C29" s="457">
        <f>('Fin. Data'!B50+'Fin. Data'!B54)/'Fin. Data'!B5</f>
        <v>4.9089566929133861E-2</v>
      </c>
      <c r="D29" s="457">
        <f>('Fin. Data'!C50+'Fin. Data'!C54)/'Fin. Data'!C5</f>
        <v>7.3806321452589113E-2</v>
      </c>
      <c r="E29" s="457">
        <f>('Fin. Data'!D50+'Fin. Data'!D54)/'Fin. Data'!D5</f>
        <v>0.14618885096700798</v>
      </c>
      <c r="F29" s="457">
        <f>('Fin. Data'!E50+'Fin. Data'!E54)/'Fin. Data'!E5</f>
        <v>0.93460166468489891</v>
      </c>
      <c r="G29" s="457">
        <f>('Fin. Data'!F50+'Fin. Data'!F54)/'Fin. Data'!F5</f>
        <v>0.20794392523364488</v>
      </c>
      <c r="H29" s="457">
        <f>('Fin. Data'!G50+'Fin. Data'!G54)/'Fin. Data'!G5</f>
        <v>6.8627450980392163E-2</v>
      </c>
      <c r="I29" s="457" t="e">
        <f>('Fin. Data'!H50+'Fin. Data'!H54)/'Fin. Data'!H5</f>
        <v>#DIV/0!</v>
      </c>
      <c r="J29" s="457" t="e">
        <f>('Fin. Data'!I50+'Fin. Data'!I54)/'Fin. Data'!I5</f>
        <v>#DIV/0!</v>
      </c>
      <c r="K29" s="457" t="e">
        <f>('Fin. Data'!J50+'Fin. Data'!J54)/'Fin. Data'!J5</f>
        <v>#VALUE!</v>
      </c>
      <c r="L29" s="457" t="e">
        <f>('Fin. Data'!K50+'Fin. Data'!K54)/'Fin. Data'!K5</f>
        <v>#VALUE!</v>
      </c>
      <c r="N29" s="458">
        <f t="shared" si="8"/>
        <v>8.9694913116243655E-2</v>
      </c>
      <c r="O29" s="458">
        <f>AVERAGE(C29:G29)</f>
        <v>0.28232606585345493</v>
      </c>
      <c r="P29" s="458" t="e">
        <f t="shared" si="9"/>
        <v>#DIV/0!</v>
      </c>
      <c r="Q29" s="458" t="e">
        <f t="shared" si="7"/>
        <v>#DIV/0!</v>
      </c>
      <c r="S29" s="463">
        <v>0.09</v>
      </c>
      <c r="T29" s="463">
        <v>0.12</v>
      </c>
      <c r="V29" s="549"/>
      <c r="W29" s="458"/>
      <c r="X29" s="551"/>
    </row>
    <row r="30" spans="2:24">
      <c r="B30" s="678" t="s">
        <v>711</v>
      </c>
      <c r="C30" s="506" t="s">
        <v>804</v>
      </c>
      <c r="D30" s="506" t="s">
        <v>804</v>
      </c>
      <c r="E30" s="506" t="s">
        <v>804</v>
      </c>
      <c r="F30" s="506" t="s">
        <v>804</v>
      </c>
      <c r="G30" s="506" t="s">
        <v>804</v>
      </c>
      <c r="H30" s="506" t="s">
        <v>804</v>
      </c>
      <c r="I30" s="506" t="s">
        <v>804</v>
      </c>
      <c r="J30" s="506" t="s">
        <v>804</v>
      </c>
      <c r="K30" s="506" t="s">
        <v>804</v>
      </c>
      <c r="L30" s="506" t="s">
        <v>804</v>
      </c>
      <c r="N30" s="458" t="e">
        <f t="shared" si="8"/>
        <v>#DIV/0!</v>
      </c>
      <c r="O30" s="506" t="s">
        <v>804</v>
      </c>
      <c r="P30" s="458" t="e">
        <f t="shared" si="9"/>
        <v>#DIV/0!</v>
      </c>
      <c r="Q30" s="458" t="e">
        <f t="shared" si="7"/>
        <v>#DIV/0!</v>
      </c>
      <c r="S30" s="463"/>
      <c r="T30" s="463"/>
    </row>
    <row r="31" spans="2:24">
      <c r="B31" s="678" t="s">
        <v>325</v>
      </c>
      <c r="C31" s="457">
        <f>'Fin. Data'!B58/'Fin. Data'!B19</f>
        <v>0.15232194145932162</v>
      </c>
      <c r="D31" s="457">
        <f>'Fin. Data'!C58/'Fin. Data'!C19</f>
        <v>0.40165061898211823</v>
      </c>
      <c r="E31" s="457">
        <f>'Fin. Data'!D58/'Fin. Data'!D19</f>
        <v>-5.0271084337349397</v>
      </c>
      <c r="F31" s="457">
        <f>'Fin. Data'!E58/'Fin. Data'!E19</f>
        <v>-2.6808510638297873</v>
      </c>
      <c r="G31" s="457">
        <f>'Fin. Data'!F58/'Fin. Data'!F19</f>
        <v>-11.779661016949152</v>
      </c>
      <c r="H31" s="457">
        <f>'Fin. Data'!G58/'Fin. Data'!G19</f>
        <v>-10.330708661417322</v>
      </c>
      <c r="I31" s="457">
        <f>'Fin. Data'!H58/'Fin. Data'!H19</f>
        <v>-4.4748201438848918</v>
      </c>
      <c r="J31" s="457" t="e">
        <f>'Fin. Data'!I58/'Fin. Data'!I19</f>
        <v>#VALUE!</v>
      </c>
      <c r="K31" s="457" t="e">
        <f>'Fin. Data'!J58/'Fin. Data'!J19</f>
        <v>#VALUE!</v>
      </c>
      <c r="L31" s="457" t="e">
        <f>'Fin. Data'!K58/'Fin. Data'!K19</f>
        <v>#VALUE!</v>
      </c>
      <c r="N31" s="458">
        <f t="shared" si="8"/>
        <v>-1.4910452910978333</v>
      </c>
      <c r="O31" s="458">
        <f>AVERAGE(C31:G31)</f>
        <v>-3.7867295908144882</v>
      </c>
      <c r="P31" s="458" t="e">
        <f t="shared" si="9"/>
        <v>#VALUE!</v>
      </c>
      <c r="Q31" s="458" t="e">
        <f t="shared" si="7"/>
        <v>#VALUE!</v>
      </c>
      <c r="S31" s="503">
        <v>0.12</v>
      </c>
      <c r="T31" s="503">
        <v>0.15</v>
      </c>
    </row>
    <row r="34" spans="2:13" s="450" customFormat="1" ht="14.1">
      <c r="B34" s="460" t="s">
        <v>809</v>
      </c>
    </row>
    <row r="35" spans="2:13">
      <c r="K35" s="458"/>
    </row>
    <row r="36" spans="2:13">
      <c r="B36" s="765"/>
      <c r="C36" s="766"/>
    </row>
    <row r="37" spans="2:13">
      <c r="B37" s="765" t="s">
        <v>810</v>
      </c>
      <c r="C37" s="766"/>
    </row>
    <row r="38" spans="2:13">
      <c r="B38" s="765"/>
      <c r="C38" s="766"/>
    </row>
    <row r="39" spans="2:13">
      <c r="B39" s="765"/>
      <c r="C39" s="766"/>
    </row>
    <row r="40" spans="2:13">
      <c r="B40" s="765"/>
      <c r="C40" s="766"/>
    </row>
    <row r="41" spans="2:13">
      <c r="B41" s="765"/>
      <c r="C41" s="766"/>
    </row>
    <row r="42" spans="2:13">
      <c r="B42" s="765"/>
      <c r="C42" s="766"/>
    </row>
    <row r="43" spans="2:13">
      <c r="B43" s="765"/>
      <c r="C43" s="766"/>
    </row>
    <row r="44" spans="2:13">
      <c r="B44" s="765"/>
      <c r="C44" s="766"/>
    </row>
    <row r="45" spans="2:13">
      <c r="B45" s="765"/>
      <c r="C45" s="766"/>
    </row>
    <row r="46" spans="2:13">
      <c r="B46" s="765"/>
      <c r="C46" s="766"/>
    </row>
    <row r="47" spans="2:13">
      <c r="B47" s="765"/>
      <c r="C47" s="766"/>
    </row>
    <row r="48" spans="2:13">
      <c r="B48" s="765"/>
      <c r="C48" s="766"/>
      <c r="H48" s="836" t="s">
        <v>134</v>
      </c>
      <c r="I48" s="836" t="s">
        <v>811</v>
      </c>
      <c r="J48" s="836" t="s">
        <v>812</v>
      </c>
      <c r="K48" s="451" t="s">
        <v>813</v>
      </c>
      <c r="L48" s="838" t="s">
        <v>814</v>
      </c>
      <c r="M48" s="451" t="s">
        <v>815</v>
      </c>
    </row>
    <row r="49" spans="2:13">
      <c r="B49" s="765"/>
      <c r="C49" s="766"/>
      <c r="H49" s="836">
        <v>2020</v>
      </c>
      <c r="I49" s="836">
        <v>310</v>
      </c>
      <c r="J49" s="835" t="s">
        <v>301</v>
      </c>
      <c r="K49" s="451">
        <v>8400</v>
      </c>
      <c r="L49" s="839" t="s">
        <v>301</v>
      </c>
      <c r="M49" s="458">
        <f>F8</f>
        <v>0.96495327102803741</v>
      </c>
    </row>
    <row r="50" spans="2:13">
      <c r="B50" s="765"/>
      <c r="C50" s="766"/>
      <c r="H50" s="836">
        <v>2021</v>
      </c>
      <c r="I50" s="836">
        <v>508</v>
      </c>
      <c r="J50" s="837">
        <f t="shared" ref="J50:J64" si="10">I50/I49-1</f>
        <v>0.6387096774193548</v>
      </c>
      <c r="K50" s="451">
        <v>12600</v>
      </c>
      <c r="L50" s="666">
        <f>K50/K49-1</f>
        <v>0.5</v>
      </c>
      <c r="M50" s="458">
        <f>E8</f>
        <v>1.090368608799049</v>
      </c>
    </row>
    <row r="51" spans="2:13">
      <c r="B51" s="765"/>
      <c r="C51" s="766"/>
      <c r="H51" s="836">
        <v>2022</v>
      </c>
      <c r="I51" s="836">
        <v>690</v>
      </c>
      <c r="J51" s="666">
        <f t="shared" si="10"/>
        <v>0.3582677165354331</v>
      </c>
      <c r="K51" s="451">
        <v>68100</v>
      </c>
      <c r="L51" s="666">
        <f>K51/K50-1</f>
        <v>4.4047619047619051</v>
      </c>
      <c r="M51" s="458">
        <f>D8</f>
        <v>5.7667804323094423</v>
      </c>
    </row>
    <row r="52" spans="2:13">
      <c r="B52" s="765"/>
      <c r="C52" s="766"/>
      <c r="H52" s="836">
        <v>2023</v>
      </c>
      <c r="I52" s="836">
        <v>917</v>
      </c>
      <c r="J52" s="666">
        <f t="shared" si="10"/>
        <v>0.32898550724637676</v>
      </c>
      <c r="K52" s="451">
        <v>46000</v>
      </c>
      <c r="L52" s="666">
        <f>K52/K51-1</f>
        <v>-0.32452276064610863</v>
      </c>
      <c r="M52" s="458">
        <f>C8</f>
        <v>2.4162743779421656</v>
      </c>
    </row>
    <row r="53" spans="2:13">
      <c r="B53" s="765"/>
      <c r="C53" s="766"/>
      <c r="H53" s="836">
        <v>2024</v>
      </c>
      <c r="I53" s="836">
        <v>1072</v>
      </c>
      <c r="J53" s="666">
        <f t="shared" si="10"/>
        <v>0.16902944383860419</v>
      </c>
      <c r="L53" s="666"/>
    </row>
    <row r="54" spans="2:13">
      <c r="B54" s="765"/>
      <c r="C54" s="766"/>
      <c r="H54" s="836">
        <v>2025</v>
      </c>
      <c r="I54" s="836">
        <v>1257</v>
      </c>
      <c r="J54" s="666">
        <f t="shared" si="10"/>
        <v>0.1725746268656716</v>
      </c>
      <c r="L54" s="666"/>
    </row>
    <row r="55" spans="2:13">
      <c r="B55" s="765"/>
      <c r="C55" s="766"/>
      <c r="H55" s="836">
        <v>2026</v>
      </c>
      <c r="I55" s="836">
        <v>1433</v>
      </c>
      <c r="J55" s="666">
        <f t="shared" si="10"/>
        <v>0.14001591089896581</v>
      </c>
      <c r="L55" s="666"/>
    </row>
    <row r="56" spans="2:13">
      <c r="B56" s="765"/>
      <c r="C56" s="766"/>
      <c r="H56" s="836">
        <v>2027</v>
      </c>
      <c r="I56" s="836">
        <v>1628</v>
      </c>
      <c r="J56" s="666">
        <f t="shared" si="10"/>
        <v>0.13607815771109566</v>
      </c>
      <c r="L56" s="666"/>
    </row>
    <row r="57" spans="2:13">
      <c r="B57" s="765"/>
      <c r="C57" s="766"/>
      <c r="H57" s="836">
        <v>2028</v>
      </c>
      <c r="I57" s="836">
        <v>1861</v>
      </c>
      <c r="J57" s="666">
        <f t="shared" si="10"/>
        <v>0.14312039312039304</v>
      </c>
      <c r="L57" s="666"/>
    </row>
    <row r="58" spans="2:13">
      <c r="B58" s="765"/>
      <c r="C58" s="766"/>
      <c r="H58" s="838">
        <v>2029</v>
      </c>
      <c r="I58" s="838">
        <v>2123</v>
      </c>
      <c r="J58" s="666">
        <f t="shared" si="10"/>
        <v>0.14078452444922074</v>
      </c>
      <c r="L58" s="666"/>
    </row>
    <row r="59" spans="2:13">
      <c r="B59" s="765"/>
      <c r="C59" s="766"/>
      <c r="H59" s="838">
        <v>2030</v>
      </c>
      <c r="I59" s="838">
        <v>2453</v>
      </c>
      <c r="J59" s="666">
        <f t="shared" si="10"/>
        <v>0.15544041450777213</v>
      </c>
      <c r="L59" s="666"/>
    </row>
    <row r="60" spans="2:13">
      <c r="B60" s="765"/>
      <c r="C60" s="766"/>
      <c r="H60" s="838">
        <v>2031</v>
      </c>
      <c r="I60" s="838">
        <v>2688</v>
      </c>
      <c r="J60" s="666">
        <f t="shared" si="10"/>
        <v>9.5801059926620358E-2</v>
      </c>
      <c r="L60" s="666"/>
    </row>
    <row r="61" spans="2:13">
      <c r="B61" s="765"/>
      <c r="C61" s="766"/>
      <c r="H61" s="838">
        <v>2032</v>
      </c>
      <c r="I61" s="838">
        <v>2933</v>
      </c>
      <c r="J61" s="666">
        <f t="shared" si="10"/>
        <v>9.1145833333333259E-2</v>
      </c>
      <c r="L61" s="666"/>
    </row>
    <row r="62" spans="2:13">
      <c r="B62" s="765"/>
      <c r="C62" s="766"/>
      <c r="H62" s="838">
        <v>2033</v>
      </c>
      <c r="I62" s="838">
        <v>3182</v>
      </c>
      <c r="J62" s="666">
        <f t="shared" si="10"/>
        <v>8.4896010910330721E-2</v>
      </c>
      <c r="L62" s="666"/>
    </row>
    <row r="63" spans="2:13">
      <c r="B63" s="765"/>
      <c r="C63" s="766"/>
      <c r="H63" s="838">
        <v>2034</v>
      </c>
      <c r="I63" s="838">
        <v>3477</v>
      </c>
      <c r="J63" s="666">
        <f t="shared" si="10"/>
        <v>9.2708988057825348E-2</v>
      </c>
      <c r="L63" s="666"/>
    </row>
    <row r="64" spans="2:13">
      <c r="B64" s="765"/>
      <c r="C64" s="766"/>
      <c r="H64" s="838">
        <v>2035</v>
      </c>
      <c r="I64" s="838">
        <v>3829</v>
      </c>
      <c r="J64" s="666">
        <f t="shared" si="10"/>
        <v>0.10123669830313498</v>
      </c>
      <c r="L64" s="666"/>
    </row>
    <row r="65" spans="2:3">
      <c r="B65" s="765"/>
      <c r="C65" s="766"/>
    </row>
    <row r="66" spans="2:3">
      <c r="B66" s="765"/>
      <c r="C66" s="766"/>
    </row>
    <row r="67" spans="2:3">
      <c r="B67" s="765"/>
      <c r="C67" s="766"/>
    </row>
    <row r="68" spans="2:3">
      <c r="B68" s="765"/>
      <c r="C68" s="766"/>
    </row>
    <row r="69" spans="2:3">
      <c r="B69" s="765"/>
      <c r="C69" s="766"/>
    </row>
    <row r="70" spans="2:3">
      <c r="B70" s="765"/>
      <c r="C70" s="766"/>
    </row>
    <row r="71" spans="2:3">
      <c r="B71" s="765"/>
      <c r="C71" s="766"/>
    </row>
    <row r="72" spans="2:3">
      <c r="B72" s="765"/>
      <c r="C72" s="766"/>
    </row>
    <row r="73" spans="2:3">
      <c r="B73" s="765"/>
      <c r="C73" s="766"/>
    </row>
    <row r="74" spans="2:3">
      <c r="B74" s="765"/>
      <c r="C74" s="766"/>
    </row>
    <row r="75" spans="2:3">
      <c r="B75" s="765"/>
      <c r="C75" s="766"/>
    </row>
    <row r="76" spans="2:3">
      <c r="B76" s="765"/>
      <c r="C76" s="766"/>
    </row>
    <row r="77" spans="2:3">
      <c r="B77" s="765"/>
      <c r="C77" s="766"/>
    </row>
    <row r="78" spans="2:3">
      <c r="B78" s="765"/>
      <c r="C78" s="766"/>
    </row>
    <row r="79" spans="2:3">
      <c r="B79" s="765"/>
      <c r="C79" s="766"/>
    </row>
    <row r="80" spans="2:3">
      <c r="B80" s="765"/>
      <c r="C80" s="766"/>
    </row>
    <row r="81" spans="1:3">
      <c r="B81" s="765"/>
      <c r="C81" s="766"/>
    </row>
    <row r="82" spans="1:3">
      <c r="B82" s="765"/>
      <c r="C82" s="766"/>
    </row>
    <row r="83" spans="1:3">
      <c r="B83" s="765"/>
      <c r="C83" s="766"/>
    </row>
    <row r="84" spans="1:3">
      <c r="B84" s="765"/>
      <c r="C84" s="766"/>
    </row>
    <row r="85" spans="1:3">
      <c r="B85" s="765"/>
      <c r="C85" s="766"/>
    </row>
    <row r="86" spans="1:3">
      <c r="B86" s="765"/>
      <c r="C86" s="766"/>
    </row>
    <row r="87" spans="1:3">
      <c r="B87" s="765"/>
      <c r="C87" s="766"/>
    </row>
    <row r="88" spans="1:3">
      <c r="B88" s="765"/>
      <c r="C88" s="766"/>
    </row>
    <row r="89" spans="1:3">
      <c r="B89" s="765"/>
      <c r="C89" s="766"/>
    </row>
    <row r="90" spans="1:3">
      <c r="B90" s="765"/>
      <c r="C90" s="766"/>
    </row>
    <row r="91" spans="1:3">
      <c r="B91" s="765"/>
      <c r="C91" s="766"/>
    </row>
    <row r="92" spans="1:3">
      <c r="B92" s="765"/>
      <c r="C92" s="766"/>
    </row>
    <row r="93" spans="1:3">
      <c r="B93" s="765"/>
      <c r="C93" s="766"/>
    </row>
    <row r="94" spans="1:3">
      <c r="B94" s="765"/>
      <c r="C94" s="766"/>
    </row>
    <row r="95" spans="1:3">
      <c r="A95" s="765" t="s">
        <v>816</v>
      </c>
      <c r="B95" s="765"/>
      <c r="C95" s="766"/>
    </row>
    <row r="96" spans="1:3" ht="14.1" thickBot="1">
      <c r="B96" s="765"/>
      <c r="C96" s="766"/>
    </row>
    <row r="97" spans="1:35" s="1056" customFormat="1" ht="30" customHeight="1">
      <c r="B97" s="933" t="s">
        <v>817</v>
      </c>
      <c r="C97" s="933" t="s">
        <v>818</v>
      </c>
      <c r="D97" s="933" t="s">
        <v>819</v>
      </c>
      <c r="E97" s="933" t="s">
        <v>820</v>
      </c>
      <c r="F97" s="933" t="s">
        <v>821</v>
      </c>
      <c r="G97" s="933" t="s">
        <v>822</v>
      </c>
      <c r="H97" s="933" t="s">
        <v>823</v>
      </c>
      <c r="I97" s="933" t="s">
        <v>824</v>
      </c>
      <c r="J97" s="933" t="s">
        <v>825</v>
      </c>
      <c r="K97" s="933" t="s">
        <v>826</v>
      </c>
      <c r="L97" s="933" t="s">
        <v>827</v>
      </c>
      <c r="M97" s="933" t="s">
        <v>828</v>
      </c>
      <c r="N97" s="933" t="s">
        <v>829</v>
      </c>
      <c r="O97" s="933" t="s">
        <v>830</v>
      </c>
      <c r="P97" s="933" t="s">
        <v>831</v>
      </c>
      <c r="Q97" s="933" t="s">
        <v>832</v>
      </c>
      <c r="R97" s="933" t="s">
        <v>833</v>
      </c>
      <c r="S97" s="933" t="s">
        <v>834</v>
      </c>
      <c r="T97" s="933" t="s">
        <v>835</v>
      </c>
      <c r="U97" s="933" t="s">
        <v>836</v>
      </c>
      <c r="V97" s="933" t="s">
        <v>837</v>
      </c>
      <c r="W97" s="933" t="s">
        <v>838</v>
      </c>
      <c r="X97" s="933" t="s">
        <v>839</v>
      </c>
      <c r="Y97" s="1071" t="s">
        <v>840</v>
      </c>
      <c r="Z97" s="1072" t="s">
        <v>841</v>
      </c>
      <c r="AA97" s="1073" t="s">
        <v>842</v>
      </c>
      <c r="AB97" s="1074" t="s">
        <v>789</v>
      </c>
    </row>
    <row r="98" spans="1:35" s="939" customFormat="1" ht="30" customHeight="1">
      <c r="B98" s="946" t="s">
        <v>843</v>
      </c>
      <c r="C98" s="937" t="s">
        <v>844</v>
      </c>
      <c r="D98" s="1075"/>
      <c r="E98" s="1075"/>
      <c r="F98" s="1075"/>
      <c r="G98" s="1075"/>
      <c r="H98" s="1075"/>
      <c r="I98" s="1075"/>
      <c r="J98" s="1075"/>
      <c r="K98" s="1075"/>
      <c r="L98" s="1075"/>
      <c r="M98" s="1075"/>
      <c r="N98" s="1075"/>
      <c r="O98" s="1075"/>
      <c r="P98" s="1075"/>
      <c r="Q98" s="1075"/>
      <c r="R98" s="1075"/>
      <c r="S98" s="1075"/>
      <c r="T98" s="1075">
        <v>1037</v>
      </c>
      <c r="U98" s="1075">
        <v>851.1</v>
      </c>
      <c r="V98" s="1075">
        <v>138.19999999999999</v>
      </c>
      <c r="W98" s="1075">
        <v>144.30000000000001</v>
      </c>
      <c r="X98" s="1075">
        <v>176.3</v>
      </c>
      <c r="Y98" s="1075">
        <v>146.4</v>
      </c>
      <c r="Z98" s="1075">
        <v>146.4</v>
      </c>
      <c r="AA98" s="1075">
        <v>159.9</v>
      </c>
      <c r="AB98" s="1075">
        <f ca="1">AVERAGE(Table2[[#This Row],[April Q FY17]]:Table2[[#This Row],[December Q FY24]])</f>
        <v>349.95000000000005</v>
      </c>
    </row>
    <row r="99" spans="1:35" s="939" customFormat="1" ht="30" customHeight="1">
      <c r="A99" s="940"/>
      <c r="B99" s="946" t="s">
        <v>845</v>
      </c>
      <c r="C99" s="937" t="s">
        <v>844</v>
      </c>
      <c r="D99" s="1075"/>
      <c r="E99" s="1075"/>
      <c r="F99" s="1075"/>
      <c r="G99" s="1075"/>
      <c r="H99" s="1075"/>
      <c r="I99" s="1075"/>
      <c r="J99" s="1075"/>
      <c r="K99" s="1075"/>
      <c r="L99" s="1075"/>
      <c r="M99" s="1075"/>
      <c r="N99" s="1075"/>
      <c r="O99" s="1075"/>
      <c r="P99" s="1075"/>
      <c r="Q99" s="1075"/>
      <c r="R99" s="1075">
        <v>83.475999999999999</v>
      </c>
      <c r="S99" s="1075">
        <v>81.430999999999997</v>
      </c>
      <c r="T99" s="1075">
        <v>147.10499999999999</v>
      </c>
      <c r="U99" s="1075">
        <v>162.15100000000001</v>
      </c>
      <c r="V99" s="1075">
        <v>147.1</v>
      </c>
      <c r="W99" s="1075">
        <v>148.1</v>
      </c>
      <c r="X99" s="1075">
        <v>162.80000000000001</v>
      </c>
      <c r="Y99" s="1075">
        <v>144.19999999999999</v>
      </c>
      <c r="Z99" s="1075">
        <v>144.19999999999999</v>
      </c>
      <c r="AA99" s="1075">
        <v>176</v>
      </c>
      <c r="AB99" s="1075">
        <f ca="1">AVERAGE(Table2[[#This Row],[April Q FY17]]:Table2[[#This Row],[December Q FY24]])</f>
        <v>139.65630000000002</v>
      </c>
    </row>
    <row r="100" spans="1:35" s="939" customFormat="1" ht="30" customHeight="1">
      <c r="A100" s="940"/>
      <c r="B100" s="946" t="s">
        <v>369</v>
      </c>
      <c r="C100" s="937" t="s">
        <v>846</v>
      </c>
      <c r="D100" s="1075"/>
      <c r="E100" s="1075"/>
      <c r="F100" s="1075"/>
      <c r="G100" s="1075"/>
      <c r="H100" s="1075"/>
      <c r="I100" s="1075"/>
      <c r="J100" s="1075"/>
      <c r="K100" s="1075"/>
      <c r="L100" s="1075"/>
      <c r="M100" s="1075"/>
      <c r="N100" s="1075"/>
      <c r="O100" s="1075"/>
      <c r="P100" s="1075"/>
      <c r="Q100" s="1075"/>
      <c r="R100" s="1075"/>
      <c r="S100" s="1075">
        <v>169.2</v>
      </c>
      <c r="T100" s="1075"/>
      <c r="U100" s="1075"/>
      <c r="V100" s="1075">
        <v>868</v>
      </c>
      <c r="W100" s="1075">
        <v>1000</v>
      </c>
      <c r="X100" s="1075">
        <v>800</v>
      </c>
      <c r="Y100" s="1075">
        <v>493</v>
      </c>
      <c r="Z100" s="1075">
        <v>493</v>
      </c>
      <c r="AA100" s="1075">
        <v>264</v>
      </c>
      <c r="AB100" s="1075">
        <f ca="1">AVERAGE(Table2[[#This Row],[April Q FY17]]:Table2[[#This Row],[December Q FY24]])</f>
        <v>583.88571428571424</v>
      </c>
    </row>
    <row r="101" spans="1:35" s="939" customFormat="1" ht="30" customHeight="1">
      <c r="B101" s="934" t="s">
        <v>847</v>
      </c>
      <c r="C101" s="937" t="s">
        <v>848</v>
      </c>
      <c r="D101" s="1075"/>
      <c r="E101" s="1075"/>
      <c r="F101" s="1075"/>
      <c r="G101" s="1075"/>
      <c r="H101" s="1075"/>
      <c r="I101" s="1075"/>
      <c r="J101" s="1075"/>
      <c r="K101" s="1075"/>
      <c r="L101" s="1075"/>
      <c r="M101" s="1075"/>
      <c r="N101" s="1075"/>
      <c r="O101" s="1075"/>
      <c r="P101" s="1075"/>
      <c r="Q101" s="1075"/>
      <c r="R101" s="1075"/>
      <c r="S101" s="1075">
        <v>6250</v>
      </c>
      <c r="T101" s="1075">
        <v>4266</v>
      </c>
      <c r="U101" s="1075"/>
      <c r="V101" s="1075">
        <v>4266</v>
      </c>
      <c r="W101" s="1075">
        <v>4840</v>
      </c>
      <c r="X101" s="1075">
        <v>3256</v>
      </c>
      <c r="Y101" s="1075">
        <v>2240</v>
      </c>
      <c r="Z101" s="1075">
        <v>2240</v>
      </c>
      <c r="AA101" s="1075">
        <v>1113</v>
      </c>
      <c r="AB101" s="1075">
        <f ca="1">AVERAGE(Table2[[#This Row],[April Q FY17]]:Table2[[#This Row],[December Q FY24]])</f>
        <v>3558.875</v>
      </c>
    </row>
    <row r="102" spans="1:35" s="939" customFormat="1" ht="30" customHeight="1">
      <c r="B102" s="935"/>
      <c r="C102" s="944"/>
      <c r="D102" s="935"/>
      <c r="E102" s="952"/>
      <c r="F102" s="952"/>
      <c r="G102" s="952"/>
      <c r="H102" s="952"/>
      <c r="I102" s="952"/>
      <c r="J102" s="952"/>
      <c r="K102" s="952"/>
      <c r="L102" s="952"/>
      <c r="M102" s="952"/>
      <c r="N102" s="952"/>
      <c r="O102" s="952"/>
      <c r="P102" s="952"/>
      <c r="Q102" s="952"/>
      <c r="R102" s="952"/>
      <c r="S102" s="952"/>
      <c r="T102" s="952"/>
      <c r="U102" s="952"/>
      <c r="V102" s="952"/>
      <c r="W102" s="952"/>
      <c r="X102" s="952"/>
      <c r="Y102" s="952"/>
      <c r="Z102" s="952"/>
      <c r="AA102" s="952"/>
      <c r="AB102" s="952"/>
    </row>
    <row r="103" spans="1:35" s="1056" customFormat="1" ht="30" customHeight="1">
      <c r="B103" s="947" t="s">
        <v>849</v>
      </c>
      <c r="C103" s="936" t="s">
        <v>818</v>
      </c>
      <c r="D103" s="936" t="s">
        <v>850</v>
      </c>
      <c r="E103" s="936" t="s">
        <v>851</v>
      </c>
      <c r="F103" s="936" t="s">
        <v>852</v>
      </c>
      <c r="G103" s="936" t="s">
        <v>853</v>
      </c>
      <c r="H103" s="936" t="s">
        <v>854</v>
      </c>
      <c r="I103" s="936" t="s">
        <v>855</v>
      </c>
      <c r="J103" s="936" t="s">
        <v>856</v>
      </c>
      <c r="K103" s="936" t="s">
        <v>857</v>
      </c>
      <c r="L103" s="936" t="s">
        <v>858</v>
      </c>
      <c r="M103" s="936" t="s">
        <v>859</v>
      </c>
      <c r="N103" s="936" t="s">
        <v>860</v>
      </c>
      <c r="O103" s="936" t="s">
        <v>861</v>
      </c>
      <c r="P103" s="936" t="s">
        <v>862</v>
      </c>
      <c r="Q103" s="936" t="s">
        <v>863</v>
      </c>
      <c r="R103" s="936" t="s">
        <v>864</v>
      </c>
      <c r="S103" s="936" t="s">
        <v>865</v>
      </c>
      <c r="T103" s="936" t="s">
        <v>866</v>
      </c>
      <c r="U103" s="936" t="s">
        <v>867</v>
      </c>
      <c r="V103" s="936" t="s">
        <v>868</v>
      </c>
      <c r="W103" s="936" t="s">
        <v>869</v>
      </c>
      <c r="X103" s="936" t="s">
        <v>870</v>
      </c>
      <c r="Y103" s="936" t="s">
        <v>871</v>
      </c>
      <c r="Z103" s="936" t="s">
        <v>872</v>
      </c>
      <c r="AA103" s="936" t="s">
        <v>873</v>
      </c>
      <c r="AB103" s="936" t="s">
        <v>874</v>
      </c>
      <c r="AC103" s="936" t="s">
        <v>875</v>
      </c>
      <c r="AD103" s="936" t="s">
        <v>876</v>
      </c>
      <c r="AE103" s="936" t="s">
        <v>877</v>
      </c>
      <c r="AF103" s="936" t="s">
        <v>878</v>
      </c>
      <c r="AG103" s="936" t="s">
        <v>879</v>
      </c>
      <c r="AH103" s="936" t="s">
        <v>880</v>
      </c>
      <c r="AI103" s="1076" t="s">
        <v>685</v>
      </c>
    </row>
    <row r="104" spans="1:35" s="939" customFormat="1" ht="30" customHeight="1">
      <c r="B104" s="948" t="s">
        <v>881</v>
      </c>
      <c r="C104" s="937" t="s">
        <v>882</v>
      </c>
      <c r="D104" s="937"/>
      <c r="E104" s="911" t="s">
        <v>78</v>
      </c>
      <c r="F104" s="911" t="s">
        <v>78</v>
      </c>
      <c r="G104" s="911" t="s">
        <v>78</v>
      </c>
      <c r="H104" s="911" t="s">
        <v>78</v>
      </c>
      <c r="I104" s="911" t="s">
        <v>78</v>
      </c>
      <c r="J104" s="1077">
        <v>0</v>
      </c>
      <c r="K104" s="1077">
        <v>0</v>
      </c>
      <c r="L104" s="1077">
        <v>344549</v>
      </c>
      <c r="M104" s="1077">
        <v>487978</v>
      </c>
      <c r="N104" s="1077">
        <v>762531</v>
      </c>
      <c r="O104" s="1077">
        <v>540426</v>
      </c>
      <c r="P104" s="1077">
        <v>640173</v>
      </c>
      <c r="Q104" s="1077">
        <v>303177</v>
      </c>
      <c r="R104" s="1077">
        <v>65941</v>
      </c>
      <c r="S104" s="1077">
        <v>4954</v>
      </c>
      <c r="T104" s="1077">
        <v>438070</v>
      </c>
      <c r="U104" s="1077">
        <v>372468</v>
      </c>
      <c r="V104" s="1077">
        <v>466121</v>
      </c>
      <c r="W104" s="1077">
        <v>85068</v>
      </c>
      <c r="X104" s="1077">
        <v>672020</v>
      </c>
      <c r="Y104" s="1077">
        <v>639188</v>
      </c>
      <c r="Z104" s="1077">
        <v>779638</v>
      </c>
      <c r="AA104" s="1077">
        <v>815387</v>
      </c>
      <c r="AB104" s="1077">
        <v>1172450</v>
      </c>
      <c r="AC104" s="1077">
        <v>1442545</v>
      </c>
      <c r="AD104" s="1077">
        <v>1095739</v>
      </c>
      <c r="AE104" s="1077">
        <v>1225563</v>
      </c>
      <c r="AF104" s="1077">
        <v>1271150</v>
      </c>
      <c r="AG104" s="1077">
        <v>1411017</v>
      </c>
      <c r="AH104" s="1077">
        <v>1618748</v>
      </c>
      <c r="AI104" s="1078">
        <f ca="1">SUM(Table1[[#This Row],[Q1 FY17]]:Table1[[#This Row],[Q2 FY24]])</f>
        <v>16654901</v>
      </c>
    </row>
    <row r="105" spans="1:35" s="939" customFormat="1" ht="30" customHeight="1">
      <c r="B105" s="949" t="s">
        <v>883</v>
      </c>
      <c r="C105" s="938" t="s">
        <v>884</v>
      </c>
      <c r="D105" s="938"/>
      <c r="E105" s="938" t="str">
        <f>IFERROR(E104/C104-1,"-")</f>
        <v>-</v>
      </c>
      <c r="F105" s="938" t="str">
        <f t="shared" ref="F105" si="11">IFERROR(F104/E104-1,"-")</f>
        <v>-</v>
      </c>
      <c r="G105" s="938" t="str">
        <f t="shared" ref="G105" si="12">IFERROR(G104/F104-1,"-")</f>
        <v>-</v>
      </c>
      <c r="H105" s="938" t="str">
        <f t="shared" ref="H105" si="13">IFERROR(H104/G104-1,"-")</f>
        <v>-</v>
      </c>
      <c r="I105" s="938" t="str">
        <f t="shared" ref="I105" si="14">IFERROR(I104/H104-1,"-")</f>
        <v>-</v>
      </c>
      <c r="J105" s="938" t="str">
        <f t="shared" ref="J105" si="15">IFERROR(J104/I104-1,"-")</f>
        <v>-</v>
      </c>
      <c r="K105" s="938" t="str">
        <f t="shared" ref="K105" si="16">IFERROR(K104/J104-1,"-")</f>
        <v>-</v>
      </c>
      <c r="L105" s="938" t="str">
        <f t="shared" ref="L105" si="17">IFERROR(L104/K104-1,"-")</f>
        <v>-</v>
      </c>
      <c r="M105" s="938">
        <f t="shared" ref="M105" si="18">IFERROR(M104/L104-1,"-")</f>
        <v>0.41628041294561879</v>
      </c>
      <c r="N105" s="938">
        <f t="shared" ref="N105" si="19">IFERROR(N104/M104-1,"-")</f>
        <v>0.56263397120361991</v>
      </c>
      <c r="O105" s="938">
        <f t="shared" ref="O105" si="20">IFERROR(O104/N104-1,"-")</f>
        <v>-0.29127340396652723</v>
      </c>
      <c r="P105" s="938">
        <f t="shared" ref="P105" si="21">IFERROR(P104/O104-1,"-")</f>
        <v>0.18457106060774287</v>
      </c>
      <c r="Q105" s="938">
        <f t="shared" ref="Q105" si="22">IFERROR(Q104/P104-1,"-")</f>
        <v>-0.52641395372813293</v>
      </c>
      <c r="R105" s="938">
        <f t="shared" ref="R105" si="23">IFERROR(R104/Q104-1,"-")</f>
        <v>-0.78249999175399187</v>
      </c>
      <c r="S105" s="938">
        <f t="shared" ref="S105" si="24">IFERROR(S104/R104-1,"-")</f>
        <v>-0.92487223427002929</v>
      </c>
      <c r="T105" s="938">
        <f t="shared" ref="T105" si="25">IFERROR(T104/S104-1,"-")</f>
        <v>87.427533306419051</v>
      </c>
      <c r="U105" s="938">
        <f t="shared" ref="U105" si="26">IFERROR(U104/T104-1,"-")</f>
        <v>-0.14975232268815486</v>
      </c>
      <c r="V105" s="938">
        <f t="shared" ref="V105" si="27">IFERROR(V104/U104-1,"-")</f>
        <v>0.25143904979756648</v>
      </c>
      <c r="W105" s="938">
        <f t="shared" ref="W105" si="28">IFERROR(W104/V104-1,"-")</f>
        <v>-0.81749803162698098</v>
      </c>
      <c r="X105" s="938">
        <f t="shared" ref="X105" si="29">IFERROR(X104/W104-1,"-")</f>
        <v>6.8997978088117744</v>
      </c>
      <c r="Y105" s="938">
        <f t="shared" ref="Y105" si="30">IFERROR(Y104/X104-1,"-")</f>
        <v>-4.8855688818785103E-2</v>
      </c>
      <c r="Z105" s="938">
        <f t="shared" ref="Z105" si="31">IFERROR(Z104/Y104-1,"-")</f>
        <v>0.21973190986063562</v>
      </c>
      <c r="AA105" s="938">
        <f t="shared" ref="AA105" si="32">IFERROR(AA104/Z104-1,"-")</f>
        <v>4.5853331930973074E-2</v>
      </c>
      <c r="AB105" s="938">
        <f t="shared" ref="AB105" si="33">IFERROR(AB104/AA104-1,"-")</f>
        <v>0.43790617216119454</v>
      </c>
      <c r="AC105" s="938">
        <f t="shared" ref="AC105" si="34">IFERROR(AC104/AB104-1,"-")</f>
        <v>0.23036803275192974</v>
      </c>
      <c r="AD105" s="938">
        <f t="shared" ref="AD105" si="35">IFERROR(AD104/AC104-1,"-")</f>
        <v>-0.24041260411286991</v>
      </c>
      <c r="AE105" s="938">
        <f t="shared" ref="AE105" si="36">IFERROR(AE104/AD104-1,"-")</f>
        <v>0.11848076959932974</v>
      </c>
      <c r="AF105" s="938">
        <f t="shared" ref="AF105" si="37">IFERROR(AF104/AE104-1,"-")</f>
        <v>3.7196782213562152E-2</v>
      </c>
      <c r="AG105" s="938">
        <f t="shared" ref="AG105" si="38">IFERROR(AG104/AF104-1,"-")</f>
        <v>0.11003186091334616</v>
      </c>
      <c r="AH105" s="938">
        <f t="shared" ref="AH105" si="39">IFERROR(AH104/AG104-1,"-")</f>
        <v>0.14722076346351609</v>
      </c>
      <c r="AI105" s="1079"/>
    </row>
    <row r="106" spans="1:35" s="939" customFormat="1" ht="30" customHeight="1">
      <c r="B106" s="948" t="s">
        <v>885</v>
      </c>
      <c r="C106" s="937" t="s">
        <v>882</v>
      </c>
      <c r="D106" s="937"/>
      <c r="E106" s="911" t="s">
        <v>78</v>
      </c>
      <c r="F106" s="911" t="s">
        <v>78</v>
      </c>
      <c r="G106" s="911" t="s">
        <v>78</v>
      </c>
      <c r="H106" s="911" t="s">
        <v>78</v>
      </c>
      <c r="I106" s="911" t="s">
        <v>78</v>
      </c>
      <c r="J106" s="1075">
        <v>151812</v>
      </c>
      <c r="K106" s="1075">
        <v>1823205</v>
      </c>
      <c r="L106" s="1075">
        <v>2851161</v>
      </c>
      <c r="M106" s="1075">
        <v>1921907</v>
      </c>
      <c r="N106" s="1075">
        <v>2154690</v>
      </c>
      <c r="O106" s="1075">
        <v>2445917</v>
      </c>
      <c r="P106" s="1075">
        <v>1900027</v>
      </c>
      <c r="Q106" s="1075">
        <v>868441</v>
      </c>
      <c r="R106" s="1075">
        <v>26046</v>
      </c>
      <c r="S106" s="1075">
        <v>21775</v>
      </c>
      <c r="T106" s="1075">
        <v>213621</v>
      </c>
      <c r="U106" s="1075">
        <v>338461</v>
      </c>
      <c r="V106" s="1075">
        <v>612147</v>
      </c>
      <c r="W106" s="1075">
        <v>1639128</v>
      </c>
      <c r="X106" s="1075">
        <v>1976039</v>
      </c>
      <c r="Y106" s="1075">
        <v>2929647</v>
      </c>
      <c r="Z106" s="1075">
        <v>3829865</v>
      </c>
      <c r="AA106" s="1075">
        <v>5261012</v>
      </c>
      <c r="AB106" s="1075">
        <v>6120903</v>
      </c>
      <c r="AC106" s="1075">
        <v>6540334</v>
      </c>
      <c r="AD106" s="1077">
        <v>6360951</v>
      </c>
      <c r="AE106" s="1077">
        <v>6572687</v>
      </c>
      <c r="AF106" s="1077">
        <v>7311878</v>
      </c>
      <c r="AG106" s="1077">
        <v>7741062</v>
      </c>
      <c r="AH106" s="1077">
        <v>7965907</v>
      </c>
      <c r="AI106" s="1078">
        <f ca="1">SUM(Table1[[#This Row],[Q1 FY17]]:Table1[[#This Row],[Q2 FY24]])</f>
        <v>79578623</v>
      </c>
    </row>
    <row r="107" spans="1:35" s="939" customFormat="1" ht="30" customHeight="1">
      <c r="B107" s="949" t="s">
        <v>883</v>
      </c>
      <c r="C107" s="938" t="s">
        <v>884</v>
      </c>
      <c r="D107" s="938"/>
      <c r="E107" s="938" t="str">
        <f>IFERROR(E106/C106-1,"-")</f>
        <v>-</v>
      </c>
      <c r="F107" s="938" t="str">
        <f t="shared" ref="F107" si="40">IFERROR(F106/E106-1,"-")</f>
        <v>-</v>
      </c>
      <c r="G107" s="938" t="str">
        <f t="shared" ref="G107" si="41">IFERROR(G106/F106-1,"-")</f>
        <v>-</v>
      </c>
      <c r="H107" s="938" t="str">
        <f t="shared" ref="H107" si="42">IFERROR(H106/G106-1,"-")</f>
        <v>-</v>
      </c>
      <c r="I107" s="938" t="str">
        <f t="shared" ref="I107" si="43">IFERROR(I106/H106-1,"-")</f>
        <v>-</v>
      </c>
      <c r="J107" s="938" t="str">
        <f t="shared" ref="J107" si="44">IFERROR(J106/I106-1,"-")</f>
        <v>-</v>
      </c>
      <c r="K107" s="938">
        <f t="shared" ref="K107" si="45">IFERROR(K106/J106-1,"-")</f>
        <v>11.009623745158486</v>
      </c>
      <c r="L107" s="938">
        <f t="shared" ref="L107" si="46">IFERROR(L106/K106-1,"-")</f>
        <v>0.56381811151241901</v>
      </c>
      <c r="M107" s="938">
        <f t="shared" ref="M107" si="47">IFERROR(M106/L106-1,"-")</f>
        <v>-0.3259212650565857</v>
      </c>
      <c r="N107" s="938">
        <f t="shared" ref="N107" si="48">IFERROR(N106/M106-1,"-")</f>
        <v>0.12112084507731113</v>
      </c>
      <c r="O107" s="938">
        <f t="shared" ref="O107" si="49">IFERROR(O106/N106-1,"-")</f>
        <v>0.13515958212086199</v>
      </c>
      <c r="P107" s="938">
        <f t="shared" ref="P107" si="50">IFERROR(P106/O106-1,"-")</f>
        <v>-0.22318418817972974</v>
      </c>
      <c r="Q107" s="938">
        <f t="shared" ref="Q107" si="51">IFERROR(Q106/P106-1,"-")</f>
        <v>-0.54293228464648136</v>
      </c>
      <c r="R107" s="938">
        <f t="shared" ref="R107" si="52">IFERROR(R106/Q106-1,"-")</f>
        <v>-0.97000832526331671</v>
      </c>
      <c r="S107" s="938">
        <f t="shared" ref="S107" si="53">IFERROR(S106/R106-1,"-")</f>
        <v>-0.16397911387545117</v>
      </c>
      <c r="T107" s="938">
        <f t="shared" ref="T107" si="54">IFERROR(T106/S106-1,"-")</f>
        <v>8.810378874856486</v>
      </c>
      <c r="U107" s="938">
        <f t="shared" ref="U107" si="55">IFERROR(U106/T106-1,"-")</f>
        <v>0.5843994738345013</v>
      </c>
      <c r="V107" s="938">
        <f t="shared" ref="V107" si="56">IFERROR(V106/U106-1,"-")</f>
        <v>0.80861901371206724</v>
      </c>
      <c r="W107" s="938">
        <f t="shared" ref="W107" si="57">IFERROR(W106/V106-1,"-")</f>
        <v>1.6776705595224675</v>
      </c>
      <c r="X107" s="938">
        <f t="shared" ref="X107" si="58">IFERROR(X106/W106-1,"-")</f>
        <v>0.20554282520950173</v>
      </c>
      <c r="Y107" s="938">
        <f t="shared" ref="Y107" si="59">IFERROR(Y106/X106-1,"-")</f>
        <v>0.48258561698428015</v>
      </c>
      <c r="Z107" s="938">
        <f t="shared" ref="Z107" si="60">IFERROR(Z106/Y106-1,"-")</f>
        <v>0.30727865848684166</v>
      </c>
      <c r="AA107" s="938">
        <f t="shared" ref="AA107" si="61">IFERROR(AA106/Z106-1,"-")</f>
        <v>0.37368079553717948</v>
      </c>
      <c r="AB107" s="938">
        <f t="shared" ref="AB107" si="62">IFERROR(AB106/AA106-1,"-")</f>
        <v>0.1634459301746507</v>
      </c>
      <c r="AC107" s="938">
        <f t="shared" ref="AC107" si="63">IFERROR(AC106/AB106-1,"-")</f>
        <v>6.8524366421098382E-2</v>
      </c>
      <c r="AD107" s="938">
        <f t="shared" ref="AD107" si="64">IFERROR(AD106/AC106-1,"-")</f>
        <v>-2.7427192556221169E-2</v>
      </c>
      <c r="AE107" s="938">
        <f t="shared" ref="AE107" si="65">IFERROR(AE106/AD106-1,"-")</f>
        <v>3.3286846573727713E-2</v>
      </c>
      <c r="AF107" s="938">
        <f t="shared" ref="AF107" si="66">IFERROR(AF106/AE106-1,"-")</f>
        <v>0.1124640500909293</v>
      </c>
      <c r="AG107" s="938">
        <f t="shared" ref="AG107" si="67">IFERROR(AG106/AF106-1,"-")</f>
        <v>5.8696821801457855E-2</v>
      </c>
      <c r="AH107" s="938">
        <f t="shared" ref="AH107" si="68">IFERROR(AH106/AG106-1,"-")</f>
        <v>2.9045756254115984E-2</v>
      </c>
      <c r="AI107" s="1079"/>
    </row>
    <row r="108" spans="1:35" s="939" customFormat="1" ht="30" customHeight="1">
      <c r="B108" s="948" t="s">
        <v>886</v>
      </c>
      <c r="C108" s="937" t="s">
        <v>882</v>
      </c>
      <c r="D108" s="937"/>
      <c r="E108" s="911" t="s">
        <v>78</v>
      </c>
      <c r="F108" s="911" t="s">
        <v>78</v>
      </c>
      <c r="G108" s="911" t="s">
        <v>78</v>
      </c>
      <c r="H108" s="911" t="s">
        <v>78</v>
      </c>
      <c r="I108" s="911" t="s">
        <v>78</v>
      </c>
      <c r="J108" s="1075">
        <f>J106</f>
        <v>151812</v>
      </c>
      <c r="K108" s="1075">
        <f>K106</f>
        <v>1823205</v>
      </c>
      <c r="L108" s="1075">
        <v>3195710</v>
      </c>
      <c r="M108" s="1075">
        <v>2409894</v>
      </c>
      <c r="N108" s="1075">
        <v>2917220</v>
      </c>
      <c r="O108" s="1075">
        <v>2986342</v>
      </c>
      <c r="P108" s="1075">
        <v>2540200</v>
      </c>
      <c r="Q108" s="1075">
        <v>1171618</v>
      </c>
      <c r="R108" s="1075">
        <v>91987</v>
      </c>
      <c r="S108" s="1075">
        <v>26729</v>
      </c>
      <c r="T108" s="1075">
        <v>651691</v>
      </c>
      <c r="U108" s="1075">
        <v>710930</v>
      </c>
      <c r="V108" s="1075">
        <v>1078268</v>
      </c>
      <c r="W108" s="1075">
        <v>2224196</v>
      </c>
      <c r="X108" s="1075">
        <v>2648059</v>
      </c>
      <c r="Y108" s="1075">
        <v>3568836</v>
      </c>
      <c r="Z108" s="1075">
        <v>4672233</v>
      </c>
      <c r="AA108" s="1075">
        <v>6076398</v>
      </c>
      <c r="AB108" s="1075">
        <v>7292353</v>
      </c>
      <c r="AC108" s="1075">
        <v>7982879</v>
      </c>
      <c r="AD108" s="1077">
        <v>7456690</v>
      </c>
      <c r="AE108" s="1077">
        <v>7798250</v>
      </c>
      <c r="AF108" s="1077">
        <v>8583028</v>
      </c>
      <c r="AG108" s="1077">
        <v>9152078</v>
      </c>
      <c r="AH108" s="1077">
        <v>9584655</v>
      </c>
      <c r="AI108" s="1078">
        <f ca="1">SUM(Table1[[#This Row],[Q1 FY17]]:Table1[[#This Row],[Q2 FY24]])</f>
        <v>96795261</v>
      </c>
    </row>
    <row r="109" spans="1:35" s="939" customFormat="1" ht="30" customHeight="1">
      <c r="B109" s="949" t="s">
        <v>883</v>
      </c>
      <c r="C109" s="938" t="s">
        <v>884</v>
      </c>
      <c r="D109" s="938"/>
      <c r="E109" s="938" t="str">
        <f>IFERROR(E108/C108-1,"-")</f>
        <v>-</v>
      </c>
      <c r="F109" s="938" t="str">
        <f t="shared" ref="F109" si="69">IFERROR(F108/E108-1,"-")</f>
        <v>-</v>
      </c>
      <c r="G109" s="938" t="str">
        <f t="shared" ref="G109" si="70">IFERROR(G108/F108-1,"-")</f>
        <v>-</v>
      </c>
      <c r="H109" s="938" t="str">
        <f t="shared" ref="H109" si="71">IFERROR(H108/G108-1,"-")</f>
        <v>-</v>
      </c>
      <c r="I109" s="938" t="str">
        <f t="shared" ref="I109" si="72">IFERROR(I108/H108-1,"-")</f>
        <v>-</v>
      </c>
      <c r="J109" s="938" t="str">
        <f t="shared" ref="J109" si="73">IFERROR(J108/I108-1,"-")</f>
        <v>-</v>
      </c>
      <c r="K109" s="938">
        <f t="shared" ref="K109" si="74">IFERROR(K108/J108-1,"-")</f>
        <v>11.009623745158486</v>
      </c>
      <c r="L109" s="938">
        <f t="shared" ref="L109" si="75">IFERROR(L108/K108-1,"-")</f>
        <v>0.75279795744307409</v>
      </c>
      <c r="M109" s="938">
        <f t="shared" ref="M109" si="76">IFERROR(M108/L108-1,"-")</f>
        <v>-0.24589715587459438</v>
      </c>
      <c r="N109" s="938">
        <f t="shared" ref="N109" si="77">IFERROR(N108/M108-1,"-")</f>
        <v>0.21051797298968333</v>
      </c>
      <c r="O109" s="938">
        <f t="shared" ref="O109" si="78">IFERROR(O108/N108-1,"-")</f>
        <v>2.3694476247934748E-2</v>
      </c>
      <c r="P109" s="938">
        <f t="shared" ref="P109" si="79">IFERROR(P108/O108-1,"-")</f>
        <v>-0.14939414172924603</v>
      </c>
      <c r="Q109" s="938">
        <f t="shared" ref="Q109" si="80">IFERROR(Q108/P108-1,"-")</f>
        <v>-0.53876938823714671</v>
      </c>
      <c r="R109" s="938">
        <f t="shared" ref="R109" si="81">IFERROR(R108/Q108-1,"-")</f>
        <v>-0.92148720828802566</v>
      </c>
      <c r="S109" s="938">
        <f t="shared" ref="S109" si="82">IFERROR(S108/R108-1,"-")</f>
        <v>-0.70942633198169314</v>
      </c>
      <c r="T109" s="938">
        <f t="shared" ref="T109" si="83">IFERROR(T108/S108-1,"-")</f>
        <v>23.381420928579445</v>
      </c>
      <c r="U109" s="938">
        <f t="shared" ref="U109" si="84">IFERROR(U108/T108-1,"-")</f>
        <v>9.0900442080679378E-2</v>
      </c>
      <c r="V109" s="938">
        <f t="shared" ref="V109" si="85">IFERROR(V108/U108-1,"-")</f>
        <v>0.51670065969926715</v>
      </c>
      <c r="W109" s="938">
        <f t="shared" ref="W109" si="86">IFERROR(W108/V108-1,"-")</f>
        <v>1.0627487785967866</v>
      </c>
      <c r="X109" s="938">
        <f t="shared" ref="X109" si="87">IFERROR(X108/W108-1,"-")</f>
        <v>0.19056908653733751</v>
      </c>
      <c r="Y109" s="938">
        <f t="shared" ref="Y109" si="88">IFERROR(Y108/X108-1,"-")</f>
        <v>0.34771770568556071</v>
      </c>
      <c r="Z109" s="938">
        <f t="shared" ref="Z109" si="89">IFERROR(Z108/Y108-1,"-")</f>
        <v>0.30917559674919226</v>
      </c>
      <c r="AA109" s="938">
        <f t="shared" ref="AA109" si="90">IFERROR(AA108/Z108-1,"-")</f>
        <v>0.30053402730557321</v>
      </c>
      <c r="AB109" s="938">
        <f t="shared" ref="AB109" si="91">IFERROR(AB108/AA108-1,"-")</f>
        <v>0.20011115137619351</v>
      </c>
      <c r="AC109" s="938">
        <f t="shared" ref="AC109" si="92">IFERROR(AC108/AB108-1,"-")</f>
        <v>9.4691795638527143E-2</v>
      </c>
      <c r="AD109" s="938">
        <f t="shared" ref="AD109" si="93">IFERROR(AD108/AC108-1,"-")</f>
        <v>-6.5914690677385979E-2</v>
      </c>
      <c r="AE109" s="938">
        <f t="shared" ref="AE109" si="94">IFERROR(AE108/AD108-1,"-")</f>
        <v>4.5805846830161867E-2</v>
      </c>
      <c r="AF109" s="938">
        <f t="shared" ref="AF109" si="95">IFERROR(AF108/AE108-1,"-")</f>
        <v>0.10063514249991989</v>
      </c>
      <c r="AG109" s="938">
        <f t="shared" ref="AG109" si="96">IFERROR(AG108/AF108-1,"-")</f>
        <v>6.6299445836597526E-2</v>
      </c>
      <c r="AH109" s="938">
        <f t="shared" ref="AH109" si="97">IFERROR(AH108/AG108-1,"-")</f>
        <v>4.7265440701008021E-2</v>
      </c>
      <c r="AI109" s="1079"/>
    </row>
    <row r="110" spans="1:35" s="939" customFormat="1" ht="30" customHeight="1">
      <c r="B110" s="948" t="s">
        <v>887</v>
      </c>
      <c r="C110" s="937" t="s">
        <v>888</v>
      </c>
      <c r="D110" s="937"/>
      <c r="E110" s="911" t="s">
        <v>78</v>
      </c>
      <c r="F110" s="911" t="s">
        <v>78</v>
      </c>
      <c r="G110" s="911" t="s">
        <v>78</v>
      </c>
      <c r="H110" s="911" t="s">
        <v>78</v>
      </c>
      <c r="I110" s="911" t="s">
        <v>78</v>
      </c>
      <c r="J110" s="1080" t="s">
        <v>78</v>
      </c>
      <c r="K110" s="1080" t="s">
        <v>78</v>
      </c>
      <c r="L110" s="1080" t="s">
        <v>78</v>
      </c>
      <c r="M110" s="1077">
        <v>173667</v>
      </c>
      <c r="N110" s="1077">
        <v>420221</v>
      </c>
      <c r="O110" s="1077">
        <v>414223</v>
      </c>
      <c r="P110" s="1077">
        <v>456541</v>
      </c>
      <c r="Q110" s="1077">
        <v>202596</v>
      </c>
      <c r="R110" s="1077">
        <v>102251</v>
      </c>
      <c r="S110" s="1077">
        <v>137407</v>
      </c>
      <c r="T110" s="1077">
        <v>199961</v>
      </c>
      <c r="U110" s="1077">
        <v>360227</v>
      </c>
      <c r="V110" s="1077">
        <v>381973</v>
      </c>
      <c r="W110" s="1077">
        <v>415277</v>
      </c>
      <c r="X110" s="1077">
        <v>422111</v>
      </c>
      <c r="Y110" s="1077">
        <v>443691</v>
      </c>
      <c r="Z110" s="1077">
        <v>566027</v>
      </c>
      <c r="AA110" s="1077">
        <v>613202</v>
      </c>
      <c r="AB110" s="1077">
        <v>792428</v>
      </c>
      <c r="AC110" s="1077">
        <v>801968</v>
      </c>
      <c r="AD110" s="1077">
        <v>902924</v>
      </c>
      <c r="AE110" s="1077">
        <v>846949</v>
      </c>
      <c r="AF110" s="1077">
        <v>893500</v>
      </c>
      <c r="AG110" s="1077">
        <v>852148</v>
      </c>
      <c r="AH110" s="1077">
        <v>982028</v>
      </c>
      <c r="AI110" s="1078">
        <f ca="1">SUM(Table1[[#This Row],[Q1 FY17]]:Table1[[#This Row],[Q2 FY24]])</f>
        <v>11381320</v>
      </c>
    </row>
    <row r="111" spans="1:35" s="939" customFormat="1" ht="30" customHeight="1">
      <c r="B111" s="949" t="s">
        <v>883</v>
      </c>
      <c r="C111" s="938" t="s">
        <v>884</v>
      </c>
      <c r="D111" s="938"/>
      <c r="E111" s="938" t="str">
        <f>IFERROR(E110/C110-1,"-")</f>
        <v>-</v>
      </c>
      <c r="F111" s="938" t="str">
        <f t="shared" ref="F111:AH111" si="98">IFERROR(F110/E110-1,"-")</f>
        <v>-</v>
      </c>
      <c r="G111" s="938" t="str">
        <f t="shared" si="98"/>
        <v>-</v>
      </c>
      <c r="H111" s="938" t="str">
        <f t="shared" si="98"/>
        <v>-</v>
      </c>
      <c r="I111" s="938" t="str">
        <f t="shared" si="98"/>
        <v>-</v>
      </c>
      <c r="J111" s="938" t="str">
        <f t="shared" si="98"/>
        <v>-</v>
      </c>
      <c r="K111" s="938" t="str">
        <f t="shared" si="98"/>
        <v>-</v>
      </c>
      <c r="L111" s="938" t="str">
        <f t="shared" si="98"/>
        <v>-</v>
      </c>
      <c r="M111" s="938" t="str">
        <f t="shared" si="98"/>
        <v>-</v>
      </c>
      <c r="N111" s="938">
        <f t="shared" si="98"/>
        <v>1.4196940121036237</v>
      </c>
      <c r="O111" s="938">
        <f t="shared" si="98"/>
        <v>-1.4273441831798017E-2</v>
      </c>
      <c r="P111" s="938">
        <f t="shared" si="98"/>
        <v>0.10216236181959948</v>
      </c>
      <c r="Q111" s="938">
        <f t="shared" si="98"/>
        <v>-0.5562370082862218</v>
      </c>
      <c r="R111" s="938">
        <f t="shared" si="98"/>
        <v>-0.49529605717783176</v>
      </c>
      <c r="S111" s="938">
        <f t="shared" si="98"/>
        <v>0.34382059833155676</v>
      </c>
      <c r="T111" s="938">
        <f t="shared" si="98"/>
        <v>0.45524609372157165</v>
      </c>
      <c r="U111" s="938">
        <f t="shared" si="98"/>
        <v>0.80148628982651626</v>
      </c>
      <c r="V111" s="938">
        <f t="shared" si="98"/>
        <v>6.0367490499046328E-2</v>
      </c>
      <c r="W111" s="938">
        <f t="shared" si="98"/>
        <v>8.7189408675482305E-2</v>
      </c>
      <c r="X111" s="938">
        <f t="shared" si="98"/>
        <v>1.6456485671009879E-2</v>
      </c>
      <c r="Y111" s="938">
        <f t="shared" si="98"/>
        <v>5.1123993451959393E-2</v>
      </c>
      <c r="Z111" s="938">
        <f t="shared" si="98"/>
        <v>0.27572342012797191</v>
      </c>
      <c r="AA111" s="938">
        <f t="shared" si="98"/>
        <v>8.3344080759398365E-2</v>
      </c>
      <c r="AB111" s="938">
        <f t="shared" si="98"/>
        <v>0.29227889015365238</v>
      </c>
      <c r="AC111" s="938">
        <f t="shared" si="98"/>
        <v>1.2038948648962489E-2</v>
      </c>
      <c r="AD111" s="938">
        <f t="shared" si="98"/>
        <v>0.12588532210761527</v>
      </c>
      <c r="AE111" s="938">
        <f t="shared" si="98"/>
        <v>-6.1993035958729625E-2</v>
      </c>
      <c r="AF111" s="938">
        <f t="shared" si="98"/>
        <v>5.496316779404653E-2</v>
      </c>
      <c r="AG111" s="938">
        <f t="shared" si="98"/>
        <v>-4.6280917739227712E-2</v>
      </c>
      <c r="AH111" s="938">
        <f t="shared" si="98"/>
        <v>0.15241483873693307</v>
      </c>
      <c r="AI111" s="1079"/>
    </row>
    <row r="112" spans="1:35" s="939" customFormat="1" ht="30" customHeight="1">
      <c r="B112" s="960" t="s">
        <v>889</v>
      </c>
      <c r="C112" s="961" t="s">
        <v>890</v>
      </c>
      <c r="D112" s="941"/>
      <c r="E112" s="1081">
        <v>16000</v>
      </c>
      <c r="F112" s="1081">
        <v>19000</v>
      </c>
      <c r="G112" s="1081">
        <v>23084.600000000002</v>
      </c>
      <c r="H112" s="1081">
        <v>25704</v>
      </c>
      <c r="I112" s="1081">
        <v>24460.149999999998</v>
      </c>
      <c r="J112" s="1081">
        <v>21795.200000000001</v>
      </c>
      <c r="K112" s="1081">
        <v>14406</v>
      </c>
      <c r="L112" s="1081">
        <v>11466.78</v>
      </c>
      <c r="M112" s="1081">
        <v>11441.039999999999</v>
      </c>
      <c r="N112" s="1081">
        <v>11068.300000000001</v>
      </c>
      <c r="O112" s="1081">
        <v>9262.5</v>
      </c>
      <c r="P112" s="1081">
        <v>7809.9999999999991</v>
      </c>
      <c r="Q112" s="1081">
        <v>6873.5999999999995</v>
      </c>
      <c r="R112" s="1081">
        <v>6095.52</v>
      </c>
      <c r="S112" s="1081">
        <v>5675.55</v>
      </c>
      <c r="T112" s="1081">
        <v>6266.5</v>
      </c>
      <c r="U112" s="1081">
        <v>10177.200000000001</v>
      </c>
      <c r="V112" s="1081">
        <v>13699.8</v>
      </c>
      <c r="W112" s="1081">
        <v>18540</v>
      </c>
      <c r="X112" s="1081">
        <v>33313.200000000004</v>
      </c>
      <c r="Y112" s="1081">
        <v>62960.000000000007</v>
      </c>
      <c r="Z112" s="1081">
        <v>71366.399999999994</v>
      </c>
      <c r="AA112" s="1081">
        <v>71540</v>
      </c>
      <c r="AB112" s="1081">
        <v>78173.600000000006</v>
      </c>
      <c r="AC112" s="1081">
        <v>56979</v>
      </c>
      <c r="AD112" s="1081">
        <v>37102</v>
      </c>
      <c r="AE112" s="1081">
        <v>32476.999999999996</v>
      </c>
      <c r="AF112" s="1081">
        <v>18379.400000000001</v>
      </c>
      <c r="AG112" s="963"/>
      <c r="AH112" s="963"/>
      <c r="AI112" s="1082"/>
    </row>
    <row r="113" spans="1:180" s="939" customFormat="1" ht="30" customHeight="1">
      <c r="B113" s="962" t="s">
        <v>883</v>
      </c>
      <c r="C113" s="963" t="s">
        <v>884</v>
      </c>
      <c r="D113" s="963"/>
      <c r="E113" s="963" t="str">
        <f>IFERROR(E112/C112-1,"-")</f>
        <v>-</v>
      </c>
      <c r="F113" s="963">
        <f>IFERROR(F112/E112-1,"-")</f>
        <v>0.1875</v>
      </c>
      <c r="G113" s="963">
        <f t="shared" ref="G113" si="99">IFERROR(G112/F112-1,"-")</f>
        <v>0.21497894736842116</v>
      </c>
      <c r="H113" s="963">
        <f t="shared" ref="H113" si="100">IFERROR(H112/G112-1,"-")</f>
        <v>0.11346958578446231</v>
      </c>
      <c r="I113" s="963">
        <f t="shared" ref="I113" si="101">IFERROR(I112/H112-1,"-")</f>
        <v>-4.8391300964830464E-2</v>
      </c>
      <c r="J113" s="963">
        <f t="shared" ref="J113" si="102">IFERROR(J112/I112-1,"-")</f>
        <v>-0.10895068100563554</v>
      </c>
      <c r="K113" s="963">
        <f t="shared" ref="K113" si="103">IFERROR(K112/J112-1,"-")</f>
        <v>-0.33902877697841727</v>
      </c>
      <c r="L113" s="963">
        <f t="shared" ref="L113" si="104">IFERROR(L112/K112-1,"-")</f>
        <v>-0.20402748854643893</v>
      </c>
      <c r="M113" s="963">
        <f t="shared" ref="M113" si="105">IFERROR(M112/L112-1,"-")</f>
        <v>-2.2447452554249514E-3</v>
      </c>
      <c r="N113" s="963">
        <f t="shared" ref="N113" si="106">IFERROR(N112/M112-1,"-")</f>
        <v>-3.2579206086159829E-2</v>
      </c>
      <c r="O113" s="963">
        <f t="shared" ref="O113" si="107">IFERROR(O112/N112-1,"-")</f>
        <v>-0.16315061933630282</v>
      </c>
      <c r="P113" s="963">
        <f t="shared" ref="P113" si="108">IFERROR(P112/O112-1,"-")</f>
        <v>-0.15681511470985166</v>
      </c>
      <c r="Q113" s="963">
        <f t="shared" ref="Q113" si="109">IFERROR(Q112/P112-1,"-")</f>
        <v>-0.1198975672215109</v>
      </c>
      <c r="R113" s="963">
        <f t="shared" ref="R113" si="110">IFERROR(R112/Q112-1,"-")</f>
        <v>-0.1131983240223462</v>
      </c>
      <c r="S113" s="963">
        <f t="shared" ref="S113" si="111">IFERROR(S112/R112-1,"-")</f>
        <v>-6.8898141585951644E-2</v>
      </c>
      <c r="T113" s="963">
        <f t="shared" ref="T113" si="112">IFERROR(T112/S112-1,"-")</f>
        <v>0.10412206746482711</v>
      </c>
      <c r="U113" s="963">
        <f t="shared" ref="U113" si="113">IFERROR(U112/T112-1,"-")</f>
        <v>0.62406446979972885</v>
      </c>
      <c r="V113" s="963">
        <f t="shared" ref="V113" si="114">IFERROR(V112/U112-1,"-")</f>
        <v>0.34612663600990423</v>
      </c>
      <c r="W113" s="963">
        <f t="shared" ref="W113" si="115">IFERROR(W112/V112-1,"-")</f>
        <v>0.35330442780186577</v>
      </c>
      <c r="X113" s="963">
        <f t="shared" ref="X113" si="116">IFERROR(X112/W112-1,"-")</f>
        <v>0.79682847896440157</v>
      </c>
      <c r="Y113" s="963">
        <f t="shared" ref="Y113" si="117">IFERROR(Y112/X112-1,"-")</f>
        <v>0.88994152468090726</v>
      </c>
      <c r="Z113" s="963">
        <f t="shared" ref="Z113" si="118">IFERROR(Z112/Y112-1,"-")</f>
        <v>0.13351969504447236</v>
      </c>
      <c r="AA113" s="963">
        <f t="shared" ref="AA113" si="119">IFERROR(AA112/Z112-1,"-")</f>
        <v>2.4325172630257352E-3</v>
      </c>
      <c r="AB113" s="963">
        <f t="shared" ref="AB113" si="120">IFERROR(AB112/AA112-1,"-")</f>
        <v>9.2725747833380057E-2</v>
      </c>
      <c r="AC113" s="963">
        <f t="shared" ref="AC113" si="121">IFERROR(AC112/AB112-1,"-")</f>
        <v>-0.27112222028920252</v>
      </c>
      <c r="AD113" s="963">
        <f t="shared" ref="AD113" si="122">IFERROR(AD112/AC112-1,"-")</f>
        <v>-0.3488478211270819</v>
      </c>
      <c r="AE113" s="963">
        <f t="shared" ref="AE113" si="123">IFERROR(AE112/AD112-1,"-")</f>
        <v>-0.12465635275726383</v>
      </c>
      <c r="AF113" s="963">
        <f t="shared" ref="AF113" si="124">IFERROR(AF112/AE112-1,"-")</f>
        <v>-0.43407950241709503</v>
      </c>
    </row>
    <row r="114" spans="1:180" s="939" customFormat="1" ht="30" customHeight="1"/>
    <row r="115" spans="1:180" s="939" customFormat="1" ht="30" customHeight="1"/>
    <row r="116" spans="1:180" s="939" customFormat="1" ht="30" customHeight="1">
      <c r="B116" s="998" t="s">
        <v>849</v>
      </c>
      <c r="C116" s="999" t="s">
        <v>818</v>
      </c>
      <c r="D116" s="999" t="s">
        <v>850</v>
      </c>
      <c r="E116" s="999" t="s">
        <v>851</v>
      </c>
      <c r="F116" s="999" t="s">
        <v>852</v>
      </c>
      <c r="G116" s="999" t="s">
        <v>853</v>
      </c>
      <c r="H116" s="999" t="s">
        <v>854</v>
      </c>
      <c r="I116" s="999" t="s">
        <v>855</v>
      </c>
      <c r="J116" s="999" t="s">
        <v>856</v>
      </c>
      <c r="K116" s="999" t="s">
        <v>857</v>
      </c>
      <c r="L116" s="999" t="s">
        <v>858</v>
      </c>
      <c r="M116" s="999" t="s">
        <v>859</v>
      </c>
      <c r="N116" s="999" t="s">
        <v>860</v>
      </c>
      <c r="O116" s="999" t="s">
        <v>861</v>
      </c>
      <c r="P116" s="999" t="s">
        <v>862</v>
      </c>
      <c r="Q116" s="999" t="s">
        <v>863</v>
      </c>
      <c r="R116" s="999" t="s">
        <v>864</v>
      </c>
      <c r="S116" s="999" t="s">
        <v>865</v>
      </c>
      <c r="T116" s="999" t="s">
        <v>866</v>
      </c>
      <c r="U116" s="999" t="s">
        <v>867</v>
      </c>
      <c r="V116" s="999" t="s">
        <v>868</v>
      </c>
      <c r="W116" s="999" t="s">
        <v>869</v>
      </c>
      <c r="X116" s="999" t="s">
        <v>870</v>
      </c>
      <c r="Y116" s="999" t="s">
        <v>871</v>
      </c>
      <c r="Z116" s="999" t="s">
        <v>872</v>
      </c>
      <c r="AA116" s="999" t="s">
        <v>873</v>
      </c>
      <c r="AB116" s="999" t="s">
        <v>874</v>
      </c>
      <c r="AC116" s="999" t="s">
        <v>875</v>
      </c>
      <c r="AD116" s="999" t="s">
        <v>876</v>
      </c>
      <c r="AE116" s="999" t="s">
        <v>877</v>
      </c>
      <c r="AF116" s="999" t="s">
        <v>878</v>
      </c>
      <c r="AG116" s="999" t="s">
        <v>879</v>
      </c>
      <c r="AH116" s="999" t="s">
        <v>880</v>
      </c>
      <c r="AI116" s="999" t="s">
        <v>685</v>
      </c>
    </row>
    <row r="117" spans="1:180" s="939" customFormat="1" ht="30" customHeight="1">
      <c r="B117" s="997" t="s">
        <v>891</v>
      </c>
      <c r="C117" s="941" t="s">
        <v>892</v>
      </c>
      <c r="D117" s="941"/>
      <c r="E117" s="1083" t="str">
        <f>IFERROR(E106/E108,"-")</f>
        <v>-</v>
      </c>
      <c r="F117" s="1083" t="str">
        <f t="shared" ref="F117:AH117" si="125">IFERROR(F106/F108,"-")</f>
        <v>-</v>
      </c>
      <c r="G117" s="1083" t="str">
        <f t="shared" si="125"/>
        <v>-</v>
      </c>
      <c r="H117" s="1083" t="str">
        <f t="shared" si="125"/>
        <v>-</v>
      </c>
      <c r="I117" s="1083" t="str">
        <f t="shared" si="125"/>
        <v>-</v>
      </c>
      <c r="J117" s="1083">
        <f t="shared" si="125"/>
        <v>1</v>
      </c>
      <c r="K117" s="1083">
        <f t="shared" si="125"/>
        <v>1</v>
      </c>
      <c r="L117" s="1083">
        <f t="shared" si="125"/>
        <v>0.89218389653629393</v>
      </c>
      <c r="M117" s="1083">
        <f t="shared" si="125"/>
        <v>0.79750686129763382</v>
      </c>
      <c r="N117" s="1083">
        <f t="shared" si="125"/>
        <v>0.73861073213538919</v>
      </c>
      <c r="O117" s="1083">
        <f t="shared" si="125"/>
        <v>0.81903445754036208</v>
      </c>
      <c r="P117" s="1083">
        <f t="shared" si="125"/>
        <v>0.74798322966695541</v>
      </c>
      <c r="Q117" s="1083">
        <f t="shared" si="125"/>
        <v>0.74123221049864374</v>
      </c>
      <c r="R117" s="1083">
        <f t="shared" si="125"/>
        <v>0.28314870579538415</v>
      </c>
      <c r="S117" s="1083">
        <f t="shared" si="125"/>
        <v>0.81465823637247936</v>
      </c>
      <c r="T117" s="1083">
        <f t="shared" si="125"/>
        <v>0.32779492121266063</v>
      </c>
      <c r="U117" s="1083">
        <f t="shared" si="125"/>
        <v>0.47608203339287974</v>
      </c>
      <c r="V117" s="1083">
        <f t="shared" si="125"/>
        <v>0.56771322157385729</v>
      </c>
      <c r="W117" s="1083">
        <f t="shared" si="125"/>
        <v>0.73695303831137182</v>
      </c>
      <c r="X117" s="1083">
        <f t="shared" si="125"/>
        <v>0.74622166651120692</v>
      </c>
      <c r="Y117" s="1083">
        <f t="shared" si="125"/>
        <v>0.8208970655978588</v>
      </c>
      <c r="Z117" s="1083">
        <f t="shared" si="125"/>
        <v>0.81970762160191923</v>
      </c>
      <c r="AA117" s="1083">
        <f t="shared" si="125"/>
        <v>0.8658109623497342</v>
      </c>
      <c r="AB117" s="1083">
        <f t="shared" si="125"/>
        <v>0.83935912043753236</v>
      </c>
      <c r="AC117" s="1083">
        <f t="shared" si="125"/>
        <v>0.81929514402009596</v>
      </c>
      <c r="AD117" s="1083">
        <f t="shared" si="125"/>
        <v>0.85305289612415158</v>
      </c>
      <c r="AE117" s="1083">
        <f t="shared" si="125"/>
        <v>0.84284127849196933</v>
      </c>
      <c r="AF117" s="1083">
        <f t="shared" si="125"/>
        <v>0.85189958602022497</v>
      </c>
      <c r="AG117" s="1083">
        <f t="shared" si="125"/>
        <v>0.84582561468553918</v>
      </c>
      <c r="AH117" s="1083">
        <f t="shared" si="125"/>
        <v>0.83111045728823829</v>
      </c>
    </row>
    <row r="118" spans="1:180" s="939" customFormat="1" ht="30" customHeight="1">
      <c r="B118" s="997" t="s">
        <v>893</v>
      </c>
      <c r="C118" s="941" t="s">
        <v>892</v>
      </c>
      <c r="D118" s="941"/>
      <c r="E118" s="1083" t="str">
        <f>IFERROR(E110/E104,"-")</f>
        <v>-</v>
      </c>
      <c r="F118" s="1083" t="str">
        <f t="shared" ref="F118:AH118" si="126">IFERROR(F110/F104,"-")</f>
        <v>-</v>
      </c>
      <c r="G118" s="1083" t="str">
        <f t="shared" si="126"/>
        <v>-</v>
      </c>
      <c r="H118" s="1083" t="str">
        <f t="shared" si="126"/>
        <v>-</v>
      </c>
      <c r="I118" s="1083" t="str">
        <f t="shared" si="126"/>
        <v>-</v>
      </c>
      <c r="J118" s="1083" t="str">
        <f t="shared" si="126"/>
        <v>-</v>
      </c>
      <c r="K118" s="1083" t="str">
        <f t="shared" si="126"/>
        <v>-</v>
      </c>
      <c r="L118" s="1083" t="str">
        <f t="shared" si="126"/>
        <v>-</v>
      </c>
      <c r="M118" s="1083">
        <f t="shared" si="126"/>
        <v>0.35589104426838913</v>
      </c>
      <c r="N118" s="1083">
        <f t="shared" si="126"/>
        <v>0.55108710334399524</v>
      </c>
      <c r="O118" s="1083">
        <f t="shared" si="126"/>
        <v>0.76647496604530496</v>
      </c>
      <c r="P118" s="1083">
        <f t="shared" si="126"/>
        <v>0.71315253845444904</v>
      </c>
      <c r="Q118" s="1083">
        <f t="shared" si="126"/>
        <v>0.66824330341681593</v>
      </c>
      <c r="R118" s="1083">
        <f t="shared" si="126"/>
        <v>1.5506437572981908</v>
      </c>
      <c r="S118" s="1083">
        <f t="shared" si="126"/>
        <v>27.736576503835284</v>
      </c>
      <c r="T118" s="1083">
        <f t="shared" si="126"/>
        <v>0.45645901339968498</v>
      </c>
      <c r="U118" s="1083">
        <f t="shared" si="126"/>
        <v>0.96713543176863515</v>
      </c>
      <c r="V118" s="1083">
        <f t="shared" si="126"/>
        <v>0.8194717680602247</v>
      </c>
      <c r="W118" s="1083">
        <f t="shared" si="126"/>
        <v>4.8817063995862133</v>
      </c>
      <c r="X118" s="1083">
        <f t="shared" si="126"/>
        <v>0.62812267492038931</v>
      </c>
      <c r="Y118" s="1083">
        <f t="shared" si="126"/>
        <v>0.69414788763243362</v>
      </c>
      <c r="Z118" s="1083">
        <f t="shared" si="126"/>
        <v>0.72601258532806257</v>
      </c>
      <c r="AA118" s="1083">
        <f t="shared" si="126"/>
        <v>0.75203798932286137</v>
      </c>
      <c r="AB118" s="1083">
        <f t="shared" si="126"/>
        <v>0.67587359802123759</v>
      </c>
      <c r="AC118" s="1083">
        <f t="shared" si="126"/>
        <v>0.55593967605863248</v>
      </c>
      <c r="AD118" s="1083">
        <f t="shared" si="126"/>
        <v>0.82403200032124435</v>
      </c>
      <c r="AE118" s="1083">
        <f t="shared" si="126"/>
        <v>0.69106932895330553</v>
      </c>
      <c r="AF118" s="1083">
        <f t="shared" si="126"/>
        <v>0.70290681666207766</v>
      </c>
      <c r="AG118" s="1083">
        <f t="shared" si="126"/>
        <v>0.60392468694565693</v>
      </c>
      <c r="AH118" s="1083">
        <f t="shared" si="126"/>
        <v>0.60665897347826836</v>
      </c>
    </row>
    <row r="119" spans="1:180" s="939" customFormat="1" ht="30" customHeight="1">
      <c r="B119" s="952" t="s">
        <v>894</v>
      </c>
      <c r="C119" s="1020"/>
      <c r="D119" s="1020"/>
      <c r="E119" s="1084" t="str">
        <f t="shared" ref="E119:AH119" si="127">IFERROR(E104/E108,"-")</f>
        <v>-</v>
      </c>
      <c r="F119" s="1084" t="str">
        <f t="shared" si="127"/>
        <v>-</v>
      </c>
      <c r="G119" s="1084" t="str">
        <f t="shared" si="127"/>
        <v>-</v>
      </c>
      <c r="H119" s="1084" t="str">
        <f t="shared" si="127"/>
        <v>-</v>
      </c>
      <c r="I119" s="1084" t="str">
        <f t="shared" si="127"/>
        <v>-</v>
      </c>
      <c r="J119" s="1084">
        <f t="shared" si="127"/>
        <v>0</v>
      </c>
      <c r="K119" s="1084">
        <f t="shared" si="127"/>
        <v>0</v>
      </c>
      <c r="L119" s="1084">
        <f t="shared" si="127"/>
        <v>0.10781610346370603</v>
      </c>
      <c r="M119" s="1084">
        <f t="shared" si="127"/>
        <v>0.20248940409827154</v>
      </c>
      <c r="N119" s="1084">
        <f t="shared" si="127"/>
        <v>0.26138961065672112</v>
      </c>
      <c r="O119" s="1084">
        <f t="shared" si="127"/>
        <v>0.18096587731746733</v>
      </c>
      <c r="P119" s="1084">
        <f t="shared" si="127"/>
        <v>0.25201677033304465</v>
      </c>
      <c r="Q119" s="1084">
        <f t="shared" si="127"/>
        <v>0.25876778950135626</v>
      </c>
      <c r="R119" s="1084">
        <f t="shared" si="127"/>
        <v>0.71685129420461591</v>
      </c>
      <c r="S119" s="1084">
        <f t="shared" si="127"/>
        <v>0.18534176362752067</v>
      </c>
      <c r="T119" s="1084">
        <f t="shared" si="127"/>
        <v>0.67220507878733937</v>
      </c>
      <c r="U119" s="1084">
        <f t="shared" si="127"/>
        <v>0.52391655999887476</v>
      </c>
      <c r="V119" s="1084">
        <f t="shared" si="127"/>
        <v>0.43228677842614266</v>
      </c>
      <c r="W119" s="1084">
        <f t="shared" si="127"/>
        <v>3.824662934381682E-2</v>
      </c>
      <c r="X119" s="1084">
        <f t="shared" si="127"/>
        <v>0.25377833348879314</v>
      </c>
      <c r="Y119" s="1084">
        <f t="shared" si="127"/>
        <v>0.17910265419873594</v>
      </c>
      <c r="Z119" s="1084">
        <f t="shared" si="127"/>
        <v>0.16686625003504749</v>
      </c>
      <c r="AA119" s="1084">
        <f t="shared" si="127"/>
        <v>0.13418920222144765</v>
      </c>
      <c r="AB119" s="1084">
        <f t="shared" si="127"/>
        <v>0.16077800951215609</v>
      </c>
      <c r="AC119" s="1084">
        <f t="shared" si="127"/>
        <v>0.18070485597990399</v>
      </c>
      <c r="AD119" s="1084">
        <f t="shared" si="127"/>
        <v>0.14694710387584839</v>
      </c>
      <c r="AE119" s="1084">
        <f t="shared" si="127"/>
        <v>0.15715872150803065</v>
      </c>
      <c r="AF119" s="1084">
        <f t="shared" si="127"/>
        <v>0.14810041397977497</v>
      </c>
      <c r="AG119" s="1084">
        <f t="shared" si="127"/>
        <v>0.15417449457926385</v>
      </c>
      <c r="AH119" s="1084">
        <f t="shared" si="127"/>
        <v>0.16888954271176165</v>
      </c>
    </row>
    <row r="120" spans="1:180" ht="30" customHeight="1">
      <c r="B120" s="939"/>
      <c r="C120" s="945"/>
    </row>
    <row r="121" spans="1:180" s="1056" customFormat="1" ht="30" customHeight="1">
      <c r="B121" s="933" t="s">
        <v>895</v>
      </c>
      <c r="C121" s="933" t="s">
        <v>818</v>
      </c>
      <c r="D121" s="936" t="s">
        <v>850</v>
      </c>
      <c r="E121" s="933" t="s">
        <v>747</v>
      </c>
      <c r="F121" s="933" t="s">
        <v>748</v>
      </c>
      <c r="G121" s="933" t="s">
        <v>749</v>
      </c>
      <c r="H121" s="933" t="s">
        <v>750</v>
      </c>
      <c r="I121" s="933" t="s">
        <v>751</v>
      </c>
      <c r="J121" s="933" t="s">
        <v>752</v>
      </c>
      <c r="K121" s="933" t="s">
        <v>896</v>
      </c>
      <c r="L121" s="933" t="s">
        <v>897</v>
      </c>
      <c r="M121" s="933" t="s">
        <v>685</v>
      </c>
      <c r="N121" s="1060" t="s">
        <v>898</v>
      </c>
      <c r="O121" s="1060" t="s">
        <v>758</v>
      </c>
      <c r="P121" s="1060" t="s">
        <v>759</v>
      </c>
      <c r="Q121" s="1060" t="s">
        <v>760</v>
      </c>
      <c r="R121" s="1060" t="s">
        <v>761</v>
      </c>
      <c r="S121" s="1060" t="s">
        <v>762</v>
      </c>
      <c r="T121" s="1060" t="s">
        <v>763</v>
      </c>
      <c r="U121" s="1060" t="s">
        <v>764</v>
      </c>
      <c r="V121" s="1060" t="s">
        <v>765</v>
      </c>
      <c r="W121" s="1060" t="s">
        <v>766</v>
      </c>
      <c r="X121" s="1060" t="s">
        <v>767</v>
      </c>
      <c r="Y121" s="1060" t="s">
        <v>768</v>
      </c>
      <c r="Z121" s="1060" t="s">
        <v>769</v>
      </c>
      <c r="AA121" s="1060" t="s">
        <v>770</v>
      </c>
      <c r="AB121" s="1060" t="s">
        <v>771</v>
      </c>
      <c r="AC121" s="1060" t="s">
        <v>772</v>
      </c>
      <c r="AD121" s="1060" t="s">
        <v>773</v>
      </c>
      <c r="AE121" s="1060" t="s">
        <v>774</v>
      </c>
      <c r="AF121" s="1060" t="s">
        <v>775</v>
      </c>
      <c r="AG121" s="1060" t="s">
        <v>776</v>
      </c>
      <c r="AH121" s="1060" t="s">
        <v>777</v>
      </c>
      <c r="AI121" s="1060" t="s">
        <v>778</v>
      </c>
      <c r="AJ121" s="1060" t="s">
        <v>779</v>
      </c>
      <c r="AK121" s="1060" t="s">
        <v>780</v>
      </c>
      <c r="AL121" s="1060" t="s">
        <v>781</v>
      </c>
      <c r="AM121" s="1060" t="s">
        <v>782</v>
      </c>
      <c r="AN121" s="1060" t="s">
        <v>899</v>
      </c>
    </row>
    <row r="122" spans="1:180" s="939" customFormat="1" ht="30" customHeight="1">
      <c r="B122" s="950" t="s">
        <v>881</v>
      </c>
      <c r="C122" s="941" t="s">
        <v>882</v>
      </c>
      <c r="D122" s="941"/>
      <c r="E122" s="1061">
        <f>SUM(E104:H104)</f>
        <v>0</v>
      </c>
      <c r="F122" s="1062">
        <f>SUM(I104:L104)</f>
        <v>344549</v>
      </c>
      <c r="G122" s="1062">
        <f>SUM(M104:P104)</f>
        <v>2431108</v>
      </c>
      <c r="H122" s="1062">
        <f>SUM(Q104:T104)</f>
        <v>812142</v>
      </c>
      <c r="I122" s="1062">
        <f>SUM(U104:X104)</f>
        <v>1595677</v>
      </c>
      <c r="J122" s="1062">
        <f>SUM(Y104:AB104)</f>
        <v>3406663</v>
      </c>
      <c r="K122" s="1062">
        <f>SUM(AC104:AF104)</f>
        <v>5034997</v>
      </c>
      <c r="L122" s="1062">
        <f>SUM(AG104:AH104)</f>
        <v>3029765</v>
      </c>
      <c r="M122" s="1063">
        <f>SUM(E122:L122)</f>
        <v>16654901</v>
      </c>
      <c r="N122" s="1064">
        <f t="shared" ref="N122:AM122" si="128">N128/M134</f>
        <v>3530444.9258031915</v>
      </c>
      <c r="O122" s="1064">
        <f t="shared" si="128"/>
        <v>2012078.5333514565</v>
      </c>
      <c r="P122" s="1064">
        <f t="shared" si="128"/>
        <v>2369806.5647916547</v>
      </c>
      <c r="Q122" s="1064">
        <f t="shared" si="128"/>
        <v>2755725.0768540967</v>
      </c>
      <c r="R122" s="1064">
        <f t="shared" si="128"/>
        <v>3169163.2781501464</v>
      </c>
      <c r="S122" s="1064">
        <f t="shared" si="128"/>
        <v>3609471.491758483</v>
      </c>
      <c r="T122" s="1064">
        <f t="shared" si="128"/>
        <v>4076020.3309378177</v>
      </c>
      <c r="U122" s="1064">
        <f t="shared" si="128"/>
        <v>4588749.6063459273</v>
      </c>
      <c r="V122" s="1064">
        <f t="shared" si="128"/>
        <v>5164183.0944393491</v>
      </c>
      <c r="W122" s="1064">
        <f t="shared" si="128"/>
        <v>5769990.1185785262</v>
      </c>
      <c r="X122" s="1064">
        <f t="shared" si="128"/>
        <v>6405480.7741622673</v>
      </c>
      <c r="Y122" s="1064">
        <f t="shared" si="128"/>
        <v>7069985.8935766667</v>
      </c>
      <c r="Z122" s="1064">
        <f t="shared" si="128"/>
        <v>7762856.2728719376</v>
      </c>
      <c r="AA122" s="1064">
        <f t="shared" si="128"/>
        <v>8483461.9327895641</v>
      </c>
      <c r="AB122" s="1064">
        <f t="shared" si="128"/>
        <v>9231191.4123727046</v>
      </c>
      <c r="AC122" s="1064">
        <f t="shared" si="128"/>
        <v>10005451.093495961</v>
      </c>
      <c r="AD122" s="1064">
        <f t="shared" si="128"/>
        <v>10805664.554747045</v>
      </c>
      <c r="AE122" s="1064">
        <f t="shared" si="128"/>
        <v>11631271.953182934</v>
      </c>
      <c r="AF122" s="1064">
        <f t="shared" si="128"/>
        <v>12481729.43256765</v>
      </c>
      <c r="AG122" s="1064">
        <f t="shared" si="128"/>
        <v>13356508.556777619</v>
      </c>
      <c r="AH122" s="1064">
        <f t="shared" si="128"/>
        <v>14255095.767134659</v>
      </c>
      <c r="AI122" s="1064">
        <f t="shared" si="128"/>
        <v>15176991.862495955</v>
      </c>
      <c r="AJ122" s="1064">
        <f t="shared" si="128"/>
        <v>16121711.500995336</v>
      </c>
      <c r="AK122" s="1064">
        <f t="shared" si="128"/>
        <v>17088782.722391218</v>
      </c>
      <c r="AL122" s="1064">
        <f t="shared" si="128"/>
        <v>18077746.490033701</v>
      </c>
      <c r="AM122" s="1064">
        <f t="shared" si="128"/>
        <v>19088156.251517091</v>
      </c>
      <c r="AN122" s="1065">
        <f>(AM122/O122)^(1/(2049-2025)-1)</f>
        <v>0.11576952200777238</v>
      </c>
    </row>
    <row r="123" spans="1:180" s="939" customFormat="1" ht="30" customHeight="1">
      <c r="B123" s="951" t="s">
        <v>204</v>
      </c>
      <c r="C123" s="942" t="s">
        <v>892</v>
      </c>
      <c r="D123" s="942"/>
      <c r="E123" s="1066" t="str">
        <f>IFERROR(E122/C122-1,"-")</f>
        <v>-</v>
      </c>
      <c r="F123" s="1066" t="str">
        <f t="shared" ref="F123:M123" si="129">IFERROR(F122/E122-1,"-")</f>
        <v>-</v>
      </c>
      <c r="G123" s="1066">
        <f t="shared" si="129"/>
        <v>6.0559136726561391</v>
      </c>
      <c r="H123" s="1066">
        <f t="shared" si="129"/>
        <v>-0.66593750668419505</v>
      </c>
      <c r="I123" s="1066">
        <f t="shared" si="129"/>
        <v>0.96477586431929385</v>
      </c>
      <c r="J123" s="1066">
        <f t="shared" si="129"/>
        <v>1.1349326962787583</v>
      </c>
      <c r="K123" s="1066">
        <f t="shared" si="129"/>
        <v>0.47798505458273977</v>
      </c>
      <c r="L123" s="1066">
        <f t="shared" si="129"/>
        <v>-0.39825882716514027</v>
      </c>
      <c r="M123" s="1066">
        <f t="shared" si="129"/>
        <v>4.4970933389223253</v>
      </c>
      <c r="N123" s="1066">
        <f>IFERROR(N122/L122-1,"-")</f>
        <v>0.16525371631238439</v>
      </c>
      <c r="O123" s="1066">
        <f>IFERROR(O122/(L122+N122)-1,"-")</f>
        <v>-0.69329052635383315</v>
      </c>
      <c r="P123" s="1066">
        <f t="shared" ref="P123:AM123" si="130">IFERROR(P122/O122-1,"-")</f>
        <v>0.17779029272994706</v>
      </c>
      <c r="Q123" s="1066">
        <f t="shared" si="130"/>
        <v>0.16284810659066196</v>
      </c>
      <c r="R123" s="1066">
        <f t="shared" si="130"/>
        <v>0.1500288271745982</v>
      </c>
      <c r="S123" s="1066">
        <f t="shared" si="130"/>
        <v>0.13893516204862322</v>
      </c>
      <c r="T123" s="1066">
        <f t="shared" si="130"/>
        <v>0.12925682894146884</v>
      </c>
      <c r="U123" s="1066">
        <f t="shared" si="130"/>
        <v>0.12579163835773599</v>
      </c>
      <c r="V123" s="1066">
        <f t="shared" si="130"/>
        <v>0.12540093434116262</v>
      </c>
      <c r="W123" s="1066">
        <f t="shared" si="130"/>
        <v>0.11730936201535802</v>
      </c>
      <c r="X123" s="1066">
        <f t="shared" si="130"/>
        <v>0.1101372173129993</v>
      </c>
      <c r="Y123" s="1066">
        <f t="shared" si="130"/>
        <v>0.10374008491209707</v>
      </c>
      <c r="Z123" s="1066">
        <f t="shared" si="130"/>
        <v>9.800166361361029E-2</v>
      </c>
      <c r="AA123" s="1066">
        <f t="shared" si="130"/>
        <v>9.2827386542741142E-2</v>
      </c>
      <c r="AB123" s="1066">
        <f t="shared" si="130"/>
        <v>8.8139663442477367E-2</v>
      </c>
      <c r="AC123" s="1066">
        <f t="shared" si="130"/>
        <v>8.3874296018334515E-2</v>
      </c>
      <c r="AD123" s="1066">
        <f t="shared" si="130"/>
        <v>7.9977749506092932E-2</v>
      </c>
      <c r="AE123" s="1066">
        <f t="shared" si="130"/>
        <v>7.6405055353415685E-2</v>
      </c>
      <c r="AF123" s="1066">
        <f t="shared" si="130"/>
        <v>7.3118183704060424E-2</v>
      </c>
      <c r="AG123" s="1066">
        <f t="shared" si="130"/>
        <v>7.0084769016661497E-2</v>
      </c>
      <c r="AH123" s="1066">
        <f t="shared" si="130"/>
        <v>6.7277103633573532E-2</v>
      </c>
      <c r="AI123" s="1066">
        <f t="shared" si="130"/>
        <v>6.4671336511589184E-2</v>
      </c>
      <c r="AJ123" s="1066">
        <f t="shared" si="130"/>
        <v>6.2246830403453579E-2</v>
      </c>
      <c r="AK123" s="1066">
        <f t="shared" si="130"/>
        <v>5.9985642426126695E-2</v>
      </c>
      <c r="AL123" s="1066">
        <f t="shared" si="130"/>
        <v>5.7872101466107218E-2</v>
      </c>
      <c r="AM123" s="1066">
        <f t="shared" si="130"/>
        <v>5.58924621517638E-2</v>
      </c>
      <c r="AN123" s="1067"/>
    </row>
    <row r="124" spans="1:180" s="939" customFormat="1" ht="30" customHeight="1">
      <c r="A124" s="940"/>
      <c r="B124" s="950" t="s">
        <v>885</v>
      </c>
      <c r="C124" s="941" t="s">
        <v>882</v>
      </c>
      <c r="D124" s="941"/>
      <c r="E124" s="1061">
        <f>SUM(E106:H106)</f>
        <v>0</v>
      </c>
      <c r="F124" s="1062">
        <f>SUM(I106:L106)</f>
        <v>4826178</v>
      </c>
      <c r="G124" s="1062">
        <f>SUM(M106:P106)</f>
        <v>8422541</v>
      </c>
      <c r="H124" s="1062">
        <f>SUM(Q106:T106)</f>
        <v>1129883</v>
      </c>
      <c r="I124" s="1062">
        <f>SUM(U106:X106)</f>
        <v>4565775</v>
      </c>
      <c r="J124" s="1062">
        <f>SUM(Y106:AB106)</f>
        <v>18141427</v>
      </c>
      <c r="K124" s="1062">
        <f>SUM(AC106:AF106)</f>
        <v>26785850</v>
      </c>
      <c r="L124" s="1062">
        <f>SUM(AG106:AH106)</f>
        <v>15706969</v>
      </c>
      <c r="M124" s="1063">
        <f t="shared" ref="M124" si="131">SUM(E124:L124)</f>
        <v>79578623</v>
      </c>
      <c r="N124" s="1064">
        <f t="shared" ref="N124:AM124" si="132">N126-N122</f>
        <v>17647749.768803451</v>
      </c>
      <c r="O124" s="1064">
        <f t="shared" si="132"/>
        <v>9706363.3544392865</v>
      </c>
      <c r="P124" s="1064">
        <f t="shared" si="132"/>
        <v>11041519.505036768</v>
      </c>
      <c r="Q124" s="1064">
        <f t="shared" si="132"/>
        <v>12410463.832801921</v>
      </c>
      <c r="R124" s="1064">
        <f t="shared" si="132"/>
        <v>13805294.793198651</v>
      </c>
      <c r="S124" s="1064">
        <f t="shared" si="132"/>
        <v>15219094.209721012</v>
      </c>
      <c r="T124" s="1064">
        <f t="shared" si="132"/>
        <v>16645796.242046855</v>
      </c>
      <c r="U124" s="1064">
        <f t="shared" si="132"/>
        <v>18161407.938253932</v>
      </c>
      <c r="V124" s="1064">
        <f t="shared" si="132"/>
        <v>19819542.401008714</v>
      </c>
      <c r="W124" s="1064">
        <f t="shared" si="132"/>
        <v>21485271.13621477</v>
      </c>
      <c r="X124" s="1064">
        <f t="shared" si="132"/>
        <v>23153472.277419448</v>
      </c>
      <c r="Y124" s="1064">
        <f t="shared" si="132"/>
        <v>24819621.043669261</v>
      </c>
      <c r="Z124" s="1064">
        <f t="shared" si="132"/>
        <v>26479718.970042396</v>
      </c>
      <c r="AA124" s="1064">
        <f t="shared" si="132"/>
        <v>28130232.515209086</v>
      </c>
      <c r="AB124" s="1064">
        <f t="shared" si="132"/>
        <v>29768039.648705032</v>
      </c>
      <c r="AC124" s="1064">
        <f t="shared" si="132"/>
        <v>31390383.252465304</v>
      </c>
      <c r="AD124" s="1064">
        <f t="shared" si="132"/>
        <v>32994830.360695615</v>
      </c>
      <c r="AE124" s="1064">
        <f t="shared" si="132"/>
        <v>34579236.417766593</v>
      </c>
      <c r="AF124" s="1064">
        <f t="shared" si="132"/>
        <v>36141713.862115405</v>
      </c>
      <c r="AG124" s="1064">
        <f t="shared" si="132"/>
        <v>37680604.450345874</v>
      </c>
      <c r="AH124" s="1064">
        <f t="shared" si="132"/>
        <v>39194454.823978879</v>
      </c>
      <c r="AI124" s="1064">
        <f t="shared" si="132"/>
        <v>40681994.894922107</v>
      </c>
      <c r="AJ124" s="1064">
        <f t="shared" si="132"/>
        <v>42142118.687350869</v>
      </c>
      <c r="AK124" s="1064">
        <f t="shared" si="132"/>
        <v>43573867.325449817</v>
      </c>
      <c r="AL124" s="1064">
        <f t="shared" si="132"/>
        <v>44976413.900080673</v>
      </c>
      <c r="AM124" s="1064">
        <f t="shared" si="132"/>
        <v>46349049.984310776</v>
      </c>
      <c r="AN124" s="1065">
        <f>(AM124/O124)^(1/(2049-2025)-1)</f>
        <v>0.2235150239305716</v>
      </c>
      <c r="AO124" s="940"/>
      <c r="AP124" s="940"/>
      <c r="AQ124" s="940"/>
      <c r="AR124" s="940"/>
      <c r="AS124" s="940"/>
      <c r="AT124" s="940"/>
      <c r="AU124" s="940"/>
      <c r="AV124" s="940"/>
      <c r="AW124" s="940"/>
      <c r="AX124" s="940"/>
      <c r="AY124" s="940"/>
      <c r="BC124" s="940"/>
      <c r="BD124" s="940"/>
      <c r="BE124" s="940"/>
      <c r="BF124" s="940"/>
      <c r="BG124" s="940"/>
      <c r="BH124" s="940"/>
      <c r="BI124" s="940"/>
      <c r="BJ124" s="940"/>
      <c r="BK124" s="940"/>
      <c r="BL124" s="940"/>
      <c r="BM124" s="940"/>
      <c r="BN124" s="940"/>
      <c r="BO124" s="940"/>
      <c r="BP124" s="940"/>
      <c r="BQ124" s="940"/>
      <c r="BR124" s="940"/>
      <c r="BS124" s="940"/>
      <c r="BT124" s="940"/>
      <c r="BU124" s="940"/>
      <c r="BV124" s="940"/>
      <c r="BW124" s="940"/>
      <c r="BX124" s="940"/>
      <c r="BY124" s="940"/>
      <c r="BZ124" s="940"/>
      <c r="CA124" s="940"/>
      <c r="CB124" s="940"/>
      <c r="CC124" s="940"/>
      <c r="CD124" s="940"/>
      <c r="CE124" s="940"/>
      <c r="CF124" s="940"/>
      <c r="CG124" s="940"/>
      <c r="CH124" s="940"/>
      <c r="CI124" s="940"/>
      <c r="CJ124" s="940"/>
      <c r="CK124" s="940"/>
      <c r="CL124" s="940"/>
      <c r="CM124" s="940"/>
      <c r="CN124" s="940"/>
      <c r="CO124" s="940"/>
      <c r="CP124" s="940"/>
      <c r="CQ124" s="940"/>
      <c r="CR124" s="940"/>
      <c r="CS124" s="940"/>
      <c r="CT124" s="940"/>
      <c r="CU124" s="940"/>
      <c r="CV124" s="940"/>
      <c r="CW124" s="940"/>
      <c r="CX124" s="940"/>
      <c r="CY124" s="940"/>
      <c r="CZ124" s="940"/>
      <c r="DA124" s="940"/>
      <c r="DB124" s="940"/>
      <c r="DC124" s="940"/>
      <c r="DD124" s="940"/>
      <c r="DE124" s="940"/>
      <c r="DF124" s="940"/>
      <c r="DG124" s="940"/>
      <c r="DH124" s="940"/>
      <c r="DI124" s="940"/>
      <c r="DJ124" s="940"/>
      <c r="DK124" s="940"/>
      <c r="DL124" s="940"/>
      <c r="DM124" s="940"/>
      <c r="DN124" s="940"/>
      <c r="DO124" s="940"/>
      <c r="DP124" s="940"/>
      <c r="DQ124" s="940"/>
      <c r="DR124" s="940"/>
      <c r="DS124" s="940"/>
      <c r="DT124" s="940"/>
      <c r="DU124" s="940"/>
      <c r="DV124" s="940"/>
      <c r="DW124" s="940"/>
      <c r="DX124" s="940"/>
      <c r="DY124" s="940"/>
      <c r="DZ124" s="940"/>
      <c r="EA124" s="940"/>
      <c r="EB124" s="940"/>
      <c r="EC124" s="940"/>
      <c r="ED124" s="940"/>
      <c r="EE124" s="940"/>
      <c r="EF124" s="940"/>
      <c r="EG124" s="940"/>
      <c r="EH124" s="940"/>
      <c r="EI124" s="940"/>
      <c r="EJ124" s="940"/>
      <c r="EK124" s="940"/>
      <c r="EL124" s="940"/>
      <c r="EM124" s="940"/>
      <c r="EN124" s="940"/>
      <c r="EO124" s="940"/>
      <c r="EP124" s="940"/>
      <c r="EQ124" s="940"/>
      <c r="ER124" s="940"/>
      <c r="ES124" s="940"/>
      <c r="ET124" s="940"/>
      <c r="EU124" s="940"/>
      <c r="EV124" s="940"/>
      <c r="EW124" s="940"/>
      <c r="EX124" s="940"/>
      <c r="EY124" s="940"/>
      <c r="EZ124" s="940"/>
      <c r="FA124" s="940"/>
      <c r="FB124" s="940"/>
      <c r="FC124" s="940"/>
      <c r="FD124" s="940"/>
      <c r="FE124" s="940"/>
      <c r="FF124" s="940"/>
      <c r="FG124" s="940"/>
      <c r="FH124" s="940"/>
      <c r="FI124" s="940"/>
      <c r="FJ124" s="940"/>
      <c r="FK124" s="940"/>
      <c r="FL124" s="940"/>
      <c r="FM124" s="940"/>
      <c r="FN124" s="940"/>
      <c r="FO124" s="940"/>
      <c r="FP124" s="940"/>
      <c r="FQ124" s="940"/>
      <c r="FR124" s="940"/>
      <c r="FS124" s="940"/>
      <c r="FT124" s="940"/>
      <c r="FU124" s="940"/>
      <c r="FV124" s="940"/>
      <c r="FW124" s="940"/>
      <c r="FX124" s="940"/>
    </row>
    <row r="125" spans="1:180" s="939" customFormat="1" ht="30" customHeight="1">
      <c r="A125" s="940"/>
      <c r="B125" s="951" t="s">
        <v>204</v>
      </c>
      <c r="C125" s="942" t="s">
        <v>892</v>
      </c>
      <c r="D125" s="942"/>
      <c r="E125" s="1066" t="str">
        <f>IFERROR(E124/C124-1,"-")</f>
        <v>-</v>
      </c>
      <c r="F125" s="1066" t="str">
        <f t="shared" ref="F125:M125" si="133">IFERROR(F124/E124-1,"-")</f>
        <v>-</v>
      </c>
      <c r="G125" s="1066">
        <f t="shared" si="133"/>
        <v>0.74517827564586314</v>
      </c>
      <c r="H125" s="1066">
        <f t="shared" si="133"/>
        <v>-0.86585010390569783</v>
      </c>
      <c r="I125" s="1066">
        <f t="shared" si="133"/>
        <v>3.040927246449411</v>
      </c>
      <c r="J125" s="1066">
        <f t="shared" si="133"/>
        <v>2.9733510740235776</v>
      </c>
      <c r="K125" s="1066">
        <f t="shared" si="133"/>
        <v>0.47650182094275162</v>
      </c>
      <c r="L125" s="1066">
        <f t="shared" si="133"/>
        <v>-0.4136094617120607</v>
      </c>
      <c r="M125" s="1066">
        <f t="shared" si="133"/>
        <v>4.0664531775672312</v>
      </c>
      <c r="N125" s="1066">
        <f>IFERROR(N124/L124-1,"-")</f>
        <v>0.12356176222181703</v>
      </c>
      <c r="O125" s="1066">
        <f>IFERROR(O124/(L124+N124)-1,"-")</f>
        <v>-0.70899579691501957</v>
      </c>
      <c r="P125" s="1066">
        <f t="shared" ref="P125:AM125" si="134">IFERROR(P124/O124-1,"-")</f>
        <v>0.13755472588885076</v>
      </c>
      <c r="Q125" s="1066">
        <f t="shared" si="134"/>
        <v>0.12398151605317431</v>
      </c>
      <c r="R125" s="1066">
        <f t="shared" si="134"/>
        <v>0.112391525344127</v>
      </c>
      <c r="S125" s="1066">
        <f t="shared" si="134"/>
        <v>0.10240994036714723</v>
      </c>
      <c r="T125" s="1066">
        <f t="shared" si="134"/>
        <v>9.3744214515378621E-2</v>
      </c>
      <c r="U125" s="1066">
        <f t="shared" si="134"/>
        <v>9.1050717800971182E-2</v>
      </c>
      <c r="V125" s="1066">
        <f t="shared" si="134"/>
        <v>9.1299885360881294E-2</v>
      </c>
      <c r="W125" s="1066">
        <f t="shared" si="134"/>
        <v>8.4044762563301179E-2</v>
      </c>
      <c r="X125" s="1066">
        <f t="shared" si="134"/>
        <v>7.7643941778924974E-2</v>
      </c>
      <c r="Y125" s="1066">
        <f t="shared" si="134"/>
        <v>7.1961075483038206E-2</v>
      </c>
      <c r="Z125" s="1066">
        <f t="shared" si="134"/>
        <v>6.6886513837268069E-2</v>
      </c>
      <c r="AA125" s="1066">
        <f t="shared" si="134"/>
        <v>6.2331233463390756E-2</v>
      </c>
      <c r="AB125" s="1066">
        <f t="shared" si="134"/>
        <v>5.8222310555394063E-2</v>
      </c>
      <c r="AC125" s="1066">
        <f t="shared" si="134"/>
        <v>5.4499510982438659E-2</v>
      </c>
      <c r="AD125" s="1066">
        <f t="shared" si="134"/>
        <v>5.1112695736338365E-2</v>
      </c>
      <c r="AE125" s="1066">
        <f t="shared" si="134"/>
        <v>4.8019827341145183E-2</v>
      </c>
      <c r="AF125" s="1066">
        <f t="shared" si="134"/>
        <v>4.5185423572454031E-2</v>
      </c>
      <c r="AG125" s="1066">
        <f t="shared" si="134"/>
        <v>4.257934734643487E-2</v>
      </c>
      <c r="AH125" s="1066">
        <f t="shared" si="134"/>
        <v>4.0175851627537007E-2</v>
      </c>
      <c r="AI125" s="1066">
        <f t="shared" si="134"/>
        <v>3.7952819541022587E-2</v>
      </c>
      <c r="AJ125" s="1066">
        <f t="shared" si="134"/>
        <v>3.5891155195317381E-2</v>
      </c>
      <c r="AK125" s="1066">
        <f t="shared" si="134"/>
        <v>3.3974291817670199E-2</v>
      </c>
      <c r="AL125" s="1066">
        <f t="shared" si="134"/>
        <v>3.2187791920220032E-2</v>
      </c>
      <c r="AM125" s="1066">
        <f t="shared" si="134"/>
        <v>3.0519020197553814E-2</v>
      </c>
      <c r="AN125" s="1068"/>
      <c r="AO125" s="940"/>
      <c r="AP125" s="940"/>
      <c r="AQ125" s="940"/>
      <c r="AR125" s="940"/>
      <c r="AS125" s="940"/>
      <c r="AT125" s="940"/>
      <c r="AU125" s="940"/>
      <c r="AV125" s="940"/>
      <c r="AW125" s="940"/>
      <c r="AX125" s="940"/>
      <c r="AY125" s="940"/>
      <c r="BC125" s="940"/>
      <c r="BD125" s="940"/>
      <c r="BE125" s="940"/>
      <c r="BF125" s="940"/>
      <c r="BG125" s="940"/>
      <c r="BH125" s="940"/>
      <c r="BI125" s="940"/>
      <c r="BJ125" s="940"/>
      <c r="BK125" s="940"/>
      <c r="BL125" s="940"/>
      <c r="BM125" s="940"/>
      <c r="BN125" s="940"/>
      <c r="BO125" s="940"/>
      <c r="BP125" s="940"/>
      <c r="BQ125" s="940"/>
      <c r="BR125" s="940"/>
      <c r="BS125" s="940"/>
      <c r="BT125" s="940"/>
      <c r="BU125" s="940"/>
      <c r="BV125" s="940"/>
      <c r="BW125" s="940"/>
      <c r="BX125" s="940"/>
      <c r="BY125" s="940"/>
      <c r="BZ125" s="940"/>
      <c r="CA125" s="940"/>
      <c r="CB125" s="940"/>
      <c r="CC125" s="940"/>
      <c r="CD125" s="940"/>
      <c r="CE125" s="940"/>
      <c r="CF125" s="940"/>
      <c r="CG125" s="940"/>
      <c r="CH125" s="940"/>
      <c r="CI125" s="940"/>
      <c r="CJ125" s="940"/>
      <c r="CK125" s="940"/>
      <c r="CL125" s="940"/>
      <c r="CM125" s="940"/>
      <c r="CN125" s="940"/>
      <c r="CO125" s="940"/>
      <c r="CP125" s="940"/>
      <c r="CQ125" s="940"/>
      <c r="CR125" s="940"/>
      <c r="CS125" s="940"/>
      <c r="CT125" s="940"/>
      <c r="CU125" s="940"/>
      <c r="CV125" s="940"/>
      <c r="CW125" s="940"/>
      <c r="CX125" s="940"/>
      <c r="CY125" s="940"/>
      <c r="CZ125" s="940"/>
      <c r="DA125" s="940"/>
      <c r="DB125" s="940"/>
      <c r="DC125" s="940"/>
      <c r="DD125" s="940"/>
      <c r="DE125" s="940"/>
      <c r="DF125" s="940"/>
      <c r="DG125" s="940"/>
      <c r="DH125" s="940"/>
      <c r="DI125" s="940"/>
      <c r="DJ125" s="940"/>
      <c r="DK125" s="940"/>
      <c r="DL125" s="940"/>
      <c r="DM125" s="940"/>
      <c r="DN125" s="940"/>
      <c r="DO125" s="940"/>
      <c r="DP125" s="940"/>
      <c r="DQ125" s="940"/>
      <c r="DR125" s="940"/>
      <c r="DS125" s="940"/>
      <c r="DT125" s="940"/>
      <c r="DU125" s="940"/>
      <c r="DV125" s="940"/>
      <c r="DW125" s="940"/>
      <c r="DX125" s="940"/>
      <c r="DY125" s="940"/>
      <c r="DZ125" s="940"/>
      <c r="EA125" s="940"/>
      <c r="EB125" s="940"/>
      <c r="EC125" s="940"/>
      <c r="ED125" s="940"/>
      <c r="EE125" s="940"/>
      <c r="EF125" s="940"/>
      <c r="EG125" s="940"/>
      <c r="EH125" s="940"/>
      <c r="EI125" s="940"/>
      <c r="EJ125" s="940"/>
      <c r="EK125" s="940"/>
      <c r="EL125" s="940"/>
      <c r="EM125" s="940"/>
      <c r="EN125" s="940"/>
      <c r="EO125" s="940"/>
      <c r="EP125" s="940"/>
      <c r="EQ125" s="940"/>
      <c r="ER125" s="940"/>
      <c r="ES125" s="940"/>
      <c r="ET125" s="940"/>
      <c r="EU125" s="940"/>
      <c r="EV125" s="940"/>
      <c r="EW125" s="940"/>
      <c r="EX125" s="940"/>
      <c r="EY125" s="940"/>
      <c r="EZ125" s="940"/>
      <c r="FA125" s="940"/>
      <c r="FB125" s="940"/>
      <c r="FC125" s="940"/>
      <c r="FD125" s="940"/>
      <c r="FE125" s="940"/>
      <c r="FF125" s="940"/>
      <c r="FG125" s="940"/>
      <c r="FH125" s="940"/>
      <c r="FI125" s="940"/>
      <c r="FJ125" s="940"/>
      <c r="FK125" s="940"/>
      <c r="FL125" s="940"/>
      <c r="FM125" s="940"/>
      <c r="FN125" s="940"/>
      <c r="FO125" s="940"/>
      <c r="FP125" s="940"/>
      <c r="FQ125" s="940"/>
      <c r="FR125" s="940"/>
      <c r="FS125" s="940"/>
      <c r="FT125" s="940"/>
      <c r="FU125" s="940"/>
      <c r="FV125" s="940"/>
      <c r="FW125" s="940"/>
      <c r="FX125" s="940"/>
    </row>
    <row r="126" spans="1:180" s="939" customFormat="1" ht="30" customHeight="1">
      <c r="A126" s="940"/>
      <c r="B126" s="950" t="s">
        <v>886</v>
      </c>
      <c r="C126" s="941" t="s">
        <v>882</v>
      </c>
      <c r="D126" s="941"/>
      <c r="E126" s="1061">
        <f>SUM(E108:H108)</f>
        <v>0</v>
      </c>
      <c r="F126" s="1062">
        <f>SUM(I108:L108)</f>
        <v>5170727</v>
      </c>
      <c r="G126" s="1062">
        <f>SUM(M108:P108)</f>
        <v>10853656</v>
      </c>
      <c r="H126" s="1062">
        <f>SUM(Q108:T108)</f>
        <v>1942025</v>
      </c>
      <c r="I126" s="1062">
        <f>SUM(U108:X108)</f>
        <v>6661453</v>
      </c>
      <c r="J126" s="1062">
        <f>SUM(Y108:AB108)</f>
        <v>21609820</v>
      </c>
      <c r="K126" s="1062">
        <f>SUM(AC108:AF108)</f>
        <v>31820847</v>
      </c>
      <c r="L126" s="1062">
        <f>SUM(AG108:AH108)</f>
        <v>18736733</v>
      </c>
      <c r="M126" s="1063">
        <f>SUM(E126:L126)</f>
        <v>96795261</v>
      </c>
      <c r="N126" s="1064">
        <f t="shared" ref="N126:AM126" si="135">N122/M135</f>
        <v>21178194.694606643</v>
      </c>
      <c r="O126" s="1064">
        <f t="shared" si="135"/>
        <v>11718441.887790743</v>
      </c>
      <c r="P126" s="1064">
        <f t="shared" si="135"/>
        <v>13411326.069828423</v>
      </c>
      <c r="Q126" s="1064">
        <f t="shared" si="135"/>
        <v>15166188.909656018</v>
      </c>
      <c r="R126" s="1064">
        <f t="shared" si="135"/>
        <v>16974458.071348798</v>
      </c>
      <c r="S126" s="1064">
        <f t="shared" si="135"/>
        <v>18828565.701479495</v>
      </c>
      <c r="T126" s="1064">
        <f t="shared" si="135"/>
        <v>20721816.572984673</v>
      </c>
      <c r="U126" s="1064">
        <f t="shared" si="135"/>
        <v>22750157.544599861</v>
      </c>
      <c r="V126" s="1064">
        <f t="shared" si="135"/>
        <v>24983725.495448064</v>
      </c>
      <c r="W126" s="1064">
        <f t="shared" si="135"/>
        <v>27255261.254793297</v>
      </c>
      <c r="X126" s="1064">
        <f t="shared" si="135"/>
        <v>29558953.051581714</v>
      </c>
      <c r="Y126" s="1064">
        <f t="shared" si="135"/>
        <v>31889606.937245928</v>
      </c>
      <c r="Z126" s="1064">
        <f t="shared" si="135"/>
        <v>34242575.242914334</v>
      </c>
      <c r="AA126" s="1064">
        <f t="shared" si="135"/>
        <v>36613694.44799865</v>
      </c>
      <c r="AB126" s="1064">
        <f t="shared" si="135"/>
        <v>38999231.061077736</v>
      </c>
      <c r="AC126" s="1064">
        <f t="shared" si="135"/>
        <v>41395834.345961265</v>
      </c>
      <c r="AD126" s="1064">
        <f t="shared" si="135"/>
        <v>43800494.91544266</v>
      </c>
      <c r="AE126" s="1064">
        <f t="shared" si="135"/>
        <v>46210508.370949529</v>
      </c>
      <c r="AF126" s="1064">
        <f t="shared" si="135"/>
        <v>48623443.294683054</v>
      </c>
      <c r="AG126" s="1064">
        <f t="shared" si="135"/>
        <v>51037113.007123493</v>
      </c>
      <c r="AH126" s="1064">
        <f t="shared" si="135"/>
        <v>53449550.591113538</v>
      </c>
      <c r="AI126" s="1064">
        <f t="shared" si="135"/>
        <v>55858986.757418066</v>
      </c>
      <c r="AJ126" s="1064">
        <f t="shared" si="135"/>
        <v>58263830.188346207</v>
      </c>
      <c r="AK126" s="1064">
        <f t="shared" si="135"/>
        <v>60662650.047841035</v>
      </c>
      <c r="AL126" s="1064">
        <f t="shared" si="135"/>
        <v>63054160.390114374</v>
      </c>
      <c r="AM126" s="1064">
        <f t="shared" si="135"/>
        <v>65437206.235827863</v>
      </c>
      <c r="AN126" s="1065">
        <f>(AM126/O126)^(1/(2049-2025)-1)</f>
        <v>0.19238368593732491</v>
      </c>
      <c r="AO126" s="940"/>
      <c r="AP126" s="940"/>
      <c r="AQ126" s="940"/>
      <c r="AR126" s="940"/>
      <c r="AS126" s="940"/>
      <c r="AT126" s="940"/>
      <c r="AU126" s="940"/>
      <c r="AV126" s="940"/>
      <c r="AW126" s="940"/>
      <c r="AX126" s="940"/>
      <c r="AY126" s="940"/>
      <c r="BC126" s="940"/>
      <c r="BD126" s="940"/>
      <c r="BE126" s="940"/>
      <c r="BF126" s="940"/>
      <c r="BG126" s="940"/>
      <c r="BH126" s="940"/>
      <c r="BI126" s="940"/>
      <c r="BJ126" s="940"/>
      <c r="BK126" s="940"/>
      <c r="BL126" s="940"/>
      <c r="BM126" s="940"/>
      <c r="BN126" s="940"/>
      <c r="BO126" s="940"/>
      <c r="BP126" s="940"/>
      <c r="BQ126" s="940"/>
      <c r="BR126" s="940"/>
      <c r="BS126" s="940"/>
      <c r="BT126" s="940"/>
      <c r="BU126" s="940"/>
      <c r="BV126" s="940"/>
      <c r="BW126" s="940"/>
      <c r="BX126" s="940"/>
      <c r="BY126" s="940"/>
      <c r="BZ126" s="940"/>
      <c r="CA126" s="940"/>
      <c r="CB126" s="940"/>
      <c r="CC126" s="940"/>
      <c r="CD126" s="940"/>
      <c r="CE126" s="940"/>
      <c r="CF126" s="940"/>
      <c r="CG126" s="940"/>
      <c r="CH126" s="940"/>
      <c r="CI126" s="940"/>
      <c r="CJ126" s="940"/>
      <c r="CK126" s="940"/>
      <c r="CL126" s="940"/>
      <c r="CM126" s="940"/>
      <c r="CN126" s="940"/>
      <c r="CO126" s="940"/>
      <c r="CP126" s="940"/>
      <c r="CQ126" s="940"/>
      <c r="CR126" s="940"/>
      <c r="CS126" s="940"/>
      <c r="CT126" s="940"/>
      <c r="CU126" s="940"/>
      <c r="CV126" s="940"/>
      <c r="CW126" s="940"/>
      <c r="CX126" s="940"/>
      <c r="CY126" s="940"/>
      <c r="CZ126" s="940"/>
      <c r="DA126" s="940"/>
      <c r="DB126" s="940"/>
      <c r="DC126" s="940"/>
      <c r="DD126" s="940"/>
      <c r="DE126" s="940"/>
      <c r="DF126" s="940"/>
      <c r="DG126" s="940"/>
      <c r="DH126" s="940"/>
      <c r="DI126" s="940"/>
      <c r="DJ126" s="940"/>
      <c r="DK126" s="940"/>
      <c r="DL126" s="940"/>
      <c r="DM126" s="940"/>
      <c r="DN126" s="940"/>
      <c r="DO126" s="940"/>
      <c r="DP126" s="940"/>
      <c r="DQ126" s="940"/>
      <c r="DR126" s="940"/>
      <c r="DS126" s="940"/>
      <c r="DT126" s="940"/>
      <c r="DU126" s="940"/>
      <c r="DV126" s="940"/>
      <c r="DW126" s="940"/>
      <c r="DX126" s="940"/>
      <c r="DY126" s="940"/>
      <c r="DZ126" s="940"/>
      <c r="EA126" s="940"/>
      <c r="EB126" s="940"/>
      <c r="EC126" s="940"/>
      <c r="ED126" s="940"/>
      <c r="EE126" s="940"/>
      <c r="EF126" s="940"/>
      <c r="EG126" s="940"/>
      <c r="EH126" s="940"/>
      <c r="EI126" s="940"/>
      <c r="EJ126" s="940"/>
      <c r="EK126" s="940"/>
      <c r="EL126" s="940"/>
      <c r="EM126" s="940"/>
      <c r="EN126" s="940"/>
      <c r="EO126" s="940"/>
      <c r="EP126" s="940"/>
      <c r="EQ126" s="940"/>
      <c r="ER126" s="940"/>
      <c r="ES126" s="940"/>
      <c r="ET126" s="940"/>
      <c r="EU126" s="940"/>
      <c r="EV126" s="940"/>
      <c r="EW126" s="940"/>
      <c r="EX126" s="940"/>
      <c r="EY126" s="940"/>
      <c r="EZ126" s="940"/>
      <c r="FA126" s="940"/>
      <c r="FB126" s="940"/>
      <c r="FC126" s="940"/>
      <c r="FD126" s="940"/>
      <c r="FE126" s="940"/>
      <c r="FF126" s="940"/>
      <c r="FG126" s="940"/>
      <c r="FH126" s="940"/>
      <c r="FI126" s="940"/>
      <c r="FJ126" s="940"/>
      <c r="FK126" s="940"/>
      <c r="FL126" s="940"/>
      <c r="FM126" s="940"/>
      <c r="FN126" s="940"/>
      <c r="FO126" s="940"/>
      <c r="FP126" s="940"/>
      <c r="FQ126" s="940"/>
      <c r="FR126" s="940"/>
      <c r="FS126" s="940"/>
      <c r="FT126" s="940"/>
      <c r="FU126" s="940"/>
      <c r="FV126" s="940"/>
      <c r="FW126" s="940"/>
      <c r="FX126" s="940"/>
    </row>
    <row r="127" spans="1:180" s="939" customFormat="1" ht="30" customHeight="1">
      <c r="B127" s="951" t="s">
        <v>204</v>
      </c>
      <c r="C127" s="942" t="s">
        <v>892</v>
      </c>
      <c r="D127" s="942"/>
      <c r="E127" s="1066" t="str">
        <f>IFERROR(E126/C126-1,"-")</f>
        <v>-</v>
      </c>
      <c r="F127" s="1066" t="str">
        <f t="shared" ref="F127:M127" si="136">IFERROR(F126/E126-1,"-")</f>
        <v>-</v>
      </c>
      <c r="G127" s="1066">
        <f t="shared" si="136"/>
        <v>1.0990580241424466</v>
      </c>
      <c r="H127" s="1066">
        <f t="shared" si="136"/>
        <v>-0.82107181211565949</v>
      </c>
      <c r="I127" s="1066">
        <f t="shared" si="136"/>
        <v>2.4301582111455824</v>
      </c>
      <c r="J127" s="1066">
        <f t="shared" si="136"/>
        <v>2.2440099780032976</v>
      </c>
      <c r="K127" s="1066">
        <f t="shared" si="136"/>
        <v>0.47251791083868344</v>
      </c>
      <c r="L127" s="1066">
        <f t="shared" si="136"/>
        <v>-0.41118056976924588</v>
      </c>
      <c r="M127" s="1066">
        <f t="shared" si="136"/>
        <v>4.1660692928697864</v>
      </c>
      <c r="N127" s="1066">
        <f>IFERROR(N126/L126-1,"-")</f>
        <v>0.13030348965353999</v>
      </c>
      <c r="O127" s="1066">
        <f>IFERROR(O126/(L126+N126)-1,"-")</f>
        <v>-0.70641455303515044</v>
      </c>
      <c r="P127" s="1066">
        <f t="shared" ref="P127:AM127" si="137">IFERROR(P126/O126-1,"-")</f>
        <v>0.14446324846321668</v>
      </c>
      <c r="Q127" s="1066">
        <f t="shared" si="137"/>
        <v>0.13084931577165415</v>
      </c>
      <c r="R127" s="1066">
        <f t="shared" si="137"/>
        <v>0.11923029394296214</v>
      </c>
      <c r="S127" s="1066">
        <f t="shared" si="137"/>
        <v>0.1092292680177076</v>
      </c>
      <c r="T127" s="1066">
        <f t="shared" si="137"/>
        <v>0.10055204955714769</v>
      </c>
      <c r="U127" s="1066">
        <f t="shared" si="137"/>
        <v>9.7884322277978608E-2</v>
      </c>
      <c r="V127" s="1066">
        <f t="shared" si="137"/>
        <v>9.8178131139068814E-2</v>
      </c>
      <c r="W127" s="1066">
        <f t="shared" si="137"/>
        <v>9.0920617894200806E-2</v>
      </c>
      <c r="X127" s="1066">
        <f t="shared" si="137"/>
        <v>8.4522829381548314E-2</v>
      </c>
      <c r="Y127" s="1066">
        <f t="shared" si="137"/>
        <v>7.8847646653692927E-2</v>
      </c>
      <c r="Z127" s="1066">
        <f t="shared" si="137"/>
        <v>7.378480112027419E-2</v>
      </c>
      <c r="AA127" s="1066">
        <f t="shared" si="137"/>
        <v>6.9244768778743193E-2</v>
      </c>
      <c r="AB127" s="1066">
        <f t="shared" si="137"/>
        <v>6.5154217541941728E-2</v>
      </c>
      <c r="AC127" s="1066">
        <f t="shared" si="137"/>
        <v>6.1452577901603966E-2</v>
      </c>
      <c r="AD127" s="1066">
        <f t="shared" si="137"/>
        <v>5.8089433574033178E-2</v>
      </c>
      <c r="AE127" s="1066">
        <f t="shared" si="137"/>
        <v>5.5022516529994236E-2</v>
      </c>
      <c r="AF127" s="1066">
        <f t="shared" si="137"/>
        <v>5.2216151883982098E-2</v>
      </c>
      <c r="AG127" s="1066">
        <f t="shared" si="137"/>
        <v>4.9640040871074431E-2</v>
      </c>
      <c r="AH127" s="1066">
        <f t="shared" si="137"/>
        <v>4.7268300298516586E-2</v>
      </c>
      <c r="AI127" s="1066">
        <f t="shared" si="137"/>
        <v>4.5078698317533084E-2</v>
      </c>
      <c r="AJ127" s="1066">
        <f t="shared" si="137"/>
        <v>4.3052041766739935E-2</v>
      </c>
      <c r="AK127" s="1066">
        <f t="shared" si="137"/>
        <v>4.1171681500174362E-2</v>
      </c>
      <c r="AL127" s="1066">
        <f t="shared" si="137"/>
        <v>3.9423110272750916E-2</v>
      </c>
      <c r="AM127" s="1066">
        <f t="shared" si="137"/>
        <v>3.7793633774038771E-2</v>
      </c>
      <c r="AN127" s="1067"/>
    </row>
    <row r="128" spans="1:180" s="939" customFormat="1" ht="30" customHeight="1">
      <c r="B128" s="950" t="s">
        <v>887</v>
      </c>
      <c r="C128" s="941" t="s">
        <v>888</v>
      </c>
      <c r="D128" s="941"/>
      <c r="E128" s="1061">
        <f>SUM(E110:H110)</f>
        <v>0</v>
      </c>
      <c r="F128" s="1061">
        <f>SUM(I110:L110)</f>
        <v>0</v>
      </c>
      <c r="G128" s="1062">
        <f>SUM(M110:P110)</f>
        <v>1464652</v>
      </c>
      <c r="H128" s="1062">
        <f>SUM(Q110:T110)</f>
        <v>642215</v>
      </c>
      <c r="I128" s="1062">
        <f>SUM(U110:X110)</f>
        <v>1579588</v>
      </c>
      <c r="J128" s="1062">
        <f>SUM(Y110:AB110)</f>
        <v>2415348</v>
      </c>
      <c r="K128" s="1062">
        <f>SUM(AC110:AF110)</f>
        <v>3445341</v>
      </c>
      <c r="L128" s="1062">
        <f>SUM(AG110:AH110)</f>
        <v>1834176</v>
      </c>
      <c r="M128" s="1063">
        <f>SUM(E128:L128)</f>
        <v>11381320</v>
      </c>
      <c r="N128" s="1064">
        <f>SUM(U169:V169)</f>
        <v>2154932.625</v>
      </c>
      <c r="O128" s="1064">
        <f t="shared" ref="O128:AM128" si="138">T178</f>
        <v>1238204.0874999999</v>
      </c>
      <c r="P128" s="1064">
        <f t="shared" si="138"/>
        <v>1470193.7875000001</v>
      </c>
      <c r="Q128" s="1064">
        <f t="shared" si="138"/>
        <v>1723390.6875</v>
      </c>
      <c r="R128" s="1064">
        <f t="shared" si="138"/>
        <v>1997794.7875000001</v>
      </c>
      <c r="S128" s="1064">
        <f t="shared" si="138"/>
        <v>2293406.0874999999</v>
      </c>
      <c r="T128" s="1064">
        <f t="shared" si="138"/>
        <v>2610224.5874999999</v>
      </c>
      <c r="U128" s="1064">
        <f t="shared" si="138"/>
        <v>2961512.7628750005</v>
      </c>
      <c r="V128" s="1064">
        <f t="shared" si="138"/>
        <v>3358710.1458750004</v>
      </c>
      <c r="W128" s="1064">
        <f t="shared" si="138"/>
        <v>3781568.2408749992</v>
      </c>
      <c r="X128" s="1064">
        <f t="shared" si="138"/>
        <v>4230087.0478749964</v>
      </c>
      <c r="Y128" s="1064">
        <f t="shared" si="138"/>
        <v>4704266.566874994</v>
      </c>
      <c r="Z128" s="1064">
        <f t="shared" si="138"/>
        <v>5204106.7978749909</v>
      </c>
      <c r="AA128" s="1064">
        <f t="shared" si="138"/>
        <v>5729607.7408749871</v>
      </c>
      <c r="AB128" s="1064">
        <f t="shared" si="138"/>
        <v>6280769.3958749846</v>
      </c>
      <c r="AC128" s="1064">
        <f t="shared" si="138"/>
        <v>6857591.7628749805</v>
      </c>
      <c r="AD128" s="1064">
        <f t="shared" si="138"/>
        <v>7460074.8418749776</v>
      </c>
      <c r="AE128" s="1064">
        <f t="shared" si="138"/>
        <v>8088218.6328749722</v>
      </c>
      <c r="AF128" s="1064">
        <f t="shared" si="138"/>
        <v>8742023.135874968</v>
      </c>
      <c r="AG128" s="1064">
        <f t="shared" si="138"/>
        <v>9421488.3508749641</v>
      </c>
      <c r="AH128" s="1064">
        <f t="shared" si="138"/>
        <v>10126614.277874958</v>
      </c>
      <c r="AI128" s="1064">
        <f t="shared" si="138"/>
        <v>10857400.916874953</v>
      </c>
      <c r="AJ128" s="1064">
        <f t="shared" si="138"/>
        <v>11613848.267874947</v>
      </c>
      <c r="AK128" s="1064">
        <f t="shared" si="138"/>
        <v>12395956.330874942</v>
      </c>
      <c r="AL128" s="1064">
        <f t="shared" si="138"/>
        <v>13203725.105874937</v>
      </c>
      <c r="AM128" s="1064">
        <f t="shared" si="138"/>
        <v>14037154.592874933</v>
      </c>
      <c r="AN128" s="1065">
        <f>(AM128/O128)^(1/(2049-2025)-1)</f>
        <v>9.7600064020088959E-2</v>
      </c>
    </row>
    <row r="129" spans="2:40" s="939" customFormat="1" ht="30" customHeight="1">
      <c r="B129" s="951" t="s">
        <v>204</v>
      </c>
      <c r="C129" s="942" t="s">
        <v>892</v>
      </c>
      <c r="D129" s="942"/>
      <c r="E129" s="1066" t="str">
        <f>IFERROR(E128/C128-1,"-")</f>
        <v>-</v>
      </c>
      <c r="F129" s="1066" t="str">
        <f t="shared" ref="F129:M129" si="139">IFERROR(F128/E128-1,"-")</f>
        <v>-</v>
      </c>
      <c r="G129" s="1066" t="str">
        <f t="shared" si="139"/>
        <v>-</v>
      </c>
      <c r="H129" s="1066">
        <f t="shared" si="139"/>
        <v>-0.56152382955132008</v>
      </c>
      <c r="I129" s="1066">
        <f t="shared" si="139"/>
        <v>1.4595937497567015</v>
      </c>
      <c r="J129" s="1066">
        <f t="shared" si="139"/>
        <v>0.52909999316277401</v>
      </c>
      <c r="K129" s="1066">
        <f t="shared" si="139"/>
        <v>0.42643668738417828</v>
      </c>
      <c r="L129" s="1066">
        <f t="shared" si="139"/>
        <v>-0.46763585955642706</v>
      </c>
      <c r="M129" s="1066">
        <f t="shared" si="139"/>
        <v>5.2051406190027567</v>
      </c>
      <c r="N129" s="1066">
        <f>IFERROR(N128/L128-1,"-")</f>
        <v>0.1748777789045326</v>
      </c>
      <c r="O129" s="1066">
        <f>IFERROR(O128/(L128+N128)-1,"-")</f>
        <v>-0.68960381782032831</v>
      </c>
      <c r="P129" s="1069">
        <f t="shared" ref="P129:AM129" si="140">IFERROR(P128/O128-1,"-")</f>
        <v>0.18735982407262108</v>
      </c>
      <c r="Q129" s="1069">
        <f t="shared" si="140"/>
        <v>0.17222008564636249</v>
      </c>
      <c r="R129" s="1069">
        <f t="shared" si="140"/>
        <v>0.15922338561435456</v>
      </c>
      <c r="S129" s="1069">
        <f t="shared" si="140"/>
        <v>0.14796880132514612</v>
      </c>
      <c r="T129" s="1069">
        <f t="shared" si="140"/>
        <v>0.13814321926098927</v>
      </c>
      <c r="U129" s="1069">
        <f t="shared" si="140"/>
        <v>0.1345815900506302</v>
      </c>
      <c r="V129" s="1069">
        <f t="shared" si="140"/>
        <v>0.13411976067744691</v>
      </c>
      <c r="W129" s="1069">
        <f t="shared" si="140"/>
        <v>0.12589895425162889</v>
      </c>
      <c r="X129" s="1069">
        <f t="shared" si="140"/>
        <v>0.11860656173064754</v>
      </c>
      <c r="Y129" s="1069">
        <f t="shared" si="140"/>
        <v>0.11209687026138249</v>
      </c>
      <c r="Z129" s="1069">
        <f t="shared" si="140"/>
        <v>0.10625253137643442</v>
      </c>
      <c r="AA129" s="1069">
        <f t="shared" si="140"/>
        <v>0.10097812427957398</v>
      </c>
      <c r="AB129" s="1069">
        <f t="shared" si="140"/>
        <v>9.6195355760223089E-2</v>
      </c>
      <c r="AC129" s="1069">
        <f t="shared" si="140"/>
        <v>9.1839443648231267E-2</v>
      </c>
      <c r="AD129" s="1069">
        <f t="shared" si="140"/>
        <v>8.7856364133786169E-2</v>
      </c>
      <c r="AE129" s="1069">
        <f t="shared" si="140"/>
        <v>8.4200735825610051E-2</v>
      </c>
      <c r="AF129" s="1069">
        <f t="shared" si="140"/>
        <v>8.0834177793188466E-2</v>
      </c>
      <c r="AG129" s="1069">
        <f t="shared" si="140"/>
        <v>7.7724023883172899E-2</v>
      </c>
      <c r="AH129" s="1069">
        <f t="shared" si="140"/>
        <v>7.4842307365853733E-2</v>
      </c>
      <c r="AI129" s="1069">
        <f t="shared" si="140"/>
        <v>7.2164952564318208E-2</v>
      </c>
      <c r="AJ129" s="1069">
        <f t="shared" si="140"/>
        <v>6.9671126339665435E-2</v>
      </c>
      <c r="AK129" s="1069">
        <f t="shared" si="140"/>
        <v>6.7342714056578767E-2</v>
      </c>
      <c r="AL129" s="1069">
        <f t="shared" si="140"/>
        <v>6.5163893243804338E-2</v>
      </c>
      <c r="AM129" s="1069">
        <f t="shared" si="140"/>
        <v>6.3120784499608007E-2</v>
      </c>
      <c r="AN129" s="1070"/>
    </row>
    <row r="130" spans="2:40">
      <c r="B130" s="939"/>
      <c r="C130" s="932"/>
    </row>
    <row r="131" spans="2:40">
      <c r="B131" s="939"/>
      <c r="C131" s="932"/>
    </row>
    <row r="132" spans="2:40" ht="47.1" customHeight="1">
      <c r="B132" s="943" t="s">
        <v>895</v>
      </c>
      <c r="C132" s="943" t="s">
        <v>818</v>
      </c>
      <c r="D132" s="917" t="s">
        <v>850</v>
      </c>
      <c r="E132" s="916" t="s">
        <v>747</v>
      </c>
      <c r="F132" s="916" t="s">
        <v>748</v>
      </c>
      <c r="G132" s="916" t="s">
        <v>749</v>
      </c>
      <c r="H132" s="916" t="s">
        <v>750</v>
      </c>
      <c r="I132" s="916" t="s">
        <v>751</v>
      </c>
      <c r="J132" s="916" t="s">
        <v>752</v>
      </c>
      <c r="K132" s="916" t="s">
        <v>896</v>
      </c>
      <c r="L132" s="916" t="s">
        <v>897</v>
      </c>
      <c r="M132" s="914" t="s">
        <v>900</v>
      </c>
      <c r="N132" s="1023" t="s">
        <v>758</v>
      </c>
      <c r="O132" s="1024" t="s">
        <v>759</v>
      </c>
      <c r="P132" s="1024" t="s">
        <v>760</v>
      </c>
      <c r="Q132" s="1025" t="s">
        <v>761</v>
      </c>
      <c r="R132" s="1024" t="s">
        <v>762</v>
      </c>
      <c r="S132" s="1025" t="s">
        <v>763</v>
      </c>
      <c r="T132" s="1024" t="s">
        <v>764</v>
      </c>
      <c r="U132" s="1025" t="s">
        <v>765</v>
      </c>
      <c r="V132" s="1024" t="s">
        <v>766</v>
      </c>
      <c r="W132" s="1025" t="s">
        <v>767</v>
      </c>
      <c r="X132" s="1024" t="s">
        <v>768</v>
      </c>
      <c r="Y132" s="1025" t="s">
        <v>769</v>
      </c>
      <c r="Z132" s="1024" t="s">
        <v>770</v>
      </c>
      <c r="AA132" s="1025" t="s">
        <v>771</v>
      </c>
      <c r="AB132" s="1024" t="s">
        <v>772</v>
      </c>
      <c r="AC132" s="1025" t="s">
        <v>773</v>
      </c>
      <c r="AD132" s="1024" t="s">
        <v>774</v>
      </c>
      <c r="AE132" s="1025" t="s">
        <v>775</v>
      </c>
      <c r="AF132" s="1024" t="s">
        <v>776</v>
      </c>
      <c r="AG132" s="1025" t="s">
        <v>777</v>
      </c>
      <c r="AH132" s="1024" t="s">
        <v>778</v>
      </c>
      <c r="AI132" s="1025" t="s">
        <v>779</v>
      </c>
      <c r="AJ132" s="1024" t="s">
        <v>780</v>
      </c>
      <c r="AK132" s="1025" t="s">
        <v>781</v>
      </c>
      <c r="AL132" s="1024" t="s">
        <v>782</v>
      </c>
    </row>
    <row r="133" spans="2:40" s="939" customFormat="1" ht="47.1" customHeight="1">
      <c r="B133" s="934" t="s">
        <v>891</v>
      </c>
      <c r="C133" s="941" t="s">
        <v>892</v>
      </c>
      <c r="D133" s="941"/>
      <c r="E133" s="1053" t="str">
        <f>IFERROR(E124/E126,"-")</f>
        <v>-</v>
      </c>
      <c r="F133" s="1053">
        <f>IFERROR(F124/F126,"-")</f>
        <v>0.9333654629223318</v>
      </c>
      <c r="G133" s="1053">
        <f t="shared" ref="G133:K133" si="141">IFERROR(G124/G126,"-")</f>
        <v>0.77600957686515959</v>
      </c>
      <c r="H133" s="1053">
        <f t="shared" si="141"/>
        <v>0.58180661937925615</v>
      </c>
      <c r="I133" s="1053">
        <f t="shared" si="141"/>
        <v>0.68540226884434974</v>
      </c>
      <c r="J133" s="1053">
        <f t="shared" si="141"/>
        <v>0.83949921841088915</v>
      </c>
      <c r="K133" s="1053">
        <f t="shared" si="141"/>
        <v>0.84177049089862377</v>
      </c>
      <c r="L133" s="1053">
        <f>IFERROR(L124/L126,"-")</f>
        <v>0.83829817076434832</v>
      </c>
      <c r="M133" s="1054">
        <f>Table6[[#This Row],[2024 (Q1+Q2)]]-0.5%</f>
        <v>0.83329817076434831</v>
      </c>
      <c r="N133" s="1055">
        <f t="shared" ref="N133:AL133" si="142">N124/N126</f>
        <v>0.83329811739325099</v>
      </c>
      <c r="O133" s="1055">
        <f t="shared" si="142"/>
        <v>0.82829811739325099</v>
      </c>
      <c r="P133" s="1055">
        <f t="shared" si="142"/>
        <v>0.82329811739325098</v>
      </c>
      <c r="Q133" s="1055">
        <f t="shared" si="142"/>
        <v>0.81829811739325098</v>
      </c>
      <c r="R133" s="1055">
        <f t="shared" si="142"/>
        <v>0.81329811739325097</v>
      </c>
      <c r="S133" s="1055">
        <f t="shared" si="142"/>
        <v>0.80829811739325097</v>
      </c>
      <c r="T133" s="1055">
        <f t="shared" si="142"/>
        <v>0.80329811739325097</v>
      </c>
      <c r="U133" s="1055">
        <f t="shared" si="142"/>
        <v>0.79829811739325085</v>
      </c>
      <c r="V133" s="1055">
        <f t="shared" si="142"/>
        <v>0.79329811739325096</v>
      </c>
      <c r="W133" s="1055">
        <f t="shared" si="142"/>
        <v>0.78829811739325095</v>
      </c>
      <c r="X133" s="1055">
        <f t="shared" si="142"/>
        <v>0.78329811739325095</v>
      </c>
      <c r="Y133" s="1055">
        <f t="shared" si="142"/>
        <v>0.77829811739325094</v>
      </c>
      <c r="Z133" s="1055">
        <f t="shared" si="142"/>
        <v>0.77329811739325094</v>
      </c>
      <c r="AA133" s="1055">
        <f t="shared" si="142"/>
        <v>0.76829811739325093</v>
      </c>
      <c r="AB133" s="1055">
        <f t="shared" si="142"/>
        <v>0.76329811739325093</v>
      </c>
      <c r="AC133" s="1055">
        <f t="shared" si="142"/>
        <v>0.75829811739325093</v>
      </c>
      <c r="AD133" s="1055">
        <f t="shared" si="142"/>
        <v>0.75329811739325092</v>
      </c>
      <c r="AE133" s="1055">
        <f t="shared" si="142"/>
        <v>0.74829811739325092</v>
      </c>
      <c r="AF133" s="1055">
        <f t="shared" si="142"/>
        <v>0.74329811739325091</v>
      </c>
      <c r="AG133" s="1055">
        <f t="shared" si="142"/>
        <v>0.73829811739325091</v>
      </c>
      <c r="AH133" s="1055">
        <f t="shared" si="142"/>
        <v>0.7332981173932509</v>
      </c>
      <c r="AI133" s="1055">
        <f t="shared" si="142"/>
        <v>0.7282981173932509</v>
      </c>
      <c r="AJ133" s="1055">
        <f t="shared" si="142"/>
        <v>0.72329811739325089</v>
      </c>
      <c r="AK133" s="1055">
        <f t="shared" si="142"/>
        <v>0.71829811739325089</v>
      </c>
      <c r="AL133" s="1055">
        <f t="shared" si="142"/>
        <v>0.71329811739325089</v>
      </c>
    </row>
    <row r="134" spans="2:40" s="1056" customFormat="1" ht="47.1" customHeight="1">
      <c r="B134" s="934" t="s">
        <v>893</v>
      </c>
      <c r="C134" s="941" t="s">
        <v>892</v>
      </c>
      <c r="D134" s="941"/>
      <c r="E134" s="1053" t="str">
        <f t="shared" ref="E134:K134" si="143">IFERROR(E128/E122,"-")</f>
        <v>-</v>
      </c>
      <c r="F134" s="1053">
        <f t="shared" si="143"/>
        <v>0</v>
      </c>
      <c r="G134" s="1053">
        <f t="shared" si="143"/>
        <v>0.60246274538194111</v>
      </c>
      <c r="H134" s="1053">
        <f t="shared" si="143"/>
        <v>0.79076688559389863</v>
      </c>
      <c r="I134" s="1053">
        <f t="shared" si="143"/>
        <v>0.98991713235197354</v>
      </c>
      <c r="J134" s="1053">
        <f t="shared" si="143"/>
        <v>0.70900702535002724</v>
      </c>
      <c r="K134" s="1053">
        <f t="shared" si="143"/>
        <v>0.68427865994756298</v>
      </c>
      <c r="L134" s="1053">
        <f>IFERROR(L128/L122,"-")</f>
        <v>0.60538556620728012</v>
      </c>
      <c r="M134" s="1054">
        <f>Table6[[#This Row],[2024 (Q1+Q2)]]+0.5%</f>
        <v>0.61038556620728013</v>
      </c>
      <c r="N134" s="1055">
        <f>Table6[[#This Row],[2024 Q3+Q4)]]+0.5%</f>
        <v>0.61538556620728013</v>
      </c>
      <c r="O134" s="1055">
        <f>Table6[[#This Row],[2025]]+0.5%</f>
        <v>0.62038556620728014</v>
      </c>
      <c r="P134" s="1055">
        <f>Table6[[#This Row],[2026]]+0.5%</f>
        <v>0.62538556620728014</v>
      </c>
      <c r="Q134" s="1055">
        <f>Table6[[#This Row],[2027]]+0.5%</f>
        <v>0.63038556620728015</v>
      </c>
      <c r="R134" s="1055">
        <f>Table6[[#This Row],[2028]]+0.5%</f>
        <v>0.63538556620728015</v>
      </c>
      <c r="S134" s="1055">
        <f>Table6[[#This Row],[2029]]+0.5%</f>
        <v>0.64038556620728015</v>
      </c>
      <c r="T134" s="1055">
        <f>Table6[[#This Row],[2030]]+0.5%</f>
        <v>0.64538556620728016</v>
      </c>
      <c r="U134" s="1055">
        <f>Table6[[#This Row],[2031]]+0.5%</f>
        <v>0.65038556620728016</v>
      </c>
      <c r="V134" s="1055">
        <f>Table6[[#This Row],[2032]]+0.5%</f>
        <v>0.65538556620728017</v>
      </c>
      <c r="W134" s="1055">
        <f>Table6[[#This Row],[2033]]+0.5%</f>
        <v>0.66038556620728017</v>
      </c>
      <c r="X134" s="1055">
        <f>Table6[[#This Row],[2034]]+0.5%</f>
        <v>0.66538556620728018</v>
      </c>
      <c r="Y134" s="1055">
        <f>Table6[[#This Row],[2035]]+0.5%</f>
        <v>0.67038556620728018</v>
      </c>
      <c r="Z134" s="1055">
        <f>Table6[[#This Row],[2036]]+0.5%</f>
        <v>0.67538556620728019</v>
      </c>
      <c r="AA134" s="1055">
        <f>Table6[[#This Row],[2037]]+0.5%</f>
        <v>0.68038556620728019</v>
      </c>
      <c r="AB134" s="1055">
        <f>Table6[[#This Row],[2038]]+0.5%</f>
        <v>0.68538556620728019</v>
      </c>
      <c r="AC134" s="1055">
        <f>Table6[[#This Row],[2039]]+0.5%</f>
        <v>0.6903855662072802</v>
      </c>
      <c r="AD134" s="1055">
        <f>Table6[[#This Row],[2040]]+0.5%</f>
        <v>0.6953855662072802</v>
      </c>
      <c r="AE134" s="1055">
        <f>Table6[[#This Row],[2041]]+0.5%</f>
        <v>0.70038556620728021</v>
      </c>
      <c r="AF134" s="1055">
        <f>Table6[[#This Row],[2042]]+0.5%</f>
        <v>0.70538556620728021</v>
      </c>
      <c r="AG134" s="1055">
        <f>Table6[[#This Row],[2043]]+0.5%</f>
        <v>0.71038556620728022</v>
      </c>
      <c r="AH134" s="1055">
        <f>Table6[[#This Row],[2044]]+0.5%</f>
        <v>0.71538556620728022</v>
      </c>
      <c r="AI134" s="1055">
        <f>Table6[[#This Row],[2045]]+0.5%</f>
        <v>0.72038556620728023</v>
      </c>
      <c r="AJ134" s="1055">
        <f>Table6[[#This Row],[2046]]+0.5%</f>
        <v>0.72538556620728023</v>
      </c>
      <c r="AK134" s="1055">
        <f>Table6[[#This Row],[2047]]+0.5%</f>
        <v>0.73038556620728023</v>
      </c>
      <c r="AL134" s="1055">
        <f>Table6[[#This Row],[2048]]+0.5%</f>
        <v>0.73538556620728024</v>
      </c>
    </row>
    <row r="135" spans="2:40" s="1056" customFormat="1" ht="47.1" customHeight="1">
      <c r="B135" s="1021" t="s">
        <v>894</v>
      </c>
      <c r="C135" s="1022"/>
      <c r="D135" s="1022"/>
      <c r="E135" s="1057" t="str">
        <f>IFERROR(E122/E126,"-")</f>
        <v>-</v>
      </c>
      <c r="F135" s="1057">
        <f>IFERROR(F122/F126,"-")</f>
        <v>6.6634537077668185E-2</v>
      </c>
      <c r="G135" s="1057">
        <f t="shared" ref="G135:J135" si="144">IFERROR(G122/G126,"-")</f>
        <v>0.22398977819086952</v>
      </c>
      <c r="H135" s="1057">
        <f t="shared" si="144"/>
        <v>0.41819338062074379</v>
      </c>
      <c r="I135" s="1057">
        <f t="shared" si="144"/>
        <v>0.23953888138218493</v>
      </c>
      <c r="J135" s="1057">
        <f t="shared" si="144"/>
        <v>0.15764420990086914</v>
      </c>
      <c r="K135" s="1057">
        <f>IFERROR(K122/K126,"-")</f>
        <v>0.1582295091013762</v>
      </c>
      <c r="L135" s="1057">
        <f>IFERROR(L122/L126,"-")</f>
        <v>0.161701882606749</v>
      </c>
      <c r="M135" s="1058">
        <f>Table6[[#This Row],[2024 (Q1+Q2)]]+0.5%</f>
        <v>0.16670188260674901</v>
      </c>
      <c r="N135" s="1059">
        <f>Table6[[#This Row],[2024 Q3+Q4)]]+0.5%</f>
        <v>0.17170188260674901</v>
      </c>
      <c r="O135" s="1059">
        <f>Table6[[#This Row],[2025]]+0.5%</f>
        <v>0.17670188260674902</v>
      </c>
      <c r="P135" s="1059">
        <f>Table6[[#This Row],[2026]]+0.5%</f>
        <v>0.18170188260674902</v>
      </c>
      <c r="Q135" s="1059">
        <f>Table6[[#This Row],[2027]]+0.5%</f>
        <v>0.18670188260674903</v>
      </c>
      <c r="R135" s="1059">
        <f>Table6[[#This Row],[2028]]+0.5%</f>
        <v>0.19170188260674903</v>
      </c>
      <c r="S135" s="1059">
        <f>Table6[[#This Row],[2029]]+0.5%</f>
        <v>0.19670188260674903</v>
      </c>
      <c r="T135" s="1059">
        <f>Table6[[#This Row],[2030]]+0.5%</f>
        <v>0.20170188260674904</v>
      </c>
      <c r="U135" s="1059">
        <f>Table6[[#This Row],[2031]]+0.5%</f>
        <v>0.20670188260674904</v>
      </c>
      <c r="V135" s="1059">
        <f>Table6[[#This Row],[2032]]+0.5%</f>
        <v>0.21170188260674905</v>
      </c>
      <c r="W135" s="1059">
        <f>Table6[[#This Row],[2033]]+0.5%</f>
        <v>0.21670188260674905</v>
      </c>
      <c r="X135" s="1059">
        <f>Table6[[#This Row],[2034]]+0.5%</f>
        <v>0.22170188260674906</v>
      </c>
      <c r="Y135" s="1059">
        <f>Table6[[#This Row],[2035]]+0.5%</f>
        <v>0.22670188260674906</v>
      </c>
      <c r="Z135" s="1059">
        <f>Table6[[#This Row],[2036]]+0.5%</f>
        <v>0.23170188260674907</v>
      </c>
      <c r="AA135" s="1059">
        <f>Table6[[#This Row],[2037]]+0.5%</f>
        <v>0.23670188260674907</v>
      </c>
      <c r="AB135" s="1059">
        <f>Table6[[#This Row],[2038]]+0.5%</f>
        <v>0.24170188260674907</v>
      </c>
      <c r="AC135" s="1059">
        <f>Table6[[#This Row],[2039]]+0.5%</f>
        <v>0.24670188260674908</v>
      </c>
      <c r="AD135" s="1059">
        <f>Table6[[#This Row],[2040]]+0.5%</f>
        <v>0.25170188260674908</v>
      </c>
      <c r="AE135" s="1059">
        <f>Table6[[#This Row],[2041]]+0.5%</f>
        <v>0.25670188260674909</v>
      </c>
      <c r="AF135" s="1059">
        <f>Table6[[#This Row],[2042]]+0.5%</f>
        <v>0.26170188260674909</v>
      </c>
      <c r="AG135" s="1059">
        <f>Table6[[#This Row],[2043]]+0.5%</f>
        <v>0.2667018826067491</v>
      </c>
      <c r="AH135" s="1059">
        <f>Table6[[#This Row],[2044]]+0.5%</f>
        <v>0.2717018826067491</v>
      </c>
      <c r="AI135" s="1059">
        <f>Table6[[#This Row],[2045]]+0.5%</f>
        <v>0.27670188260674911</v>
      </c>
      <c r="AJ135" s="1059">
        <f>Table6[[#This Row],[2046]]+0.5%</f>
        <v>0.28170188260674911</v>
      </c>
      <c r="AK135" s="1059">
        <f>Table6[[#This Row],[2047]]+0.5%</f>
        <v>0.28670188260674911</v>
      </c>
      <c r="AL135" s="1059">
        <f>Table6[[#This Row],[2048]]+0.5%</f>
        <v>0.29170188260674912</v>
      </c>
    </row>
    <row r="136" spans="2:40">
      <c r="B136" s="952"/>
      <c r="C136" s="899"/>
      <c r="D136" s="912"/>
      <c r="E136" s="912"/>
      <c r="F136" s="912"/>
      <c r="G136" s="912"/>
      <c r="H136" s="912"/>
      <c r="I136" s="912"/>
      <c r="J136" s="912"/>
      <c r="K136" s="912"/>
      <c r="L136" s="912"/>
    </row>
    <row r="137" spans="2:40">
      <c r="B137" s="953"/>
      <c r="C137" s="766"/>
    </row>
    <row r="138" spans="2:40" ht="47.1" customHeight="1">
      <c r="B138" s="964" t="s">
        <v>901</v>
      </c>
      <c r="C138" s="901" t="s">
        <v>902</v>
      </c>
      <c r="D138" s="902" t="s">
        <v>903</v>
      </c>
      <c r="E138" s="902" t="s">
        <v>904</v>
      </c>
      <c r="F138" s="903" t="s">
        <v>905</v>
      </c>
      <c r="G138" s="973"/>
      <c r="H138" s="900"/>
      <c r="I138" s="900"/>
      <c r="J138" s="900"/>
      <c r="K138" s="900"/>
      <c r="L138" s="900"/>
    </row>
    <row r="139" spans="2:40" ht="47.1" customHeight="1">
      <c r="B139" s="950" t="s">
        <v>906</v>
      </c>
      <c r="C139" s="904" t="str">
        <f>IFERROR(I104/E104-1,"-")</f>
        <v>-</v>
      </c>
      <c r="D139" s="904" t="str">
        <f>IFERROR(J104/F104-1,"-")</f>
        <v>-</v>
      </c>
      <c r="E139" s="904" t="str">
        <f>IFERROR(K104/G104-1,"-")</f>
        <v>-</v>
      </c>
      <c r="F139" s="905" t="str">
        <f>IFERROR(L104/H104-1,"-")</f>
        <v>-</v>
      </c>
      <c r="G139" s="973"/>
    </row>
    <row r="140" spans="2:40" ht="47.1" customHeight="1">
      <c r="B140" s="950" t="s">
        <v>907</v>
      </c>
      <c r="C140" s="904" t="str">
        <f>IFERROR(M104/I104-1,"-")</f>
        <v>-</v>
      </c>
      <c r="D140" s="904" t="str">
        <f>IFERROR(N104/J104-1,"-")</f>
        <v>-</v>
      </c>
      <c r="E140" s="904" t="str">
        <f>IFERROR(O104/K104-1,"-")</f>
        <v>-</v>
      </c>
      <c r="F140" s="905">
        <f>IFERROR(P104/L104-1,"-")</f>
        <v>0.85800278044632261</v>
      </c>
      <c r="H140" s="1013" t="s">
        <v>908</v>
      </c>
    </row>
    <row r="141" spans="2:40" ht="47.1" customHeight="1">
      <c r="B141" s="950" t="s">
        <v>909</v>
      </c>
      <c r="C141" s="904">
        <f>IFERROR(Q104/M104-1,"-")</f>
        <v>-0.37870764665620171</v>
      </c>
      <c r="D141" s="904">
        <f>IFERROR(R104/N104-1,"-")</f>
        <v>-0.9135235157652607</v>
      </c>
      <c r="E141" s="904">
        <f>IFERROR(S104/O104-1,"-")</f>
        <v>-0.99083315754608403</v>
      </c>
      <c r="F141" s="905">
        <f>IFERROR(T104/P104-1,"-")</f>
        <v>-0.31570059968164854</v>
      </c>
      <c r="G141" s="973"/>
      <c r="H141" s="1014" t="s">
        <v>910</v>
      </c>
    </row>
    <row r="142" spans="2:40" ht="47.1" customHeight="1">
      <c r="B142" s="965" t="s">
        <v>911</v>
      </c>
      <c r="C142" s="906">
        <f>U104/Q104-1</f>
        <v>0.22854965911002489</v>
      </c>
      <c r="D142" s="906">
        <f>V104/R104-1</f>
        <v>6.0687584355711923</v>
      </c>
      <c r="E142" s="906">
        <f>W104/S104-1</f>
        <v>16.171578522406136</v>
      </c>
      <c r="F142" s="907">
        <f>X104/T104-1</f>
        <v>0.5340470701029516</v>
      </c>
      <c r="G142" s="973"/>
      <c r="H142" s="1015" t="s">
        <v>912</v>
      </c>
    </row>
    <row r="143" spans="2:40" ht="47.1" customHeight="1">
      <c r="B143" s="965" t="s">
        <v>913</v>
      </c>
      <c r="C143" s="904">
        <f>Y104/U104-1</f>
        <v>0.71608836195324166</v>
      </c>
      <c r="D143" s="904">
        <f>Z104/V104-1</f>
        <v>0.67260861450138476</v>
      </c>
      <c r="E143" s="904">
        <f>AA104/W104-1</f>
        <v>8.5851201391827718</v>
      </c>
      <c r="F143" s="905">
        <f>AB104/X104-1</f>
        <v>0.74466533734115048</v>
      </c>
      <c r="G143" s="973"/>
    </row>
    <row r="144" spans="2:40" ht="47.1" customHeight="1">
      <c r="B144" s="965" t="s">
        <v>914</v>
      </c>
      <c r="C144" s="904">
        <f>AC104/Y104-1</f>
        <v>1.2568399281588514</v>
      </c>
      <c r="D144" s="904">
        <f>AD104/Z104-1</f>
        <v>0.40544586077128097</v>
      </c>
      <c r="E144" s="904">
        <f>AE104/AA104-1</f>
        <v>0.50304456656777696</v>
      </c>
      <c r="F144" s="905">
        <f>AF104/AB104-1</f>
        <v>8.4182694357968435E-2</v>
      </c>
      <c r="G144" s="973"/>
    </row>
    <row r="145" spans="2:29" ht="47.1" customHeight="1">
      <c r="B145" s="966" t="s">
        <v>915</v>
      </c>
      <c r="C145" s="908">
        <f>AG104/AC104-1</f>
        <v>-2.1855817322856463E-2</v>
      </c>
      <c r="D145" s="908">
        <f>AH104/AD104-1</f>
        <v>0.47731165907209649</v>
      </c>
      <c r="E145" s="909" t="s">
        <v>301</v>
      </c>
      <c r="F145" s="910" t="s">
        <v>301</v>
      </c>
      <c r="G145" s="973"/>
    </row>
    <row r="146" spans="2:29">
      <c r="B146" s="939"/>
      <c r="C146" s="766"/>
    </row>
    <row r="147" spans="2:29">
      <c r="B147" s="939"/>
      <c r="C147" s="766"/>
    </row>
    <row r="148" spans="2:29" ht="47.1" customHeight="1">
      <c r="B148" s="964" t="s">
        <v>916</v>
      </c>
      <c r="C148" s="1017" t="s">
        <v>917</v>
      </c>
      <c r="D148" s="902" t="s">
        <v>918</v>
      </c>
      <c r="E148" s="902" t="s">
        <v>919</v>
      </c>
      <c r="F148" s="917" t="s">
        <v>920</v>
      </c>
      <c r="G148" s="982" t="s">
        <v>921</v>
      </c>
      <c r="H148" s="982" t="s">
        <v>922</v>
      </c>
      <c r="I148" s="982" t="s">
        <v>923</v>
      </c>
      <c r="J148" s="982" t="s">
        <v>924</v>
      </c>
      <c r="K148" s="982" t="s">
        <v>925</v>
      </c>
      <c r="L148" s="982" t="s">
        <v>926</v>
      </c>
      <c r="M148" s="982" t="s">
        <v>927</v>
      </c>
      <c r="N148" s="982" t="s">
        <v>928</v>
      </c>
      <c r="O148" s="982" t="s">
        <v>929</v>
      </c>
      <c r="P148" s="982" t="s">
        <v>930</v>
      </c>
      <c r="Q148" s="982" t="s">
        <v>931</v>
      </c>
      <c r="R148" s="982" t="s">
        <v>932</v>
      </c>
      <c r="S148" s="982" t="s">
        <v>933</v>
      </c>
      <c r="T148" s="982" t="s">
        <v>934</v>
      </c>
      <c r="U148" s="982" t="s">
        <v>935</v>
      </c>
      <c r="V148" s="982" t="s">
        <v>936</v>
      </c>
      <c r="W148" s="982" t="s">
        <v>937</v>
      </c>
      <c r="X148" s="982" t="s">
        <v>938</v>
      </c>
      <c r="Y148" s="982" t="s">
        <v>939</v>
      </c>
      <c r="Z148" s="982" t="s">
        <v>940</v>
      </c>
      <c r="AA148" s="982" t="s">
        <v>941</v>
      </c>
      <c r="AB148" s="982" t="s">
        <v>942</v>
      </c>
      <c r="AC148" s="983" t="s">
        <v>943</v>
      </c>
    </row>
    <row r="149" spans="2:29" ht="47.1" customHeight="1">
      <c r="B149" s="984" t="s">
        <v>944</v>
      </c>
      <c r="C149" s="913">
        <v>524315</v>
      </c>
      <c r="D149" s="913">
        <v>527584</v>
      </c>
      <c r="E149" s="913">
        <v>532395</v>
      </c>
      <c r="F149" s="913">
        <v>534702</v>
      </c>
      <c r="G149" s="913">
        <v>540338</v>
      </c>
      <c r="H149" s="913">
        <v>544406</v>
      </c>
      <c r="I149" s="913">
        <v>546654</v>
      </c>
      <c r="J149" s="913">
        <v>547965</v>
      </c>
      <c r="K149" s="913">
        <v>551170</v>
      </c>
      <c r="L149" s="913">
        <v>552985</v>
      </c>
      <c r="M149" s="913">
        <v>556078</v>
      </c>
      <c r="N149" s="913">
        <v>558708</v>
      </c>
      <c r="O149" s="913">
        <v>557692</v>
      </c>
      <c r="P149" s="913">
        <v>518939</v>
      </c>
      <c r="Q149" s="913">
        <v>538204</v>
      </c>
      <c r="R149" s="913">
        <v>556770</v>
      </c>
      <c r="S149" s="913">
        <v>568917</v>
      </c>
      <c r="T149" s="913">
        <v>573804</v>
      </c>
      <c r="U149" s="913">
        <v>562864</v>
      </c>
      <c r="V149" s="913">
        <v>586759</v>
      </c>
      <c r="W149" s="913">
        <v>589562</v>
      </c>
      <c r="X149" s="913">
        <v>594037</v>
      </c>
      <c r="Y149" s="913">
        <v>595251</v>
      </c>
      <c r="Z149" s="913">
        <v>600340</v>
      </c>
      <c r="AA149" s="913">
        <v>603542</v>
      </c>
      <c r="AB149" s="913">
        <v>606190</v>
      </c>
      <c r="AC149" s="913">
        <v>607475</v>
      </c>
    </row>
    <row r="150" spans="2:29">
      <c r="B150" s="939"/>
    </row>
    <row r="151" spans="2:29" ht="47.1" customHeight="1">
      <c r="B151" s="964" t="s">
        <v>945</v>
      </c>
      <c r="C151" s="964" t="s">
        <v>745</v>
      </c>
      <c r="D151" s="964" t="s">
        <v>746</v>
      </c>
      <c r="E151" s="964" t="s">
        <v>747</v>
      </c>
      <c r="F151" s="964" t="s">
        <v>748</v>
      </c>
      <c r="G151" s="964" t="s">
        <v>749</v>
      </c>
      <c r="H151" s="964" t="s">
        <v>750</v>
      </c>
      <c r="I151" s="964" t="s">
        <v>751</v>
      </c>
      <c r="J151" s="964" t="s">
        <v>752</v>
      </c>
      <c r="K151" s="964" t="s">
        <v>896</v>
      </c>
    </row>
    <row r="152" spans="2:29" ht="47.1" customHeight="1">
      <c r="B152" s="967" t="s">
        <v>135</v>
      </c>
      <c r="C152" s="1016">
        <f>'Fin. Data'!J5</f>
        <v>0.1</v>
      </c>
      <c r="D152" s="1016">
        <f>'Fin. Data'!I5</f>
        <v>0</v>
      </c>
      <c r="E152" s="1016">
        <f>'Fin. Data'!H5</f>
        <v>0</v>
      </c>
      <c r="F152" s="1016">
        <f>'Fin. Data'!G5</f>
        <v>10.199999999999999</v>
      </c>
      <c r="G152" s="1016">
        <f>'Fin. Data'!F5</f>
        <v>42.8</v>
      </c>
      <c r="H152" s="1016">
        <f>'Fin. Data'!E5</f>
        <v>84.1</v>
      </c>
      <c r="I152" s="1016">
        <f>'Fin. Data'!D5</f>
        <v>175.8</v>
      </c>
      <c r="J152" s="1016">
        <f>'Fin. Data'!C5</f>
        <v>1189.5999999999999</v>
      </c>
      <c r="K152" s="1016">
        <f>'Fin. Data'!B5</f>
        <v>4064</v>
      </c>
    </row>
    <row r="153" spans="2:29" ht="47.1" customHeight="1">
      <c r="B153" s="968" t="s">
        <v>887</v>
      </c>
      <c r="C153" s="924">
        <v>0</v>
      </c>
      <c r="D153" s="924">
        <v>0</v>
      </c>
      <c r="E153" s="925">
        <v>0</v>
      </c>
      <c r="F153" s="925">
        <f t="shared" ref="F153:K153" si="145">F128</f>
        <v>0</v>
      </c>
      <c r="G153" s="925">
        <f t="shared" si="145"/>
        <v>1464652</v>
      </c>
      <c r="H153" s="925">
        <f t="shared" si="145"/>
        <v>642215</v>
      </c>
      <c r="I153" s="925">
        <f t="shared" si="145"/>
        <v>1579588</v>
      </c>
      <c r="J153" s="925">
        <f t="shared" si="145"/>
        <v>2415348</v>
      </c>
      <c r="K153" s="925">
        <f t="shared" si="145"/>
        <v>3445341</v>
      </c>
    </row>
    <row r="154" spans="2:29" ht="47.1" customHeight="1">
      <c r="B154" s="969" t="s">
        <v>946</v>
      </c>
      <c r="C154" s="1016">
        <v>272540</v>
      </c>
      <c r="D154" s="1016">
        <v>289829</v>
      </c>
      <c r="E154" s="1016">
        <v>292523</v>
      </c>
      <c r="F154" s="1016">
        <v>306743</v>
      </c>
      <c r="G154" s="1016">
        <v>320937</v>
      </c>
      <c r="H154" s="1016">
        <v>333814</v>
      </c>
      <c r="I154" s="1016">
        <v>323912</v>
      </c>
      <c r="J154" s="1016">
        <v>316846</v>
      </c>
      <c r="K154" s="1016">
        <v>320905</v>
      </c>
    </row>
    <row r="155" spans="2:29" ht="47.1" customHeight="1">
      <c r="B155" s="967" t="s">
        <v>947</v>
      </c>
      <c r="C155" s="1016">
        <v>1988419</v>
      </c>
      <c r="D155" s="1016">
        <v>2043680</v>
      </c>
      <c r="E155" s="1016">
        <v>2091067</v>
      </c>
      <c r="F155" s="1016">
        <v>2151841</v>
      </c>
      <c r="G155" s="1016">
        <v>2198775</v>
      </c>
      <c r="H155" s="1016">
        <v>2191416</v>
      </c>
      <c r="I155" s="1016">
        <v>2237695</v>
      </c>
      <c r="J155" s="1016">
        <v>2333221</v>
      </c>
      <c r="K155" s="1016">
        <v>2406521</v>
      </c>
    </row>
    <row r="156" spans="2:29" ht="47.1" customHeight="1">
      <c r="B156" s="969" t="s">
        <v>948</v>
      </c>
      <c r="C156" s="1016"/>
      <c r="D156" s="1016"/>
      <c r="E156" s="1016">
        <f>AVERAGE(E112:H112)</f>
        <v>20947.150000000001</v>
      </c>
      <c r="F156" s="1016">
        <f>AVERAGE(I112:L112)</f>
        <v>18032.032500000001</v>
      </c>
      <c r="G156" s="1016">
        <f>AVERAGE(M112:P112)</f>
        <v>9895.4599999999991</v>
      </c>
      <c r="H156" s="1016">
        <f>AVERAGE(Q112:T112)</f>
        <v>6227.7924999999996</v>
      </c>
      <c r="I156" s="1016">
        <f>AVERAGE(U112:X112)</f>
        <v>18932.550000000003</v>
      </c>
      <c r="J156" s="1016">
        <f>AVERAGE(Y112:AB112)</f>
        <v>71010</v>
      </c>
      <c r="K156" s="1016">
        <f>AVERAGE(AC112:AF112)</f>
        <v>36234.35</v>
      </c>
    </row>
    <row r="157" spans="2:29">
      <c r="B157" s="954"/>
      <c r="C157" s="927"/>
      <c r="D157" s="928"/>
      <c r="E157" s="929"/>
      <c r="F157" s="926"/>
      <c r="G157" s="926"/>
      <c r="H157" s="929"/>
      <c r="I157" s="929"/>
      <c r="J157" s="929"/>
      <c r="K157" s="929"/>
    </row>
    <row r="158" spans="2:29" ht="14.1" thickBot="1">
      <c r="B158" s="955"/>
      <c r="C158" s="923" t="str">
        <f>B159</f>
        <v>GDP Australia (millions) (Total)</v>
      </c>
      <c r="D158" s="923" t="s">
        <v>135</v>
      </c>
      <c r="F158" s="923"/>
      <c r="G158" s="923" t="s">
        <v>949</v>
      </c>
      <c r="H158" s="242" t="s">
        <v>887</v>
      </c>
    </row>
    <row r="159" spans="2:29" ht="14.1" thickBot="1">
      <c r="B159" s="956" t="str">
        <f>B155</f>
        <v>GDP Australia (millions) (Total)</v>
      </c>
      <c r="C159">
        <v>1</v>
      </c>
      <c r="D159"/>
      <c r="F159" s="10" t="s">
        <v>949</v>
      </c>
      <c r="G159">
        <v>1</v>
      </c>
      <c r="H159"/>
      <c r="J159" s="930" t="s">
        <v>950</v>
      </c>
      <c r="M159" s="919"/>
      <c r="N159" s="919" t="s">
        <v>951</v>
      </c>
      <c r="O159" s="919" t="s">
        <v>952</v>
      </c>
    </row>
    <row r="160" spans="2:29" ht="14.1" thickBot="1">
      <c r="B160" s="957" t="s">
        <v>135</v>
      </c>
      <c r="C160" s="922">
        <v>0.76473491155518192</v>
      </c>
      <c r="D160" s="918">
        <v>1</v>
      </c>
      <c r="F160" s="242" t="s">
        <v>887</v>
      </c>
      <c r="G160" s="931">
        <v>0.97033824954241343</v>
      </c>
      <c r="H160" s="918">
        <v>1</v>
      </c>
      <c r="M160" s="919" t="s">
        <v>951</v>
      </c>
      <c r="N160">
        <v>1</v>
      </c>
      <c r="O160"/>
    </row>
    <row r="161" spans="2:147" ht="14.1" thickBot="1">
      <c r="B161" s="958"/>
      <c r="C161" s="919" t="s">
        <v>135</v>
      </c>
      <c r="D161" s="975" t="str">
        <f>B163</f>
        <v>GDP Australia Mining</v>
      </c>
      <c r="F161" s="765"/>
      <c r="G161" s="766"/>
      <c r="M161" s="919" t="s">
        <v>952</v>
      </c>
      <c r="N161" s="922">
        <v>0.62987402801571812</v>
      </c>
      <c r="O161" s="918">
        <v>1</v>
      </c>
      <c r="R161" s="1096" t="s">
        <v>953</v>
      </c>
      <c r="S161" s="1096" t="s">
        <v>949</v>
      </c>
      <c r="T161" s="1097">
        <v>0</v>
      </c>
    </row>
    <row r="162" spans="2:147">
      <c r="B162" s="956" t="s">
        <v>135</v>
      </c>
      <c r="C162">
        <v>1</v>
      </c>
      <c r="D162"/>
      <c r="F162" s="919"/>
      <c r="G162" s="919" t="s">
        <v>135</v>
      </c>
      <c r="H162" s="919" t="s">
        <v>887</v>
      </c>
      <c r="J162" s="930" t="s">
        <v>954</v>
      </c>
      <c r="S162" s="1096" t="s">
        <v>955</v>
      </c>
      <c r="T162" s="1097">
        <v>0</v>
      </c>
    </row>
    <row r="163" spans="2:147" ht="14.1" thickBot="1">
      <c r="B163" s="974" t="str">
        <f>B154</f>
        <v>GDP Australia Mining</v>
      </c>
      <c r="C163" s="922">
        <v>0.30229414950860034</v>
      </c>
      <c r="D163" s="918">
        <v>1</v>
      </c>
      <c r="F163" t="s">
        <v>135</v>
      </c>
      <c r="G163">
        <v>1</v>
      </c>
      <c r="H163"/>
    </row>
    <row r="164" spans="2:147" ht="14.1" thickBot="1">
      <c r="B164" s="940"/>
      <c r="C164" s="766"/>
      <c r="F164" s="918" t="s">
        <v>887</v>
      </c>
      <c r="G164" s="931">
        <v>0.83898450863716467</v>
      </c>
      <c r="H164" s="918">
        <v>1</v>
      </c>
      <c r="U164" s="995">
        <v>15.5</v>
      </c>
      <c r="V164" s="996">
        <f>U164+0.5</f>
        <v>16</v>
      </c>
      <c r="W164" s="996">
        <f t="shared" ref="W164:AU164" si="146">V164+0.5</f>
        <v>16.5</v>
      </c>
      <c r="X164" s="996">
        <f t="shared" si="146"/>
        <v>17</v>
      </c>
      <c r="Y164" s="996">
        <f t="shared" si="146"/>
        <v>17.5</v>
      </c>
      <c r="Z164" s="996">
        <f t="shared" si="146"/>
        <v>18</v>
      </c>
      <c r="AA164" s="996">
        <f t="shared" si="146"/>
        <v>18.5</v>
      </c>
      <c r="AB164" s="996">
        <f t="shared" si="146"/>
        <v>19</v>
      </c>
      <c r="AC164" s="996">
        <f t="shared" si="146"/>
        <v>19.5</v>
      </c>
      <c r="AD164" s="996">
        <f t="shared" si="146"/>
        <v>20</v>
      </c>
      <c r="AE164" s="996">
        <f t="shared" si="146"/>
        <v>20.5</v>
      </c>
      <c r="AF164" s="996">
        <f t="shared" si="146"/>
        <v>21</v>
      </c>
      <c r="AG164" s="996">
        <f t="shared" si="146"/>
        <v>21.5</v>
      </c>
      <c r="AH164" s="996">
        <f t="shared" si="146"/>
        <v>22</v>
      </c>
      <c r="AI164" s="996">
        <f t="shared" si="146"/>
        <v>22.5</v>
      </c>
      <c r="AJ164" s="996">
        <f t="shared" si="146"/>
        <v>23</v>
      </c>
      <c r="AK164" s="996">
        <f t="shared" si="146"/>
        <v>23.5</v>
      </c>
      <c r="AL164" s="996">
        <f t="shared" si="146"/>
        <v>24</v>
      </c>
      <c r="AM164" s="996">
        <f t="shared" si="146"/>
        <v>24.5</v>
      </c>
      <c r="AN164" s="996">
        <f t="shared" si="146"/>
        <v>25</v>
      </c>
      <c r="AO164" s="996">
        <f t="shared" si="146"/>
        <v>25.5</v>
      </c>
      <c r="AP164" s="996">
        <f t="shared" si="146"/>
        <v>26</v>
      </c>
      <c r="AQ164" s="996">
        <f t="shared" si="146"/>
        <v>26.5</v>
      </c>
      <c r="AR164" s="996">
        <f t="shared" si="146"/>
        <v>27</v>
      </c>
      <c r="AS164" s="996">
        <f t="shared" si="146"/>
        <v>27.5</v>
      </c>
      <c r="AT164" s="996">
        <f t="shared" si="146"/>
        <v>28</v>
      </c>
      <c r="AU164" s="996">
        <f t="shared" si="146"/>
        <v>28.5</v>
      </c>
      <c r="AV164" s="996">
        <f>AU164+0.55</f>
        <v>29.05</v>
      </c>
      <c r="AW164" s="996">
        <f t="shared" ref="AW164:BC164" si="147">AV164+0.55</f>
        <v>29.6</v>
      </c>
      <c r="AX164" s="996">
        <f t="shared" si="147"/>
        <v>30.150000000000002</v>
      </c>
      <c r="AY164" s="996">
        <f t="shared" si="147"/>
        <v>30.700000000000003</v>
      </c>
      <c r="AZ164" s="996">
        <f t="shared" si="147"/>
        <v>31.250000000000004</v>
      </c>
      <c r="BA164" s="996">
        <f t="shared" si="147"/>
        <v>31.800000000000004</v>
      </c>
      <c r="BB164" s="996">
        <f t="shared" si="147"/>
        <v>32.35</v>
      </c>
      <c r="BC164" s="996">
        <f t="shared" si="147"/>
        <v>32.9</v>
      </c>
      <c r="BD164" s="996">
        <f>BC164+0.55</f>
        <v>33.449999999999996</v>
      </c>
      <c r="BE164" s="996">
        <f>BD164+0.55</f>
        <v>33.999999999999993</v>
      </c>
      <c r="BF164" s="996">
        <f t="shared" ref="BF164:DQ164" si="148">BE164+0.55</f>
        <v>34.54999999999999</v>
      </c>
      <c r="BG164" s="996">
        <f t="shared" si="148"/>
        <v>35.099999999999987</v>
      </c>
      <c r="BH164" s="996">
        <f t="shared" si="148"/>
        <v>35.649999999999984</v>
      </c>
      <c r="BI164" s="996">
        <f t="shared" si="148"/>
        <v>36.199999999999982</v>
      </c>
      <c r="BJ164" s="996">
        <f t="shared" si="148"/>
        <v>36.749999999999979</v>
      </c>
      <c r="BK164" s="996">
        <f t="shared" si="148"/>
        <v>37.299999999999976</v>
      </c>
      <c r="BL164" s="996">
        <f t="shared" si="148"/>
        <v>37.849999999999973</v>
      </c>
      <c r="BM164" s="996">
        <f t="shared" si="148"/>
        <v>38.39999999999997</v>
      </c>
      <c r="BN164" s="996">
        <f t="shared" si="148"/>
        <v>38.949999999999967</v>
      </c>
      <c r="BO164" s="996">
        <f t="shared" si="148"/>
        <v>39.499999999999964</v>
      </c>
      <c r="BP164" s="996">
        <f t="shared" si="148"/>
        <v>40.049999999999962</v>
      </c>
      <c r="BQ164" s="996">
        <f t="shared" si="148"/>
        <v>40.599999999999959</v>
      </c>
      <c r="BR164" s="996">
        <f t="shared" si="148"/>
        <v>41.149999999999956</v>
      </c>
      <c r="BS164" s="996">
        <f t="shared" si="148"/>
        <v>41.699999999999953</v>
      </c>
      <c r="BT164" s="996">
        <f t="shared" si="148"/>
        <v>42.24999999999995</v>
      </c>
      <c r="BU164" s="996">
        <f t="shared" si="148"/>
        <v>42.799999999999947</v>
      </c>
      <c r="BV164" s="996">
        <f t="shared" si="148"/>
        <v>43.349999999999945</v>
      </c>
      <c r="BW164" s="996">
        <f t="shared" si="148"/>
        <v>43.899999999999942</v>
      </c>
      <c r="BX164" s="996">
        <f t="shared" si="148"/>
        <v>44.449999999999939</v>
      </c>
      <c r="BY164" s="996">
        <f t="shared" si="148"/>
        <v>44.999999999999936</v>
      </c>
      <c r="BZ164" s="996">
        <f t="shared" si="148"/>
        <v>45.549999999999933</v>
      </c>
      <c r="CA164" s="996">
        <f t="shared" si="148"/>
        <v>46.09999999999993</v>
      </c>
      <c r="CB164" s="996">
        <f t="shared" si="148"/>
        <v>46.649999999999928</v>
      </c>
      <c r="CC164" s="996">
        <f t="shared" si="148"/>
        <v>47.199999999999925</v>
      </c>
      <c r="CD164" s="996">
        <f t="shared" si="148"/>
        <v>47.749999999999922</v>
      </c>
      <c r="CE164" s="996">
        <f t="shared" si="148"/>
        <v>48.299999999999919</v>
      </c>
      <c r="CF164" s="996">
        <f t="shared" si="148"/>
        <v>48.849999999999916</v>
      </c>
      <c r="CG164" s="996">
        <f t="shared" si="148"/>
        <v>49.399999999999913</v>
      </c>
      <c r="CH164" s="996">
        <f t="shared" si="148"/>
        <v>49.94999999999991</v>
      </c>
      <c r="CI164" s="996">
        <f t="shared" si="148"/>
        <v>50.499999999999908</v>
      </c>
      <c r="CJ164" s="996">
        <f t="shared" si="148"/>
        <v>51.049999999999905</v>
      </c>
      <c r="CK164" s="996">
        <f t="shared" si="148"/>
        <v>51.599999999999902</v>
      </c>
      <c r="CL164" s="996">
        <f t="shared" si="148"/>
        <v>52.149999999999899</v>
      </c>
      <c r="CM164" s="996">
        <f t="shared" si="148"/>
        <v>52.699999999999896</v>
      </c>
      <c r="CN164" s="996">
        <f t="shared" si="148"/>
        <v>53.249999999999893</v>
      </c>
      <c r="CO164" s="996">
        <f t="shared" si="148"/>
        <v>53.799999999999891</v>
      </c>
      <c r="CP164" s="996">
        <f t="shared" si="148"/>
        <v>54.349999999999888</v>
      </c>
      <c r="CQ164" s="996">
        <f t="shared" si="148"/>
        <v>54.899999999999885</v>
      </c>
      <c r="CR164" s="996">
        <f t="shared" si="148"/>
        <v>55.449999999999882</v>
      </c>
      <c r="CS164" s="996">
        <f t="shared" si="148"/>
        <v>55.999999999999879</v>
      </c>
      <c r="CT164" s="996">
        <f t="shared" si="148"/>
        <v>56.549999999999876</v>
      </c>
      <c r="CU164" s="996">
        <f t="shared" si="148"/>
        <v>57.099999999999874</v>
      </c>
      <c r="CV164" s="996">
        <f t="shared" si="148"/>
        <v>57.649999999999871</v>
      </c>
      <c r="CW164" s="996">
        <f t="shared" si="148"/>
        <v>58.199999999999868</v>
      </c>
      <c r="CX164" s="996">
        <f t="shared" si="148"/>
        <v>58.749999999999865</v>
      </c>
      <c r="CY164" s="996">
        <f t="shared" si="148"/>
        <v>59.299999999999862</v>
      </c>
      <c r="CZ164" s="996">
        <f t="shared" si="148"/>
        <v>59.849999999999859</v>
      </c>
      <c r="DA164" s="996">
        <f t="shared" si="148"/>
        <v>60.399999999999856</v>
      </c>
      <c r="DB164" s="996">
        <f t="shared" si="148"/>
        <v>60.949999999999854</v>
      </c>
      <c r="DC164" s="996">
        <f t="shared" si="148"/>
        <v>61.499999999999851</v>
      </c>
      <c r="DD164" s="996">
        <f t="shared" si="148"/>
        <v>62.049999999999848</v>
      </c>
      <c r="DE164" s="996">
        <f t="shared" si="148"/>
        <v>62.599999999999845</v>
      </c>
      <c r="DF164" s="996">
        <f t="shared" si="148"/>
        <v>63.149999999999842</v>
      </c>
      <c r="DG164" s="996">
        <f t="shared" si="148"/>
        <v>63.699999999999839</v>
      </c>
      <c r="DH164" s="996">
        <f t="shared" si="148"/>
        <v>64.249999999999844</v>
      </c>
      <c r="DI164" s="996">
        <f t="shared" si="148"/>
        <v>64.799999999999841</v>
      </c>
      <c r="DJ164" s="996">
        <f t="shared" si="148"/>
        <v>65.349999999999838</v>
      </c>
      <c r="DK164" s="996">
        <f t="shared" si="148"/>
        <v>65.899999999999835</v>
      </c>
      <c r="DL164" s="996">
        <f t="shared" si="148"/>
        <v>66.449999999999832</v>
      </c>
      <c r="DM164" s="996">
        <f t="shared" si="148"/>
        <v>66.999999999999829</v>
      </c>
      <c r="DN164" s="996">
        <f t="shared" si="148"/>
        <v>67.549999999999827</v>
      </c>
      <c r="DO164" s="996">
        <f t="shared" si="148"/>
        <v>68.099999999999824</v>
      </c>
      <c r="DP164" s="996">
        <f t="shared" si="148"/>
        <v>68.649999999999821</v>
      </c>
      <c r="DQ164" s="996">
        <f t="shared" si="148"/>
        <v>69.199999999999818</v>
      </c>
      <c r="DR164" s="996">
        <f t="shared" ref="DR164" si="149">DQ164+0.55</f>
        <v>69.749999999999815</v>
      </c>
      <c r="DS164" s="451">
        <f>COUNT(S167:DR167)</f>
        <v>104</v>
      </c>
      <c r="DT164" s="451" t="s">
        <v>956</v>
      </c>
    </row>
    <row r="165" spans="2:147" s="996" customFormat="1" ht="21.95" customHeight="1">
      <c r="B165" s="994"/>
      <c r="C165" s="995">
        <v>1</v>
      </c>
      <c r="D165" s="996">
        <v>2</v>
      </c>
      <c r="E165" s="995">
        <v>3</v>
      </c>
      <c r="F165" s="996">
        <v>4</v>
      </c>
      <c r="G165" s="995">
        <v>5</v>
      </c>
      <c r="H165" s="996">
        <v>6</v>
      </c>
      <c r="I165" s="995">
        <v>7</v>
      </c>
      <c r="J165" s="996">
        <v>8</v>
      </c>
      <c r="K165" s="995">
        <v>9</v>
      </c>
      <c r="L165" s="996">
        <v>10</v>
      </c>
      <c r="M165" s="995">
        <v>11</v>
      </c>
      <c r="N165" s="996">
        <v>12</v>
      </c>
      <c r="O165" s="995">
        <v>13</v>
      </c>
      <c r="P165" s="996">
        <v>14</v>
      </c>
      <c r="Q165" s="995">
        <v>15</v>
      </c>
      <c r="R165" s="996">
        <v>16</v>
      </c>
      <c r="S165" s="995">
        <v>17</v>
      </c>
      <c r="T165" s="996">
        <v>18</v>
      </c>
      <c r="U165" s="995">
        <v>19</v>
      </c>
      <c r="V165" s="996">
        <v>20</v>
      </c>
      <c r="W165" s="995">
        <v>21</v>
      </c>
      <c r="X165" s="996">
        <v>22</v>
      </c>
      <c r="Y165" s="995">
        <v>23</v>
      </c>
      <c r="Z165" s="996">
        <v>24</v>
      </c>
      <c r="AA165" s="995">
        <v>25</v>
      </c>
      <c r="AB165" s="996">
        <v>26</v>
      </c>
      <c r="AC165" s="995">
        <v>27</v>
      </c>
      <c r="AD165" s="996">
        <v>28</v>
      </c>
      <c r="AE165" s="995">
        <v>29</v>
      </c>
      <c r="AF165" s="996">
        <v>30</v>
      </c>
      <c r="AG165" s="995">
        <v>31</v>
      </c>
      <c r="AH165" s="996">
        <v>32</v>
      </c>
      <c r="AI165" s="995">
        <v>33</v>
      </c>
      <c r="AJ165" s="996">
        <v>34</v>
      </c>
      <c r="AK165" s="995">
        <v>35</v>
      </c>
      <c r="AL165" s="996">
        <v>36</v>
      </c>
      <c r="AM165" s="995">
        <v>37</v>
      </c>
      <c r="AN165" s="996">
        <v>38</v>
      </c>
      <c r="AO165" s="995">
        <v>39</v>
      </c>
      <c r="AP165" s="996">
        <v>40</v>
      </c>
      <c r="AQ165" s="995">
        <v>41</v>
      </c>
      <c r="AR165" s="996">
        <v>42</v>
      </c>
      <c r="AS165" s="995">
        <v>43</v>
      </c>
      <c r="AT165" s="996">
        <v>44</v>
      </c>
      <c r="AU165" s="995">
        <v>45</v>
      </c>
      <c r="AV165" s="995">
        <v>46</v>
      </c>
      <c r="AW165" s="996">
        <v>47</v>
      </c>
      <c r="AX165" s="995">
        <v>48</v>
      </c>
      <c r="AY165" s="996">
        <v>49</v>
      </c>
      <c r="AZ165" s="995">
        <v>50</v>
      </c>
      <c r="BA165" s="995">
        <v>51</v>
      </c>
      <c r="BB165" s="996">
        <v>52</v>
      </c>
      <c r="BC165" s="995">
        <v>53</v>
      </c>
      <c r="BD165" s="996">
        <v>54</v>
      </c>
      <c r="BE165" s="995">
        <v>55</v>
      </c>
      <c r="BF165" s="995">
        <v>56</v>
      </c>
      <c r="BG165" s="996">
        <v>57</v>
      </c>
      <c r="BH165" s="995">
        <v>58</v>
      </c>
      <c r="BI165" s="996">
        <v>59</v>
      </c>
      <c r="BJ165" s="995">
        <v>60</v>
      </c>
      <c r="BK165" s="995">
        <v>61</v>
      </c>
      <c r="BL165" s="996">
        <v>62</v>
      </c>
      <c r="BM165" s="995">
        <v>63</v>
      </c>
      <c r="BN165" s="996">
        <v>64</v>
      </c>
      <c r="BO165" s="995">
        <v>65</v>
      </c>
      <c r="BP165" s="995">
        <v>66</v>
      </c>
      <c r="BQ165" s="996">
        <v>67</v>
      </c>
      <c r="BR165" s="995">
        <v>68</v>
      </c>
      <c r="BS165" s="996">
        <v>69</v>
      </c>
      <c r="BT165" s="995">
        <v>70</v>
      </c>
      <c r="BU165" s="995">
        <v>71</v>
      </c>
      <c r="BV165" s="996">
        <v>72</v>
      </c>
      <c r="BW165" s="995">
        <v>73</v>
      </c>
      <c r="BX165" s="996">
        <v>74</v>
      </c>
      <c r="BY165" s="995">
        <v>75</v>
      </c>
      <c r="BZ165" s="995">
        <v>76</v>
      </c>
      <c r="CA165" s="996">
        <v>77</v>
      </c>
      <c r="CB165" s="995">
        <v>78</v>
      </c>
      <c r="CC165" s="996">
        <v>79</v>
      </c>
      <c r="CD165" s="995">
        <v>80</v>
      </c>
      <c r="CE165" s="995">
        <v>81</v>
      </c>
      <c r="CF165" s="996">
        <v>82</v>
      </c>
      <c r="CG165" s="995">
        <v>83</v>
      </c>
      <c r="CH165" s="996">
        <v>84</v>
      </c>
      <c r="CI165" s="995">
        <v>85</v>
      </c>
      <c r="CJ165" s="995">
        <v>86</v>
      </c>
      <c r="CK165" s="996">
        <v>87</v>
      </c>
      <c r="CL165" s="995">
        <v>88</v>
      </c>
      <c r="CM165" s="996">
        <v>89</v>
      </c>
      <c r="CN165" s="995">
        <v>90</v>
      </c>
      <c r="CO165" s="995">
        <v>91</v>
      </c>
      <c r="CP165" s="996">
        <v>92</v>
      </c>
      <c r="CQ165" s="995">
        <v>93</v>
      </c>
      <c r="CR165" s="996">
        <v>94</v>
      </c>
      <c r="CS165" s="995">
        <v>95</v>
      </c>
      <c r="CT165" s="995">
        <v>96</v>
      </c>
      <c r="CU165" s="996">
        <v>97</v>
      </c>
      <c r="CV165" s="995">
        <v>98</v>
      </c>
      <c r="CW165" s="996">
        <v>99</v>
      </c>
      <c r="CX165" s="995">
        <v>100</v>
      </c>
      <c r="CY165" s="995">
        <v>101</v>
      </c>
      <c r="CZ165" s="996">
        <v>102</v>
      </c>
      <c r="DA165" s="995">
        <v>103</v>
      </c>
      <c r="DB165" s="996">
        <v>104</v>
      </c>
      <c r="DC165" s="995">
        <v>105</v>
      </c>
      <c r="DD165" s="995">
        <v>106</v>
      </c>
      <c r="DE165" s="996">
        <v>107</v>
      </c>
      <c r="DF165" s="995">
        <v>108</v>
      </c>
      <c r="DG165" s="996">
        <v>109</v>
      </c>
      <c r="DH165" s="995">
        <v>110</v>
      </c>
      <c r="DI165" s="995">
        <v>111</v>
      </c>
      <c r="DJ165" s="996">
        <v>112</v>
      </c>
      <c r="DK165" s="995">
        <v>113</v>
      </c>
      <c r="DL165" s="996">
        <v>114</v>
      </c>
      <c r="DM165" s="995">
        <v>115</v>
      </c>
      <c r="DN165" s="995">
        <v>116</v>
      </c>
      <c r="DO165" s="996">
        <v>117</v>
      </c>
      <c r="DP165" s="995">
        <v>118</v>
      </c>
      <c r="DQ165" s="996">
        <v>119</v>
      </c>
      <c r="DR165" s="995">
        <v>120</v>
      </c>
    </row>
    <row r="166" spans="2:147" ht="47.1" customHeight="1">
      <c r="B166" s="947" t="s">
        <v>957</v>
      </c>
      <c r="C166" s="920" t="s">
        <v>929</v>
      </c>
      <c r="D166" s="921" t="s">
        <v>930</v>
      </c>
      <c r="E166" s="917" t="s">
        <v>931</v>
      </c>
      <c r="F166" s="917" t="s">
        <v>932</v>
      </c>
      <c r="G166" s="920" t="s">
        <v>933</v>
      </c>
      <c r="H166" s="921" t="s">
        <v>934</v>
      </c>
      <c r="I166" s="917" t="s">
        <v>935</v>
      </c>
      <c r="J166" s="917" t="s">
        <v>936</v>
      </c>
      <c r="K166" s="920" t="s">
        <v>937</v>
      </c>
      <c r="L166" s="921" t="s">
        <v>938</v>
      </c>
      <c r="M166" s="917" t="s">
        <v>939</v>
      </c>
      <c r="N166" s="917" t="s">
        <v>940</v>
      </c>
      <c r="O166" s="920" t="s">
        <v>941</v>
      </c>
      <c r="P166" s="921" t="s">
        <v>942</v>
      </c>
      <c r="Q166" s="917" t="s">
        <v>943</v>
      </c>
      <c r="R166" s="917" t="s">
        <v>958</v>
      </c>
      <c r="S166" s="920" t="s">
        <v>959</v>
      </c>
      <c r="T166" s="921" t="s">
        <v>960</v>
      </c>
      <c r="U166" s="917" t="s">
        <v>961</v>
      </c>
      <c r="V166" s="917" t="s">
        <v>962</v>
      </c>
      <c r="W166" s="920" t="s">
        <v>963</v>
      </c>
      <c r="X166" s="921" t="s">
        <v>964</v>
      </c>
      <c r="Y166" s="917" t="s">
        <v>965</v>
      </c>
      <c r="Z166" s="917" t="s">
        <v>966</v>
      </c>
      <c r="AA166" s="920" t="s">
        <v>967</v>
      </c>
      <c r="AB166" s="921" t="s">
        <v>968</v>
      </c>
      <c r="AC166" s="917" t="s">
        <v>969</v>
      </c>
      <c r="AD166" s="917" t="s">
        <v>970</v>
      </c>
      <c r="AE166" s="920" t="s">
        <v>971</v>
      </c>
      <c r="AF166" s="921" t="s">
        <v>972</v>
      </c>
      <c r="AG166" s="917" t="s">
        <v>973</v>
      </c>
      <c r="AH166" s="917" t="s">
        <v>974</v>
      </c>
      <c r="AI166" s="920" t="s">
        <v>975</v>
      </c>
      <c r="AJ166" s="921" t="s">
        <v>976</v>
      </c>
      <c r="AK166" s="917" t="s">
        <v>977</v>
      </c>
      <c r="AL166" s="917" t="s">
        <v>978</v>
      </c>
      <c r="AM166" s="920" t="s">
        <v>979</v>
      </c>
      <c r="AN166" s="921" t="s">
        <v>980</v>
      </c>
      <c r="AO166" s="917" t="s">
        <v>981</v>
      </c>
      <c r="AP166" s="917" t="s">
        <v>982</v>
      </c>
      <c r="AQ166" s="920" t="s">
        <v>983</v>
      </c>
      <c r="AR166" s="921" t="s">
        <v>984</v>
      </c>
      <c r="AS166" s="917" t="s">
        <v>985</v>
      </c>
      <c r="AT166" s="917" t="s">
        <v>986</v>
      </c>
      <c r="AU166" s="920" t="s">
        <v>987</v>
      </c>
      <c r="AV166" s="921" t="s">
        <v>988</v>
      </c>
      <c r="AW166" s="917" t="s">
        <v>989</v>
      </c>
      <c r="AX166" s="917" t="s">
        <v>990</v>
      </c>
      <c r="AY166" s="920" t="s">
        <v>991</v>
      </c>
      <c r="AZ166" s="921" t="s">
        <v>992</v>
      </c>
      <c r="BA166" s="917" t="s">
        <v>993</v>
      </c>
      <c r="BB166" s="917" t="s">
        <v>994</v>
      </c>
      <c r="BC166" s="920" t="s">
        <v>995</v>
      </c>
      <c r="BD166" s="921" t="s">
        <v>996</v>
      </c>
      <c r="BE166" s="917" t="s">
        <v>997</v>
      </c>
      <c r="BF166" s="917" t="s">
        <v>998</v>
      </c>
      <c r="BG166" s="920" t="s">
        <v>999</v>
      </c>
      <c r="BH166" s="921" t="s">
        <v>1000</v>
      </c>
      <c r="BI166" s="917" t="s">
        <v>1001</v>
      </c>
      <c r="BJ166" s="917" t="s">
        <v>1002</v>
      </c>
      <c r="BK166" s="920" t="s">
        <v>1003</v>
      </c>
      <c r="BL166" s="921" t="s">
        <v>1004</v>
      </c>
      <c r="BM166" s="917" t="s">
        <v>1005</v>
      </c>
      <c r="BN166" s="917" t="s">
        <v>1006</v>
      </c>
      <c r="BO166" s="920" t="s">
        <v>1007</v>
      </c>
      <c r="BP166" s="921" t="s">
        <v>1008</v>
      </c>
      <c r="BQ166" s="917" t="s">
        <v>1009</v>
      </c>
      <c r="BR166" s="917" t="s">
        <v>1010</v>
      </c>
      <c r="BS166" s="920" t="s">
        <v>1011</v>
      </c>
      <c r="BT166" s="921" t="s">
        <v>1012</v>
      </c>
      <c r="BU166" s="917" t="s">
        <v>1013</v>
      </c>
      <c r="BV166" s="917" t="s">
        <v>1014</v>
      </c>
      <c r="BW166" s="920" t="s">
        <v>1015</v>
      </c>
      <c r="BX166" s="921" t="s">
        <v>1016</v>
      </c>
      <c r="BY166" s="917" t="s">
        <v>1017</v>
      </c>
      <c r="BZ166" s="917" t="s">
        <v>1018</v>
      </c>
      <c r="CA166" s="920" t="s">
        <v>1019</v>
      </c>
      <c r="CB166" s="921" t="s">
        <v>1020</v>
      </c>
      <c r="CC166" s="917" t="s">
        <v>1021</v>
      </c>
      <c r="CD166" s="917" t="s">
        <v>1022</v>
      </c>
      <c r="CE166" s="920" t="s">
        <v>1023</v>
      </c>
      <c r="CF166" s="921" t="s">
        <v>1024</v>
      </c>
      <c r="CG166" s="917" t="s">
        <v>1025</v>
      </c>
      <c r="CH166" s="917" t="s">
        <v>1026</v>
      </c>
      <c r="CI166" s="920" t="s">
        <v>1027</v>
      </c>
      <c r="CJ166" s="921" t="s">
        <v>1028</v>
      </c>
      <c r="CK166" s="917" t="s">
        <v>1029</v>
      </c>
      <c r="CL166" s="917" t="s">
        <v>1030</v>
      </c>
      <c r="CM166" s="920" t="s">
        <v>1031</v>
      </c>
      <c r="CN166" s="921" t="s">
        <v>1032</v>
      </c>
      <c r="CO166" s="917" t="s">
        <v>1033</v>
      </c>
      <c r="CP166" s="917" t="s">
        <v>1034</v>
      </c>
      <c r="CQ166" s="920" t="s">
        <v>1035</v>
      </c>
      <c r="CR166" s="921" t="s">
        <v>1036</v>
      </c>
      <c r="CS166" s="917" t="s">
        <v>1037</v>
      </c>
      <c r="CT166" s="917" t="s">
        <v>1038</v>
      </c>
      <c r="CU166" s="920" t="s">
        <v>1039</v>
      </c>
      <c r="CV166" s="921" t="s">
        <v>1040</v>
      </c>
      <c r="CW166" s="917" t="s">
        <v>1041</v>
      </c>
      <c r="CX166" s="917" t="s">
        <v>1042</v>
      </c>
      <c r="CY166" s="920" t="s">
        <v>1043</v>
      </c>
      <c r="CZ166" s="921" t="s">
        <v>1044</v>
      </c>
      <c r="DA166" s="917" t="s">
        <v>1045</v>
      </c>
      <c r="DB166" s="917" t="s">
        <v>1046</v>
      </c>
      <c r="DC166" s="920" t="s">
        <v>1047</v>
      </c>
      <c r="DD166" s="921" t="s">
        <v>1048</v>
      </c>
      <c r="DE166" s="917" t="s">
        <v>1049</v>
      </c>
      <c r="DF166" s="917" t="s">
        <v>1050</v>
      </c>
      <c r="DG166" s="920" t="s">
        <v>1051</v>
      </c>
      <c r="DH166" s="921" t="s">
        <v>1052</v>
      </c>
      <c r="DI166" s="917" t="s">
        <v>1053</v>
      </c>
      <c r="DJ166" s="917" t="s">
        <v>1054</v>
      </c>
      <c r="DK166" s="920" t="s">
        <v>1055</v>
      </c>
      <c r="DL166" s="921" t="s">
        <v>1056</v>
      </c>
      <c r="DM166" s="917" t="s">
        <v>1057</v>
      </c>
      <c r="DN166" s="917" t="s">
        <v>1058</v>
      </c>
      <c r="DO166" s="920" t="s">
        <v>1059</v>
      </c>
      <c r="DP166" s="921" t="s">
        <v>1060</v>
      </c>
      <c r="DQ166" s="917" t="s">
        <v>1061</v>
      </c>
      <c r="DR166" s="917" t="s">
        <v>1062</v>
      </c>
      <c r="DS166" s="917" t="s">
        <v>899</v>
      </c>
    </row>
    <row r="167" spans="2:147" s="932" customFormat="1" ht="47.1" customHeight="1">
      <c r="B167" s="970" t="s">
        <v>1063</v>
      </c>
      <c r="C167" s="985">
        <v>68247</v>
      </c>
      <c r="D167" s="985">
        <v>33312</v>
      </c>
      <c r="E167" s="986">
        <v>70410</v>
      </c>
      <c r="F167" s="986">
        <v>86010</v>
      </c>
      <c r="G167" s="986">
        <v>98692</v>
      </c>
      <c r="H167" s="986">
        <v>118235</v>
      </c>
      <c r="I167" s="986">
        <v>122744</v>
      </c>
      <c r="J167" s="986">
        <v>148691</v>
      </c>
      <c r="K167" s="986">
        <v>178697</v>
      </c>
      <c r="L167" s="986">
        <v>196788</v>
      </c>
      <c r="M167" s="986">
        <v>205682</v>
      </c>
      <c r="N167" s="986">
        <v>226789</v>
      </c>
      <c r="O167" s="987">
        <v>258885</v>
      </c>
      <c r="P167" s="988">
        <f>616.32*P165^2+8817.2*P165+38927</f>
        <v>283166.52</v>
      </c>
      <c r="Q167" s="988">
        <f t="shared" ref="Q167:AT167" si="150">616.32*Q165^2+8817.2*Q165+38927</f>
        <v>309857</v>
      </c>
      <c r="R167" s="988">
        <f t="shared" si="150"/>
        <v>337780.12</v>
      </c>
      <c r="S167" s="988">
        <f t="shared" si="150"/>
        <v>366935.88</v>
      </c>
      <c r="T167" s="988">
        <f t="shared" si="150"/>
        <v>397324.28</v>
      </c>
      <c r="U167" s="988">
        <f t="shared" si="150"/>
        <v>428945.32000000007</v>
      </c>
      <c r="V167" s="988">
        <f t="shared" si="150"/>
        <v>461799</v>
      </c>
      <c r="W167" s="988">
        <f t="shared" si="150"/>
        <v>495885.32</v>
      </c>
      <c r="X167" s="988">
        <f t="shared" si="150"/>
        <v>531204.28</v>
      </c>
      <c r="Y167" s="988">
        <f t="shared" si="150"/>
        <v>567755.88</v>
      </c>
      <c r="Z167" s="988">
        <f t="shared" si="150"/>
        <v>605540.12</v>
      </c>
      <c r="AA167" s="988">
        <f t="shared" si="150"/>
        <v>644557.00000000012</v>
      </c>
      <c r="AB167" s="988">
        <f>616.32*AB165^2+8817.2*AB165+38927</f>
        <v>684806.52</v>
      </c>
      <c r="AC167" s="988">
        <f t="shared" si="150"/>
        <v>726288.68</v>
      </c>
      <c r="AD167" s="988">
        <f t="shared" si="150"/>
        <v>769003.4800000001</v>
      </c>
      <c r="AE167" s="988">
        <f t="shared" si="150"/>
        <v>812950.92</v>
      </c>
      <c r="AF167" s="988">
        <f t="shared" si="150"/>
        <v>858131</v>
      </c>
      <c r="AG167" s="988">
        <f t="shared" si="150"/>
        <v>904543.72</v>
      </c>
      <c r="AH167" s="988">
        <f t="shared" si="150"/>
        <v>952189.08000000007</v>
      </c>
      <c r="AI167" s="988">
        <f t="shared" si="150"/>
        <v>1001067.0800000001</v>
      </c>
      <c r="AJ167" s="988">
        <f t="shared" si="150"/>
        <v>1051177.7200000002</v>
      </c>
      <c r="AK167" s="988">
        <f t="shared" si="150"/>
        <v>1102521</v>
      </c>
      <c r="AL167" s="988">
        <f>616.32*AL165^2+8817.2*AL165+38927</f>
        <v>1155096.9200000002</v>
      </c>
      <c r="AM167" s="988">
        <f t="shared" si="150"/>
        <v>1208905.48</v>
      </c>
      <c r="AN167" s="988">
        <f t="shared" si="150"/>
        <v>1263946.6800000002</v>
      </c>
      <c r="AO167" s="988">
        <f t="shared" si="150"/>
        <v>1320220.52</v>
      </c>
      <c r="AP167" s="988">
        <f t="shared" si="150"/>
        <v>1377727</v>
      </c>
      <c r="AQ167" s="988">
        <f t="shared" si="150"/>
        <v>1436466.12</v>
      </c>
      <c r="AR167" s="988">
        <f t="shared" si="150"/>
        <v>1496437.88</v>
      </c>
      <c r="AS167" s="988">
        <f t="shared" si="150"/>
        <v>1557642.2800000003</v>
      </c>
      <c r="AT167" s="988">
        <f t="shared" si="150"/>
        <v>1620079.32</v>
      </c>
      <c r="AU167" s="988">
        <f t="shared" ref="AU167" si="151">616.32*AU165^2+8817.2*AU165+38927</f>
        <v>1683749</v>
      </c>
      <c r="AV167" s="988">
        <f>616.32*AV165^2+8817.2*AV165+38927</f>
        <v>1748651.32</v>
      </c>
      <c r="AW167" s="988">
        <f t="shared" ref="AW167:BL167" si="152">616.32*AW165^2+8817.2*AW165+38927</f>
        <v>1814786.2800000003</v>
      </c>
      <c r="AX167" s="988">
        <f t="shared" si="152"/>
        <v>1882153.8800000001</v>
      </c>
      <c r="AY167" s="988">
        <f t="shared" si="152"/>
        <v>1950754.12</v>
      </c>
      <c r="AZ167" s="988">
        <f t="shared" si="152"/>
        <v>2020587.0000000002</v>
      </c>
      <c r="BA167" s="988">
        <f t="shared" si="152"/>
        <v>2091652.52</v>
      </c>
      <c r="BB167" s="988">
        <f t="shared" si="152"/>
        <v>2163950.6800000002</v>
      </c>
      <c r="BC167" s="988">
        <f t="shared" si="152"/>
        <v>2237481.48</v>
      </c>
      <c r="BD167" s="988">
        <f t="shared" si="152"/>
        <v>2312244.92</v>
      </c>
      <c r="BE167" s="988">
        <f t="shared" si="152"/>
        <v>2388241.0000000005</v>
      </c>
      <c r="BF167" s="988">
        <f t="shared" si="152"/>
        <v>2465469.7200000002</v>
      </c>
      <c r="BG167" s="988">
        <f t="shared" si="152"/>
        <v>2543931.08</v>
      </c>
      <c r="BH167" s="988">
        <f t="shared" si="152"/>
        <v>2623625.08</v>
      </c>
      <c r="BI167" s="988">
        <f t="shared" si="152"/>
        <v>2704551.7200000007</v>
      </c>
      <c r="BJ167" s="988">
        <f t="shared" si="152"/>
        <v>2786711</v>
      </c>
      <c r="BK167" s="988">
        <f t="shared" si="152"/>
        <v>2870102.9200000004</v>
      </c>
      <c r="BL167" s="988">
        <f t="shared" si="152"/>
        <v>2954727.48</v>
      </c>
      <c r="BM167" s="988">
        <f t="shared" ref="BM167:CL167" si="153">616.32*BM165^2+8817.2*BM165+38927</f>
        <v>3040584.68</v>
      </c>
      <c r="BN167" s="988">
        <f t="shared" si="153"/>
        <v>3127674.5200000005</v>
      </c>
      <c r="BO167" s="988">
        <f t="shared" si="153"/>
        <v>3215997</v>
      </c>
      <c r="BP167" s="988">
        <f t="shared" si="153"/>
        <v>3305552.1200000006</v>
      </c>
      <c r="BQ167" s="988">
        <f t="shared" si="153"/>
        <v>3396339.8800000004</v>
      </c>
      <c r="BR167" s="988">
        <f t="shared" si="153"/>
        <v>3488360.2800000003</v>
      </c>
      <c r="BS167" s="988">
        <f t="shared" si="153"/>
        <v>3581613.3200000003</v>
      </c>
      <c r="BT167" s="988">
        <f t="shared" si="153"/>
        <v>3676099.0000000005</v>
      </c>
      <c r="BU167" s="988">
        <f t="shared" si="153"/>
        <v>3771817.3200000003</v>
      </c>
      <c r="BV167" s="988">
        <f t="shared" si="153"/>
        <v>3868768.2800000003</v>
      </c>
      <c r="BW167" s="988">
        <f t="shared" si="153"/>
        <v>3966951.8800000004</v>
      </c>
      <c r="BX167" s="988">
        <f t="shared" si="153"/>
        <v>4066368.12</v>
      </c>
      <c r="BY167" s="988">
        <f t="shared" si="153"/>
        <v>4167017.0000000005</v>
      </c>
      <c r="BZ167" s="988">
        <f t="shared" si="153"/>
        <v>4268898.5200000005</v>
      </c>
      <c r="CA167" s="988">
        <f t="shared" si="153"/>
        <v>4372012.6800000006</v>
      </c>
      <c r="CB167" s="988">
        <f t="shared" si="153"/>
        <v>4476359.4800000004</v>
      </c>
      <c r="CC167" s="988">
        <f t="shared" si="153"/>
        <v>4581938.92</v>
      </c>
      <c r="CD167" s="988">
        <f t="shared" si="153"/>
        <v>4688751</v>
      </c>
      <c r="CE167" s="988">
        <f t="shared" si="153"/>
        <v>4796795.7200000007</v>
      </c>
      <c r="CF167" s="988">
        <f t="shared" si="153"/>
        <v>4906073.08</v>
      </c>
      <c r="CG167" s="988">
        <f t="shared" si="153"/>
        <v>5016583.08</v>
      </c>
      <c r="CH167" s="988">
        <f t="shared" si="153"/>
        <v>5128325.72</v>
      </c>
      <c r="CI167" s="988">
        <f t="shared" si="153"/>
        <v>5241301</v>
      </c>
      <c r="CJ167" s="988">
        <f t="shared" si="153"/>
        <v>5355508.9200000009</v>
      </c>
      <c r="CK167" s="988">
        <f t="shared" si="153"/>
        <v>5470949.4800000004</v>
      </c>
      <c r="CL167" s="988">
        <f t="shared" si="153"/>
        <v>5587622.6799999997</v>
      </c>
      <c r="CM167" s="988">
        <f t="shared" ref="CM167:DQ167" si="154">616.32*CM165^2+8817.2*CM165+38927</f>
        <v>5705528.5200000005</v>
      </c>
      <c r="CN167" s="988">
        <f t="shared" si="154"/>
        <v>5824667</v>
      </c>
      <c r="CO167" s="988">
        <f t="shared" si="154"/>
        <v>5945038.120000001</v>
      </c>
      <c r="CP167" s="988">
        <f t="shared" si="154"/>
        <v>6066641.8800000008</v>
      </c>
      <c r="CQ167" s="988">
        <f t="shared" si="154"/>
        <v>6189478.2800000012</v>
      </c>
      <c r="CR167" s="988">
        <f t="shared" si="154"/>
        <v>6313547.3200000003</v>
      </c>
      <c r="CS167" s="988">
        <f t="shared" si="154"/>
        <v>6438849</v>
      </c>
      <c r="CT167" s="988">
        <f t="shared" si="154"/>
        <v>6565383.3200000003</v>
      </c>
      <c r="CU167" s="988">
        <f t="shared" si="154"/>
        <v>6693150.2800000012</v>
      </c>
      <c r="CV167" s="988">
        <f t="shared" si="154"/>
        <v>6822149.8800000008</v>
      </c>
      <c r="CW167" s="988">
        <f t="shared" si="154"/>
        <v>6952382.1200000001</v>
      </c>
      <c r="CX167" s="988">
        <f t="shared" si="154"/>
        <v>7083847.0000000009</v>
      </c>
      <c r="CY167" s="988">
        <f t="shared" si="154"/>
        <v>7216544.5200000005</v>
      </c>
      <c r="CZ167" s="988">
        <f t="shared" si="154"/>
        <v>7350474.6800000006</v>
      </c>
      <c r="DA167" s="988">
        <f t="shared" si="154"/>
        <v>7485637.4800000004</v>
      </c>
      <c r="DB167" s="988">
        <f t="shared" si="154"/>
        <v>7622032.9199999999</v>
      </c>
      <c r="DC167" s="988">
        <f t="shared" si="154"/>
        <v>7759661.0000000009</v>
      </c>
      <c r="DD167" s="988">
        <f t="shared" si="154"/>
        <v>7898521.7200000007</v>
      </c>
      <c r="DE167" s="988">
        <f t="shared" si="154"/>
        <v>8038615.080000001</v>
      </c>
      <c r="DF167" s="988">
        <f t="shared" si="154"/>
        <v>8179941.0800000001</v>
      </c>
      <c r="DG167" s="988">
        <f t="shared" si="154"/>
        <v>8322499.7200000007</v>
      </c>
      <c r="DH167" s="988">
        <f t="shared" si="154"/>
        <v>8466291.0000000019</v>
      </c>
      <c r="DI167" s="988">
        <f t="shared" si="154"/>
        <v>8611314.9199999999</v>
      </c>
      <c r="DJ167" s="988">
        <f t="shared" si="154"/>
        <v>8757571.4800000004</v>
      </c>
      <c r="DK167" s="988">
        <f t="shared" si="154"/>
        <v>8905060.6800000016</v>
      </c>
      <c r="DL167" s="988">
        <f t="shared" si="154"/>
        <v>9053782.5200000014</v>
      </c>
      <c r="DM167" s="988">
        <f t="shared" si="154"/>
        <v>9203737.0000000019</v>
      </c>
      <c r="DN167" s="988">
        <f t="shared" si="154"/>
        <v>9354924.120000001</v>
      </c>
      <c r="DO167" s="988">
        <f t="shared" si="154"/>
        <v>9507343.8800000008</v>
      </c>
      <c r="DP167" s="988">
        <f t="shared" si="154"/>
        <v>9660996.2800000012</v>
      </c>
      <c r="DQ167" s="988">
        <f t="shared" si="154"/>
        <v>9815881.3200000022</v>
      </c>
      <c r="DR167" s="988">
        <f>616.32*DR165^2+8817.2*DR165+38927</f>
        <v>9971999</v>
      </c>
      <c r="DS167" s="1019">
        <f>(DR167/S167)^(1/COUNT(S167:DR167))-1</f>
        <v>3.2262874460362134E-2</v>
      </c>
    </row>
    <row r="168" spans="2:147" s="932" customFormat="1" ht="47.1" customHeight="1">
      <c r="B168" s="993" t="s">
        <v>204</v>
      </c>
      <c r="C168" s="992" t="s">
        <v>78</v>
      </c>
      <c r="D168" s="992">
        <f t="shared" ref="D168:O168" si="155">D167/C167-1</f>
        <v>-0.51189063255527723</v>
      </c>
      <c r="E168" s="992">
        <f t="shared" si="155"/>
        <v>1.1136527377521612</v>
      </c>
      <c r="F168" s="992">
        <f t="shared" si="155"/>
        <v>0.22155943757988927</v>
      </c>
      <c r="G168" s="992">
        <f t="shared" si="155"/>
        <v>0.14744797116614339</v>
      </c>
      <c r="H168" s="992">
        <f t="shared" si="155"/>
        <v>0.19802010294654071</v>
      </c>
      <c r="I168" s="992">
        <f t="shared" si="155"/>
        <v>3.8135915760984407E-2</v>
      </c>
      <c r="J168" s="992">
        <f t="shared" si="155"/>
        <v>0.21139118816398361</v>
      </c>
      <c r="K168" s="992">
        <f t="shared" si="155"/>
        <v>0.20180105050070285</v>
      </c>
      <c r="L168" s="992">
        <f t="shared" si="155"/>
        <v>0.10123840915068527</v>
      </c>
      <c r="M168" s="992">
        <f t="shared" si="155"/>
        <v>4.519584527511844E-2</v>
      </c>
      <c r="N168" s="992">
        <f t="shared" si="155"/>
        <v>0.10261957779484843</v>
      </c>
      <c r="O168" s="992">
        <f t="shared" si="155"/>
        <v>0.14152361887040388</v>
      </c>
      <c r="P168" s="992">
        <f>P167/O167-1+$T$161</f>
        <v>9.3792687872993774E-2</v>
      </c>
      <c r="Q168" s="992">
        <f t="shared" ref="Q168:R168" si="156">Q167/P167-1+$T$161</f>
        <v>9.4257188314494256E-2</v>
      </c>
      <c r="R168" s="992">
        <f t="shared" si="156"/>
        <v>9.0116150353227509E-2</v>
      </c>
      <c r="S168" s="992">
        <f>(S167/R167-1)+$T$161</f>
        <v>8.6315796204939454E-2</v>
      </c>
      <c r="T168" s="992">
        <f>(T167/S167-1)+$T$161</f>
        <v>8.2816649055960534E-2</v>
      </c>
      <c r="U168" s="992">
        <f t="shared" ref="U168:CE168" si="157">(U167/T167-1)+$T$161</f>
        <v>7.9584967724600331E-2</v>
      </c>
      <c r="V168" s="992">
        <f t="shared" si="157"/>
        <v>7.6591766987922583E-2</v>
      </c>
      <c r="W168" s="992">
        <f t="shared" si="157"/>
        <v>7.3812026444405543E-2</v>
      </c>
      <c r="X168" s="992">
        <f t="shared" si="157"/>
        <v>7.1224048334401324E-2</v>
      </c>
      <c r="Y168" s="992">
        <f t="shared" si="157"/>
        <v>6.880893354247819E-2</v>
      </c>
      <c r="Z168" s="992">
        <f t="shared" si="157"/>
        <v>6.6550151801157975E-2</v>
      </c>
      <c r="AA168" s="992">
        <f t="shared" si="157"/>
        <v>6.4433187350162902E-2</v>
      </c>
      <c r="AB168" s="992">
        <f t="shared" si="157"/>
        <v>6.2445245339046718E-2</v>
      </c>
      <c r="AC168" s="992">
        <f t="shared" si="157"/>
        <v>6.0575007375806011E-2</v>
      </c>
      <c r="AD168" s="992">
        <f t="shared" si="157"/>
        <v>5.8812427036588399E-2</v>
      </c>
      <c r="AE168" s="992">
        <f t="shared" si="157"/>
        <v>5.7148558027331653E-2</v>
      </c>
      <c r="AF168" s="992">
        <f t="shared" si="157"/>
        <v>5.5575409152621269E-2</v>
      </c>
      <c r="AG168" s="992">
        <f t="shared" si="157"/>
        <v>5.4085821395567724E-2</v>
      </c>
      <c r="AH168" s="992">
        <f t="shared" si="157"/>
        <v>5.2673363317364164E-2</v>
      </c>
      <c r="AI168" s="992">
        <f t="shared" si="157"/>
        <v>5.13322417014066E-2</v>
      </c>
      <c r="AJ168" s="992">
        <f t="shared" si="157"/>
        <v>5.0057224936415068E-2</v>
      </c>
      <c r="AK168" s="992">
        <f t="shared" si="157"/>
        <v>4.8843577087992029E-2</v>
      </c>
      <c r="AL168" s="992">
        <f t="shared" si="157"/>
        <v>4.7687000973224203E-2</v>
      </c>
      <c r="AM168" s="992">
        <f t="shared" si="157"/>
        <v>4.6583588847245672E-2</v>
      </c>
      <c r="AN168" s="992">
        <f t="shared" si="157"/>
        <v>4.5529779549018379E-2</v>
      </c>
      <c r="AO168" s="992">
        <f t="shared" si="157"/>
        <v>4.4522321147281163E-2</v>
      </c>
      <c r="AP168" s="992">
        <f t="shared" si="157"/>
        <v>4.3558238285828166E-2</v>
      </c>
      <c r="AQ168" s="992">
        <f t="shared" si="157"/>
        <v>4.2634803556873102E-2</v>
      </c>
      <c r="AR168" s="992">
        <f t="shared" si="157"/>
        <v>4.1749512337958761E-2</v>
      </c>
      <c r="AS168" s="992">
        <f t="shared" si="157"/>
        <v>4.0900060615947753E-2</v>
      </c>
      <c r="AT168" s="992">
        <f t="shared" si="157"/>
        <v>4.0084325394659892E-2</v>
      </c>
      <c r="AU168" s="992">
        <f t="shared" si="157"/>
        <v>3.9300347343486752E-2</v>
      </c>
      <c r="AV168" s="992">
        <f t="shared" si="157"/>
        <v>3.8546315394990538E-2</v>
      </c>
      <c r="AW168" s="992">
        <f t="shared" si="157"/>
        <v>3.7820553041986837E-2</v>
      </c>
      <c r="AX168" s="992">
        <f t="shared" si="157"/>
        <v>3.7121506120268766E-2</v>
      </c>
      <c r="AY168" s="992">
        <f t="shared" si="157"/>
        <v>3.6447731893207269E-2</v>
      </c>
      <c r="AZ168" s="992">
        <f t="shared" si="157"/>
        <v>3.5797889279864714E-2</v>
      </c>
      <c r="BA168" s="992">
        <f t="shared" si="157"/>
        <v>3.5170730089820301E-2</v>
      </c>
      <c r="BB168" s="992">
        <f t="shared" si="157"/>
        <v>3.4565091146210092E-2</v>
      </c>
      <c r="BC168" s="992">
        <f t="shared" si="157"/>
        <v>3.3979887194101721E-2</v>
      </c>
      <c r="BD168" s="992">
        <f t="shared" si="157"/>
        <v>3.3414104504677189E-2</v>
      </c>
      <c r="BE168" s="992">
        <f t="shared" si="157"/>
        <v>3.2866795097121759E-2</v>
      </c>
      <c r="BF168" s="992">
        <f t="shared" si="157"/>
        <v>3.2337071509952242E-2</v>
      </c>
      <c r="BG168" s="992">
        <f t="shared" si="157"/>
        <v>3.1824102061979387E-2</v>
      </c>
      <c r="BH168" s="992">
        <f t="shared" si="157"/>
        <v>3.1327106550386619E-2</v>
      </c>
      <c r="BI168" s="992">
        <f t="shared" si="157"/>
        <v>3.08453523397485E-2</v>
      </c>
      <c r="BJ168" s="992">
        <f t="shared" si="157"/>
        <v>3.037815080127193E-2</v>
      </c>
      <c r="BK168" s="992">
        <f t="shared" si="157"/>
        <v>2.9924854066317064E-2</v>
      </c>
      <c r="BL168" s="992">
        <f t="shared" si="157"/>
        <v>2.9484852062378053E-2</v>
      </c>
      <c r="BM168" s="992">
        <f t="shared" si="157"/>
        <v>2.9057569803357941E-2</v>
      </c>
      <c r="BN168" s="992">
        <f t="shared" si="157"/>
        <v>2.864246490908462E-2</v>
      </c>
      <c r="BO168" s="992">
        <f t="shared" si="157"/>
        <v>2.8239025331830092E-2</v>
      </c>
      <c r="BP168" s="992">
        <f t="shared" si="157"/>
        <v>2.7846767269994466E-2</v>
      </c>
      <c r="BQ168" s="992">
        <f t="shared" si="157"/>
        <v>2.7465233251260823E-2</v>
      </c>
      <c r="BR168" s="992">
        <f t="shared" si="157"/>
        <v>2.7093990369420728E-2</v>
      </c>
      <c r="BS168" s="992">
        <f t="shared" si="157"/>
        <v>2.6732628660707025E-2</v>
      </c>
      <c r="BT168" s="992">
        <f t="shared" si="157"/>
        <v>2.6380759606958293E-2</v>
      </c>
      <c r="BU168" s="992">
        <f t="shared" si="157"/>
        <v>2.6038014754227179E-2</v>
      </c>
      <c r="BV168" s="992">
        <f t="shared" si="157"/>
        <v>2.5704044436595241E-2</v>
      </c>
      <c r="BW168" s="992">
        <f t="shared" si="157"/>
        <v>2.5378516595985001E-2</v>
      </c>
      <c r="BX168" s="992">
        <f t="shared" si="157"/>
        <v>2.5061115689661406E-2</v>
      </c>
      <c r="BY168" s="992">
        <f t="shared" si="157"/>
        <v>2.4751541677933586E-2</v>
      </c>
      <c r="BZ168" s="992">
        <f t="shared" si="157"/>
        <v>2.44495090852761E-2</v>
      </c>
      <c r="CA168" s="992">
        <f t="shared" si="157"/>
        <v>2.4154746128750793E-2</v>
      </c>
      <c r="CB168" s="992">
        <f t="shared" si="157"/>
        <v>2.3866993908169487E-2</v>
      </c>
      <c r="CC168" s="992">
        <f t="shared" si="157"/>
        <v>2.3586005652968645E-2</v>
      </c>
      <c r="CD168" s="992">
        <f t="shared" si="157"/>
        <v>2.331154602122032E-2</v>
      </c>
      <c r="CE168" s="992">
        <f t="shared" si="157"/>
        <v>2.3043390446624512E-2</v>
      </c>
      <c r="CF168" s="992">
        <f t="shared" ref="CF168:DR168" si="158">(CF167/CE167-1)+$T$161</f>
        <v>2.2781324529700608E-2</v>
      </c>
      <c r="CG168" s="992">
        <f t="shared" si="158"/>
        <v>2.2525143469733999E-2</v>
      </c>
      <c r="CH168" s="992">
        <f t="shared" si="158"/>
        <v>2.2274651534326839E-2</v>
      </c>
      <c r="CI168" s="992">
        <f t="shared" si="158"/>
        <v>2.2029661563696568E-2</v>
      </c>
      <c r="CJ168" s="992">
        <f t="shared" si="158"/>
        <v>2.1789994507089183E-2</v>
      </c>
      <c r="CK168" s="992">
        <f t="shared" si="158"/>
        <v>2.1555478988913634E-2</v>
      </c>
      <c r="CL168" s="992">
        <f t="shared" si="158"/>
        <v>2.1325950902401525E-2</v>
      </c>
      <c r="CM168" s="992">
        <f t="shared" si="158"/>
        <v>2.1101253028774858E-2</v>
      </c>
      <c r="CN168" s="992">
        <f t="shared" si="158"/>
        <v>2.0881234680078187E-2</v>
      </c>
      <c r="CO168" s="992">
        <f t="shared" si="158"/>
        <v>2.0665751363983631E-2</v>
      </c>
      <c r="CP168" s="992">
        <f t="shared" si="158"/>
        <v>2.0454664468997574E-2</v>
      </c>
      <c r="CQ168" s="992">
        <f t="shared" si="158"/>
        <v>2.0247840968651509E-2</v>
      </c>
      <c r="CR168" s="992">
        <f t="shared" si="158"/>
        <v>2.0045153143343653E-2</v>
      </c>
      <c r="CS168" s="992">
        <f t="shared" si="158"/>
        <v>1.9846478318626071E-2</v>
      </c>
      <c r="CT168" s="992">
        <f t="shared" si="158"/>
        <v>1.9651698618806002E-2</v>
      </c>
      <c r="CU168" s="992">
        <f t="shared" si="158"/>
        <v>1.9460700734835523E-2</v>
      </c>
      <c r="CV168" s="992">
        <f t="shared" si="158"/>
        <v>1.9273375705527895E-2</v>
      </c>
      <c r="CW168" s="992">
        <f t="shared" si="158"/>
        <v>1.9089618711220613E-2</v>
      </c>
      <c r="CX168" s="992">
        <f t="shared" si="158"/>
        <v>1.8909328879063603E-2</v>
      </c>
      <c r="CY168" s="992">
        <f t="shared" si="158"/>
        <v>1.8732409099180058E-2</v>
      </c>
      <c r="CZ168" s="992">
        <f t="shared" si="158"/>
        <v>1.8558765851000469E-2</v>
      </c>
      <c r="DA168" s="992">
        <f t="shared" si="158"/>
        <v>1.8388309039110817E-2</v>
      </c>
      <c r="DB168" s="992">
        <f t="shared" si="158"/>
        <v>1.8220951838025634E-2</v>
      </c>
      <c r="DC168" s="992">
        <f t="shared" si="158"/>
        <v>1.8056610545313712E-2</v>
      </c>
      <c r="DD168" s="992">
        <f t="shared" si="158"/>
        <v>1.7895204442565094E-2</v>
      </c>
      <c r="DE168" s="992">
        <f t="shared" si="158"/>
        <v>1.7736655663713297E-2</v>
      </c>
      <c r="DF168" s="992">
        <f t="shared" si="158"/>
        <v>1.7580889070260008E-2</v>
      </c>
      <c r="DG168" s="992">
        <f t="shared" si="158"/>
        <v>1.7427832132991483E-2</v>
      </c>
      <c r="DH168" s="992">
        <f t="shared" si="158"/>
        <v>1.7277414819786951E-2</v>
      </c>
      <c r="DI168" s="992">
        <f t="shared" si="158"/>
        <v>1.7129569489165775E-2</v>
      </c>
      <c r="DJ168" s="992">
        <f t="shared" si="158"/>
        <v>1.6984230789227839E-2</v>
      </c>
      <c r="DK168" s="992">
        <f t="shared" si="158"/>
        <v>1.6841335561671222E-2</v>
      </c>
      <c r="DL168" s="992">
        <f t="shared" si="158"/>
        <v>1.6700822750598032E-2</v>
      </c>
      <c r="DM168" s="992">
        <f t="shared" si="158"/>
        <v>1.6562633315826636E-2</v>
      </c>
      <c r="DN168" s="992">
        <f t="shared" si="158"/>
        <v>1.6426710150452939E-2</v>
      </c>
      <c r="DO168" s="992">
        <f t="shared" si="158"/>
        <v>1.6292998002425341E-2</v>
      </c>
      <c r="DP168" s="992">
        <f t="shared" si="158"/>
        <v>1.6161443399899333E-2</v>
      </c>
      <c r="DQ168" s="992">
        <f t="shared" si="158"/>
        <v>1.6031994580169906E-2</v>
      </c>
      <c r="DR168" s="1104">
        <f t="shared" si="158"/>
        <v>1.5904601421973696E-2</v>
      </c>
      <c r="DS168" s="1106"/>
      <c r="DT168" s="726"/>
      <c r="DU168" s="726"/>
      <c r="DV168" s="726"/>
      <c r="DW168" s="726"/>
      <c r="DX168" s="726"/>
      <c r="DY168" s="726"/>
      <c r="DZ168" s="726"/>
      <c r="EA168" s="726"/>
      <c r="EB168" s="726"/>
      <c r="EC168" s="726"/>
      <c r="ED168" s="726"/>
      <c r="EE168" s="726"/>
      <c r="EF168" s="726"/>
      <c r="EG168" s="726"/>
      <c r="EH168" s="726"/>
      <c r="EI168" s="726"/>
      <c r="EJ168" s="726"/>
      <c r="EK168" s="726"/>
      <c r="EL168" s="726"/>
      <c r="EM168" s="726"/>
      <c r="EN168" s="726"/>
      <c r="EO168" s="726"/>
      <c r="EP168" s="726"/>
      <c r="EQ168" s="726"/>
    </row>
    <row r="169" spans="2:147" s="932" customFormat="1" ht="47.1" customHeight="1">
      <c r="B169" s="971" t="str">
        <f>F160</f>
        <v>Ore Processed</v>
      </c>
      <c r="C169" s="989">
        <f t="shared" ref="C169:T169" si="159">Q110</f>
        <v>202596</v>
      </c>
      <c r="D169" s="989">
        <f t="shared" si="159"/>
        <v>102251</v>
      </c>
      <c r="E169" s="989">
        <f t="shared" si="159"/>
        <v>137407</v>
      </c>
      <c r="F169" s="989">
        <f t="shared" si="159"/>
        <v>199961</v>
      </c>
      <c r="G169" s="989">
        <f t="shared" si="159"/>
        <v>360227</v>
      </c>
      <c r="H169" s="989">
        <f t="shared" si="159"/>
        <v>381973</v>
      </c>
      <c r="I169" s="989">
        <f t="shared" si="159"/>
        <v>415277</v>
      </c>
      <c r="J169" s="989">
        <f t="shared" si="159"/>
        <v>422111</v>
      </c>
      <c r="K169" s="989">
        <f t="shared" si="159"/>
        <v>443691</v>
      </c>
      <c r="L169" s="989">
        <f t="shared" si="159"/>
        <v>566027</v>
      </c>
      <c r="M169" s="989">
        <f t="shared" si="159"/>
        <v>613202</v>
      </c>
      <c r="N169" s="989">
        <f t="shared" si="159"/>
        <v>792428</v>
      </c>
      <c r="O169" s="990">
        <f t="shared" si="159"/>
        <v>801968</v>
      </c>
      <c r="P169" s="990">
        <f t="shared" si="159"/>
        <v>902924</v>
      </c>
      <c r="Q169" s="990">
        <f t="shared" si="159"/>
        <v>846949</v>
      </c>
      <c r="R169" s="990">
        <f t="shared" si="159"/>
        <v>893500</v>
      </c>
      <c r="S169" s="990">
        <f t="shared" si="159"/>
        <v>852148</v>
      </c>
      <c r="T169" s="990">
        <f t="shared" si="159"/>
        <v>982028</v>
      </c>
      <c r="U169" s="991">
        <f>2650.9*U164^2+19237*U164+116729+($T$162*T169)</f>
        <v>1051781.2250000001</v>
      </c>
      <c r="V169" s="991">
        <f t="shared" ref="V169:CG169" si="160">2650.9*V164^2+19237*V164+116729+($T$162*U169)</f>
        <v>1103151.3999999999</v>
      </c>
      <c r="W169" s="991">
        <f t="shared" si="160"/>
        <v>1155847.0249999999</v>
      </c>
      <c r="X169" s="991">
        <f t="shared" si="160"/>
        <v>1209868.1000000001</v>
      </c>
      <c r="Y169" s="991">
        <f t="shared" si="160"/>
        <v>1265214.625</v>
      </c>
      <c r="Z169" s="991">
        <f t="shared" si="160"/>
        <v>1321886.6000000001</v>
      </c>
      <c r="AA169" s="991">
        <f t="shared" si="160"/>
        <v>1379884.0249999999</v>
      </c>
      <c r="AB169" s="991">
        <f t="shared" si="160"/>
        <v>1439206.9</v>
      </c>
      <c r="AC169" s="991">
        <f t="shared" si="160"/>
        <v>1499855.2250000001</v>
      </c>
      <c r="AD169" s="991">
        <f t="shared" si="160"/>
        <v>1561829</v>
      </c>
      <c r="AE169" s="991">
        <f t="shared" si="160"/>
        <v>1625128.2250000001</v>
      </c>
      <c r="AF169" s="991">
        <f t="shared" si="160"/>
        <v>1689752.9000000001</v>
      </c>
      <c r="AG169" s="991">
        <f t="shared" si="160"/>
        <v>1755703.0250000001</v>
      </c>
      <c r="AH169" s="991">
        <f t="shared" si="160"/>
        <v>1822978.6</v>
      </c>
      <c r="AI169" s="991">
        <f t="shared" si="160"/>
        <v>1891579.625</v>
      </c>
      <c r="AJ169" s="991">
        <f t="shared" si="160"/>
        <v>1961506.1</v>
      </c>
      <c r="AK169" s="991">
        <f t="shared" si="160"/>
        <v>2032758.0250000001</v>
      </c>
      <c r="AL169" s="991">
        <f t="shared" si="160"/>
        <v>2105335.4000000004</v>
      </c>
      <c r="AM169" s="991">
        <f t="shared" si="160"/>
        <v>2179238.2250000001</v>
      </c>
      <c r="AN169" s="991">
        <f t="shared" si="160"/>
        <v>2254466.5</v>
      </c>
      <c r="AO169" s="991">
        <f t="shared" si="160"/>
        <v>2331020.2250000001</v>
      </c>
      <c r="AP169" s="991">
        <f t="shared" si="160"/>
        <v>2408899.4000000004</v>
      </c>
      <c r="AQ169" s="991">
        <f t="shared" si="160"/>
        <v>2488104.0250000004</v>
      </c>
      <c r="AR169" s="991">
        <f t="shared" si="160"/>
        <v>2568634.1</v>
      </c>
      <c r="AS169" s="991">
        <f t="shared" si="160"/>
        <v>2650489.625</v>
      </c>
      <c r="AT169" s="991">
        <f t="shared" si="160"/>
        <v>2733670.6</v>
      </c>
      <c r="AU169" s="991">
        <f t="shared" si="160"/>
        <v>2818177.0249999999</v>
      </c>
      <c r="AV169" s="991">
        <f t="shared" si="160"/>
        <v>2912664.9872500002</v>
      </c>
      <c r="AW169" s="991">
        <f t="shared" si="160"/>
        <v>3008756.7440000004</v>
      </c>
      <c r="AX169" s="991">
        <f t="shared" si="160"/>
        <v>3106452.2952500004</v>
      </c>
      <c r="AY169" s="991">
        <f t="shared" si="160"/>
        <v>3205751.6410000003</v>
      </c>
      <c r="AZ169" s="991">
        <f t="shared" si="160"/>
        <v>3306654.7812500005</v>
      </c>
      <c r="BA169" s="991">
        <f t="shared" si="160"/>
        <v>3409161.7160000009</v>
      </c>
      <c r="BB169" s="991">
        <f t="shared" si="160"/>
        <v>3513272.4452500003</v>
      </c>
      <c r="BC169" s="991">
        <f t="shared" si="160"/>
        <v>3618986.9689999996</v>
      </c>
      <c r="BD169" s="991">
        <f t="shared" si="160"/>
        <v>3726305.2872499991</v>
      </c>
      <c r="BE169" s="991">
        <f t="shared" si="160"/>
        <v>3835227.399999999</v>
      </c>
      <c r="BF169" s="991">
        <f t="shared" si="160"/>
        <v>3945753.3072499987</v>
      </c>
      <c r="BG169" s="991">
        <f t="shared" si="160"/>
        <v>4057883.0089999973</v>
      </c>
      <c r="BH169" s="991">
        <f t="shared" si="160"/>
        <v>4171616.5052499971</v>
      </c>
      <c r="BI169" s="991">
        <f t="shared" si="160"/>
        <v>4286953.7959999964</v>
      </c>
      <c r="BJ169" s="991">
        <f t="shared" si="160"/>
        <v>4403894.8812499959</v>
      </c>
      <c r="BK169" s="991">
        <f t="shared" si="160"/>
        <v>4522439.7609999944</v>
      </c>
      <c r="BL169" s="991">
        <f t="shared" si="160"/>
        <v>4642588.4352499945</v>
      </c>
      <c r="BM169" s="991">
        <f t="shared" si="160"/>
        <v>4764340.9039999936</v>
      </c>
      <c r="BN169" s="991">
        <f t="shared" si="160"/>
        <v>4887697.1672499925</v>
      </c>
      <c r="BO169" s="991">
        <f t="shared" si="160"/>
        <v>5012657.2249999922</v>
      </c>
      <c r="BP169" s="991">
        <f t="shared" si="160"/>
        <v>5139221.0772499917</v>
      </c>
      <c r="BQ169" s="991">
        <f t="shared" si="160"/>
        <v>5267388.7239999911</v>
      </c>
      <c r="BR169" s="991">
        <f t="shared" si="160"/>
        <v>5397160.1652499894</v>
      </c>
      <c r="BS169" s="991">
        <f t="shared" si="160"/>
        <v>5528535.4009999894</v>
      </c>
      <c r="BT169" s="991">
        <f t="shared" si="160"/>
        <v>5661514.4312499883</v>
      </c>
      <c r="BU169" s="991">
        <f t="shared" si="160"/>
        <v>5796097.255999987</v>
      </c>
      <c r="BV169" s="991">
        <f t="shared" si="160"/>
        <v>5932283.8752499865</v>
      </c>
      <c r="BW169" s="991">
        <f t="shared" si="160"/>
        <v>6070074.288999985</v>
      </c>
      <c r="BX169" s="991">
        <f t="shared" si="160"/>
        <v>6209468.4972499842</v>
      </c>
      <c r="BY169" s="991">
        <f t="shared" si="160"/>
        <v>6350466.4999999842</v>
      </c>
      <c r="BZ169" s="991">
        <f t="shared" si="160"/>
        <v>6493068.2972499831</v>
      </c>
      <c r="CA169" s="991">
        <f t="shared" si="160"/>
        <v>6637273.8889999818</v>
      </c>
      <c r="CB169" s="991">
        <f t="shared" si="160"/>
        <v>6783083.2752499804</v>
      </c>
      <c r="CC169" s="991">
        <f t="shared" si="160"/>
        <v>6930496.4559999797</v>
      </c>
      <c r="CD169" s="991">
        <f t="shared" si="160"/>
        <v>7079513.431249979</v>
      </c>
      <c r="CE169" s="991">
        <f t="shared" si="160"/>
        <v>7230134.200999978</v>
      </c>
      <c r="CF169" s="991">
        <f t="shared" si="160"/>
        <v>7382358.7652499778</v>
      </c>
      <c r="CG169" s="991">
        <f t="shared" si="160"/>
        <v>7536187.1239999756</v>
      </c>
      <c r="CH169" s="991">
        <f t="shared" ref="CH169:DQ169" si="161">2650.9*CH164^2+19237*CH164+116729+($T$162*CG169)</f>
        <v>7691619.2772499751</v>
      </c>
      <c r="CI169" s="991">
        <f t="shared" si="161"/>
        <v>7848655.2249999726</v>
      </c>
      <c r="CJ169" s="991">
        <f t="shared" si="161"/>
        <v>8007294.9672499727</v>
      </c>
      <c r="CK169" s="991">
        <f t="shared" si="161"/>
        <v>8167538.5039999718</v>
      </c>
      <c r="CL169" s="991">
        <f t="shared" si="161"/>
        <v>8329385.8352499707</v>
      </c>
      <c r="CM169" s="991">
        <f t="shared" si="161"/>
        <v>8492836.9609999694</v>
      </c>
      <c r="CN169" s="991">
        <f t="shared" si="161"/>
        <v>8657891.881249968</v>
      </c>
      <c r="CO169" s="991">
        <f t="shared" si="161"/>
        <v>8824550.5959999673</v>
      </c>
      <c r="CP169" s="991">
        <f t="shared" si="161"/>
        <v>8992813.1052499656</v>
      </c>
      <c r="CQ169" s="991">
        <f t="shared" si="161"/>
        <v>9162679.4089999646</v>
      </c>
      <c r="CR169" s="991">
        <f t="shared" si="161"/>
        <v>9334149.5072499644</v>
      </c>
      <c r="CS169" s="991">
        <f t="shared" si="161"/>
        <v>9507223.3999999613</v>
      </c>
      <c r="CT169" s="991">
        <f t="shared" si="161"/>
        <v>9681901.0872499608</v>
      </c>
      <c r="CU169" s="991">
        <f t="shared" si="161"/>
        <v>9858182.5689999592</v>
      </c>
      <c r="CV169" s="991">
        <f t="shared" si="161"/>
        <v>10036067.845249958</v>
      </c>
      <c r="CW169" s="991">
        <f t="shared" si="161"/>
        <v>10215556.915999956</v>
      </c>
      <c r="CX169" s="991">
        <f t="shared" si="161"/>
        <v>10396649.781249957</v>
      </c>
      <c r="CY169" s="991">
        <f t="shared" si="161"/>
        <v>10579346.440999955</v>
      </c>
      <c r="CZ169" s="991">
        <f t="shared" si="161"/>
        <v>10763646.895249953</v>
      </c>
      <c r="DA169" s="991">
        <f t="shared" si="161"/>
        <v>10949551.143999951</v>
      </c>
      <c r="DB169" s="991">
        <f t="shared" si="161"/>
        <v>11137059.187249949</v>
      </c>
      <c r="DC169" s="991">
        <f t="shared" si="161"/>
        <v>11326171.02499995</v>
      </c>
      <c r="DD169" s="991">
        <f t="shared" si="161"/>
        <v>11516886.657249948</v>
      </c>
      <c r="DE169" s="991">
        <f t="shared" si="161"/>
        <v>11709206.083999947</v>
      </c>
      <c r="DF169" s="991">
        <f t="shared" si="161"/>
        <v>11903129.305249944</v>
      </c>
      <c r="DG169" s="991">
        <f t="shared" si="161"/>
        <v>12098656.320999943</v>
      </c>
      <c r="DH169" s="991">
        <f t="shared" si="161"/>
        <v>12295787.131249944</v>
      </c>
      <c r="DI169" s="991">
        <f t="shared" si="161"/>
        <v>12494521.735999942</v>
      </c>
      <c r="DJ169" s="991">
        <f t="shared" si="161"/>
        <v>12694860.135249941</v>
      </c>
      <c r="DK169" s="991">
        <f t="shared" si="161"/>
        <v>12896802.32899994</v>
      </c>
      <c r="DL169" s="991">
        <f t="shared" si="161"/>
        <v>13100348.317249939</v>
      </c>
      <c r="DM169" s="991">
        <f t="shared" si="161"/>
        <v>13305498.099999936</v>
      </c>
      <c r="DN169" s="991">
        <f t="shared" si="161"/>
        <v>13512251.677249935</v>
      </c>
      <c r="DO169" s="991">
        <f t="shared" si="161"/>
        <v>13720609.048999934</v>
      </c>
      <c r="DP169" s="991">
        <f t="shared" si="161"/>
        <v>13930570.215249933</v>
      </c>
      <c r="DQ169" s="991">
        <f t="shared" si="161"/>
        <v>14142135.17599993</v>
      </c>
      <c r="DR169" s="991">
        <f>2650.9*DR164^2+19237*DR164+116729+($T$162*DQ169)</f>
        <v>14355303.93124993</v>
      </c>
      <c r="DS169" s="1019">
        <f>(DR169/S169)^(1/COUNT(S169:DR169))-1</f>
        <v>2.7527003210822576E-2</v>
      </c>
    </row>
    <row r="170" spans="2:147" s="932" customFormat="1" ht="47.1" customHeight="1">
      <c r="B170" s="993" t="s">
        <v>204</v>
      </c>
      <c r="C170" s="992" t="s">
        <v>78</v>
      </c>
      <c r="D170" s="992">
        <f t="shared" ref="D170:AI170" si="162">D169/C169-1</f>
        <v>-0.49529605717783176</v>
      </c>
      <c r="E170" s="992">
        <f t="shared" si="162"/>
        <v>0.34382059833155676</v>
      </c>
      <c r="F170" s="992">
        <f t="shared" si="162"/>
        <v>0.45524609372157165</v>
      </c>
      <c r="G170" s="992">
        <f t="shared" si="162"/>
        <v>0.80148628982651626</v>
      </c>
      <c r="H170" s="992">
        <f t="shared" si="162"/>
        <v>6.0367490499046328E-2</v>
      </c>
      <c r="I170" s="992">
        <f t="shared" si="162"/>
        <v>8.7189408675482305E-2</v>
      </c>
      <c r="J170" s="992">
        <f t="shared" si="162"/>
        <v>1.6456485671009879E-2</v>
      </c>
      <c r="K170" s="992">
        <f t="shared" si="162"/>
        <v>5.1123993451959393E-2</v>
      </c>
      <c r="L170" s="992">
        <f t="shared" si="162"/>
        <v>0.27572342012797191</v>
      </c>
      <c r="M170" s="992">
        <f t="shared" si="162"/>
        <v>8.3344080759398365E-2</v>
      </c>
      <c r="N170" s="992">
        <f t="shared" si="162"/>
        <v>0.29227889015365238</v>
      </c>
      <c r="O170" s="992">
        <f t="shared" si="162"/>
        <v>1.2038948648962489E-2</v>
      </c>
      <c r="P170" s="992">
        <f t="shared" si="162"/>
        <v>0.12588532210761527</v>
      </c>
      <c r="Q170" s="992">
        <f t="shared" si="162"/>
        <v>-6.1993035958729625E-2</v>
      </c>
      <c r="R170" s="992">
        <f t="shared" si="162"/>
        <v>5.496316779404653E-2</v>
      </c>
      <c r="S170" s="992">
        <f t="shared" si="162"/>
        <v>-4.6280917739227712E-2</v>
      </c>
      <c r="T170" s="992">
        <f t="shared" si="162"/>
        <v>0.15241483873693307</v>
      </c>
      <c r="U170" s="992">
        <f t="shared" si="162"/>
        <v>7.1029772063525787E-2</v>
      </c>
      <c r="V170" s="992">
        <f t="shared" si="162"/>
        <v>4.884112187874412E-2</v>
      </c>
      <c r="W170" s="992">
        <f t="shared" si="162"/>
        <v>4.7768261908564869E-2</v>
      </c>
      <c r="X170" s="992">
        <f t="shared" si="162"/>
        <v>4.6737218534606884E-2</v>
      </c>
      <c r="Y170" s="992">
        <f t="shared" si="162"/>
        <v>4.5745916435022904E-2</v>
      </c>
      <c r="Z170" s="992">
        <f t="shared" si="162"/>
        <v>4.4792380581278879E-2</v>
      </c>
      <c r="AA170" s="992">
        <f t="shared" si="162"/>
        <v>4.3874735548419919E-2</v>
      </c>
      <c r="AB170" s="992">
        <f t="shared" si="162"/>
        <v>4.2991203554226143E-2</v>
      </c>
      <c r="AC170" s="992">
        <f t="shared" si="162"/>
        <v>4.21401016073506E-2</v>
      </c>
      <c r="AD170" s="992">
        <f t="shared" si="162"/>
        <v>4.1319838053035962E-2</v>
      </c>
      <c r="AE170" s="992">
        <f t="shared" si="162"/>
        <v>4.0528908734567048E-2</v>
      </c>
      <c r="AF170" s="992">
        <f t="shared" si="162"/>
        <v>3.9765892934386704E-2</v>
      </c>
      <c r="AG170" s="992">
        <f t="shared" si="162"/>
        <v>3.9029449217101497E-2</v>
      </c>
      <c r="AH170" s="992">
        <f t="shared" si="162"/>
        <v>3.8318311264514682E-2</v>
      </c>
      <c r="AI170" s="992">
        <f t="shared" si="162"/>
        <v>3.7631283768224E-2</v>
      </c>
      <c r="AJ170" s="992">
        <f t="shared" ref="AJ170:BO170" si="163">AJ169/AI169-1</f>
        <v>3.696723842645544E-2</v>
      </c>
      <c r="AK170" s="992">
        <f t="shared" si="163"/>
        <v>3.6325110077404243E-2</v>
      </c>
      <c r="AL170" s="992">
        <f t="shared" si="163"/>
        <v>3.5703892990411434E-2</v>
      </c>
      <c r="AM170" s="992">
        <f t="shared" si="163"/>
        <v>3.5102637327999897E-2</v>
      </c>
      <c r="AN170" s="992">
        <f t="shared" si="163"/>
        <v>3.4520445785590992E-2</v>
      </c>
      <c r="AO170" s="992">
        <f t="shared" si="163"/>
        <v>3.3956470411070638E-2</v>
      </c>
      <c r="AP170" s="992">
        <f t="shared" si="163"/>
        <v>3.3409909602993837E-2</v>
      </c>
      <c r="AQ170" s="992">
        <f t="shared" si="163"/>
        <v>3.2880005283740799E-2</v>
      </c>
      <c r="AR170" s="992">
        <f t="shared" si="163"/>
        <v>3.2366040242228111E-2</v>
      </c>
      <c r="AS170" s="992">
        <f t="shared" si="163"/>
        <v>3.1867335639591543E-2</v>
      </c>
      <c r="AT170" s="992">
        <f t="shared" si="163"/>
        <v>3.1383248670517006E-2</v>
      </c>
      <c r="AU170" s="992">
        <f t="shared" si="163"/>
        <v>3.0913170372465437E-2</v>
      </c>
      <c r="AV170" s="992">
        <f t="shared" si="163"/>
        <v>3.3528043629551751E-2</v>
      </c>
      <c r="AW170" s="992">
        <f t="shared" si="163"/>
        <v>3.2991008979966985E-2</v>
      </c>
      <c r="AX170" s="992">
        <f t="shared" si="163"/>
        <v>3.247040540742363E-2</v>
      </c>
      <c r="AY170" s="992">
        <f t="shared" si="163"/>
        <v>3.1965514455778443E-2</v>
      </c>
      <c r="AZ170" s="992">
        <f t="shared" si="163"/>
        <v>3.1475657365186427E-2</v>
      </c>
      <c r="BA170" s="992">
        <f t="shared" si="163"/>
        <v>3.1000192500062029E-2</v>
      </c>
      <c r="BB170" s="992">
        <f t="shared" si="163"/>
        <v>3.0538512960937902E-2</v>
      </c>
      <c r="BC170" s="992">
        <f t="shared" si="163"/>
        <v>3.0090044366734681E-2</v>
      </c>
      <c r="BD170" s="992">
        <f t="shared" si="163"/>
        <v>2.9654242794815433E-2</v>
      </c>
      <c r="BE170" s="992">
        <f t="shared" si="163"/>
        <v>2.9230592867065974E-2</v>
      </c>
      <c r="BF170" s="992">
        <f t="shared" si="163"/>
        <v>2.8818605971056455E-2</v>
      </c>
      <c r="BG170" s="992">
        <f t="shared" si="163"/>
        <v>2.8417818606137679E-2</v>
      </c>
      <c r="BH170" s="992">
        <f t="shared" si="163"/>
        <v>2.8027790845066125E-2</v>
      </c>
      <c r="BI170" s="992">
        <f t="shared" si="163"/>
        <v>2.7648104902463277E-2</v>
      </c>
      <c r="BJ170" s="992">
        <f t="shared" si="163"/>
        <v>2.7278363802080818E-2</v>
      </c>
      <c r="BK170" s="992">
        <f t="shared" si="163"/>
        <v>2.6918190135444497E-2</v>
      </c>
      <c r="BL170" s="992">
        <f t="shared" si="163"/>
        <v>2.6567224905043929E-2</v>
      </c>
      <c r="BM170" s="992">
        <f t="shared" si="163"/>
        <v>2.6225126445748037E-2</v>
      </c>
      <c r="BN170" s="992">
        <f t="shared" si="163"/>
        <v>2.5891569418643678E-2</v>
      </c>
      <c r="BO170" s="992">
        <f t="shared" si="163"/>
        <v>2.5566243871918637E-2</v>
      </c>
      <c r="BP170" s="992">
        <f t="shared" ref="BP170:CU170" si="164">BP169/BO169-1</f>
        <v>2.5248854363864703E-2</v>
      </c>
      <c r="BQ170" s="992">
        <f t="shared" si="164"/>
        <v>2.4939119143436939E-2</v>
      </c>
      <c r="BR170" s="992">
        <f t="shared" si="164"/>
        <v>2.4636769384176249E-2</v>
      </c>
      <c r="BS170" s="992">
        <f t="shared" si="164"/>
        <v>2.4341548467631036E-2</v>
      </c>
      <c r="BT170" s="992">
        <f t="shared" si="164"/>
        <v>2.4053211312700551E-2</v>
      </c>
      <c r="BU170" s="992">
        <f t="shared" si="164"/>
        <v>2.3771523747628143E-2</v>
      </c>
      <c r="BV170" s="992">
        <f t="shared" si="164"/>
        <v>2.3496261921592598E-2</v>
      </c>
      <c r="BW170" s="992">
        <f t="shared" si="164"/>
        <v>2.3227211753111154E-2</v>
      </c>
      <c r="BX170" s="992">
        <f t="shared" si="164"/>
        <v>2.2964168412667574E-2</v>
      </c>
      <c r="BY170" s="992">
        <f t="shared" si="164"/>
        <v>2.2706935837172537E-2</v>
      </c>
      <c r="BZ170" s="992">
        <f t="shared" si="164"/>
        <v>2.2455326274061882E-2</v>
      </c>
      <c r="CA170" s="992">
        <f t="shared" si="164"/>
        <v>2.2209159852988769E-2</v>
      </c>
      <c r="CB170" s="992">
        <f t="shared" si="164"/>
        <v>2.1968264183228836E-2</v>
      </c>
      <c r="CC170" s="992">
        <f t="shared" si="164"/>
        <v>2.1732473975054845E-2</v>
      </c>
      <c r="CD170" s="992">
        <f t="shared" si="164"/>
        <v>2.1501630683468553E-2</v>
      </c>
      <c r="CE170" s="992">
        <f t="shared" si="164"/>
        <v>2.1275582172799901E-2</v>
      </c>
      <c r="CF170" s="992">
        <f t="shared" si="164"/>
        <v>2.1054182400783938E-2</v>
      </c>
      <c r="CG170" s="992">
        <f t="shared" si="164"/>
        <v>2.0837291120839874E-2</v>
      </c>
      <c r="CH170" s="992">
        <f t="shared" si="164"/>
        <v>2.0624773601362056E-2</v>
      </c>
      <c r="CI170" s="992">
        <f t="shared" si="164"/>
        <v>2.0416500360915357E-2</v>
      </c>
      <c r="CJ170" s="992">
        <f t="shared" si="164"/>
        <v>2.0212346918321966E-2</v>
      </c>
      <c r="CK170" s="992">
        <f t="shared" si="164"/>
        <v>2.0012193556675273E-2</v>
      </c>
      <c r="CL170" s="992">
        <f t="shared" si="164"/>
        <v>1.9815925100412635E-2</v>
      </c>
      <c r="CM170" s="992">
        <f t="shared" si="164"/>
        <v>1.9623430704611255E-2</v>
      </c>
      <c r="CN170" s="992">
        <f t="shared" si="164"/>
        <v>1.943460365575711E-2</v>
      </c>
      <c r="CO170" s="992">
        <f t="shared" si="164"/>
        <v>1.9249341183264823E-2</v>
      </c>
      <c r="CP170" s="992">
        <f t="shared" si="164"/>
        <v>1.9067544281095694E-2</v>
      </c>
      <c r="CQ170" s="992">
        <f t="shared" si="164"/>
        <v>1.8889117538852362E-2</v>
      </c>
      <c r="CR170" s="992">
        <f t="shared" si="164"/>
        <v>1.8713968981777906E-2</v>
      </c>
      <c r="CS170" s="992">
        <f t="shared" si="164"/>
        <v>1.8542009919122027E-2</v>
      </c>
      <c r="CT170" s="992">
        <f t="shared" si="164"/>
        <v>1.8373154800380487E-2</v>
      </c>
      <c r="CU170" s="992">
        <f t="shared" si="164"/>
        <v>1.820732107892975E-2</v>
      </c>
      <c r="CV170" s="992">
        <f t="shared" ref="CV170:DR170" si="165">CV169/CU169-1</f>
        <v>1.8044429082636038E-2</v>
      </c>
      <c r="CW170" s="992">
        <f t="shared" si="165"/>
        <v>1.7884401891020474E-2</v>
      </c>
      <c r="CX170" s="992">
        <f t="shared" si="165"/>
        <v>1.7727165218605734E-2</v>
      </c>
      <c r="CY170" s="992">
        <f t="shared" si="165"/>
        <v>1.7572647304084921E-2</v>
      </c>
      <c r="CZ170" s="992">
        <f t="shared" si="165"/>
        <v>1.7420778804988046E-2</v>
      </c>
      <c r="DA170" s="992">
        <f t="shared" si="165"/>
        <v>1.7271492697520374E-2</v>
      </c>
      <c r="DB170" s="992">
        <f t="shared" si="165"/>
        <v>1.7124724181296402E-2</v>
      </c>
      <c r="DC170" s="992">
        <f t="shared" si="165"/>
        <v>1.6980410588685935E-2</v>
      </c>
      <c r="DD170" s="992">
        <f t="shared" si="165"/>
        <v>1.6838491298518887E-2</v>
      </c>
      <c r="DE170" s="992">
        <f t="shared" si="165"/>
        <v>1.669890765391302E-2</v>
      </c>
      <c r="DF170" s="992">
        <f t="shared" si="165"/>
        <v>1.6561602883989224E-2</v>
      </c>
      <c r="DG170" s="992">
        <f t="shared" si="165"/>
        <v>1.6426522029275192E-2</v>
      </c>
      <c r="DH170" s="992">
        <f t="shared" si="165"/>
        <v>1.6293611870587421E-2</v>
      </c>
      <c r="DI170" s="992">
        <f t="shared" si="165"/>
        <v>1.616282086121279E-2</v>
      </c>
      <c r="DJ170" s="992">
        <f t="shared" si="165"/>
        <v>1.6034099062213203E-2</v>
      </c>
      <c r="DK170" s="992">
        <f t="shared" si="165"/>
        <v>1.5907398080681867E-2</v>
      </c>
      <c r="DL170" s="992">
        <f t="shared" si="165"/>
        <v>1.5782671010805771E-2</v>
      </c>
      <c r="DM170" s="992">
        <f t="shared" si="165"/>
        <v>1.5659872377581374E-2</v>
      </c>
      <c r="DN170" s="992">
        <f t="shared" si="165"/>
        <v>1.5538958083049836E-2</v>
      </c>
      <c r="DO170" s="992">
        <f t="shared" si="165"/>
        <v>1.5419885354918561E-2</v>
      </c>
      <c r="DP170" s="992">
        <f t="shared" si="165"/>
        <v>1.5302612697451812E-2</v>
      </c>
      <c r="DQ170" s="992">
        <f t="shared" si="165"/>
        <v>1.5187099844512719E-2</v>
      </c>
      <c r="DR170" s="992">
        <f t="shared" si="165"/>
        <v>1.5073307714648321E-2</v>
      </c>
      <c r="DS170" s="1018"/>
    </row>
    <row r="171" spans="2:147" s="932" customFormat="1" ht="47.1" customHeight="1">
      <c r="B171" s="1033" t="s">
        <v>1064</v>
      </c>
      <c r="C171" s="1012" t="s">
        <v>78</v>
      </c>
      <c r="D171" s="1035" t="s">
        <v>78</v>
      </c>
      <c r="E171" s="961" t="str">
        <f t="shared" ref="E171:AJ171" si="166">IF((E169/D169-1)&gt;(E167/D167-1),"Surplus of Supply","Surplus of Demand")</f>
        <v>Surplus of Demand</v>
      </c>
      <c r="F171" s="961" t="str">
        <f t="shared" si="166"/>
        <v>Surplus of Supply</v>
      </c>
      <c r="G171" s="961" t="str">
        <f t="shared" si="166"/>
        <v>Surplus of Supply</v>
      </c>
      <c r="H171" s="961" t="str">
        <f t="shared" si="166"/>
        <v>Surplus of Demand</v>
      </c>
      <c r="I171" s="961" t="str">
        <f t="shared" si="166"/>
        <v>Surplus of Supply</v>
      </c>
      <c r="J171" s="961" t="str">
        <f t="shared" si="166"/>
        <v>Surplus of Demand</v>
      </c>
      <c r="K171" s="961" t="str">
        <f t="shared" si="166"/>
        <v>Surplus of Demand</v>
      </c>
      <c r="L171" s="961" t="str">
        <f t="shared" si="166"/>
        <v>Surplus of Supply</v>
      </c>
      <c r="M171" s="961" t="str">
        <f t="shared" si="166"/>
        <v>Surplus of Supply</v>
      </c>
      <c r="N171" s="961" t="str">
        <f t="shared" si="166"/>
        <v>Surplus of Supply</v>
      </c>
      <c r="O171" s="961" t="str">
        <f t="shared" si="166"/>
        <v>Surplus of Demand</v>
      </c>
      <c r="P171" s="961" t="str">
        <f t="shared" si="166"/>
        <v>Surplus of Supply</v>
      </c>
      <c r="Q171" s="961" t="str">
        <f t="shared" si="166"/>
        <v>Surplus of Demand</v>
      </c>
      <c r="R171" s="961" t="str">
        <f t="shared" si="166"/>
        <v>Surplus of Demand</v>
      </c>
      <c r="S171" s="961" t="str">
        <f t="shared" si="166"/>
        <v>Surplus of Demand</v>
      </c>
      <c r="T171" s="961" t="str">
        <f>IF((T169/S169-1)&gt;(T167/S167-1),"Surplus of Supply","Surplus of Demand")</f>
        <v>Surplus of Supply</v>
      </c>
      <c r="U171" s="961" t="str">
        <f t="shared" si="166"/>
        <v>Surplus of Demand</v>
      </c>
      <c r="V171" s="961" t="str">
        <f t="shared" si="166"/>
        <v>Surplus of Demand</v>
      </c>
      <c r="W171" s="961" t="str">
        <f t="shared" si="166"/>
        <v>Surplus of Demand</v>
      </c>
      <c r="X171" s="961" t="str">
        <f t="shared" si="166"/>
        <v>Surplus of Demand</v>
      </c>
      <c r="Y171" s="961" t="str">
        <f t="shared" si="166"/>
        <v>Surplus of Demand</v>
      </c>
      <c r="Z171" s="961" t="str">
        <f t="shared" si="166"/>
        <v>Surplus of Demand</v>
      </c>
      <c r="AA171" s="961" t="str">
        <f t="shared" si="166"/>
        <v>Surplus of Demand</v>
      </c>
      <c r="AB171" s="961" t="str">
        <f t="shared" si="166"/>
        <v>Surplus of Demand</v>
      </c>
      <c r="AC171" s="961" t="str">
        <f t="shared" si="166"/>
        <v>Surplus of Demand</v>
      </c>
      <c r="AD171" s="961" t="str">
        <f t="shared" si="166"/>
        <v>Surplus of Demand</v>
      </c>
      <c r="AE171" s="961" t="str">
        <f t="shared" si="166"/>
        <v>Surplus of Demand</v>
      </c>
      <c r="AF171" s="961" t="str">
        <f t="shared" si="166"/>
        <v>Surplus of Demand</v>
      </c>
      <c r="AG171" s="961" t="str">
        <f t="shared" si="166"/>
        <v>Surplus of Demand</v>
      </c>
      <c r="AH171" s="961" t="str">
        <f t="shared" si="166"/>
        <v>Surplus of Demand</v>
      </c>
      <c r="AI171" s="961" t="str">
        <f t="shared" si="166"/>
        <v>Surplus of Demand</v>
      </c>
      <c r="AJ171" s="961" t="str">
        <f t="shared" si="166"/>
        <v>Surplus of Demand</v>
      </c>
      <c r="AK171" s="961" t="str">
        <f t="shared" ref="AK171:BP171" si="167">IF((AK169/AJ169-1)&gt;(AK167/AJ167-1),"Surplus of Supply","Surplus of Demand")</f>
        <v>Surplus of Demand</v>
      </c>
      <c r="AL171" s="961" t="str">
        <f t="shared" si="167"/>
        <v>Surplus of Demand</v>
      </c>
      <c r="AM171" s="961" t="str">
        <f t="shared" si="167"/>
        <v>Surplus of Demand</v>
      </c>
      <c r="AN171" s="961" t="str">
        <f t="shared" si="167"/>
        <v>Surplus of Demand</v>
      </c>
      <c r="AO171" s="961" t="str">
        <f t="shared" si="167"/>
        <v>Surplus of Demand</v>
      </c>
      <c r="AP171" s="961" t="str">
        <f t="shared" si="167"/>
        <v>Surplus of Demand</v>
      </c>
      <c r="AQ171" s="961" t="str">
        <f t="shared" si="167"/>
        <v>Surplus of Demand</v>
      </c>
      <c r="AR171" s="961" t="str">
        <f t="shared" si="167"/>
        <v>Surplus of Demand</v>
      </c>
      <c r="AS171" s="961" t="str">
        <f t="shared" si="167"/>
        <v>Surplus of Demand</v>
      </c>
      <c r="AT171" s="961" t="str">
        <f t="shared" si="167"/>
        <v>Surplus of Demand</v>
      </c>
      <c r="AU171" s="961" t="str">
        <f t="shared" si="167"/>
        <v>Surplus of Demand</v>
      </c>
      <c r="AV171" s="961" t="str">
        <f t="shared" si="167"/>
        <v>Surplus of Demand</v>
      </c>
      <c r="AW171" s="961" t="str">
        <f t="shared" si="167"/>
        <v>Surplus of Demand</v>
      </c>
      <c r="AX171" s="961" t="str">
        <f t="shared" si="167"/>
        <v>Surplus of Demand</v>
      </c>
      <c r="AY171" s="961" t="str">
        <f t="shared" si="167"/>
        <v>Surplus of Demand</v>
      </c>
      <c r="AZ171" s="961" t="str">
        <f t="shared" si="167"/>
        <v>Surplus of Demand</v>
      </c>
      <c r="BA171" s="961" t="str">
        <f t="shared" si="167"/>
        <v>Surplus of Demand</v>
      </c>
      <c r="BB171" s="961" t="str">
        <f t="shared" si="167"/>
        <v>Surplus of Demand</v>
      </c>
      <c r="BC171" s="961" t="str">
        <f t="shared" si="167"/>
        <v>Surplus of Demand</v>
      </c>
      <c r="BD171" s="961" t="str">
        <f t="shared" si="167"/>
        <v>Surplus of Demand</v>
      </c>
      <c r="BE171" s="961" t="str">
        <f t="shared" si="167"/>
        <v>Surplus of Demand</v>
      </c>
      <c r="BF171" s="961" t="str">
        <f t="shared" si="167"/>
        <v>Surplus of Demand</v>
      </c>
      <c r="BG171" s="961" t="str">
        <f t="shared" si="167"/>
        <v>Surplus of Demand</v>
      </c>
      <c r="BH171" s="961" t="str">
        <f t="shared" si="167"/>
        <v>Surplus of Demand</v>
      </c>
      <c r="BI171" s="961" t="str">
        <f t="shared" si="167"/>
        <v>Surplus of Demand</v>
      </c>
      <c r="BJ171" s="961" t="str">
        <f t="shared" si="167"/>
        <v>Surplus of Demand</v>
      </c>
      <c r="BK171" s="961" t="str">
        <f t="shared" si="167"/>
        <v>Surplus of Demand</v>
      </c>
      <c r="BL171" s="961" t="str">
        <f t="shared" si="167"/>
        <v>Surplus of Demand</v>
      </c>
      <c r="BM171" s="961" t="str">
        <f t="shared" si="167"/>
        <v>Surplus of Demand</v>
      </c>
      <c r="BN171" s="961" t="str">
        <f t="shared" si="167"/>
        <v>Surplus of Demand</v>
      </c>
      <c r="BO171" s="961" t="str">
        <f t="shared" si="167"/>
        <v>Surplus of Demand</v>
      </c>
      <c r="BP171" s="961" t="str">
        <f t="shared" si="167"/>
        <v>Surplus of Demand</v>
      </c>
      <c r="BQ171" s="961" t="str">
        <f t="shared" ref="BQ171:CV171" si="168">IF((BQ169/BP169-1)&gt;(BQ167/BP167-1),"Surplus of Supply","Surplus of Demand")</f>
        <v>Surplus of Demand</v>
      </c>
      <c r="BR171" s="961" t="str">
        <f t="shared" si="168"/>
        <v>Surplus of Demand</v>
      </c>
      <c r="BS171" s="961" t="str">
        <f t="shared" si="168"/>
        <v>Surplus of Demand</v>
      </c>
      <c r="BT171" s="961" t="str">
        <f t="shared" si="168"/>
        <v>Surplus of Demand</v>
      </c>
      <c r="BU171" s="961" t="str">
        <f t="shared" si="168"/>
        <v>Surplus of Demand</v>
      </c>
      <c r="BV171" s="961" t="str">
        <f t="shared" si="168"/>
        <v>Surplus of Demand</v>
      </c>
      <c r="BW171" s="961" t="str">
        <f t="shared" si="168"/>
        <v>Surplus of Demand</v>
      </c>
      <c r="BX171" s="961" t="str">
        <f t="shared" si="168"/>
        <v>Surplus of Demand</v>
      </c>
      <c r="BY171" s="961" t="str">
        <f t="shared" si="168"/>
        <v>Surplus of Demand</v>
      </c>
      <c r="BZ171" s="961" t="str">
        <f t="shared" si="168"/>
        <v>Surplus of Demand</v>
      </c>
      <c r="CA171" s="961" t="str">
        <f t="shared" si="168"/>
        <v>Surplus of Demand</v>
      </c>
      <c r="CB171" s="961" t="str">
        <f t="shared" si="168"/>
        <v>Surplus of Demand</v>
      </c>
      <c r="CC171" s="961" t="str">
        <f t="shared" si="168"/>
        <v>Surplus of Demand</v>
      </c>
      <c r="CD171" s="961" t="str">
        <f t="shared" si="168"/>
        <v>Surplus of Demand</v>
      </c>
      <c r="CE171" s="961" t="str">
        <f t="shared" si="168"/>
        <v>Surplus of Demand</v>
      </c>
      <c r="CF171" s="961" t="str">
        <f t="shared" si="168"/>
        <v>Surplus of Demand</v>
      </c>
      <c r="CG171" s="961" t="str">
        <f t="shared" si="168"/>
        <v>Surplus of Demand</v>
      </c>
      <c r="CH171" s="961" t="str">
        <f t="shared" si="168"/>
        <v>Surplus of Demand</v>
      </c>
      <c r="CI171" s="961" t="str">
        <f t="shared" si="168"/>
        <v>Surplus of Demand</v>
      </c>
      <c r="CJ171" s="961" t="str">
        <f t="shared" si="168"/>
        <v>Surplus of Demand</v>
      </c>
      <c r="CK171" s="961" t="str">
        <f t="shared" si="168"/>
        <v>Surplus of Demand</v>
      </c>
      <c r="CL171" s="961" t="str">
        <f t="shared" si="168"/>
        <v>Surplus of Demand</v>
      </c>
      <c r="CM171" s="961" t="str">
        <f t="shared" si="168"/>
        <v>Surplus of Demand</v>
      </c>
      <c r="CN171" s="961" t="str">
        <f t="shared" si="168"/>
        <v>Surplus of Demand</v>
      </c>
      <c r="CO171" s="961" t="str">
        <f t="shared" si="168"/>
        <v>Surplus of Demand</v>
      </c>
      <c r="CP171" s="961" t="str">
        <f t="shared" si="168"/>
        <v>Surplus of Demand</v>
      </c>
      <c r="CQ171" s="961" t="str">
        <f t="shared" si="168"/>
        <v>Surplus of Demand</v>
      </c>
      <c r="CR171" s="961" t="str">
        <f t="shared" si="168"/>
        <v>Surplus of Demand</v>
      </c>
      <c r="CS171" s="961" t="str">
        <f t="shared" si="168"/>
        <v>Surplus of Demand</v>
      </c>
      <c r="CT171" s="961" t="str">
        <f t="shared" si="168"/>
        <v>Surplus of Demand</v>
      </c>
      <c r="CU171" s="961" t="str">
        <f t="shared" si="168"/>
        <v>Surplus of Demand</v>
      </c>
      <c r="CV171" s="961" t="str">
        <f t="shared" si="168"/>
        <v>Surplus of Demand</v>
      </c>
      <c r="CW171" s="961" t="str">
        <f t="shared" ref="CW171:DR171" si="169">IF((CW169/CV169-1)&gt;(CW167/CV167-1),"Surplus of Supply","Surplus of Demand")</f>
        <v>Surplus of Demand</v>
      </c>
      <c r="CX171" s="961" t="str">
        <f t="shared" si="169"/>
        <v>Surplus of Demand</v>
      </c>
      <c r="CY171" s="961" t="str">
        <f t="shared" si="169"/>
        <v>Surplus of Demand</v>
      </c>
      <c r="CZ171" s="961" t="str">
        <f t="shared" si="169"/>
        <v>Surplus of Demand</v>
      </c>
      <c r="DA171" s="961" t="str">
        <f t="shared" si="169"/>
        <v>Surplus of Demand</v>
      </c>
      <c r="DB171" s="961" t="str">
        <f t="shared" si="169"/>
        <v>Surplus of Demand</v>
      </c>
      <c r="DC171" s="961" t="str">
        <f t="shared" si="169"/>
        <v>Surplus of Demand</v>
      </c>
      <c r="DD171" s="961" t="str">
        <f t="shared" si="169"/>
        <v>Surplus of Demand</v>
      </c>
      <c r="DE171" s="961" t="str">
        <f t="shared" si="169"/>
        <v>Surplus of Demand</v>
      </c>
      <c r="DF171" s="961" t="str">
        <f t="shared" si="169"/>
        <v>Surplus of Demand</v>
      </c>
      <c r="DG171" s="961" t="str">
        <f t="shared" si="169"/>
        <v>Surplus of Demand</v>
      </c>
      <c r="DH171" s="961" t="str">
        <f t="shared" si="169"/>
        <v>Surplus of Demand</v>
      </c>
      <c r="DI171" s="961" t="str">
        <f t="shared" si="169"/>
        <v>Surplus of Demand</v>
      </c>
      <c r="DJ171" s="961" t="str">
        <f t="shared" si="169"/>
        <v>Surplus of Demand</v>
      </c>
      <c r="DK171" s="961" t="str">
        <f t="shared" si="169"/>
        <v>Surplus of Demand</v>
      </c>
      <c r="DL171" s="961" t="str">
        <f t="shared" si="169"/>
        <v>Surplus of Demand</v>
      </c>
      <c r="DM171" s="961" t="str">
        <f t="shared" si="169"/>
        <v>Surplus of Demand</v>
      </c>
      <c r="DN171" s="961" t="str">
        <f t="shared" si="169"/>
        <v>Surplus of Demand</v>
      </c>
      <c r="DO171" s="961" t="str">
        <f t="shared" si="169"/>
        <v>Surplus of Demand</v>
      </c>
      <c r="DP171" s="961" t="str">
        <f t="shared" si="169"/>
        <v>Surplus of Demand</v>
      </c>
      <c r="DQ171" s="961" t="str">
        <f t="shared" si="169"/>
        <v>Surplus of Demand</v>
      </c>
      <c r="DR171" s="1105" t="str">
        <f t="shared" si="169"/>
        <v>Surplus of Demand</v>
      </c>
      <c r="DS171" s="1107"/>
    </row>
    <row r="172" spans="2:147" s="932" customFormat="1" ht="47.1" customHeight="1">
      <c r="B172" s="1034" t="str">
        <f>B112</f>
        <v>Lithium Market price</v>
      </c>
      <c r="C172" s="1098">
        <f t="shared" ref="C172:J172" si="170">Q112</f>
        <v>6873.5999999999995</v>
      </c>
      <c r="D172" s="1098">
        <f t="shared" si="170"/>
        <v>6095.52</v>
      </c>
      <c r="E172" s="1098">
        <f t="shared" si="170"/>
        <v>5675.55</v>
      </c>
      <c r="F172" s="1098">
        <f t="shared" si="170"/>
        <v>6266.5</v>
      </c>
      <c r="G172" s="1098">
        <f t="shared" si="170"/>
        <v>10177.200000000001</v>
      </c>
      <c r="H172" s="1098">
        <f t="shared" si="170"/>
        <v>13699.8</v>
      </c>
      <c r="I172" s="1098">
        <f t="shared" si="170"/>
        <v>18540</v>
      </c>
      <c r="J172" s="1098">
        <f t="shared" si="170"/>
        <v>33313.200000000004</v>
      </c>
      <c r="K172" s="1098">
        <f t="shared" ref="K172:M172" si="171">Y112</f>
        <v>62960.000000000007</v>
      </c>
      <c r="L172" s="1098">
        <f t="shared" si="171"/>
        <v>71366.399999999994</v>
      </c>
      <c r="M172" s="1098">
        <f t="shared" si="171"/>
        <v>71540</v>
      </c>
      <c r="N172" s="1098">
        <f>AB112</f>
        <v>78173.600000000006</v>
      </c>
      <c r="O172" s="1098">
        <f t="shared" ref="O172" si="172">AC112</f>
        <v>56979</v>
      </c>
      <c r="P172" s="1098">
        <f t="shared" ref="P172" si="173">AD112</f>
        <v>37102</v>
      </c>
      <c r="Q172" s="1098">
        <f>AE112</f>
        <v>32476.999999999996</v>
      </c>
      <c r="R172" s="1098">
        <f>AF112</f>
        <v>18379.400000000001</v>
      </c>
      <c r="S172" s="1099">
        <f>IF(S168&gt;S170,R172*(1+((S168-S170)*(1+$P$184))),R172*(1+((S168-S170)*$P$183)))</f>
        <v>20816.448044265431</v>
      </c>
      <c r="T172" s="1099">
        <f>IF(T168&gt;T170,S172*(1+((T168-T170)*(1+$P$184))),S172*(1+((T168-T170)*$P$183)))</f>
        <v>20816.448044265431</v>
      </c>
      <c r="U172" s="1099">
        <f t="shared" ref="U172:CE172" si="174">IF(U168&gt;U170,T172*(1+((U168-U170)*(1+$P$184))),T172*(1+((U168-U170)*$P$183)))</f>
        <v>20994.536830252713</v>
      </c>
      <c r="V172" s="1099">
        <f t="shared" si="174"/>
        <v>21577.148771060634</v>
      </c>
      <c r="W172" s="1099">
        <f t="shared" si="174"/>
        <v>22139.098953008943</v>
      </c>
      <c r="X172" s="1099">
        <f t="shared" si="174"/>
        <v>22681.21530099208</v>
      </c>
      <c r="Y172" s="1099">
        <f t="shared" si="174"/>
        <v>23204.312557496738</v>
      </c>
      <c r="Z172" s="1099">
        <f t="shared" si="174"/>
        <v>23709.186681437321</v>
      </c>
      <c r="AA172" s="1099">
        <f t="shared" si="174"/>
        <v>24196.610853086175</v>
      </c>
      <c r="AB172" s="1099">
        <f t="shared" si="174"/>
        <v>24667.332731673156</v>
      </c>
      <c r="AC172" s="1099">
        <f t="shared" si="174"/>
        <v>25122.072686140687</v>
      </c>
      <c r="AD172" s="1099">
        <f t="shared" si="174"/>
        <v>25561.522778054277</v>
      </c>
      <c r="AE172" s="1099">
        <f t="shared" si="174"/>
        <v>25986.346322014553</v>
      </c>
      <c r="AF172" s="1099">
        <f t="shared" si="174"/>
        <v>26397.177885645102</v>
      </c>
      <c r="AG172" s="1099">
        <f t="shared" si="174"/>
        <v>26794.623620352551</v>
      </c>
      <c r="AH172" s="1099">
        <f t="shared" si="174"/>
        <v>27179.261837159222</v>
      </c>
      <c r="AI172" s="1099">
        <f t="shared" si="174"/>
        <v>27551.643760245097</v>
      </c>
      <c r="AJ172" s="1099">
        <f t="shared" si="174"/>
        <v>27912.294405393917</v>
      </c>
      <c r="AK172" s="1099">
        <f t="shared" si="174"/>
        <v>28261.713542097656</v>
      </c>
      <c r="AL172" s="1099">
        <f t="shared" si="174"/>
        <v>28600.376707251933</v>
      </c>
      <c r="AM172" s="1099">
        <f t="shared" si="174"/>
        <v>28928.73624566006</v>
      </c>
      <c r="AN172" s="1099">
        <f t="shared" si="174"/>
        <v>29247.222358342693</v>
      </c>
      <c r="AO172" s="1099">
        <f t="shared" si="174"/>
        <v>29556.244144229702</v>
      </c>
      <c r="AP172" s="1099">
        <f t="shared" si="174"/>
        <v>29856.190624435443</v>
      </c>
      <c r="AQ172" s="1099">
        <f t="shared" si="174"/>
        <v>30147.431741180993</v>
      </c>
      <c r="AR172" s="1099">
        <f t="shared" si="174"/>
        <v>30430.319325682311</v>
      </c>
      <c r="AS172" s="1099">
        <f t="shared" si="174"/>
        <v>30705.188031093898</v>
      </c>
      <c r="AT172" s="1099">
        <f t="shared" si="174"/>
        <v>30972.35622798168</v>
      </c>
      <c r="AU172" s="1099">
        <f t="shared" si="174"/>
        <v>31232.126860875276</v>
      </c>
      <c r="AV172" s="1099">
        <f t="shared" si="174"/>
        <v>31388.85816127581</v>
      </c>
      <c r="AW172" s="1099">
        <f t="shared" si="174"/>
        <v>31540.452034822181</v>
      </c>
      <c r="AX172" s="1099">
        <f t="shared" si="174"/>
        <v>31687.1498537648</v>
      </c>
      <c r="AY172" s="1099">
        <f t="shared" si="174"/>
        <v>31829.178549381766</v>
      </c>
      <c r="AZ172" s="1099">
        <f t="shared" si="174"/>
        <v>31966.751640725899</v>
      </c>
      <c r="BA172" s="1099">
        <f t="shared" si="174"/>
        <v>32100.070180066014</v>
      </c>
      <c r="BB172" s="1099">
        <f t="shared" si="174"/>
        <v>32229.323622398773</v>
      </c>
      <c r="BC172" s="1099">
        <f t="shared" si="174"/>
        <v>32354.690625722251</v>
      </c>
      <c r="BD172" s="1099">
        <f t="shared" si="174"/>
        <v>32476.339788140325</v>
      </c>
      <c r="BE172" s="1099">
        <f t="shared" si="174"/>
        <v>32594.430327302012</v>
      </c>
      <c r="BF172" s="1099">
        <f t="shared" si="174"/>
        <v>32709.112707168566</v>
      </c>
      <c r="BG172" s="1099">
        <f t="shared" si="174"/>
        <v>32820.529216638257</v>
      </c>
      <c r="BH172" s="1099">
        <f t="shared" si="174"/>
        <v>32928.814504139642</v>
      </c>
      <c r="BI172" s="1099">
        <f t="shared" si="174"/>
        <v>33034.096071925844</v>
      </c>
      <c r="BJ172" s="1099">
        <f t="shared" si="174"/>
        <v>33136.494733459629</v>
      </c>
      <c r="BK172" s="1099">
        <f t="shared" si="174"/>
        <v>33236.125036970268</v>
      </c>
      <c r="BL172" s="1099">
        <f t="shared" si="174"/>
        <v>33333.095657982689</v>
      </c>
      <c r="BM172" s="1099">
        <f t="shared" si="174"/>
        <v>33427.509763367714</v>
      </c>
      <c r="BN172" s="1099">
        <f t="shared" si="174"/>
        <v>33519.465349232436</v>
      </c>
      <c r="BO172" s="1099">
        <f t="shared" si="174"/>
        <v>33609.055554764011</v>
      </c>
      <c r="BP172" s="1099">
        <f t="shared" si="174"/>
        <v>33696.368953952566</v>
      </c>
      <c r="BQ172" s="1099">
        <f t="shared" si="174"/>
        <v>33781.489826949582</v>
      </c>
      <c r="BR172" s="1099">
        <f t="shared" si="174"/>
        <v>33864.498412665183</v>
      </c>
      <c r="BS172" s="1099">
        <f t="shared" si="174"/>
        <v>33945.471144068164</v>
      </c>
      <c r="BT172" s="1099">
        <f t="shared" si="174"/>
        <v>34024.480867527316</v>
      </c>
      <c r="BU172" s="1099">
        <f t="shared" si="174"/>
        <v>34101.597047417767</v>
      </c>
      <c r="BV172" s="1099">
        <f t="shared" si="174"/>
        <v>34176.885957112718</v>
      </c>
      <c r="BW172" s="1099">
        <f t="shared" si="174"/>
        <v>34250.410857386603</v>
      </c>
      <c r="BX172" s="1099">
        <f t="shared" si="174"/>
        <v>34322.232163169923</v>
      </c>
      <c r="BY172" s="1099">
        <f t="shared" si="174"/>
        <v>34392.407599518694</v>
      </c>
      <c r="BZ172" s="1099">
        <f t="shared" si="174"/>
        <v>34460.992347589927</v>
      </c>
      <c r="CA172" s="1099">
        <f t="shared" si="174"/>
        <v>34528.039181350541</v>
      </c>
      <c r="CB172" s="1099">
        <f t="shared" si="174"/>
        <v>34593.59859568809</v>
      </c>
      <c r="CC172" s="1099">
        <f t="shared" si="174"/>
        <v>34657.718926538233</v>
      </c>
      <c r="CD172" s="1099">
        <f t="shared" si="174"/>
        <v>34720.446463594861</v>
      </c>
      <c r="CE172" s="1099">
        <f t="shared" si="174"/>
        <v>34781.825556124088</v>
      </c>
      <c r="CF172" s="1099">
        <f t="shared" ref="CF172:DR172" si="175">IF(CF168&gt;CF170,CE172*(1+((CF168-CF170)*(1+$P$184))),CE172*(1+((CF168-CF170)*$P$183)))</f>
        <v>34841.898712362701</v>
      </c>
      <c r="CG172" s="1099">
        <f t="shared" si="175"/>
        <v>34900.706692944295</v>
      </c>
      <c r="CH172" s="1099">
        <f t="shared" si="175"/>
        <v>34958.288598761857</v>
      </c>
      <c r="CI172" s="1099">
        <f t="shared" si="175"/>
        <v>35014.681953645006</v>
      </c>
      <c r="CJ172" s="1099">
        <f t="shared" si="175"/>
        <v>35069.922782200621</v>
      </c>
      <c r="CK172" s="1099">
        <f t="shared" si="175"/>
        <v>35124.045683140117</v>
      </c>
      <c r="CL172" s="1099">
        <f t="shared" si="175"/>
        <v>35177.083898391895</v>
      </c>
      <c r="CM172" s="1099">
        <f t="shared" si="175"/>
        <v>35229.069378275912</v>
      </c>
      <c r="CN172" s="1099">
        <f t="shared" si="175"/>
        <v>35280.032842996487</v>
      </c>
      <c r="CO172" s="1099">
        <f t="shared" si="175"/>
        <v>35330.003840691403</v>
      </c>
      <c r="CP172" s="1099">
        <f t="shared" si="175"/>
        <v>35379.010802257479</v>
      </c>
      <c r="CQ172" s="1099">
        <f t="shared" si="175"/>
        <v>35427.08109315762</v>
      </c>
      <c r="CR172" s="1099">
        <f t="shared" si="175"/>
        <v>35474.241062399335</v>
      </c>
      <c r="CS172" s="1099">
        <f t="shared" si="175"/>
        <v>35520.516088861623</v>
      </c>
      <c r="CT172" s="1099">
        <f t="shared" si="175"/>
        <v>35565.930625134322</v>
      </c>
      <c r="CU172" s="1099">
        <f t="shared" si="175"/>
        <v>35610.50823902322</v>
      </c>
      <c r="CV172" s="1099">
        <f t="shared" si="175"/>
        <v>35654.271652863034</v>
      </c>
      <c r="CW172" s="1099">
        <f t="shared" si="175"/>
        <v>35697.242780771048</v>
      </c>
      <c r="CX172" s="1099">
        <f t="shared" si="175"/>
        <v>35739.442763965017</v>
      </c>
      <c r="CY172" s="1099">
        <f t="shared" si="175"/>
        <v>35780.892004260655</v>
      </c>
      <c r="CZ172" s="1099">
        <f t="shared" si="175"/>
        <v>35821.610195856272</v>
      </c>
      <c r="DA172" s="1099">
        <f t="shared" si="175"/>
        <v>35861.616355505088</v>
      </c>
      <c r="DB172" s="1099">
        <f t="shared" si="175"/>
        <v>35900.928851169003</v>
      </c>
      <c r="DC172" s="1099">
        <f t="shared" si="175"/>
        <v>35939.565429241527</v>
      </c>
      <c r="DD172" s="1099">
        <f t="shared" si="175"/>
        <v>35977.543240421917</v>
      </c>
      <c r="DE172" s="1099">
        <f t="shared" si="175"/>
        <v>36014.878864317172</v>
      </c>
      <c r="DF172" s="1099">
        <f t="shared" si="175"/>
        <v>36051.588332843785</v>
      </c>
      <c r="DG172" s="1099">
        <f t="shared" si="175"/>
        <v>36087.687152496481</v>
      </c>
      <c r="DH172" s="1099">
        <f t="shared" si="175"/>
        <v>36123.190325546893</v>
      </c>
      <c r="DI172" s="1099">
        <f t="shared" si="175"/>
        <v>36158.1123702314</v>
      </c>
      <c r="DJ172" s="1099">
        <f t="shared" si="175"/>
        <v>36192.467339983319</v>
      </c>
      <c r="DK172" s="1099">
        <f t="shared" si="175"/>
        <v>36226.268841761615</v>
      </c>
      <c r="DL172" s="1099">
        <f t="shared" si="175"/>
        <v>36259.530053524861</v>
      </c>
      <c r="DM172" s="1099">
        <f t="shared" si="175"/>
        <v>36292.263740896313</v>
      </c>
      <c r="DN172" s="1099">
        <f t="shared" si="175"/>
        <v>36324.482273063033</v>
      </c>
      <c r="DO172" s="1099">
        <f t="shared" si="175"/>
        <v>36356.197637949779</v>
      </c>
      <c r="DP172" s="1099">
        <f t="shared" si="175"/>
        <v>36387.421456705502</v>
      </c>
      <c r="DQ172" s="1099">
        <f t="shared" si="175"/>
        <v>36418.164997538413</v>
      </c>
      <c r="DR172" s="1099">
        <f t="shared" si="175"/>
        <v>36448.439188933204</v>
      </c>
      <c r="DS172" s="1103">
        <f>(DR172/S172)^(1/COUNT(S172:DR172))-1</f>
        <v>5.4006387639049525E-3</v>
      </c>
    </row>
    <row r="173" spans="2:147" s="932" customFormat="1" ht="47.1" customHeight="1">
      <c r="B173" s="1100" t="s">
        <v>204</v>
      </c>
      <c r="C173" s="1101" t="str">
        <f t="shared" ref="C173:AA173" si="176">IFERROR(C172/B172-1,"-")</f>
        <v>-</v>
      </c>
      <c r="D173" s="1101">
        <f t="shared" si="176"/>
        <v>-0.1131983240223462</v>
      </c>
      <c r="E173" s="1101">
        <f t="shared" si="176"/>
        <v>-6.8898141585951644E-2</v>
      </c>
      <c r="F173" s="1101">
        <f t="shared" si="176"/>
        <v>0.10412206746482711</v>
      </c>
      <c r="G173" s="1101">
        <f t="shared" si="176"/>
        <v>0.62406446979972885</v>
      </c>
      <c r="H173" s="1101">
        <f t="shared" si="176"/>
        <v>0.34612663600990423</v>
      </c>
      <c r="I173" s="1101">
        <f t="shared" si="176"/>
        <v>0.35330442780186577</v>
      </c>
      <c r="J173" s="1101">
        <f t="shared" si="176"/>
        <v>0.79682847896440157</v>
      </c>
      <c r="K173" s="1101">
        <f t="shared" si="176"/>
        <v>0.88994152468090726</v>
      </c>
      <c r="L173" s="1101">
        <f t="shared" si="176"/>
        <v>0.13351969504447236</v>
      </c>
      <c r="M173" s="1101">
        <f t="shared" si="176"/>
        <v>2.4325172630257352E-3</v>
      </c>
      <c r="N173" s="1101">
        <f t="shared" si="176"/>
        <v>9.2725747833380057E-2</v>
      </c>
      <c r="O173" s="1101">
        <f t="shared" si="176"/>
        <v>-0.27112222028920252</v>
      </c>
      <c r="P173" s="1101">
        <f t="shared" si="176"/>
        <v>-0.3488478211270819</v>
      </c>
      <c r="Q173" s="1101">
        <f t="shared" si="176"/>
        <v>-0.12465635275726383</v>
      </c>
      <c r="R173" s="1101">
        <f t="shared" si="176"/>
        <v>-0.43407950241709503</v>
      </c>
      <c r="S173" s="1101">
        <f t="shared" si="176"/>
        <v>0.13259671394416728</v>
      </c>
      <c r="T173" s="1101">
        <f t="shared" si="176"/>
        <v>0</v>
      </c>
      <c r="U173" s="1101">
        <f t="shared" si="176"/>
        <v>8.5551956610745439E-3</v>
      </c>
      <c r="V173" s="1101">
        <f t="shared" si="176"/>
        <v>2.7750645109178462E-2</v>
      </c>
      <c r="W173" s="1101">
        <f t="shared" si="176"/>
        <v>2.6043764535840674E-2</v>
      </c>
      <c r="X173" s="1101">
        <f t="shared" si="176"/>
        <v>2.4486829799794441E-2</v>
      </c>
      <c r="Y173" s="1101">
        <f t="shared" si="176"/>
        <v>2.3063017107455286E-2</v>
      </c>
      <c r="Z173" s="1101">
        <f t="shared" si="176"/>
        <v>2.1757771219879096E-2</v>
      </c>
      <c r="AA173" s="1101">
        <f t="shared" si="176"/>
        <v>2.0558451801742983E-2</v>
      </c>
      <c r="AB173" s="1101">
        <f t="shared" ref="AB173:CE173" si="177">IFERROR(AB172/AA172-1,"-")</f>
        <v>1.9454041784820575E-2</v>
      </c>
      <c r="AC173" s="1101">
        <f t="shared" si="177"/>
        <v>1.8434905768455412E-2</v>
      </c>
      <c r="AD173" s="1101">
        <f t="shared" si="177"/>
        <v>1.7492588983552437E-2</v>
      </c>
      <c r="AE173" s="1101">
        <f t="shared" si="177"/>
        <v>1.6619649292764604E-2</v>
      </c>
      <c r="AF173" s="1101">
        <f t="shared" si="177"/>
        <v>1.5809516218234565E-2</v>
      </c>
      <c r="AG173" s="1101">
        <f t="shared" si="177"/>
        <v>1.5056372178466226E-2</v>
      </c>
      <c r="AH173" s="1101">
        <f t="shared" si="177"/>
        <v>1.4355052052849482E-2</v>
      </c>
      <c r="AI173" s="1101">
        <f t="shared" si="177"/>
        <v>1.37009579331826E-2</v>
      </c>
      <c r="AJ173" s="1101">
        <f t="shared" si="177"/>
        <v>1.3089986509959628E-2</v>
      </c>
      <c r="AK173" s="1101">
        <f t="shared" si="177"/>
        <v>1.2518467010587786E-2</v>
      </c>
      <c r="AL173" s="1101">
        <f t="shared" si="177"/>
        <v>1.1983107982812768E-2</v>
      </c>
      <c r="AM173" s="1101">
        <f t="shared" si="177"/>
        <v>1.1480951519245775E-2</v>
      </c>
      <c r="AN173" s="1101">
        <f t="shared" si="177"/>
        <v>1.1009333763427387E-2</v>
      </c>
      <c r="AO173" s="1101">
        <f t="shared" si="177"/>
        <v>1.0565850736210525E-2</v>
      </c>
      <c r="AP173" s="1101">
        <f t="shared" si="177"/>
        <v>1.0148328682834329E-2</v>
      </c>
      <c r="AQ173" s="1101">
        <f t="shared" si="177"/>
        <v>9.7547982731323035E-3</v>
      </c>
      <c r="AR173" s="1101">
        <f t="shared" si="177"/>
        <v>9.3834720957306494E-3</v>
      </c>
      <c r="AS173" s="1101">
        <f t="shared" si="177"/>
        <v>9.0327249763562101E-3</v>
      </c>
      <c r="AT173" s="1101">
        <f t="shared" si="177"/>
        <v>8.7010767241428866E-3</v>
      </c>
      <c r="AU173" s="1101">
        <f t="shared" si="177"/>
        <v>8.3871769710213151E-3</v>
      </c>
      <c r="AV173" s="1101">
        <f t="shared" si="177"/>
        <v>5.0182717654387865E-3</v>
      </c>
      <c r="AW173" s="1101">
        <f t="shared" si="177"/>
        <v>4.8295440620198526E-3</v>
      </c>
      <c r="AX173" s="1101">
        <f t="shared" si="177"/>
        <v>4.6511007128451354E-3</v>
      </c>
      <c r="AY173" s="1101">
        <f t="shared" si="177"/>
        <v>4.4822174374288259E-3</v>
      </c>
      <c r="AZ173" s="1101">
        <f t="shared" si="177"/>
        <v>4.3222319146782873E-3</v>
      </c>
      <c r="BA173" s="1101">
        <f t="shared" si="177"/>
        <v>4.1705375897582719E-3</v>
      </c>
      <c r="BB173" s="1101">
        <f t="shared" si="177"/>
        <v>4.0265781852721894E-3</v>
      </c>
      <c r="BC173" s="1101">
        <f t="shared" si="177"/>
        <v>3.8898428273670405E-3</v>
      </c>
      <c r="BD173" s="1101">
        <f t="shared" si="177"/>
        <v>3.7598617098617559E-3</v>
      </c>
      <c r="BE173" s="1101">
        <f t="shared" si="177"/>
        <v>3.636202230055785E-3</v>
      </c>
      <c r="BF173" s="1101">
        <f t="shared" si="177"/>
        <v>3.5184655388957875E-3</v>
      </c>
      <c r="BG173" s="1101">
        <f t="shared" si="177"/>
        <v>3.4062834558417077E-3</v>
      </c>
      <c r="BH173" s="1101">
        <f t="shared" si="177"/>
        <v>3.2993157053204936E-3</v>
      </c>
      <c r="BI173" s="1101">
        <f t="shared" si="177"/>
        <v>3.1972474372852222E-3</v>
      </c>
      <c r="BJ173" s="1101">
        <f t="shared" si="177"/>
        <v>3.099786999191112E-3</v>
      </c>
      <c r="BK173" s="1101">
        <f t="shared" si="177"/>
        <v>3.0066639308725662E-3</v>
      </c>
      <c r="BL173" s="1101">
        <f t="shared" si="177"/>
        <v>2.9176271573341239E-3</v>
      </c>
      <c r="BM173" s="1101">
        <f t="shared" si="177"/>
        <v>2.832443357609904E-3</v>
      </c>
      <c r="BN173" s="1101">
        <f t="shared" si="177"/>
        <v>2.7508954904409411E-3</v>
      </c>
      <c r="BO173" s="1101">
        <f t="shared" si="177"/>
        <v>2.6727814599114552E-3</v>
      </c>
      <c r="BP173" s="1101">
        <f t="shared" si="177"/>
        <v>2.5979129061297623E-3</v>
      </c>
      <c r="BQ173" s="1101">
        <f t="shared" si="177"/>
        <v>2.5261141078238847E-3</v>
      </c>
      <c r="BR173" s="1101">
        <f t="shared" si="177"/>
        <v>2.4572209852444793E-3</v>
      </c>
      <c r="BS173" s="1101">
        <f t="shared" si="177"/>
        <v>2.3910801930759895E-3</v>
      </c>
      <c r="BT173" s="1101">
        <f t="shared" si="177"/>
        <v>2.3275482942577419E-3</v>
      </c>
      <c r="BU173" s="1101">
        <f t="shared" si="177"/>
        <v>2.2664910065990362E-3</v>
      </c>
      <c r="BV173" s="1101">
        <f t="shared" si="177"/>
        <v>2.2077825150026431E-3</v>
      </c>
      <c r="BW173" s="1101">
        <f t="shared" si="177"/>
        <v>2.1513048428738468E-3</v>
      </c>
      <c r="BX173" s="1101">
        <f t="shared" si="177"/>
        <v>2.0969472769938324E-3</v>
      </c>
      <c r="BY173" s="1101">
        <f t="shared" si="177"/>
        <v>2.044605840761049E-3</v>
      </c>
      <c r="BZ173" s="1101">
        <f t="shared" si="177"/>
        <v>1.9941828112142179E-3</v>
      </c>
      <c r="CA173" s="1101">
        <f t="shared" si="177"/>
        <v>1.9455862757620235E-3</v>
      </c>
      <c r="CB173" s="1101">
        <f t="shared" si="177"/>
        <v>1.898729724940651E-3</v>
      </c>
      <c r="CC173" s="1101">
        <f t="shared" si="177"/>
        <v>1.8535316779138E-3</v>
      </c>
      <c r="CD173" s="1101">
        <f t="shared" si="177"/>
        <v>1.8099153377517663E-3</v>
      </c>
      <c r="CE173" s="1101">
        <f t="shared" si="177"/>
        <v>1.7678082738246115E-3</v>
      </c>
      <c r="CF173" s="1101">
        <f t="shared" ref="CF173:DR173" si="178">IFERROR(CF172/CE172-1,"-")</f>
        <v>1.72714212891667E-3</v>
      </c>
      <c r="CG173" s="1101">
        <f t="shared" si="178"/>
        <v>1.6878523488941255E-3</v>
      </c>
      <c r="CH173" s="1101">
        <f t="shared" si="178"/>
        <v>1.6498779329647828E-3</v>
      </c>
      <c r="CI173" s="1101">
        <f t="shared" si="178"/>
        <v>1.6131612027812103E-3</v>
      </c>
      <c r="CJ173" s="1101">
        <f t="shared" si="178"/>
        <v>1.577647588767217E-3</v>
      </c>
      <c r="CK173" s="1101">
        <f t="shared" si="178"/>
        <v>1.5432854322383616E-3</v>
      </c>
      <c r="CL173" s="1101">
        <f t="shared" si="178"/>
        <v>1.5100258019888901E-3</v>
      </c>
      <c r="CM173" s="1101">
        <f t="shared" si="178"/>
        <v>1.4778223241636024E-3</v>
      </c>
      <c r="CN173" s="1101">
        <f t="shared" si="178"/>
        <v>1.4466310243210767E-3</v>
      </c>
      <c r="CO173" s="1101">
        <f t="shared" si="178"/>
        <v>1.4164101807188079E-3</v>
      </c>
      <c r="CP173" s="1101">
        <f t="shared" si="178"/>
        <v>1.3871201879018802E-3</v>
      </c>
      <c r="CQ173" s="1101">
        <f t="shared" si="178"/>
        <v>1.3587234297991468E-3</v>
      </c>
      <c r="CR173" s="1101">
        <f t="shared" si="178"/>
        <v>1.331184161565746E-3</v>
      </c>
      <c r="CS173" s="1101">
        <f t="shared" si="178"/>
        <v>1.304468399504044E-3</v>
      </c>
      <c r="CT173" s="1101">
        <f t="shared" si="178"/>
        <v>1.2785438184255149E-3</v>
      </c>
      <c r="CU173" s="1101">
        <f t="shared" si="178"/>
        <v>1.253379655905773E-3</v>
      </c>
      <c r="CV173" s="1101">
        <f t="shared" si="178"/>
        <v>1.2289466228918577E-3</v>
      </c>
      <c r="CW173" s="1101">
        <f t="shared" si="178"/>
        <v>1.205216820200139E-3</v>
      </c>
      <c r="CX173" s="1101">
        <f t="shared" si="178"/>
        <v>1.1821636604578689E-3</v>
      </c>
      <c r="CY173" s="1101">
        <f t="shared" si="178"/>
        <v>1.1597617950951378E-3</v>
      </c>
      <c r="CZ173" s="1101">
        <f t="shared" si="178"/>
        <v>1.1379870460124231E-3</v>
      </c>
      <c r="DA173" s="1101">
        <f t="shared" si="178"/>
        <v>1.1168163415904431E-3</v>
      </c>
      <c r="DB173" s="1101">
        <f t="shared" si="178"/>
        <v>1.0962276567292317E-3</v>
      </c>
      <c r="DC173" s="1101">
        <f t="shared" si="178"/>
        <v>1.0761999566277769E-3</v>
      </c>
      <c r="DD173" s="1101">
        <f t="shared" si="178"/>
        <v>1.0567131440462063E-3</v>
      </c>
      <c r="DE173" s="1101">
        <f t="shared" si="178"/>
        <v>1.0377480098002767E-3</v>
      </c>
      <c r="DF173" s="1101">
        <f t="shared" si="178"/>
        <v>1.0192861862707847E-3</v>
      </c>
      <c r="DG173" s="1101">
        <f t="shared" si="178"/>
        <v>1.0013101037162908E-3</v>
      </c>
      <c r="DH173" s="1101">
        <f t="shared" si="178"/>
        <v>9.8380294919953037E-4</v>
      </c>
      <c r="DI173" s="1101">
        <f t="shared" si="178"/>
        <v>9.6674862795298466E-4</v>
      </c>
      <c r="DJ173" s="1101">
        <f t="shared" si="178"/>
        <v>9.5013172701463589E-4</v>
      </c>
      <c r="DK173" s="1101">
        <f t="shared" si="178"/>
        <v>9.3393748098935525E-4</v>
      </c>
      <c r="DL173" s="1101">
        <f t="shared" si="178"/>
        <v>9.1815173979226117E-4</v>
      </c>
      <c r="DM173" s="1101">
        <f t="shared" si="178"/>
        <v>9.0276093824526171E-4</v>
      </c>
      <c r="DN173" s="1101">
        <f t="shared" si="178"/>
        <v>8.8775206740310253E-4</v>
      </c>
      <c r="DO173" s="1101">
        <f t="shared" si="178"/>
        <v>8.7311264750677964E-4</v>
      </c>
      <c r="DP173" s="1101">
        <f t="shared" si="178"/>
        <v>8.5883070244752169E-4</v>
      </c>
      <c r="DQ173" s="1101">
        <f t="shared" si="178"/>
        <v>8.4489473565718676E-4</v>
      </c>
      <c r="DR173" s="1101">
        <f t="shared" si="178"/>
        <v>8.3129370732537566E-4</v>
      </c>
      <c r="DS173" s="1102"/>
    </row>
    <row r="174" spans="2:147" ht="14.1" thickBot="1">
      <c r="B174" s="940"/>
      <c r="C174" s="766"/>
      <c r="G174" s="1122">
        <f>AVERAGE(G172:J172)</f>
        <v>18932.550000000003</v>
      </c>
      <c r="K174" s="1122">
        <f>AVERAGE(K172:N172)</f>
        <v>71010</v>
      </c>
    </row>
    <row r="175" spans="2:147">
      <c r="B175" s="958"/>
      <c r="C175" s="919" t="s">
        <v>135</v>
      </c>
      <c r="D175" s="919" t="s">
        <v>887</v>
      </c>
      <c r="E175" s="919" t="s">
        <v>946</v>
      </c>
      <c r="F175" s="919" t="s">
        <v>947</v>
      </c>
      <c r="G175" s="919" t="s">
        <v>948</v>
      </c>
      <c r="H175" s="976">
        <f>SUM(G169:J169)</f>
        <v>1579588</v>
      </c>
    </row>
    <row r="176" spans="2:147">
      <c r="B176" s="476" t="s">
        <v>135</v>
      </c>
      <c r="C176">
        <v>1</v>
      </c>
      <c r="D176"/>
      <c r="E176"/>
      <c r="F176"/>
      <c r="G176"/>
      <c r="K176" s="1048">
        <f>K174/G174-1</f>
        <v>2.7506833469342475</v>
      </c>
      <c r="S176" s="915" t="s">
        <v>757</v>
      </c>
      <c r="T176" s="917" t="s">
        <v>758</v>
      </c>
      <c r="U176" s="917" t="s">
        <v>759</v>
      </c>
      <c r="V176" s="917" t="s">
        <v>760</v>
      </c>
      <c r="W176" s="917" t="s">
        <v>761</v>
      </c>
      <c r="X176" s="917" t="s">
        <v>762</v>
      </c>
      <c r="Y176" s="917" t="s">
        <v>763</v>
      </c>
      <c r="Z176" s="917" t="s">
        <v>764</v>
      </c>
      <c r="AA176" s="917" t="s">
        <v>765</v>
      </c>
      <c r="AB176" s="917" t="s">
        <v>766</v>
      </c>
      <c r="AC176" s="917" t="s">
        <v>767</v>
      </c>
      <c r="AD176" s="917" t="s">
        <v>768</v>
      </c>
      <c r="AE176" s="917" t="s">
        <v>769</v>
      </c>
      <c r="AF176" s="917" t="s">
        <v>770</v>
      </c>
      <c r="AG176" s="917" t="s">
        <v>771</v>
      </c>
      <c r="AH176" s="917" t="s">
        <v>772</v>
      </c>
      <c r="AI176" s="917" t="s">
        <v>773</v>
      </c>
      <c r="AJ176" s="917" t="s">
        <v>774</v>
      </c>
      <c r="AK176" s="917" t="s">
        <v>775</v>
      </c>
      <c r="AL176" s="917" t="s">
        <v>776</v>
      </c>
      <c r="AM176" s="917" t="s">
        <v>777</v>
      </c>
      <c r="AN176" s="917" t="s">
        <v>778</v>
      </c>
      <c r="AO176" s="917" t="s">
        <v>779</v>
      </c>
      <c r="AP176" s="917" t="s">
        <v>780</v>
      </c>
      <c r="AQ176" s="917" t="s">
        <v>781</v>
      </c>
      <c r="AR176" s="903" t="s">
        <v>782</v>
      </c>
    </row>
    <row r="177" spans="2:44" s="932" customFormat="1" ht="20.100000000000001" customHeight="1">
      <c r="B177" s="290" t="s">
        <v>887</v>
      </c>
      <c r="C177" s="290">
        <v>0.83898450863716467</v>
      </c>
      <c r="D177" s="290">
        <v>1</v>
      </c>
      <c r="E177" s="290"/>
      <c r="F177" s="290"/>
      <c r="G177" s="290"/>
      <c r="H177" s="1036" t="s">
        <v>1065</v>
      </c>
      <c r="K177" s="1123">
        <f>SUM(K169:N169)</f>
        <v>2415348</v>
      </c>
      <c r="R177" s="1033" t="s">
        <v>1066</v>
      </c>
      <c r="S177" s="1026">
        <f>SUM(Table7[[#Totals],[Q1 2024]:[Q4 2024]])</f>
        <v>0.22600481493997526</v>
      </c>
      <c r="T177" s="1027">
        <f>SUM(Table7[[#Totals],[Q1 2025]:[Q4 2025]])</f>
        <v>0.18504377745947354</v>
      </c>
      <c r="U177" s="1027">
        <f>SUM(Table7[[#Totals],[Q1 2026]:[Q4 2026]])</f>
        <v>0.17032587876303262</v>
      </c>
      <c r="V177" s="1027">
        <f>SUM(Table7[[#Totals],[Q1 2027]:[Q4 2027]])</f>
        <v>0.15764256215056993</v>
      </c>
      <c r="W177" s="1027">
        <f>SUM(Table7[[#Totals],[Q1 2028]:[Q4 2028]])</f>
        <v>0.14662752526249512</v>
      </c>
      <c r="X177" s="1027">
        <f>SUM(Table7[[#Totals],[Q1 2029]:[Q4 2029]])</f>
        <v>0.13698946312765536</v>
      </c>
      <c r="Y177" s="1027">
        <f>SUM(Table7[[#Totals],[Q1 2030]:[Q4 2030]])</f>
        <v>0.12849662983607746</v>
      </c>
      <c r="Z177" s="1027">
        <f>SUM(Table7[[#Totals],[Q1 2031]:[Q4 2031]])</f>
        <v>0.1299026283894078</v>
      </c>
      <c r="AA177" s="1027">
        <f>SUM(Table7[[#Totals],[Q1 2032]:[Q4 2032]])</f>
        <v>0.1249798772819648</v>
      </c>
      <c r="AB177" s="1027">
        <f>SUM(Table7[[#Totals],[Q1 2033]:[Q4 2033]])</f>
        <v>0.11779348599967254</v>
      </c>
      <c r="AC177" s="1027">
        <f>SUM(Table7[[#Totals],[Q1 2034]:[Q4 2034]])</f>
        <v>0.1113720781557479</v>
      </c>
      <c r="AD177" s="1027">
        <f>SUM(Table7[[#Totals],[Q1 2035]:[Q4 2035]])</f>
        <v>0.10560211090488014</v>
      </c>
      <c r="AE177" s="1027">
        <f>SUM(Table7[[#Totals],[Q1 2036]:[Q4 2036]])</f>
        <v>0.10039098676339653</v>
      </c>
      <c r="AF177" s="1027">
        <f>SUM(Table7[[#Totals],[Q1 2037]:[Q4 2037]])</f>
        <v>9.5662545449552328E-2</v>
      </c>
      <c r="AG177" s="1027">
        <f>SUM(Table7[[#Totals],[Q1 2038]:[Q4 2038]])</f>
        <v>9.1353642277013147E-2</v>
      </c>
      <c r="AH177" s="1027">
        <f>SUM(Table7[[#Totals],[Q1 2039]:[Q4 2039]])</f>
        <v>8.7411528694741003E-2</v>
      </c>
      <c r="AI177" s="1027">
        <f>SUM(Table7[[#Totals],[Q1 2040]:[Q4 2040]])</f>
        <v>8.3791829295785769E-2</v>
      </c>
      <c r="AJ177" s="1027">
        <f>SUM(Table7[[#Totals],[Q1 2041]:[Q4 2041]])</f>
        <v>8.0456965936325231E-2</v>
      </c>
      <c r="AK177" s="1027">
        <f>SUM(Table7[[#Totals],[Q1 2042]:[Q4 2042]])</f>
        <v>7.7374919824728883E-2</v>
      </c>
      <c r="AL177" s="1027">
        <f>SUM(Table7[[#Totals],[Q1 2043]:[Q4 2043]])</f>
        <v>7.4518251240132782E-2</v>
      </c>
      <c r="AM177" s="1027">
        <f>SUM(Table7[[#Totals],[Q1 2044]:[Q4 2044]])</f>
        <v>7.1863317271191995E-2</v>
      </c>
      <c r="AN177" s="1027">
        <f>SUM(Table7[[#Totals],[Q1 2045]:[Q4 2045]])</f>
        <v>6.9389642987889744E-2</v>
      </c>
      <c r="AO177" s="1027">
        <f>SUM(Table7[[#Totals],[Q1 2046]:[Q4 2046]])</f>
        <v>6.7079412425107066E-2</v>
      </c>
      <c r="AP177" s="1027">
        <f>SUM(Table7[[#Totals],[Q1 2047]:[Q4 2047]])</f>
        <v>6.4917053823288606E-2</v>
      </c>
      <c r="AQ177" s="1027">
        <f>SUM(Table7[[#Totals],[Q1 2048]:[Q4 2048]])</f>
        <v>6.2888899552118849E-2</v>
      </c>
      <c r="AR177" s="1028">
        <f>SUM(Table7[[#Totals],[Q1 2049]:[Q4 2049]])</f>
        <v>6.0982905611531413E-2</v>
      </c>
    </row>
    <row r="178" spans="2:44" s="932" customFormat="1" ht="20.100000000000001" customHeight="1">
      <c r="B178" s="290"/>
      <c r="C178" s="290"/>
      <c r="D178" s="290"/>
      <c r="E178" s="290"/>
      <c r="F178" s="290"/>
      <c r="G178" s="290"/>
      <c r="H178" s="1036"/>
      <c r="K178" s="932">
        <f>K177/H175</f>
        <v>1.529099993162774</v>
      </c>
      <c r="L178" s="1124">
        <f>K178+K176</f>
        <v>4.2797833400970218</v>
      </c>
      <c r="Q178" s="1050"/>
      <c r="R178" s="1033" t="s">
        <v>887</v>
      </c>
      <c r="S178" s="1029">
        <f>AVERAGE(S169:V169)</f>
        <v>997277.15625</v>
      </c>
      <c r="T178" s="1029">
        <f>AVERAGE(W169:Z169)</f>
        <v>1238204.0874999999</v>
      </c>
      <c r="U178" s="1029">
        <f>AVERAGE(AA169:AD169)</f>
        <v>1470193.7875000001</v>
      </c>
      <c r="V178" s="1029">
        <f>AVERAGE(AE169:AH169)</f>
        <v>1723390.6875</v>
      </c>
      <c r="W178" s="1029">
        <f>AVERAGE(AI169:AL169)</f>
        <v>1997794.7875000001</v>
      </c>
      <c r="X178" s="1029">
        <f>AVERAGE(AM169:AP169)</f>
        <v>2293406.0874999999</v>
      </c>
      <c r="Y178" s="1029">
        <f>AVERAGE(AQ169:AT169)</f>
        <v>2610224.5874999999</v>
      </c>
      <c r="Z178" s="1029">
        <f>AVERAGE(AU169:AX169)</f>
        <v>2961512.7628750005</v>
      </c>
      <c r="AA178" s="1029">
        <f>AVERAGE(AY169:BB169)</f>
        <v>3358710.1458750004</v>
      </c>
      <c r="AB178" s="1029">
        <f>AVERAGE(BC169:BF169)</f>
        <v>3781568.2408749992</v>
      </c>
      <c r="AC178" s="1029">
        <f>AVERAGE(BG169:BJ169)</f>
        <v>4230087.0478749964</v>
      </c>
      <c r="AD178" s="1029">
        <f>AVERAGE(BK169:BN169)</f>
        <v>4704266.566874994</v>
      </c>
      <c r="AE178" s="1029">
        <f>AVERAGE(BO169:BR169)</f>
        <v>5204106.7978749909</v>
      </c>
      <c r="AF178" s="1029">
        <f>AVERAGE(BS169:BV169)</f>
        <v>5729607.7408749871</v>
      </c>
      <c r="AG178" s="1029">
        <f>AVERAGE(BW169:BZ169)</f>
        <v>6280769.3958749846</v>
      </c>
      <c r="AH178" s="1029">
        <f>AVERAGE(CA169:CD169)</f>
        <v>6857591.7628749805</v>
      </c>
      <c r="AI178" s="1029">
        <f>AVERAGE(CE169:CH169)</f>
        <v>7460074.8418749776</v>
      </c>
      <c r="AJ178" s="1029">
        <f>AVERAGE(CI169:CL169)</f>
        <v>8088218.6328749722</v>
      </c>
      <c r="AK178" s="1029">
        <f>AVERAGE(CM169:CP169)</f>
        <v>8742023.135874968</v>
      </c>
      <c r="AL178" s="1029">
        <f>AVERAGE(CQ169:CT169)</f>
        <v>9421488.3508749641</v>
      </c>
      <c r="AM178" s="1029">
        <f>AVERAGE(CU169:CX169)</f>
        <v>10126614.277874958</v>
      </c>
      <c r="AN178" s="1029">
        <f>AVERAGE(CY169:DB169)</f>
        <v>10857400.916874953</v>
      </c>
      <c r="AO178" s="1029">
        <f>AVERAGE(DC169:DF169)</f>
        <v>11613848.267874947</v>
      </c>
      <c r="AP178" s="1029">
        <f>AVERAGE(DG169:DJ169)</f>
        <v>12395956.330874942</v>
      </c>
      <c r="AQ178" s="1029">
        <f>AVERAGE(DK169:DN169)</f>
        <v>13203725.105874937</v>
      </c>
      <c r="AR178" s="1029">
        <f>AVERAGE(DO169:DR169)</f>
        <v>14037154.592874933</v>
      </c>
    </row>
    <row r="179" spans="2:44" s="932" customFormat="1" ht="20.100000000000001" customHeight="1">
      <c r="B179" s="290"/>
      <c r="C179" s="290"/>
      <c r="D179" s="290"/>
      <c r="E179" s="290"/>
      <c r="F179" s="290"/>
      <c r="G179" s="290"/>
      <c r="H179" s="1036"/>
      <c r="Q179" s="1050">
        <f>AVERAGE(O172:R172)</f>
        <v>36234.35</v>
      </c>
      <c r="R179" s="1033" t="s">
        <v>1067</v>
      </c>
      <c r="S179" s="1030">
        <f>AVERAGE(S172:V172)</f>
        <v>21051.145422461053</v>
      </c>
      <c r="T179" s="1030">
        <f>AVERAGE(W172:Z172)</f>
        <v>22933.45337323377</v>
      </c>
      <c r="U179" s="1031">
        <f>AVERAGE(AA172:AD172)</f>
        <v>24886.884762238573</v>
      </c>
      <c r="V179" s="1031">
        <f>AVERAGE(AE172:AH172)</f>
        <v>26589.352416292859</v>
      </c>
      <c r="W179" s="1031">
        <f>AVERAGE(AI172:AL172)</f>
        <v>28081.50710374715</v>
      </c>
      <c r="X179" s="1031">
        <f>AVERAGE(AM172:AP172)</f>
        <v>29397.098343166974</v>
      </c>
      <c r="Y179" s="1031">
        <f>AVERAGE(AQ172:AT172)</f>
        <v>30563.823831484722</v>
      </c>
      <c r="Z179" s="1031">
        <f>AVERAGE(AU172:AX172)</f>
        <v>31462.146727684518</v>
      </c>
      <c r="AA179" s="1031">
        <f>AVERAGE(AY172:BB172)</f>
        <v>32031.330998143116</v>
      </c>
      <c r="AB179" s="1031">
        <f>AVERAGE(BC172:BF172)</f>
        <v>32533.64336208329</v>
      </c>
      <c r="AC179" s="1031">
        <f>AVERAGE(BG172:BJ172)</f>
        <v>32979.983631540839</v>
      </c>
      <c r="AD179" s="1031">
        <f>AVERAGE(BK172:BN172)</f>
        <v>33379.048951888275</v>
      </c>
      <c r="AE179" s="1031">
        <f>AVERAGE(BO172:BR172)</f>
        <v>33737.853187082837</v>
      </c>
      <c r="AF179" s="1031">
        <f>AVERAGE(BS172:BV172)</f>
        <v>34062.108754031491</v>
      </c>
      <c r="AG179" s="1031">
        <f>AVERAGE(BW172:BZ172)</f>
        <v>34356.510741916289</v>
      </c>
      <c r="AH179" s="1031">
        <f>AVERAGE(CA172:CD172)</f>
        <v>34624.95079179293</v>
      </c>
      <c r="AI179" s="1031">
        <f>AVERAGE(CE172:CH172)</f>
        <v>34870.679890048232</v>
      </c>
      <c r="AJ179" s="1031">
        <f>AVERAGE(CI172:CL172)</f>
        <v>35096.433579344412</v>
      </c>
      <c r="AK179" s="1031">
        <f>AVERAGE(CM172:CP172)</f>
        <v>35304.529216055322</v>
      </c>
      <c r="AL179" s="1031">
        <f>AVERAGE(CQ172:CT172)</f>
        <v>35496.942217388227</v>
      </c>
      <c r="AM179" s="1031">
        <f>AVERAGE(CU172:CX172)</f>
        <v>35675.366359155581</v>
      </c>
      <c r="AN179" s="1031">
        <f>AVERAGE(CY172:DB172)</f>
        <v>35841.261851697753</v>
      </c>
      <c r="AO179" s="1031">
        <f>AVERAGE(DC172:DF172)</f>
        <v>35995.893966706099</v>
      </c>
      <c r="AP179" s="1031">
        <f>AVERAGE(DG172:DJ172)</f>
        <v>36140.364297064523</v>
      </c>
      <c r="AQ179" s="1031">
        <f>AVERAGE(DK172:DN172)</f>
        <v>36275.636227311457</v>
      </c>
      <c r="AR179" s="1031">
        <f>AVERAGE(DO172:DR172)</f>
        <v>36402.555820281726</v>
      </c>
    </row>
    <row r="180" spans="2:44" s="932" customFormat="1" ht="20.100000000000001" customHeight="1">
      <c r="B180" s="290" t="s">
        <v>946</v>
      </c>
      <c r="C180" s="290">
        <v>0.30229414950860034</v>
      </c>
      <c r="D180" s="290">
        <v>0.60139102493559249</v>
      </c>
      <c r="E180" s="290">
        <v>1</v>
      </c>
      <c r="F180" s="290"/>
      <c r="G180" s="290"/>
      <c r="H180" s="1036" t="s">
        <v>1068</v>
      </c>
      <c r="O180" s="1108"/>
      <c r="Q180" s="944"/>
      <c r="R180" s="1033"/>
      <c r="S180" s="1026">
        <f>S179/(AVERAGE(O172:R172))-1</f>
        <v>-0.41902792729934291</v>
      </c>
      <c r="T180" s="1027">
        <f>T179/S179-1</f>
        <v>8.9415939750448814E-2</v>
      </c>
      <c r="U180" s="1027">
        <f t="shared" ref="U180:AR180" si="179">U179/T179-1</f>
        <v>8.5178248439666149E-2</v>
      </c>
      <c r="V180" s="1027">
        <f t="shared" si="179"/>
        <v>6.840822667517954E-2</v>
      </c>
      <c r="W180" s="1027">
        <f t="shared" si="179"/>
        <v>5.6118504282938408E-2</v>
      </c>
      <c r="X180" s="1027">
        <f t="shared" si="179"/>
        <v>4.6849025394519295E-2</v>
      </c>
      <c r="Y180" s="1027">
        <f t="shared" si="179"/>
        <v>3.968845750345773E-2</v>
      </c>
      <c r="Z180" s="1027">
        <f t="shared" si="179"/>
        <v>2.9391705080906938E-2</v>
      </c>
      <c r="AA180" s="1027">
        <f t="shared" si="179"/>
        <v>1.8091081812855236E-2</v>
      </c>
      <c r="AB180" s="1027">
        <f t="shared" si="179"/>
        <v>1.5681907316598576E-2</v>
      </c>
      <c r="AC180" s="1027">
        <f t="shared" si="179"/>
        <v>1.3719344756134566E-2</v>
      </c>
      <c r="AD180" s="1027">
        <f t="shared" si="179"/>
        <v>1.210022796875454E-2</v>
      </c>
      <c r="AE180" s="1027">
        <f t="shared" si="179"/>
        <v>1.0749384612837032E-2</v>
      </c>
      <c r="AF180" s="1027">
        <f t="shared" si="179"/>
        <v>9.6110314177548783E-3</v>
      </c>
      <c r="AG180" s="1027">
        <f t="shared" si="179"/>
        <v>8.6430934153467476E-3</v>
      </c>
      <c r="AH180" s="1027">
        <f t="shared" si="179"/>
        <v>7.8133676581171319E-3</v>
      </c>
      <c r="AI180" s="1027">
        <f t="shared" si="179"/>
        <v>7.0968793496031246E-3</v>
      </c>
      <c r="AJ180" s="1027">
        <f t="shared" si="179"/>
        <v>6.4740260301208163E-3</v>
      </c>
      <c r="AK180" s="1027">
        <f t="shared" si="179"/>
        <v>5.9292530746879457E-3</v>
      </c>
      <c r="AL180" s="1027">
        <f t="shared" si="179"/>
        <v>5.4500939569364082E-3</v>
      </c>
      <c r="AM180" s="1027">
        <f t="shared" si="179"/>
        <v>5.0264651156333162E-3</v>
      </c>
      <c r="AN180" s="1027">
        <f t="shared" si="179"/>
        <v>4.6501412451394053E-3</v>
      </c>
      <c r="AO180" s="1027">
        <f t="shared" si="179"/>
        <v>4.3143602378781232E-3</v>
      </c>
      <c r="AP180" s="1027">
        <f t="shared" si="179"/>
        <v>4.0135225004287456E-3</v>
      </c>
      <c r="AQ180" s="1027">
        <f t="shared" si="179"/>
        <v>3.7429597868752218E-3</v>
      </c>
      <c r="AR180" s="1027">
        <f t="shared" si="179"/>
        <v>3.4987558088563908E-3</v>
      </c>
    </row>
    <row r="181" spans="2:44" s="932" customFormat="1" ht="20.100000000000001" customHeight="1">
      <c r="B181" s="290" t="s">
        <v>947</v>
      </c>
      <c r="C181" s="290">
        <v>0.76473491155518192</v>
      </c>
      <c r="D181" s="290">
        <v>0.93351650748115822</v>
      </c>
      <c r="E181" s="290">
        <v>0.77327223989682881</v>
      </c>
      <c r="F181" s="290">
        <v>1</v>
      </c>
      <c r="G181" s="290"/>
      <c r="H181" s="1036" t="s">
        <v>1069</v>
      </c>
      <c r="R181" s="1033" t="s">
        <v>815</v>
      </c>
      <c r="S181" s="1032">
        <f>S180*0.8+S177*0.2</f>
        <v>-0.29002137885147927</v>
      </c>
      <c r="T181" s="1032">
        <f>T180*0.4+T177*0.6</f>
        <v>0.14679264237586365</v>
      </c>
      <c r="U181" s="1032">
        <f t="shared" ref="U181:W181" si="180">U180*0.4+U177*0.6</f>
        <v>0.13626682663368603</v>
      </c>
      <c r="V181" s="1032">
        <f t="shared" si="180"/>
        <v>0.12194882796041377</v>
      </c>
      <c r="W181" s="1032">
        <f t="shared" si="180"/>
        <v>0.11042391687067243</v>
      </c>
      <c r="X181" s="1032">
        <f t="shared" ref="X181" si="181">X180*0.4+X177*0.6</f>
        <v>0.10093328803440094</v>
      </c>
      <c r="Y181" s="1032">
        <f t="shared" ref="Y181:Z181" si="182">Y180*0.4+Y177*0.6</f>
        <v>9.2973360903029573E-2</v>
      </c>
      <c r="Z181" s="1032">
        <f t="shared" si="182"/>
        <v>8.9698259066007452E-2</v>
      </c>
      <c r="AA181" s="1032">
        <f t="shared" ref="AA181:AB181" si="183">AA180*0.4+AA177*0.6</f>
        <v>8.2224359094320978E-2</v>
      </c>
      <c r="AB181" s="1032">
        <f t="shared" si="183"/>
        <v>7.6948854526442956E-2</v>
      </c>
      <c r="AC181" s="1032">
        <f t="shared" ref="AC181" si="184">AC180*0.4+AC177*0.6</f>
        <v>7.2310984795902561E-2</v>
      </c>
      <c r="AD181" s="1032">
        <f t="shared" ref="AD181" si="185">AD180*0.4+AD177*0.6</f>
        <v>6.8201357730429887E-2</v>
      </c>
      <c r="AE181" s="1032">
        <f t="shared" ref="AE181" si="186">AE180*0.4+AE177*0.6</f>
        <v>6.4534345903172724E-2</v>
      </c>
      <c r="AF181" s="1032">
        <f t="shared" ref="AF181" si="187">AF180*0.4+AF177*0.6</f>
        <v>6.1241939836833348E-2</v>
      </c>
      <c r="AG181" s="1032">
        <f t="shared" ref="AG181" si="188">AG180*0.4+AG177*0.6</f>
        <v>5.8269422732346587E-2</v>
      </c>
      <c r="AH181" s="1032">
        <f t="shared" ref="AH181" si="189">AH180*0.4+AH177*0.6</f>
        <v>5.5572264280091453E-2</v>
      </c>
      <c r="AI181" s="1032">
        <f t="shared" ref="AI181:AJ181" si="190">AI180*0.4+AI177*0.6</f>
        <v>5.3113849317312709E-2</v>
      </c>
      <c r="AJ181" s="1032">
        <f t="shared" si="190"/>
        <v>5.0863789973843464E-2</v>
      </c>
      <c r="AK181" s="1032">
        <f t="shared" ref="AK181" si="191">AK180*0.4+AK177*0.6</f>
        <v>4.8796653124712507E-2</v>
      </c>
      <c r="AL181" s="1032">
        <f t="shared" ref="AL181" si="192">AL180*0.4+AL177*0.6</f>
        <v>4.6890988326854226E-2</v>
      </c>
      <c r="AM181" s="1032">
        <f t="shared" ref="AM181" si="193">AM180*0.4+AM177*0.6</f>
        <v>4.5128576408968522E-2</v>
      </c>
      <c r="AN181" s="1032">
        <f t="shared" ref="AN181" si="194">AN180*0.4+AN177*0.6</f>
        <v>4.3493842290789606E-2</v>
      </c>
      <c r="AO181" s="1032">
        <f t="shared" ref="AO181" si="195">AO180*0.4+AO177*0.6</f>
        <v>4.197339155021549E-2</v>
      </c>
      <c r="AP181" s="1032">
        <f t="shared" ref="AP181" si="196">AP180*0.4+AP177*0.6</f>
        <v>4.0555641294144656E-2</v>
      </c>
      <c r="AQ181" s="1032">
        <f t="shared" ref="AQ181:AR181" si="197">AQ180*0.4+AQ177*0.6</f>
        <v>3.9230523646021392E-2</v>
      </c>
      <c r="AR181" s="1032">
        <f t="shared" si="197"/>
        <v>3.7989245690461401E-2</v>
      </c>
    </row>
    <row r="182" spans="2:44">
      <c r="B182" s="959" t="s">
        <v>948</v>
      </c>
      <c r="C182" s="918">
        <v>0.46279005574378818</v>
      </c>
      <c r="D182" s="918">
        <v>0.57833486635929965</v>
      </c>
      <c r="E182" s="918">
        <v>-0.11721681597884008</v>
      </c>
      <c r="F182" s="918">
        <v>0.62987402801571812</v>
      </c>
      <c r="G182" s="918">
        <v>1</v>
      </c>
      <c r="H182" s="1037" t="s">
        <v>1070</v>
      </c>
      <c r="I182" s="1011"/>
      <c r="J182" s="1011"/>
      <c r="K182" s="1011"/>
      <c r="L182" s="1011"/>
      <c r="M182" s="1011"/>
      <c r="S182" s="551">
        <f t="shared" ref="S182:AC182" si="198">IF(S180&lt;S177,S180,S177*0.2+0.8*S180)</f>
        <v>-0.41902792729934291</v>
      </c>
      <c r="T182" s="248">
        <f t="shared" si="198"/>
        <v>8.9415939750448814E-2</v>
      </c>
      <c r="U182" s="248">
        <f t="shared" si="198"/>
        <v>8.5178248439666149E-2</v>
      </c>
      <c r="V182" s="248">
        <f t="shared" si="198"/>
        <v>6.840822667517954E-2</v>
      </c>
      <c r="W182" s="248">
        <f t="shared" si="198"/>
        <v>5.6118504282938408E-2</v>
      </c>
      <c r="X182" s="248">
        <f t="shared" si="198"/>
        <v>4.6849025394519295E-2</v>
      </c>
      <c r="Y182" s="248">
        <f t="shared" si="198"/>
        <v>3.968845750345773E-2</v>
      </c>
      <c r="Z182" s="248">
        <f t="shared" si="198"/>
        <v>2.9391705080906938E-2</v>
      </c>
      <c r="AA182" s="248">
        <f t="shared" si="198"/>
        <v>1.8091081812855236E-2</v>
      </c>
      <c r="AB182" s="248">
        <f t="shared" si="198"/>
        <v>1.5681907316598576E-2</v>
      </c>
      <c r="AC182" s="248">
        <f t="shared" si="198"/>
        <v>1.3719344756134566E-2</v>
      </c>
    </row>
    <row r="183" spans="2:44">
      <c r="B183" s="939"/>
      <c r="H183" s="456"/>
      <c r="O183" s="1051" t="s">
        <v>1071</v>
      </c>
      <c r="P183" s="1052">
        <v>0</v>
      </c>
    </row>
    <row r="184" spans="2:44">
      <c r="B184" s="958"/>
      <c r="C184" s="919" t="s">
        <v>949</v>
      </c>
      <c r="D184" s="919" t="s">
        <v>887</v>
      </c>
      <c r="E184" s="919" t="s">
        <v>889</v>
      </c>
      <c r="H184" s="1038" t="s">
        <v>1072</v>
      </c>
      <c r="O184" s="1051" t="s">
        <v>1073</v>
      </c>
      <c r="P184" s="1052">
        <v>0</v>
      </c>
    </row>
    <row r="185" spans="2:44">
      <c r="B185" s="476" t="s">
        <v>949</v>
      </c>
      <c r="C185">
        <v>1</v>
      </c>
      <c r="D185"/>
      <c r="E185"/>
      <c r="H185" s="1038" t="s">
        <v>1074</v>
      </c>
      <c r="S185" s="1023"/>
    </row>
    <row r="186" spans="2:44">
      <c r="B186" s="476" t="s">
        <v>887</v>
      </c>
      <c r="C186">
        <v>0.97033824954241343</v>
      </c>
      <c r="D186">
        <v>1</v>
      </c>
      <c r="E186"/>
      <c r="S186" s="1023"/>
    </row>
    <row r="187" spans="2:44" ht="14.1">
      <c r="B187" s="959" t="s">
        <v>889</v>
      </c>
      <c r="C187" s="918">
        <v>-0.82670246257523927</v>
      </c>
      <c r="D187" s="918">
        <v>-0.80372538230705759</v>
      </c>
      <c r="E187" s="918">
        <v>1</v>
      </c>
      <c r="O187" s="1041"/>
      <c r="P187" s="1041"/>
      <c r="Q187" s="1041"/>
    </row>
    <row r="188" spans="2:44" ht="14.1">
      <c r="B188" s="765"/>
      <c r="C188" s="766"/>
      <c r="O188" s="1041"/>
      <c r="P188" s="1041"/>
      <c r="Q188" s="1042" t="s">
        <v>1075</v>
      </c>
    </row>
    <row r="189" spans="2:44" ht="14.1">
      <c r="B189" s="1004"/>
      <c r="C189" s="995"/>
      <c r="D189" s="996"/>
      <c r="E189" s="996"/>
      <c r="O189" s="1042" t="s">
        <v>1076</v>
      </c>
      <c r="P189" s="1043">
        <f>DR169/K169</f>
        <v>32.354282442623202</v>
      </c>
      <c r="Q189" s="1044">
        <f>DR169</f>
        <v>14355303.93124993</v>
      </c>
      <c r="R189" s="551"/>
    </row>
    <row r="190" spans="2:44" ht="15" thickBot="1">
      <c r="B190" s="765"/>
      <c r="C190" s="766"/>
      <c r="O190" s="1042" t="s">
        <v>1077</v>
      </c>
      <c r="P190" s="1045">
        <v>22</v>
      </c>
      <c r="Q190" s="1044">
        <f>K169*22</f>
        <v>9761202</v>
      </c>
      <c r="R190" s="551"/>
    </row>
    <row r="191" spans="2:44">
      <c r="B191" s="919"/>
      <c r="C191" s="919" t="s">
        <v>1078</v>
      </c>
      <c r="D191" s="919" t="s">
        <v>135</v>
      </c>
    </row>
    <row r="192" spans="2:44">
      <c r="B192" t="str">
        <f>C191</f>
        <v>BEV Sales</v>
      </c>
      <c r="C192">
        <v>1</v>
      </c>
      <c r="D192"/>
      <c r="E192" s="1039" t="s">
        <v>1079</v>
      </c>
      <c r="F192" s="1040"/>
    </row>
    <row r="193" spans="2:5" ht="14.1" thickBot="1">
      <c r="B193" s="918" t="str">
        <f>D191</f>
        <v>Net Sales</v>
      </c>
      <c r="C193" s="918">
        <v>0.94029192193250277</v>
      </c>
      <c r="D193" s="918">
        <v>1</v>
      </c>
    </row>
    <row r="194" spans="2:5">
      <c r="B194" s="1004"/>
      <c r="C194" s="995"/>
      <c r="D194" s="996"/>
      <c r="E194" s="996"/>
    </row>
    <row r="195" spans="2:5">
      <c r="B195" s="1004"/>
      <c r="C195" s="995"/>
      <c r="D195" s="996"/>
      <c r="E195" s="996"/>
    </row>
    <row r="196" spans="2:5">
      <c r="B196" s="1005"/>
      <c r="C196" s="1006"/>
      <c r="D196" s="1007"/>
      <c r="E196" s="1007"/>
    </row>
    <row r="197" spans="2:5">
      <c r="B197" s="1008"/>
      <c r="C197" s="1009"/>
      <c r="D197" s="1010"/>
      <c r="E197" s="1010"/>
    </row>
    <row r="203" spans="2:5">
      <c r="B203" s="765"/>
      <c r="C203" s="766"/>
    </row>
    <row r="204" spans="2:5">
      <c r="B204" s="765"/>
      <c r="C204" s="766"/>
    </row>
    <row r="205" spans="2:5">
      <c r="B205" s="765"/>
      <c r="C205" s="766"/>
    </row>
    <row r="206" spans="2:5">
      <c r="B206" s="765"/>
      <c r="C206" s="766"/>
    </row>
    <row r="207" spans="2:5">
      <c r="B207" s="765"/>
      <c r="C207" s="766"/>
    </row>
    <row r="208" spans="2:5">
      <c r="B208" s="765"/>
      <c r="C208" s="766"/>
    </row>
    <row r="209" spans="2:5">
      <c r="B209" s="765"/>
      <c r="C209" s="766"/>
    </row>
    <row r="210" spans="2:5">
      <c r="B210" s="765"/>
      <c r="C210" s="1003"/>
      <c r="D210" s="976"/>
      <c r="E210" s="976"/>
    </row>
    <row r="211" spans="2:5">
      <c r="B211" s="765"/>
      <c r="C211" s="766"/>
    </row>
    <row r="212" spans="2:5">
      <c r="B212" s="765"/>
      <c r="C212" s="766"/>
    </row>
    <row r="213" spans="2:5">
      <c r="B213" s="765"/>
      <c r="C213" s="766"/>
    </row>
    <row r="214" spans="2:5" ht="14.1" outlineLevel="1" thickBot="1">
      <c r="B214" s="977" t="s">
        <v>1080</v>
      </c>
      <c r="C214" s="978" t="s">
        <v>1081</v>
      </c>
      <c r="D214" s="978" t="s">
        <v>1082</v>
      </c>
    </row>
    <row r="215" spans="2:5" ht="14.1" outlineLevel="1" thickTop="1">
      <c r="B215" s="979">
        <v>39356</v>
      </c>
      <c r="C215" s="980" t="s">
        <v>1083</v>
      </c>
      <c r="D215" s="981">
        <v>1006712</v>
      </c>
    </row>
    <row r="216" spans="2:5" outlineLevel="1">
      <c r="B216" s="979">
        <v>39387</v>
      </c>
      <c r="C216" s="980" t="s">
        <v>1084</v>
      </c>
      <c r="D216" s="981">
        <v>1418148</v>
      </c>
    </row>
    <row r="217" spans="2:5" outlineLevel="1">
      <c r="B217" s="979">
        <v>39417</v>
      </c>
      <c r="C217" s="980" t="s">
        <v>1085</v>
      </c>
      <c r="D217" s="981">
        <v>589382</v>
      </c>
    </row>
    <row r="218" spans="2:5" outlineLevel="1">
      <c r="B218" s="979">
        <v>39448</v>
      </c>
      <c r="C218" s="980" t="s">
        <v>1086</v>
      </c>
      <c r="D218" s="981">
        <v>378927</v>
      </c>
    </row>
    <row r="219" spans="2:5" outlineLevel="1">
      <c r="B219" s="979">
        <v>39479</v>
      </c>
      <c r="C219" s="980" t="s">
        <v>1087</v>
      </c>
      <c r="D219" s="981">
        <v>268717</v>
      </c>
    </row>
    <row r="220" spans="2:5" outlineLevel="1">
      <c r="B220" s="979">
        <v>39508</v>
      </c>
      <c r="C220" s="980" t="s">
        <v>1088</v>
      </c>
      <c r="D220" s="981">
        <v>179696</v>
      </c>
    </row>
    <row r="221" spans="2:5" outlineLevel="1">
      <c r="B221" s="979">
        <v>39539</v>
      </c>
      <c r="C221" s="980" t="s">
        <v>1088</v>
      </c>
      <c r="D221" s="981">
        <v>0</v>
      </c>
    </row>
    <row r="222" spans="2:5" outlineLevel="1">
      <c r="B222" s="979">
        <v>39569</v>
      </c>
      <c r="C222" s="980" t="s">
        <v>1088</v>
      </c>
      <c r="D222" s="981">
        <v>0</v>
      </c>
    </row>
    <row r="223" spans="2:5" outlineLevel="1">
      <c r="B223" s="979">
        <v>39600</v>
      </c>
      <c r="C223" s="980" t="s">
        <v>1088</v>
      </c>
      <c r="D223" s="981">
        <v>0</v>
      </c>
    </row>
    <row r="224" spans="2:5" outlineLevel="1">
      <c r="B224" s="979">
        <v>39630</v>
      </c>
      <c r="C224" s="980" t="s">
        <v>1088</v>
      </c>
      <c r="D224" s="981">
        <v>0</v>
      </c>
    </row>
    <row r="225" spans="2:4" outlineLevel="1">
      <c r="B225" s="979">
        <v>39661</v>
      </c>
      <c r="C225" s="980" t="s">
        <v>1088</v>
      </c>
      <c r="D225" s="981">
        <v>0</v>
      </c>
    </row>
    <row r="226" spans="2:4" outlineLevel="1">
      <c r="B226" s="979">
        <v>39692</v>
      </c>
      <c r="C226" s="980" t="s">
        <v>1088</v>
      </c>
      <c r="D226" s="981">
        <v>0</v>
      </c>
    </row>
    <row r="227" spans="2:4" outlineLevel="1">
      <c r="B227" s="979">
        <v>39722</v>
      </c>
      <c r="C227" s="980" t="s">
        <v>1088</v>
      </c>
      <c r="D227" s="981">
        <v>0</v>
      </c>
    </row>
    <row r="228" spans="2:4" outlineLevel="1">
      <c r="B228" s="979">
        <v>39753</v>
      </c>
      <c r="C228" s="980" t="s">
        <v>1088</v>
      </c>
      <c r="D228" s="981">
        <v>0</v>
      </c>
    </row>
    <row r="229" spans="2:4" outlineLevel="1">
      <c r="B229" s="979">
        <v>39783</v>
      </c>
      <c r="C229" s="980" t="s">
        <v>1088</v>
      </c>
      <c r="D229" s="981">
        <v>0</v>
      </c>
    </row>
    <row r="230" spans="2:4" outlineLevel="1">
      <c r="B230" s="979">
        <v>39814</v>
      </c>
      <c r="C230" s="980" t="s">
        <v>1088</v>
      </c>
      <c r="D230" s="981">
        <v>0</v>
      </c>
    </row>
    <row r="231" spans="2:4" outlineLevel="1">
      <c r="B231" s="979">
        <v>39845</v>
      </c>
      <c r="C231" s="980" t="s">
        <v>1088</v>
      </c>
      <c r="D231" s="981">
        <v>0</v>
      </c>
    </row>
    <row r="232" spans="2:4" outlineLevel="1">
      <c r="B232" s="979">
        <v>39873</v>
      </c>
      <c r="C232" s="980" t="s">
        <v>1088</v>
      </c>
      <c r="D232" s="981">
        <v>0</v>
      </c>
    </row>
    <row r="233" spans="2:4" outlineLevel="1">
      <c r="B233" s="979">
        <v>39904</v>
      </c>
      <c r="C233" s="980" t="s">
        <v>1088</v>
      </c>
      <c r="D233" s="981">
        <v>0</v>
      </c>
    </row>
    <row r="234" spans="2:4" outlineLevel="1">
      <c r="B234" s="979">
        <v>39934</v>
      </c>
      <c r="C234" s="980" t="s">
        <v>1088</v>
      </c>
      <c r="D234" s="981">
        <v>0</v>
      </c>
    </row>
    <row r="235" spans="2:4" outlineLevel="1">
      <c r="B235" s="979">
        <v>39965</v>
      </c>
      <c r="C235" s="980" t="s">
        <v>1088</v>
      </c>
      <c r="D235" s="981">
        <v>0</v>
      </c>
    </row>
    <row r="236" spans="2:4" outlineLevel="1">
      <c r="B236" s="979">
        <v>39995</v>
      </c>
      <c r="C236" s="980" t="s">
        <v>1088</v>
      </c>
      <c r="D236" s="981">
        <v>0</v>
      </c>
    </row>
    <row r="237" spans="2:4" outlineLevel="1">
      <c r="B237" s="979">
        <v>40026</v>
      </c>
      <c r="C237" s="980" t="s">
        <v>1088</v>
      </c>
      <c r="D237" s="981">
        <v>0</v>
      </c>
    </row>
    <row r="238" spans="2:4" outlineLevel="1">
      <c r="B238" s="979">
        <v>40057</v>
      </c>
      <c r="C238" s="980" t="s">
        <v>1088</v>
      </c>
      <c r="D238" s="981">
        <v>0</v>
      </c>
    </row>
    <row r="239" spans="2:4" outlineLevel="1">
      <c r="B239" s="979">
        <v>40087</v>
      </c>
      <c r="C239" s="980" t="s">
        <v>1088</v>
      </c>
      <c r="D239" s="981">
        <v>0</v>
      </c>
    </row>
    <row r="240" spans="2:4" outlineLevel="1">
      <c r="B240" s="979">
        <v>40118</v>
      </c>
      <c r="C240" s="980" t="s">
        <v>1088</v>
      </c>
      <c r="D240" s="981">
        <v>0</v>
      </c>
    </row>
    <row r="241" spans="2:4" outlineLevel="1">
      <c r="B241" s="979">
        <v>40148</v>
      </c>
      <c r="C241" s="980" t="s">
        <v>1088</v>
      </c>
      <c r="D241" s="981">
        <v>0</v>
      </c>
    </row>
    <row r="242" spans="2:4" outlineLevel="1">
      <c r="B242" s="979">
        <v>40179</v>
      </c>
      <c r="C242" s="980" t="s">
        <v>1088</v>
      </c>
      <c r="D242" s="981">
        <v>0</v>
      </c>
    </row>
    <row r="243" spans="2:4" outlineLevel="1">
      <c r="B243" s="979">
        <v>40210</v>
      </c>
      <c r="C243" s="980" t="s">
        <v>1088</v>
      </c>
      <c r="D243" s="981">
        <v>0</v>
      </c>
    </row>
    <row r="244" spans="2:4" outlineLevel="1">
      <c r="B244" s="979">
        <v>40238</v>
      </c>
      <c r="C244" s="980" t="s">
        <v>1088</v>
      </c>
      <c r="D244" s="981">
        <v>0</v>
      </c>
    </row>
    <row r="245" spans="2:4" outlineLevel="1">
      <c r="B245" s="979">
        <v>40269</v>
      </c>
      <c r="C245" s="980" t="s">
        <v>1088</v>
      </c>
      <c r="D245" s="981">
        <v>0</v>
      </c>
    </row>
    <row r="246" spans="2:4" outlineLevel="1">
      <c r="B246" s="979">
        <v>40299</v>
      </c>
      <c r="C246" s="980" t="s">
        <v>1088</v>
      </c>
      <c r="D246" s="981">
        <v>0</v>
      </c>
    </row>
    <row r="247" spans="2:4" outlineLevel="1">
      <c r="B247" s="979">
        <v>40330</v>
      </c>
      <c r="C247" s="980" t="s">
        <v>1089</v>
      </c>
      <c r="D247" s="981">
        <v>4103741</v>
      </c>
    </row>
    <row r="248" spans="2:4" outlineLevel="1">
      <c r="B248" s="979">
        <v>40360</v>
      </c>
      <c r="C248" s="980" t="s">
        <v>1090</v>
      </c>
      <c r="D248" s="981">
        <v>1390818</v>
      </c>
    </row>
    <row r="249" spans="2:4" outlineLevel="1">
      <c r="B249" s="979">
        <v>40391</v>
      </c>
      <c r="C249" s="980" t="s">
        <v>1091</v>
      </c>
      <c r="D249" s="981">
        <v>13417</v>
      </c>
    </row>
    <row r="250" spans="2:4" outlineLevel="1">
      <c r="B250" s="979">
        <v>40422</v>
      </c>
      <c r="C250" s="980" t="s">
        <v>1092</v>
      </c>
      <c r="D250" s="981">
        <v>3008856</v>
      </c>
    </row>
    <row r="251" spans="2:4" outlineLevel="1">
      <c r="B251" s="979">
        <v>40452</v>
      </c>
      <c r="C251" s="980" t="s">
        <v>1093</v>
      </c>
      <c r="D251" s="981">
        <v>3362456</v>
      </c>
    </row>
    <row r="252" spans="2:4" outlineLevel="1">
      <c r="B252" s="979">
        <v>40483</v>
      </c>
      <c r="C252" s="980" t="s">
        <v>1094</v>
      </c>
      <c r="D252" s="981">
        <v>999805</v>
      </c>
    </row>
    <row r="253" spans="2:4" outlineLevel="1">
      <c r="B253" s="979">
        <v>40513</v>
      </c>
      <c r="C253" s="980" t="s">
        <v>1095</v>
      </c>
      <c r="D253" s="981">
        <v>2518262</v>
      </c>
    </row>
    <row r="254" spans="2:4" outlineLevel="1">
      <c r="B254" s="979">
        <v>40544</v>
      </c>
      <c r="C254" s="980" t="s">
        <v>1096</v>
      </c>
      <c r="D254" s="981">
        <v>2522384</v>
      </c>
    </row>
    <row r="255" spans="2:4" outlineLevel="1">
      <c r="B255" s="979">
        <v>40575</v>
      </c>
      <c r="C255" s="980" t="s">
        <v>1097</v>
      </c>
      <c r="D255" s="981">
        <v>1190968</v>
      </c>
    </row>
    <row r="256" spans="2:4" outlineLevel="1">
      <c r="B256" s="979">
        <v>40603</v>
      </c>
      <c r="C256" s="980" t="s">
        <v>1098</v>
      </c>
      <c r="D256" s="981">
        <v>1134134</v>
      </c>
    </row>
    <row r="257" spans="2:4" outlineLevel="1">
      <c r="B257" s="979">
        <v>40634</v>
      </c>
      <c r="C257" s="980" t="s">
        <v>1099</v>
      </c>
      <c r="D257" s="981">
        <v>41862</v>
      </c>
    </row>
    <row r="258" spans="2:4" outlineLevel="1">
      <c r="B258" s="979">
        <v>40664</v>
      </c>
      <c r="C258" s="980" t="s">
        <v>1100</v>
      </c>
      <c r="D258" s="981">
        <v>3795230</v>
      </c>
    </row>
    <row r="259" spans="2:4" outlineLevel="1">
      <c r="B259" s="979">
        <v>40695</v>
      </c>
      <c r="C259" s="980" t="s">
        <v>1101</v>
      </c>
      <c r="D259" s="981">
        <v>1350481</v>
      </c>
    </row>
    <row r="260" spans="2:4" outlineLevel="1">
      <c r="B260" s="979">
        <v>40725</v>
      </c>
      <c r="C260" s="980" t="s">
        <v>1102</v>
      </c>
      <c r="D260" s="981">
        <v>161017</v>
      </c>
    </row>
    <row r="261" spans="2:4" outlineLevel="1">
      <c r="B261" s="979">
        <v>40756</v>
      </c>
      <c r="C261" s="980" t="s">
        <v>1103</v>
      </c>
      <c r="D261" s="981">
        <v>85875</v>
      </c>
    </row>
    <row r="262" spans="2:4" outlineLevel="1">
      <c r="B262" s="979">
        <v>40787</v>
      </c>
      <c r="C262" s="980" t="s">
        <v>1104</v>
      </c>
      <c r="D262" s="981">
        <v>246895</v>
      </c>
    </row>
    <row r="263" spans="2:4" outlineLevel="1">
      <c r="B263" s="979">
        <v>40817</v>
      </c>
      <c r="C263" s="980" t="s">
        <v>1105</v>
      </c>
      <c r="D263" s="981">
        <v>324184</v>
      </c>
    </row>
    <row r="264" spans="2:4" outlineLevel="1">
      <c r="B264" s="979">
        <v>40848</v>
      </c>
      <c r="C264" s="980" t="s">
        <v>1106</v>
      </c>
      <c r="D264" s="981">
        <v>475542</v>
      </c>
    </row>
    <row r="265" spans="2:4" outlineLevel="1">
      <c r="B265" s="979">
        <v>40878</v>
      </c>
      <c r="C265" s="980" t="s">
        <v>1107</v>
      </c>
      <c r="D265" s="981">
        <v>148512</v>
      </c>
    </row>
    <row r="266" spans="2:4" outlineLevel="1">
      <c r="B266" s="979">
        <v>40909</v>
      </c>
      <c r="C266" s="980" t="s">
        <v>1107</v>
      </c>
      <c r="D266" s="981">
        <v>0</v>
      </c>
    </row>
    <row r="267" spans="2:4" outlineLevel="1">
      <c r="B267" s="979">
        <v>40940</v>
      </c>
      <c r="C267" s="980" t="s">
        <v>1108</v>
      </c>
      <c r="D267" s="981">
        <v>1124450</v>
      </c>
    </row>
    <row r="268" spans="2:4" outlineLevel="1">
      <c r="B268" s="979">
        <v>40969</v>
      </c>
      <c r="C268" s="980" t="s">
        <v>1106</v>
      </c>
      <c r="D268" s="981">
        <v>487352</v>
      </c>
    </row>
    <row r="269" spans="2:4" outlineLevel="1">
      <c r="B269" s="979">
        <v>41000</v>
      </c>
      <c r="C269" s="980" t="s">
        <v>1109</v>
      </c>
      <c r="D269" s="981">
        <v>97469</v>
      </c>
    </row>
    <row r="270" spans="2:4" outlineLevel="1">
      <c r="B270" s="979">
        <v>41030</v>
      </c>
      <c r="C270" s="980" t="s">
        <v>1109</v>
      </c>
      <c r="D270" s="981">
        <v>68416</v>
      </c>
    </row>
    <row r="271" spans="2:4" outlineLevel="1">
      <c r="B271" s="979">
        <v>41061</v>
      </c>
      <c r="C271" s="980" t="s">
        <v>1110</v>
      </c>
      <c r="D271" s="981">
        <v>640941</v>
      </c>
    </row>
    <row r="272" spans="2:4" outlineLevel="1">
      <c r="B272" s="979">
        <v>41091</v>
      </c>
      <c r="C272" s="980" t="s">
        <v>1111</v>
      </c>
      <c r="D272" s="981">
        <v>162155</v>
      </c>
    </row>
    <row r="273" spans="2:4" outlineLevel="1">
      <c r="B273" s="979">
        <v>41122</v>
      </c>
      <c r="C273" s="980" t="s">
        <v>1112</v>
      </c>
      <c r="D273" s="981">
        <v>280536</v>
      </c>
    </row>
    <row r="274" spans="2:4" outlineLevel="1">
      <c r="B274" s="979">
        <v>41153</v>
      </c>
      <c r="C274" s="980" t="s">
        <v>1113</v>
      </c>
      <c r="D274" s="981">
        <v>279100</v>
      </c>
    </row>
    <row r="275" spans="2:4" outlineLevel="1">
      <c r="B275" s="979">
        <v>41183</v>
      </c>
      <c r="C275" s="980" t="s">
        <v>1106</v>
      </c>
      <c r="D275" s="981">
        <v>396501</v>
      </c>
    </row>
    <row r="276" spans="2:4" outlineLevel="1">
      <c r="B276" s="979">
        <v>41214</v>
      </c>
      <c r="C276" s="980" t="s">
        <v>1103</v>
      </c>
      <c r="D276" s="981">
        <v>254828</v>
      </c>
    </row>
    <row r="277" spans="2:4" outlineLevel="1">
      <c r="B277" s="979">
        <v>41244</v>
      </c>
      <c r="C277" s="980" t="s">
        <v>1114</v>
      </c>
      <c r="D277" s="981">
        <v>167168</v>
      </c>
    </row>
    <row r="278" spans="2:4" outlineLevel="1">
      <c r="B278" s="979">
        <v>41275</v>
      </c>
      <c r="C278" s="980" t="s">
        <v>1114</v>
      </c>
      <c r="D278" s="981">
        <v>107346</v>
      </c>
    </row>
    <row r="279" spans="2:4" outlineLevel="1">
      <c r="B279" s="979">
        <v>41306</v>
      </c>
      <c r="C279" s="980" t="s">
        <v>1109</v>
      </c>
      <c r="D279" s="981">
        <v>38525</v>
      </c>
    </row>
    <row r="280" spans="2:4" outlineLevel="1">
      <c r="B280" s="979">
        <v>41334</v>
      </c>
      <c r="C280" s="980" t="s">
        <v>1109</v>
      </c>
      <c r="D280" s="981">
        <v>399864</v>
      </c>
    </row>
    <row r="281" spans="2:4" outlineLevel="1">
      <c r="B281" s="979">
        <v>41365</v>
      </c>
      <c r="C281" s="980" t="s">
        <v>1115</v>
      </c>
      <c r="D281" s="981">
        <v>1854115</v>
      </c>
    </row>
    <row r="282" spans="2:4" outlineLevel="1">
      <c r="B282" s="979">
        <v>41395</v>
      </c>
      <c r="C282" s="980" t="s">
        <v>1116</v>
      </c>
      <c r="D282" s="981">
        <v>348875</v>
      </c>
    </row>
    <row r="283" spans="2:4" outlineLevel="1">
      <c r="B283" s="979">
        <v>41426</v>
      </c>
      <c r="C283" s="980" t="s">
        <v>1117</v>
      </c>
      <c r="D283" s="981">
        <v>481881</v>
      </c>
    </row>
    <row r="284" spans="2:4" outlineLevel="1">
      <c r="B284" s="979">
        <v>41456</v>
      </c>
      <c r="C284" s="980" t="s">
        <v>1117</v>
      </c>
      <c r="D284" s="981">
        <v>1213003</v>
      </c>
    </row>
    <row r="285" spans="2:4" outlineLevel="1">
      <c r="B285" s="979">
        <v>41487</v>
      </c>
      <c r="C285" s="980" t="s">
        <v>1110</v>
      </c>
      <c r="D285" s="981">
        <v>136572</v>
      </c>
    </row>
    <row r="286" spans="2:4" outlineLevel="1">
      <c r="B286" s="979">
        <v>41518</v>
      </c>
      <c r="C286" s="980" t="s">
        <v>1110</v>
      </c>
      <c r="D286" s="981">
        <v>1073465</v>
      </c>
    </row>
    <row r="287" spans="2:4" outlineLevel="1">
      <c r="B287" s="979">
        <v>41548</v>
      </c>
      <c r="C287" s="980" t="s">
        <v>1112</v>
      </c>
      <c r="D287" s="981">
        <v>11676083</v>
      </c>
    </row>
    <row r="288" spans="2:4" outlineLevel="1">
      <c r="B288" s="979">
        <v>41579</v>
      </c>
      <c r="C288" s="980" t="s">
        <v>1118</v>
      </c>
      <c r="D288" s="981">
        <v>8377554</v>
      </c>
    </row>
    <row r="289" spans="2:4" outlineLevel="1">
      <c r="B289" s="979">
        <v>41609</v>
      </c>
      <c r="C289" s="980" t="s">
        <v>1117</v>
      </c>
      <c r="D289" s="981">
        <v>3668030</v>
      </c>
    </row>
    <row r="290" spans="2:4" outlineLevel="1">
      <c r="B290" s="979">
        <v>41640</v>
      </c>
      <c r="C290" s="980" t="s">
        <v>1117</v>
      </c>
      <c r="D290" s="981">
        <v>822989</v>
      </c>
    </row>
    <row r="291" spans="2:4" outlineLevel="1">
      <c r="B291" s="979">
        <v>41671</v>
      </c>
      <c r="C291" s="980" t="s">
        <v>1118</v>
      </c>
      <c r="D291" s="981">
        <v>6671000</v>
      </c>
    </row>
    <row r="292" spans="2:4" outlineLevel="1">
      <c r="B292" s="979">
        <v>41699</v>
      </c>
      <c r="C292" s="980" t="s">
        <v>1110</v>
      </c>
      <c r="D292" s="981">
        <v>1082600</v>
      </c>
    </row>
    <row r="293" spans="2:4" outlineLevel="1">
      <c r="B293" s="979">
        <v>41730</v>
      </c>
      <c r="C293" s="980" t="s">
        <v>1109</v>
      </c>
      <c r="D293" s="981">
        <v>4284995</v>
      </c>
    </row>
    <row r="294" spans="2:4" outlineLevel="1">
      <c r="B294" s="979">
        <v>41760</v>
      </c>
      <c r="C294" s="980" t="s">
        <v>1118</v>
      </c>
      <c r="D294" s="981">
        <v>3716467</v>
      </c>
    </row>
    <row r="295" spans="2:4" outlineLevel="1">
      <c r="B295" s="979">
        <v>41791</v>
      </c>
      <c r="C295" s="980" t="s">
        <v>1119</v>
      </c>
      <c r="D295" s="981">
        <v>31739056</v>
      </c>
    </row>
    <row r="296" spans="2:4" outlineLevel="1">
      <c r="B296" s="979">
        <v>41821</v>
      </c>
      <c r="C296" s="980" t="s">
        <v>1116</v>
      </c>
      <c r="D296" s="981">
        <v>57998156</v>
      </c>
    </row>
    <row r="297" spans="2:4" outlineLevel="1">
      <c r="B297" s="979">
        <v>41852</v>
      </c>
      <c r="C297" s="980" t="s">
        <v>1120</v>
      </c>
      <c r="D297" s="981">
        <v>50739205</v>
      </c>
    </row>
    <row r="298" spans="2:4" outlineLevel="1">
      <c r="B298" s="979">
        <v>41883</v>
      </c>
      <c r="C298" s="980" t="s">
        <v>1105</v>
      </c>
      <c r="D298" s="981">
        <v>99021224</v>
      </c>
    </row>
    <row r="299" spans="2:4" outlineLevel="1">
      <c r="B299" s="979">
        <v>41913</v>
      </c>
      <c r="C299" s="980" t="s">
        <v>1104</v>
      </c>
      <c r="D299" s="981">
        <v>226090264</v>
      </c>
    </row>
    <row r="300" spans="2:4" outlineLevel="1">
      <c r="B300" s="979">
        <v>41944</v>
      </c>
      <c r="C300" s="980" t="s">
        <v>1121</v>
      </c>
      <c r="D300" s="981">
        <v>49732887</v>
      </c>
    </row>
    <row r="301" spans="2:4" outlineLevel="1">
      <c r="B301" s="979">
        <v>41974</v>
      </c>
      <c r="C301" s="980" t="s">
        <v>1122</v>
      </c>
      <c r="D301" s="981">
        <v>30137749</v>
      </c>
    </row>
    <row r="302" spans="2:4" outlineLevel="1">
      <c r="B302" s="979">
        <v>42005</v>
      </c>
      <c r="C302" s="980" t="s">
        <v>1103</v>
      </c>
      <c r="D302" s="981">
        <v>31367278</v>
      </c>
    </row>
    <row r="303" spans="2:4" outlineLevel="1">
      <c r="B303" s="979">
        <v>42036</v>
      </c>
      <c r="C303" s="980" t="s">
        <v>1102</v>
      </c>
      <c r="D303" s="981">
        <v>26434388</v>
      </c>
    </row>
    <row r="304" spans="2:4" outlineLevel="1">
      <c r="B304" s="979">
        <v>42064</v>
      </c>
      <c r="C304" s="980" t="s">
        <v>1105</v>
      </c>
      <c r="D304" s="981">
        <v>28110269</v>
      </c>
    </row>
    <row r="305" spans="2:4" outlineLevel="1">
      <c r="B305" s="979">
        <v>42095</v>
      </c>
      <c r="C305" s="980" t="s">
        <v>1123</v>
      </c>
      <c r="D305" s="981">
        <v>34442023</v>
      </c>
    </row>
    <row r="306" spans="2:4" outlineLevel="1">
      <c r="B306" s="979">
        <v>42125</v>
      </c>
      <c r="C306" s="980" t="s">
        <v>1124</v>
      </c>
      <c r="D306" s="981">
        <v>56757953</v>
      </c>
    </row>
    <row r="307" spans="2:4" outlineLevel="1">
      <c r="B307" s="979">
        <v>42156</v>
      </c>
      <c r="C307" s="980" t="s">
        <v>1125</v>
      </c>
      <c r="D307" s="981">
        <v>235159085</v>
      </c>
    </row>
    <row r="308" spans="2:4" outlineLevel="1">
      <c r="B308" s="979">
        <v>42186</v>
      </c>
      <c r="C308" s="980" t="s">
        <v>1126</v>
      </c>
      <c r="D308" s="981">
        <v>92216151</v>
      </c>
    </row>
    <row r="309" spans="2:4" outlineLevel="1">
      <c r="B309" s="979">
        <v>42217</v>
      </c>
      <c r="C309" s="980" t="s">
        <v>1127</v>
      </c>
      <c r="D309" s="981">
        <v>56261557</v>
      </c>
    </row>
    <row r="310" spans="2:4" outlineLevel="1">
      <c r="B310" s="979">
        <v>42248</v>
      </c>
      <c r="C310" s="980" t="s">
        <v>1128</v>
      </c>
      <c r="D310" s="981">
        <v>151281763</v>
      </c>
    </row>
    <row r="311" spans="2:4" outlineLevel="1">
      <c r="B311" s="979">
        <v>42278</v>
      </c>
      <c r="C311" s="980" t="s">
        <v>1129</v>
      </c>
      <c r="D311" s="981">
        <v>146648614</v>
      </c>
    </row>
    <row r="312" spans="2:4" outlineLevel="1">
      <c r="B312" s="979">
        <v>42309</v>
      </c>
      <c r="C312" s="980" t="s">
        <v>1130</v>
      </c>
      <c r="D312" s="981">
        <v>64882136</v>
      </c>
    </row>
    <row r="313" spans="2:4" outlineLevel="1">
      <c r="B313" s="979">
        <v>42339</v>
      </c>
      <c r="C313" s="980" t="s">
        <v>1131</v>
      </c>
      <c r="D313" s="981">
        <v>92756272</v>
      </c>
    </row>
    <row r="314" spans="2:4" outlineLevel="1">
      <c r="B314" s="979">
        <v>42370</v>
      </c>
      <c r="C314" s="980" t="s">
        <v>1084</v>
      </c>
      <c r="D314" s="981">
        <v>82818244</v>
      </c>
    </row>
    <row r="315" spans="2:4" outlineLevel="1">
      <c r="B315" s="979">
        <v>42401</v>
      </c>
      <c r="C315" s="980" t="s">
        <v>1132</v>
      </c>
      <c r="D315" s="981">
        <v>122686451</v>
      </c>
    </row>
    <row r="316" spans="2:4" outlineLevel="1">
      <c r="B316" s="979">
        <v>42430</v>
      </c>
      <c r="C316" s="980" t="s">
        <v>1133</v>
      </c>
      <c r="D316" s="981">
        <v>166980487</v>
      </c>
    </row>
    <row r="317" spans="2:4" outlineLevel="1">
      <c r="B317" s="979">
        <v>42461</v>
      </c>
      <c r="C317" s="980" t="s">
        <v>1134</v>
      </c>
      <c r="D317" s="981">
        <v>228113014</v>
      </c>
    </row>
    <row r="318" spans="2:4" outlineLevel="1">
      <c r="B318" s="979">
        <v>42491</v>
      </c>
      <c r="C318" s="980" t="s">
        <v>1135</v>
      </c>
      <c r="D318" s="981">
        <v>261826249</v>
      </c>
    </row>
    <row r="319" spans="2:4" outlineLevel="1">
      <c r="B319" s="979">
        <v>42522</v>
      </c>
      <c r="C319" s="980" t="s">
        <v>1136</v>
      </c>
      <c r="D319" s="981">
        <v>230611983</v>
      </c>
    </row>
    <row r="320" spans="2:4" outlineLevel="1">
      <c r="B320" s="979">
        <v>42552</v>
      </c>
      <c r="C320" s="980" t="s">
        <v>1137</v>
      </c>
      <c r="D320" s="981">
        <v>229962609</v>
      </c>
    </row>
    <row r="321" spans="2:4" outlineLevel="1">
      <c r="B321" s="979">
        <v>42583</v>
      </c>
      <c r="C321" s="980" t="s">
        <v>1138</v>
      </c>
      <c r="D321" s="981">
        <v>165557544</v>
      </c>
    </row>
    <row r="322" spans="2:4" outlineLevel="1">
      <c r="B322" s="979">
        <v>42614</v>
      </c>
      <c r="C322" s="980" t="s">
        <v>1139</v>
      </c>
      <c r="D322" s="981">
        <v>190907090</v>
      </c>
    </row>
    <row r="323" spans="2:4" outlineLevel="1">
      <c r="B323" s="979">
        <v>42644</v>
      </c>
      <c r="C323" s="980" t="s">
        <v>1140</v>
      </c>
      <c r="D323" s="981">
        <v>132413417</v>
      </c>
    </row>
    <row r="324" spans="2:4" outlineLevel="1">
      <c r="B324" s="979">
        <v>42675</v>
      </c>
      <c r="C324" s="980" t="s">
        <v>1137</v>
      </c>
      <c r="D324" s="981">
        <v>118274942</v>
      </c>
    </row>
    <row r="325" spans="2:4" outlineLevel="1">
      <c r="B325" s="979">
        <v>42705</v>
      </c>
      <c r="C325" s="980" t="s">
        <v>1141</v>
      </c>
      <c r="D325" s="981">
        <v>124665776</v>
      </c>
    </row>
    <row r="326" spans="2:4" outlineLevel="1">
      <c r="B326" s="979">
        <v>42736</v>
      </c>
      <c r="C326" s="980" t="s">
        <v>1142</v>
      </c>
      <c r="D326" s="981">
        <v>109606601</v>
      </c>
    </row>
    <row r="327" spans="2:4" outlineLevel="1">
      <c r="B327" s="979">
        <v>42767</v>
      </c>
      <c r="C327" s="980" t="s">
        <v>1143</v>
      </c>
      <c r="D327" s="981">
        <v>91449283</v>
      </c>
    </row>
    <row r="328" spans="2:4" outlineLevel="1">
      <c r="B328" s="979">
        <v>42795</v>
      </c>
      <c r="C328" s="980" t="s">
        <v>1144</v>
      </c>
      <c r="D328" s="981">
        <v>95296423</v>
      </c>
    </row>
    <row r="329" spans="2:4" outlineLevel="1">
      <c r="B329" s="979">
        <v>42826</v>
      </c>
      <c r="C329" s="980" t="s">
        <v>1145</v>
      </c>
      <c r="D329" s="981">
        <v>150736251</v>
      </c>
    </row>
    <row r="330" spans="2:4" outlineLevel="1">
      <c r="B330" s="979">
        <v>42856</v>
      </c>
      <c r="C330" s="980" t="s">
        <v>1146</v>
      </c>
      <c r="D330" s="981">
        <v>180041553</v>
      </c>
    </row>
    <row r="331" spans="2:4" outlineLevel="1">
      <c r="B331" s="979">
        <v>42887</v>
      </c>
      <c r="C331" s="980" t="s">
        <v>1147</v>
      </c>
      <c r="D331" s="981">
        <v>94882969</v>
      </c>
    </row>
    <row r="332" spans="2:4" outlineLevel="1">
      <c r="B332" s="979">
        <v>42917</v>
      </c>
      <c r="C332" s="980" t="s">
        <v>1148</v>
      </c>
      <c r="D332" s="981">
        <v>83520297</v>
      </c>
    </row>
    <row r="333" spans="2:4" outlineLevel="1">
      <c r="B333" s="979">
        <v>42948</v>
      </c>
      <c r="C333" s="980" t="s">
        <v>1149</v>
      </c>
      <c r="D333" s="981">
        <v>110703911</v>
      </c>
    </row>
    <row r="334" spans="2:4" outlineLevel="1">
      <c r="B334" s="979">
        <v>42979</v>
      </c>
      <c r="C334" s="980" t="s">
        <v>1150</v>
      </c>
      <c r="D334" s="981">
        <v>293867185</v>
      </c>
    </row>
    <row r="335" spans="2:4" outlineLevel="1">
      <c r="B335" s="979">
        <v>43009</v>
      </c>
      <c r="C335" s="980" t="s">
        <v>1151</v>
      </c>
      <c r="D335" s="981">
        <v>334739900</v>
      </c>
    </row>
    <row r="336" spans="2:4" outlineLevel="1">
      <c r="B336" s="979">
        <v>43040</v>
      </c>
      <c r="C336" s="980" t="s">
        <v>1152</v>
      </c>
      <c r="D336" s="981">
        <v>298960627</v>
      </c>
    </row>
    <row r="337" spans="2:4" outlineLevel="1">
      <c r="B337" s="979">
        <v>43070</v>
      </c>
      <c r="C337" s="980" t="s">
        <v>1153</v>
      </c>
      <c r="D337" s="981">
        <v>339254054</v>
      </c>
    </row>
    <row r="338" spans="2:4" outlineLevel="1">
      <c r="B338" s="979">
        <v>43101</v>
      </c>
      <c r="C338" s="980" t="s">
        <v>1154</v>
      </c>
      <c r="D338" s="981">
        <v>304860331</v>
      </c>
    </row>
    <row r="339" spans="2:4" outlineLevel="1">
      <c r="B339" s="979">
        <v>43132</v>
      </c>
      <c r="C339" s="980" t="s">
        <v>1155</v>
      </c>
      <c r="D339" s="981">
        <v>317765798</v>
      </c>
    </row>
    <row r="340" spans="2:4" outlineLevel="1">
      <c r="B340" s="979">
        <v>43160</v>
      </c>
      <c r="C340" s="980" t="s">
        <v>1156</v>
      </c>
      <c r="D340" s="981">
        <v>185141364</v>
      </c>
    </row>
    <row r="341" spans="2:4" outlineLevel="1">
      <c r="B341" s="979">
        <v>43191</v>
      </c>
      <c r="C341" s="980" t="s">
        <v>1155</v>
      </c>
      <c r="D341" s="981">
        <v>127117892</v>
      </c>
    </row>
    <row r="342" spans="2:4" outlineLevel="1">
      <c r="B342" s="979">
        <v>43221</v>
      </c>
      <c r="C342" s="980" t="s">
        <v>1155</v>
      </c>
      <c r="D342" s="981">
        <v>120558926</v>
      </c>
    </row>
    <row r="343" spans="2:4" outlineLevel="1">
      <c r="B343" s="979">
        <v>43252</v>
      </c>
      <c r="C343" s="980" t="s">
        <v>1157</v>
      </c>
      <c r="D343" s="981">
        <v>87307895</v>
      </c>
    </row>
    <row r="344" spans="2:4" outlineLevel="1">
      <c r="B344" s="979">
        <v>43282</v>
      </c>
      <c r="C344" s="980" t="s">
        <v>1158</v>
      </c>
      <c r="D344" s="981">
        <v>186498048</v>
      </c>
    </row>
    <row r="345" spans="2:4" outlineLevel="1">
      <c r="B345" s="979">
        <v>43313</v>
      </c>
      <c r="C345" s="980" t="s">
        <v>1159</v>
      </c>
      <c r="D345" s="981">
        <v>134215660</v>
      </c>
    </row>
    <row r="346" spans="2:4" outlineLevel="1">
      <c r="B346" s="979">
        <v>43344</v>
      </c>
      <c r="C346" s="980" t="s">
        <v>1160</v>
      </c>
      <c r="D346" s="981">
        <v>161324147</v>
      </c>
    </row>
    <row r="347" spans="2:4" outlineLevel="1">
      <c r="B347" s="979">
        <v>43374</v>
      </c>
      <c r="C347" s="980" t="s">
        <v>1161</v>
      </c>
      <c r="D347" s="981">
        <v>124106581</v>
      </c>
    </row>
    <row r="348" spans="2:4" outlineLevel="1">
      <c r="B348" s="979">
        <v>43405</v>
      </c>
      <c r="C348" s="980" t="s">
        <v>1162</v>
      </c>
      <c r="D348" s="981">
        <v>114821267</v>
      </c>
    </row>
    <row r="349" spans="2:4" outlineLevel="1">
      <c r="B349" s="979">
        <v>43435</v>
      </c>
      <c r="C349" s="980" t="s">
        <v>1163</v>
      </c>
      <c r="D349" s="981">
        <v>198056571</v>
      </c>
    </row>
    <row r="350" spans="2:4" outlineLevel="1">
      <c r="B350" s="979">
        <v>43466</v>
      </c>
      <c r="C350" s="980" t="s">
        <v>1135</v>
      </c>
      <c r="D350" s="981">
        <v>133487683</v>
      </c>
    </row>
    <row r="351" spans="2:4" outlineLevel="1">
      <c r="B351" s="979">
        <v>43497</v>
      </c>
      <c r="C351" s="980" t="s">
        <v>1164</v>
      </c>
      <c r="D351" s="981">
        <v>137265144</v>
      </c>
    </row>
    <row r="352" spans="2:4" outlineLevel="1">
      <c r="B352" s="979">
        <v>43525</v>
      </c>
      <c r="C352" s="980" t="s">
        <v>1165</v>
      </c>
      <c r="D352" s="981">
        <v>177396040</v>
      </c>
    </row>
    <row r="353" spans="2:4" outlineLevel="1">
      <c r="B353" s="979">
        <v>43556</v>
      </c>
      <c r="C353" s="980" t="s">
        <v>1166</v>
      </c>
      <c r="D353" s="981">
        <v>209506578</v>
      </c>
    </row>
    <row r="354" spans="2:4" outlineLevel="1">
      <c r="B354" s="979">
        <v>43586</v>
      </c>
      <c r="C354" s="980" t="s">
        <v>1167</v>
      </c>
      <c r="D354" s="981">
        <v>242408582</v>
      </c>
    </row>
    <row r="355" spans="2:4" outlineLevel="1">
      <c r="B355" s="979">
        <v>43617</v>
      </c>
      <c r="C355" s="980" t="s">
        <v>1137</v>
      </c>
      <c r="D355" s="981">
        <v>260156308</v>
      </c>
    </row>
    <row r="356" spans="2:4" outlineLevel="1">
      <c r="B356" s="979">
        <v>43647</v>
      </c>
      <c r="C356" s="980" t="s">
        <v>1168</v>
      </c>
      <c r="D356" s="981">
        <v>282983391</v>
      </c>
    </row>
    <row r="357" spans="2:4" outlineLevel="1">
      <c r="B357" s="979">
        <v>43678</v>
      </c>
      <c r="C357" s="980" t="s">
        <v>1169</v>
      </c>
      <c r="D357" s="981">
        <v>255906749</v>
      </c>
    </row>
    <row r="358" spans="2:4" outlineLevel="1">
      <c r="B358" s="979">
        <v>43709</v>
      </c>
      <c r="C358" s="980" t="s">
        <v>1131</v>
      </c>
      <c r="D358" s="981">
        <v>246948835</v>
      </c>
    </row>
    <row r="359" spans="2:4" outlineLevel="1">
      <c r="B359" s="979">
        <v>43739</v>
      </c>
      <c r="C359" s="980" t="s">
        <v>1170</v>
      </c>
      <c r="D359" s="981">
        <v>227429964</v>
      </c>
    </row>
    <row r="360" spans="2:4" outlineLevel="1">
      <c r="B360" s="979">
        <v>43770</v>
      </c>
      <c r="C360" s="980" t="s">
        <v>1085</v>
      </c>
      <c r="D360" s="981">
        <v>183794389</v>
      </c>
    </row>
    <row r="361" spans="2:4" outlineLevel="1">
      <c r="B361" s="979">
        <v>43800</v>
      </c>
      <c r="C361" s="980" t="s">
        <v>1171</v>
      </c>
      <c r="D361" s="981">
        <v>207360707</v>
      </c>
    </row>
    <row r="362" spans="2:4" outlineLevel="1">
      <c r="B362" s="979">
        <v>43831</v>
      </c>
      <c r="C362" s="980" t="s">
        <v>1129</v>
      </c>
      <c r="D362" s="981">
        <v>365862238</v>
      </c>
    </row>
    <row r="363" spans="2:4" outlineLevel="1">
      <c r="B363" s="979">
        <v>43862</v>
      </c>
      <c r="C363" s="980" t="s">
        <v>1172</v>
      </c>
      <c r="D363" s="981">
        <v>292848176</v>
      </c>
    </row>
    <row r="364" spans="2:4" outlineLevel="1">
      <c r="B364" s="979">
        <v>43891</v>
      </c>
      <c r="C364" s="980" t="s">
        <v>1173</v>
      </c>
      <c r="D364" s="981">
        <v>426319026</v>
      </c>
    </row>
    <row r="365" spans="2:4" outlineLevel="1">
      <c r="B365" s="979">
        <v>43922</v>
      </c>
      <c r="C365" s="980" t="s">
        <v>1174</v>
      </c>
      <c r="D365" s="981">
        <v>253760897</v>
      </c>
    </row>
    <row r="366" spans="2:4" outlineLevel="1">
      <c r="B366" s="979">
        <v>43952</v>
      </c>
      <c r="C366" s="980" t="s">
        <v>1175</v>
      </c>
      <c r="D366" s="981">
        <v>239322135</v>
      </c>
    </row>
    <row r="367" spans="2:4" outlineLevel="1">
      <c r="B367" s="979">
        <v>43983</v>
      </c>
      <c r="C367" s="980" t="s">
        <v>1172</v>
      </c>
      <c r="D367" s="981">
        <v>496080292</v>
      </c>
    </row>
    <row r="368" spans="2:4" outlineLevel="1">
      <c r="B368" s="979">
        <v>44013</v>
      </c>
      <c r="C368" s="980" t="s">
        <v>1169</v>
      </c>
      <c r="D368" s="981">
        <v>277680331</v>
      </c>
    </row>
    <row r="369" spans="2:4" outlineLevel="1">
      <c r="B369" s="979">
        <v>44044</v>
      </c>
      <c r="C369" s="980" t="s">
        <v>1176</v>
      </c>
      <c r="D369" s="981">
        <v>283697136</v>
      </c>
    </row>
    <row r="370" spans="2:4" outlineLevel="1">
      <c r="B370" s="979">
        <v>44075</v>
      </c>
      <c r="C370" s="980" t="s">
        <v>1170</v>
      </c>
      <c r="D370" s="981">
        <v>261644838</v>
      </c>
    </row>
    <row r="371" spans="2:4" outlineLevel="1">
      <c r="B371" s="979">
        <v>44105</v>
      </c>
      <c r="C371" s="980" t="s">
        <v>1177</v>
      </c>
      <c r="D371" s="981">
        <v>273262097</v>
      </c>
    </row>
    <row r="372" spans="2:4" outlineLevel="1">
      <c r="B372" s="979">
        <v>44136</v>
      </c>
      <c r="C372" s="980" t="s">
        <v>1178</v>
      </c>
      <c r="D372" s="981">
        <v>437618184</v>
      </c>
    </row>
    <row r="373" spans="2:4" outlineLevel="1">
      <c r="B373" s="979">
        <v>44166</v>
      </c>
      <c r="C373" s="980" t="s">
        <v>1179</v>
      </c>
      <c r="D373" s="981">
        <v>432538613</v>
      </c>
    </row>
    <row r="374" spans="2:4" outlineLevel="1">
      <c r="B374" s="979">
        <v>44197</v>
      </c>
      <c r="C374" s="980" t="s">
        <v>1180</v>
      </c>
      <c r="D374" s="981">
        <v>620706241</v>
      </c>
    </row>
    <row r="375" spans="2:4" outlineLevel="1">
      <c r="B375" s="979">
        <v>44228</v>
      </c>
      <c r="C375" s="980" t="s">
        <v>1181</v>
      </c>
      <c r="D375" s="981">
        <v>433996533</v>
      </c>
    </row>
    <row r="376" spans="2:4" outlineLevel="1">
      <c r="B376" s="979">
        <v>44256</v>
      </c>
      <c r="C376" s="980" t="s">
        <v>1182</v>
      </c>
      <c r="D376" s="981">
        <v>499484400</v>
      </c>
    </row>
    <row r="377" spans="2:4" outlineLevel="1">
      <c r="B377" s="979">
        <v>44287</v>
      </c>
      <c r="C377" s="980" t="s">
        <v>1183</v>
      </c>
      <c r="D377" s="981">
        <v>409820253</v>
      </c>
    </row>
    <row r="378" spans="2:4" outlineLevel="1">
      <c r="B378" s="979">
        <v>44317</v>
      </c>
      <c r="C378" s="980" t="s">
        <v>1184</v>
      </c>
      <c r="D378" s="981">
        <v>406239372</v>
      </c>
    </row>
    <row r="379" spans="2:4" outlineLevel="1">
      <c r="B379" s="979">
        <v>44348</v>
      </c>
      <c r="C379" s="980" t="s">
        <v>1185</v>
      </c>
      <c r="D379" s="981">
        <v>366520088</v>
      </c>
    </row>
    <row r="380" spans="2:4" outlineLevel="1">
      <c r="B380" s="979">
        <v>44378</v>
      </c>
      <c r="C380" s="980" t="s">
        <v>1186</v>
      </c>
      <c r="D380" s="981">
        <v>263096008</v>
      </c>
    </row>
    <row r="381" spans="2:4" outlineLevel="1">
      <c r="B381" s="979">
        <v>44409</v>
      </c>
      <c r="C381" s="980" t="s">
        <v>1187</v>
      </c>
      <c r="D381" s="981">
        <v>594778933</v>
      </c>
    </row>
    <row r="382" spans="2:4" outlineLevel="1">
      <c r="B382" s="979">
        <v>44440</v>
      </c>
      <c r="C382" s="980" t="s">
        <v>1188</v>
      </c>
      <c r="D382" s="981">
        <v>735027115</v>
      </c>
    </row>
    <row r="383" spans="2:4" outlineLevel="1">
      <c r="B383" s="979">
        <v>44470</v>
      </c>
      <c r="C383" s="980" t="s">
        <v>1189</v>
      </c>
      <c r="D383" s="981">
        <v>493560255</v>
      </c>
    </row>
    <row r="384" spans="2:4" outlineLevel="1">
      <c r="B384" s="979">
        <v>44501</v>
      </c>
      <c r="C384" s="980" t="s">
        <v>1190</v>
      </c>
      <c r="D384" s="981">
        <v>476411103</v>
      </c>
    </row>
    <row r="385" spans="2:4" outlineLevel="1">
      <c r="B385" s="979">
        <v>44531</v>
      </c>
      <c r="C385" s="980" t="s">
        <v>1191</v>
      </c>
      <c r="D385" s="981">
        <v>434416851</v>
      </c>
    </row>
    <row r="386" spans="2:4" outlineLevel="1">
      <c r="B386" s="979">
        <v>44562</v>
      </c>
      <c r="C386" s="980" t="s">
        <v>1191</v>
      </c>
      <c r="D386" s="981">
        <v>517795803</v>
      </c>
    </row>
    <row r="387" spans="2:4" outlineLevel="1">
      <c r="B387" s="979">
        <v>44593</v>
      </c>
      <c r="C387" s="980" t="s">
        <v>1192</v>
      </c>
      <c r="D387" s="981">
        <v>481200408</v>
      </c>
    </row>
    <row r="388" spans="2:4" outlineLevel="1">
      <c r="B388" s="979">
        <v>44621</v>
      </c>
      <c r="C388" s="980" t="s">
        <v>1191</v>
      </c>
      <c r="D388" s="981">
        <v>487146441</v>
      </c>
    </row>
    <row r="389" spans="2:4" outlineLevel="1">
      <c r="B389" s="979">
        <v>44652</v>
      </c>
      <c r="C389" s="980" t="s">
        <v>1193</v>
      </c>
      <c r="D389" s="981">
        <v>436097037</v>
      </c>
    </row>
    <row r="390" spans="2:4" outlineLevel="1">
      <c r="B390" s="979">
        <v>44682</v>
      </c>
      <c r="C390" s="980" t="s">
        <v>1194</v>
      </c>
      <c r="D390" s="981">
        <v>574778607</v>
      </c>
    </row>
    <row r="391" spans="2:4" outlineLevel="1">
      <c r="B391" s="979">
        <v>44713</v>
      </c>
      <c r="C391" s="980" t="s">
        <v>1195</v>
      </c>
      <c r="D391" s="981">
        <v>753342087</v>
      </c>
    </row>
    <row r="392" spans="2:4" outlineLevel="1">
      <c r="B392" s="979">
        <v>44743</v>
      </c>
      <c r="C392" s="980" t="s">
        <v>1196</v>
      </c>
      <c r="D392" s="981">
        <v>368924872</v>
      </c>
    </row>
    <row r="393" spans="2:4" outlineLevel="1">
      <c r="B393" s="979">
        <v>44774</v>
      </c>
      <c r="C393" s="980" t="s">
        <v>1197</v>
      </c>
      <c r="D393" s="981">
        <v>632096661</v>
      </c>
    </row>
    <row r="394" spans="2:4" outlineLevel="1">
      <c r="B394" s="979">
        <v>44805</v>
      </c>
      <c r="C394" s="980" t="s">
        <v>1198</v>
      </c>
      <c r="D394" s="981">
        <v>672138359</v>
      </c>
    </row>
    <row r="395" spans="2:4" outlineLevel="1">
      <c r="B395" s="979">
        <v>44835</v>
      </c>
      <c r="C395" s="980" t="s">
        <v>1199</v>
      </c>
      <c r="D395" s="981">
        <v>672753657</v>
      </c>
    </row>
    <row r="396" spans="2:4" outlineLevel="1">
      <c r="B396" s="979">
        <v>44866</v>
      </c>
      <c r="C396" s="980" t="s">
        <v>1200</v>
      </c>
      <c r="D396" s="981">
        <v>926925908</v>
      </c>
    </row>
    <row r="397" spans="2:4" outlineLevel="1">
      <c r="B397" s="979">
        <v>44896</v>
      </c>
      <c r="C397" s="980" t="s">
        <v>1201</v>
      </c>
      <c r="D397" s="981">
        <v>689155725</v>
      </c>
    </row>
    <row r="398" spans="2:4" outlineLevel="1">
      <c r="B398" s="979">
        <v>44927</v>
      </c>
      <c r="C398" s="980" t="s">
        <v>1202</v>
      </c>
      <c r="D398" s="981">
        <v>575773885</v>
      </c>
    </row>
    <row r="399" spans="2:4" outlineLevel="1">
      <c r="B399" s="979">
        <v>44958</v>
      </c>
      <c r="C399" s="980" t="s">
        <v>1203</v>
      </c>
      <c r="D399" s="981">
        <v>499018243</v>
      </c>
    </row>
    <row r="400" spans="2:4" outlineLevel="1">
      <c r="B400" s="979">
        <v>44986</v>
      </c>
      <c r="C400" s="980" t="s">
        <v>1204</v>
      </c>
      <c r="D400" s="981">
        <v>968448748</v>
      </c>
    </row>
    <row r="401" spans="2:4" outlineLevel="1">
      <c r="B401" s="979">
        <v>45017</v>
      </c>
      <c r="C401" s="980" t="s">
        <v>1205</v>
      </c>
      <c r="D401" s="981">
        <v>579347463</v>
      </c>
    </row>
    <row r="402" spans="2:4" outlineLevel="1">
      <c r="B402" s="979">
        <v>45047</v>
      </c>
      <c r="C402" s="980" t="s">
        <v>1206</v>
      </c>
      <c r="D402" s="981">
        <v>687286133</v>
      </c>
    </row>
    <row r="403" spans="2:4" outlineLevel="1">
      <c r="B403" s="979">
        <v>45078</v>
      </c>
      <c r="C403" s="980" t="s">
        <v>1207</v>
      </c>
      <c r="D403" s="981">
        <v>489129693</v>
      </c>
    </row>
    <row r="404" spans="2:4" outlineLevel="1">
      <c r="B404" s="979">
        <v>45108</v>
      </c>
      <c r="C404" s="980" t="s">
        <v>1208</v>
      </c>
      <c r="D404" s="981">
        <v>464145809</v>
      </c>
    </row>
    <row r="405" spans="2:4" outlineLevel="1">
      <c r="B405" s="979">
        <v>45139</v>
      </c>
      <c r="C405" s="980" t="s">
        <v>1209</v>
      </c>
      <c r="D405" s="981">
        <v>629363206</v>
      </c>
    </row>
    <row r="406" spans="2:4" outlineLevel="1">
      <c r="B406" s="979">
        <v>45170</v>
      </c>
      <c r="C406" s="980" t="s">
        <v>1210</v>
      </c>
      <c r="D406" s="981">
        <v>575242220</v>
      </c>
    </row>
    <row r="407" spans="2:4" outlineLevel="1">
      <c r="B407" s="979">
        <v>45200</v>
      </c>
      <c r="C407" s="980" t="s">
        <v>1211</v>
      </c>
      <c r="D407" s="981">
        <v>694583559</v>
      </c>
    </row>
    <row r="408" spans="2:4" outlineLevel="1">
      <c r="B408" s="979">
        <v>45231</v>
      </c>
      <c r="C408" s="980" t="s">
        <v>1212</v>
      </c>
      <c r="D408" s="981">
        <v>638261095</v>
      </c>
    </row>
    <row r="409" spans="2:4" outlineLevel="1">
      <c r="B409" s="979">
        <v>45261</v>
      </c>
      <c r="C409" s="980" t="s">
        <v>1213</v>
      </c>
      <c r="D409" s="981">
        <v>706761157</v>
      </c>
    </row>
    <row r="410" spans="2:4" outlineLevel="1">
      <c r="B410" s="979">
        <v>45292</v>
      </c>
      <c r="C410" s="980" t="s">
        <v>1214</v>
      </c>
      <c r="D410" s="981">
        <v>453019832</v>
      </c>
    </row>
    <row r="411" spans="2:4" outlineLevel="1">
      <c r="B411" s="979">
        <v>45323</v>
      </c>
      <c r="C411" s="980" t="s">
        <v>1215</v>
      </c>
      <c r="D411" s="981">
        <v>490322831</v>
      </c>
    </row>
    <row r="412" spans="2:4" outlineLevel="1">
      <c r="B412" s="979">
        <v>45352</v>
      </c>
      <c r="C412" s="980" t="s">
        <v>1216</v>
      </c>
      <c r="D412" s="981">
        <v>451460889</v>
      </c>
    </row>
    <row r="413" spans="2:4" outlineLevel="1">
      <c r="B413" s="979">
        <v>45377</v>
      </c>
      <c r="C413" s="980" t="s">
        <v>1217</v>
      </c>
      <c r="D413" s="981">
        <v>21403097</v>
      </c>
    </row>
    <row r="414" spans="2:4">
      <c r="B414" s="765"/>
      <c r="C414" s="766"/>
    </row>
    <row r="415" spans="2:4">
      <c r="B415" s="765"/>
      <c r="C415" s="766"/>
    </row>
    <row r="416" spans="2:4">
      <c r="B416" s="765"/>
      <c r="C416" s="766"/>
    </row>
    <row r="417" spans="2:3">
      <c r="B417" s="765"/>
      <c r="C417" s="766"/>
    </row>
    <row r="418" spans="2:3">
      <c r="B418" s="765"/>
      <c r="C418" s="766"/>
    </row>
    <row r="419" spans="2:3">
      <c r="B419" s="765"/>
      <c r="C419" s="766"/>
    </row>
    <row r="420" spans="2:3">
      <c r="B420" s="765"/>
      <c r="C420" s="766"/>
    </row>
    <row r="421" spans="2:3">
      <c r="B421" s="765"/>
      <c r="C421" s="766"/>
    </row>
    <row r="422" spans="2:3">
      <c r="B422" s="765"/>
      <c r="C422" s="766"/>
    </row>
    <row r="423" spans="2:3">
      <c r="B423" s="765"/>
      <c r="C423" s="766"/>
    </row>
    <row r="424" spans="2:3">
      <c r="B424" s="765"/>
      <c r="C424" s="766"/>
    </row>
    <row r="425" spans="2:3">
      <c r="B425" s="765"/>
      <c r="C425" s="766"/>
    </row>
    <row r="426" spans="2:3">
      <c r="B426" s="765"/>
      <c r="C426" s="766"/>
    </row>
    <row r="427" spans="2:3">
      <c r="B427" s="765"/>
      <c r="C427" s="766"/>
    </row>
    <row r="428" spans="2:3">
      <c r="B428" s="765"/>
      <c r="C428" s="766"/>
    </row>
    <row r="429" spans="2:3">
      <c r="B429" s="765"/>
      <c r="C429" s="766"/>
    </row>
    <row r="430" spans="2:3">
      <c r="B430" s="765"/>
      <c r="C430" s="766"/>
    </row>
    <row r="431" spans="2:3">
      <c r="B431" s="765"/>
      <c r="C431" s="766"/>
    </row>
    <row r="432" spans="2:3">
      <c r="B432" s="765"/>
      <c r="C432" s="766"/>
    </row>
    <row r="433" spans="2:48">
      <c r="B433" s="765"/>
      <c r="C433" s="766"/>
    </row>
    <row r="434" spans="2:48">
      <c r="B434" s="765"/>
      <c r="C434" s="766"/>
    </row>
    <row r="435" spans="2:48">
      <c r="B435" s="765"/>
      <c r="C435" s="766"/>
    </row>
    <row r="436" spans="2:48">
      <c r="B436" s="765"/>
      <c r="C436" s="766"/>
    </row>
    <row r="437" spans="2:48">
      <c r="B437" s="765"/>
      <c r="C437" s="766"/>
    </row>
    <row r="438" spans="2:48">
      <c r="B438" s="765"/>
      <c r="C438" s="766"/>
    </row>
    <row r="439" spans="2:48">
      <c r="B439" s="765"/>
      <c r="C439" s="766"/>
    </row>
    <row r="440" spans="2:48">
      <c r="B440" s="765"/>
      <c r="C440" s="766"/>
    </row>
    <row r="441" spans="2:48">
      <c r="B441" s="765"/>
      <c r="C441" s="766"/>
    </row>
    <row r="442" spans="2:48">
      <c r="B442" s="765"/>
      <c r="C442" s="766"/>
    </row>
    <row r="443" spans="2:48">
      <c r="B443" s="765"/>
      <c r="C443" s="766"/>
      <c r="V443" s="1048"/>
      <c r="W443" s="1049"/>
      <c r="X443" s="1049"/>
      <c r="Y443" s="1049"/>
      <c r="Z443" s="1049"/>
      <c r="AA443" s="1049"/>
      <c r="AB443" s="1049"/>
      <c r="AC443" s="1049"/>
      <c r="AD443" s="1049"/>
      <c r="AE443" s="1049"/>
      <c r="AF443" s="1049"/>
      <c r="AG443" s="1049"/>
      <c r="AH443" s="1049"/>
      <c r="AI443" s="1049"/>
      <c r="AJ443" s="1049"/>
      <c r="AK443" s="1049"/>
      <c r="AL443" s="1049"/>
      <c r="AM443" s="1049"/>
      <c r="AN443" s="1049"/>
      <c r="AO443" s="1049"/>
      <c r="AP443" s="1049"/>
      <c r="AQ443" s="1049"/>
      <c r="AR443" s="1049"/>
      <c r="AS443" s="1049"/>
      <c r="AT443" s="1049"/>
      <c r="AU443" s="1049"/>
      <c r="AV443" s="1049"/>
    </row>
    <row r="444" spans="2:48">
      <c r="B444" s="765"/>
      <c r="C444" s="766"/>
    </row>
    <row r="445" spans="2:48">
      <c r="B445" s="765"/>
      <c r="C445" s="766"/>
    </row>
    <row r="446" spans="2:48">
      <c r="B446" s="765"/>
      <c r="C446" s="766"/>
    </row>
    <row r="447" spans="2:48">
      <c r="B447" s="765"/>
      <c r="C447" s="766"/>
    </row>
    <row r="448" spans="2:48">
      <c r="B448" s="765"/>
      <c r="C448" s="766"/>
    </row>
    <row r="449" spans="2:3">
      <c r="B449" s="765"/>
      <c r="C449" s="766"/>
    </row>
    <row r="450" spans="2:3">
      <c r="B450" s="765"/>
      <c r="C450" s="766"/>
    </row>
    <row r="451" spans="2:3">
      <c r="B451" s="765"/>
      <c r="C451" s="766"/>
    </row>
    <row r="452" spans="2:3">
      <c r="B452" s="765"/>
      <c r="C452" s="766"/>
    </row>
    <row r="453" spans="2:3">
      <c r="B453" s="765"/>
      <c r="C453" s="766"/>
    </row>
    <row r="454" spans="2:3">
      <c r="B454" s="765"/>
      <c r="C454" s="766"/>
    </row>
    <row r="455" spans="2:3">
      <c r="B455" s="765"/>
      <c r="C455" s="766"/>
    </row>
    <row r="456" spans="2:3">
      <c r="B456" s="765"/>
      <c r="C456" s="766"/>
    </row>
    <row r="457" spans="2:3">
      <c r="B457" s="765"/>
      <c r="C457" s="766"/>
    </row>
    <row r="458" spans="2:3">
      <c r="B458" s="765"/>
      <c r="C458" s="766"/>
    </row>
    <row r="459" spans="2:3">
      <c r="B459" s="765"/>
      <c r="C459" s="766"/>
    </row>
    <row r="460" spans="2:3">
      <c r="B460" s="765"/>
      <c r="C460" s="766"/>
    </row>
    <row r="461" spans="2:3">
      <c r="B461" s="765"/>
      <c r="C461" s="766"/>
    </row>
    <row r="462" spans="2:3">
      <c r="B462" s="765"/>
      <c r="C462" s="766"/>
    </row>
    <row r="463" spans="2:3">
      <c r="B463" s="765"/>
      <c r="C463" s="766"/>
    </row>
    <row r="464" spans="2:3">
      <c r="B464" s="765"/>
      <c r="C464" s="766"/>
    </row>
    <row r="465" spans="2:3">
      <c r="B465" s="765"/>
      <c r="C465" s="766"/>
    </row>
    <row r="466" spans="2:3">
      <c r="B466" s="765"/>
      <c r="C466" s="766"/>
    </row>
    <row r="467" spans="2:3">
      <c r="B467" s="765"/>
      <c r="C467" s="766"/>
    </row>
    <row r="468" spans="2:3">
      <c r="B468" s="765"/>
      <c r="C468" s="766"/>
    </row>
    <row r="469" spans="2:3">
      <c r="B469" s="765"/>
      <c r="C469" s="766"/>
    </row>
    <row r="470" spans="2:3">
      <c r="B470" s="765"/>
      <c r="C470" s="766"/>
    </row>
    <row r="471" spans="2:3">
      <c r="B471" s="765"/>
      <c r="C471" s="766"/>
    </row>
    <row r="472" spans="2:3">
      <c r="B472" s="765"/>
      <c r="C472" s="766"/>
    </row>
    <row r="473" spans="2:3">
      <c r="B473" s="765"/>
      <c r="C473" s="766"/>
    </row>
    <row r="474" spans="2:3">
      <c r="B474" s="765"/>
      <c r="C474" s="766"/>
    </row>
    <row r="475" spans="2:3">
      <c r="B475" s="765"/>
      <c r="C475" s="766"/>
    </row>
    <row r="476" spans="2:3">
      <c r="B476" s="765"/>
      <c r="C476" s="766"/>
    </row>
    <row r="477" spans="2:3">
      <c r="B477" s="765"/>
      <c r="C477" s="766"/>
    </row>
    <row r="478" spans="2:3">
      <c r="B478" s="765"/>
      <c r="C478" s="766"/>
    </row>
    <row r="479" spans="2:3">
      <c r="B479" s="765"/>
      <c r="C479" s="766"/>
    </row>
    <row r="480" spans="2:3">
      <c r="B480" s="765"/>
      <c r="C480" s="766"/>
    </row>
    <row r="481" spans="2:3">
      <c r="B481" s="765"/>
      <c r="C481" s="766"/>
    </row>
    <row r="482" spans="2:3">
      <c r="B482" s="765"/>
      <c r="C482" s="766"/>
    </row>
    <row r="483" spans="2:3">
      <c r="B483" s="765"/>
      <c r="C483" s="766"/>
    </row>
    <row r="484" spans="2:3">
      <c r="B484" s="765"/>
      <c r="C484" s="766"/>
    </row>
    <row r="485" spans="2:3">
      <c r="B485" s="765"/>
      <c r="C485" s="766"/>
    </row>
    <row r="486" spans="2:3">
      <c r="B486" s="765"/>
      <c r="C486" s="766"/>
    </row>
    <row r="487" spans="2:3">
      <c r="B487" s="765"/>
      <c r="C487" s="766"/>
    </row>
    <row r="488" spans="2:3">
      <c r="B488" s="765"/>
      <c r="C488" s="766"/>
    </row>
    <row r="489" spans="2:3">
      <c r="B489" s="765"/>
      <c r="C489" s="766"/>
    </row>
    <row r="490" spans="2:3">
      <c r="B490" s="765"/>
      <c r="C490" s="766"/>
    </row>
    <row r="491" spans="2:3">
      <c r="B491" s="765"/>
      <c r="C491" s="766"/>
    </row>
    <row r="492" spans="2:3">
      <c r="B492" s="765"/>
      <c r="C492" s="766"/>
    </row>
    <row r="493" spans="2:3">
      <c r="B493" s="765"/>
      <c r="C493" s="766"/>
    </row>
    <row r="494" spans="2:3">
      <c r="B494" s="765"/>
      <c r="C494" s="766"/>
    </row>
    <row r="495" spans="2:3">
      <c r="B495" s="765"/>
      <c r="C495" s="766"/>
    </row>
    <row r="496" spans="2:3">
      <c r="B496" s="765"/>
      <c r="C496" s="766"/>
    </row>
    <row r="497" spans="2:3">
      <c r="B497" s="765"/>
      <c r="C497" s="766"/>
    </row>
    <row r="498" spans="2:3">
      <c r="B498" s="765"/>
      <c r="C498" s="766"/>
    </row>
    <row r="499" spans="2:3">
      <c r="B499" s="765"/>
      <c r="C499" s="766"/>
    </row>
    <row r="500" spans="2:3">
      <c r="B500" s="765"/>
      <c r="C500" s="766"/>
    </row>
    <row r="501" spans="2:3">
      <c r="B501" s="765"/>
      <c r="C501" s="766"/>
    </row>
    <row r="502" spans="2:3">
      <c r="B502" s="765"/>
      <c r="C502" s="766"/>
    </row>
    <row r="503" spans="2:3">
      <c r="B503" s="765"/>
      <c r="C503" s="766"/>
    </row>
    <row r="504" spans="2:3">
      <c r="B504" s="765"/>
      <c r="C504" s="766"/>
    </row>
    <row r="505" spans="2:3">
      <c r="B505" s="765"/>
      <c r="C505" s="766"/>
    </row>
    <row r="506" spans="2:3">
      <c r="B506" s="765"/>
      <c r="C506" s="766"/>
    </row>
    <row r="507" spans="2:3">
      <c r="B507" s="765"/>
      <c r="C507" s="766"/>
    </row>
    <row r="508" spans="2:3">
      <c r="B508" s="765"/>
      <c r="C508" s="766"/>
    </row>
    <row r="509" spans="2:3">
      <c r="B509" s="765"/>
      <c r="C509" s="766"/>
    </row>
    <row r="510" spans="2:3">
      <c r="B510" s="765"/>
      <c r="C510" s="766"/>
    </row>
    <row r="511" spans="2:3">
      <c r="B511" s="765"/>
      <c r="C511" s="766"/>
    </row>
    <row r="512" spans="2:3">
      <c r="B512" s="765"/>
      <c r="C512" s="766"/>
    </row>
    <row r="513" spans="2:3">
      <c r="B513" s="765"/>
      <c r="C513" s="766"/>
    </row>
    <row r="514" spans="2:3">
      <c r="B514" s="765"/>
      <c r="C514" s="766"/>
    </row>
    <row r="515" spans="2:3">
      <c r="B515" s="765"/>
      <c r="C515" s="766"/>
    </row>
    <row r="516" spans="2:3">
      <c r="B516" s="765"/>
      <c r="C516" s="766"/>
    </row>
    <row r="517" spans="2:3">
      <c r="B517" s="765"/>
      <c r="C517" s="766"/>
    </row>
    <row r="518" spans="2:3">
      <c r="B518" s="765"/>
      <c r="C518" s="766"/>
    </row>
    <row r="519" spans="2:3">
      <c r="B519" s="765"/>
      <c r="C519" s="766"/>
    </row>
    <row r="520" spans="2:3">
      <c r="B520" s="765"/>
      <c r="C520" s="766"/>
    </row>
    <row r="521" spans="2:3">
      <c r="B521" s="765"/>
      <c r="C521" s="766"/>
    </row>
    <row r="522" spans="2:3">
      <c r="B522" s="765"/>
      <c r="C522" s="766"/>
    </row>
    <row r="523" spans="2:3">
      <c r="B523" s="765"/>
      <c r="C523" s="766"/>
    </row>
    <row r="524" spans="2:3">
      <c r="B524" s="765"/>
      <c r="C524" s="766"/>
    </row>
    <row r="525" spans="2:3">
      <c r="B525" s="765"/>
      <c r="C525" s="766"/>
    </row>
    <row r="526" spans="2:3">
      <c r="B526" s="765"/>
      <c r="C526" s="766"/>
    </row>
    <row r="527" spans="2:3">
      <c r="B527" s="765"/>
      <c r="C527" s="766"/>
    </row>
    <row r="528" spans="2:3">
      <c r="B528" s="765"/>
      <c r="C528" s="766"/>
    </row>
    <row r="529" spans="2:3">
      <c r="B529" s="765"/>
      <c r="C529" s="766"/>
    </row>
    <row r="530" spans="2:3">
      <c r="B530" s="765"/>
      <c r="C530" s="766"/>
    </row>
    <row r="531" spans="2:3">
      <c r="B531" s="765"/>
      <c r="C531" s="766"/>
    </row>
    <row r="532" spans="2:3">
      <c r="B532" s="765"/>
      <c r="C532" s="766"/>
    </row>
    <row r="533" spans="2:3">
      <c r="B533" s="765"/>
      <c r="C533" s="766"/>
    </row>
    <row r="534" spans="2:3">
      <c r="B534" s="765"/>
      <c r="C534" s="766"/>
    </row>
    <row r="535" spans="2:3">
      <c r="B535" s="765"/>
      <c r="C535" s="766"/>
    </row>
    <row r="536" spans="2:3">
      <c r="B536" s="765"/>
      <c r="C536" s="766"/>
    </row>
    <row r="537" spans="2:3">
      <c r="B537" s="765"/>
      <c r="C537" s="766"/>
    </row>
    <row r="538" spans="2:3">
      <c r="B538" s="765"/>
      <c r="C538" s="766"/>
    </row>
    <row r="539" spans="2:3">
      <c r="B539" s="765"/>
      <c r="C539" s="766"/>
    </row>
    <row r="540" spans="2:3">
      <c r="B540" s="765"/>
      <c r="C540" s="766"/>
    </row>
    <row r="541" spans="2:3">
      <c r="B541" s="765"/>
      <c r="C541" s="766"/>
    </row>
    <row r="542" spans="2:3">
      <c r="B542" s="765"/>
      <c r="C542" s="766"/>
    </row>
    <row r="543" spans="2:3">
      <c r="B543" s="765"/>
      <c r="C543" s="766"/>
    </row>
    <row r="544" spans="2:3">
      <c r="B544" s="765"/>
      <c r="C544" s="766"/>
    </row>
    <row r="545" spans="2:3">
      <c r="B545" s="765"/>
      <c r="C545" s="766"/>
    </row>
    <row r="546" spans="2:3">
      <c r="B546" s="765"/>
      <c r="C546" s="766"/>
    </row>
    <row r="547" spans="2:3">
      <c r="B547" s="765"/>
      <c r="C547" s="766"/>
    </row>
    <row r="548" spans="2:3">
      <c r="B548" s="765"/>
      <c r="C548" s="766"/>
    </row>
    <row r="549" spans="2:3">
      <c r="B549" s="765"/>
      <c r="C549" s="766"/>
    </row>
    <row r="550" spans="2:3">
      <c r="B550" s="765"/>
      <c r="C550" s="766"/>
    </row>
    <row r="551" spans="2:3">
      <c r="B551" s="765"/>
      <c r="C551" s="766"/>
    </row>
    <row r="552" spans="2:3">
      <c r="B552" s="765"/>
      <c r="C552" s="766"/>
    </row>
    <row r="553" spans="2:3">
      <c r="B553" s="765"/>
      <c r="C553" s="766"/>
    </row>
    <row r="554" spans="2:3">
      <c r="B554" s="765"/>
      <c r="C554" s="766"/>
    </row>
    <row r="555" spans="2:3">
      <c r="B555" s="765"/>
      <c r="C555" s="766"/>
    </row>
    <row r="556" spans="2:3">
      <c r="B556" s="765"/>
      <c r="C556" s="766"/>
    </row>
    <row r="557" spans="2:3">
      <c r="B557" s="765"/>
      <c r="C557" s="766"/>
    </row>
    <row r="558" spans="2:3">
      <c r="B558" s="765"/>
      <c r="C558" s="766"/>
    </row>
    <row r="559" spans="2:3">
      <c r="B559" s="765"/>
      <c r="C559" s="766"/>
    </row>
    <row r="560" spans="2:3">
      <c r="B560" s="765"/>
      <c r="C560" s="766"/>
    </row>
    <row r="561" spans="2:3">
      <c r="B561" s="765"/>
      <c r="C561" s="766"/>
    </row>
    <row r="562" spans="2:3">
      <c r="B562" s="765"/>
      <c r="C562" s="766"/>
    </row>
    <row r="563" spans="2:3">
      <c r="B563" s="765"/>
      <c r="C563" s="766"/>
    </row>
    <row r="564" spans="2:3">
      <c r="B564" s="765"/>
      <c r="C564" s="766"/>
    </row>
    <row r="565" spans="2:3">
      <c r="B565" s="765"/>
      <c r="C565" s="766"/>
    </row>
    <row r="566" spans="2:3">
      <c r="B566" s="765"/>
      <c r="C566" s="766"/>
    </row>
    <row r="567" spans="2:3">
      <c r="B567" s="765"/>
      <c r="C567" s="766"/>
    </row>
    <row r="568" spans="2:3">
      <c r="B568" s="765"/>
      <c r="C568" s="766"/>
    </row>
    <row r="569" spans="2:3">
      <c r="B569" s="765"/>
      <c r="C569" s="766"/>
    </row>
    <row r="570" spans="2:3">
      <c r="B570" s="765"/>
      <c r="C570" s="766"/>
    </row>
    <row r="571" spans="2:3">
      <c r="B571" s="765"/>
      <c r="C571" s="766"/>
    </row>
    <row r="572" spans="2:3">
      <c r="B572" s="765"/>
      <c r="C572" s="766"/>
    </row>
    <row r="573" spans="2:3">
      <c r="B573" s="765"/>
      <c r="C573" s="766"/>
    </row>
    <row r="574" spans="2:3">
      <c r="B574" s="765"/>
      <c r="C574" s="766"/>
    </row>
    <row r="575" spans="2:3">
      <c r="B575" s="765"/>
      <c r="C575" s="766"/>
    </row>
    <row r="576" spans="2:3">
      <c r="B576" s="765"/>
      <c r="C576" s="766"/>
    </row>
    <row r="577" spans="2:3">
      <c r="B577" s="765"/>
      <c r="C577" s="766"/>
    </row>
    <row r="578" spans="2:3">
      <c r="B578" s="765"/>
      <c r="C578" s="766"/>
    </row>
    <row r="579" spans="2:3">
      <c r="B579" s="765"/>
      <c r="C579" s="766"/>
    </row>
    <row r="580" spans="2:3">
      <c r="B580" s="765"/>
      <c r="C580" s="766"/>
    </row>
    <row r="581" spans="2:3">
      <c r="B581" s="765"/>
      <c r="C581" s="766"/>
    </row>
    <row r="582" spans="2:3">
      <c r="B582" s="765"/>
      <c r="C582" s="766"/>
    </row>
    <row r="583" spans="2:3">
      <c r="B583" s="765"/>
      <c r="C583" s="766"/>
    </row>
    <row r="584" spans="2:3">
      <c r="B584" s="765"/>
      <c r="C584" s="766"/>
    </row>
    <row r="585" spans="2:3">
      <c r="B585" s="765"/>
      <c r="C585" s="766"/>
    </row>
    <row r="586" spans="2:3">
      <c r="B586" s="765"/>
      <c r="C586" s="766"/>
    </row>
    <row r="587" spans="2:3">
      <c r="B587" s="765"/>
      <c r="C587" s="766"/>
    </row>
    <row r="588" spans="2:3">
      <c r="B588" s="765"/>
      <c r="C588" s="766"/>
    </row>
    <row r="589" spans="2:3">
      <c r="B589" s="765"/>
      <c r="C589" s="766"/>
    </row>
    <row r="590" spans="2:3">
      <c r="B590" s="765"/>
      <c r="C590" s="766"/>
    </row>
    <row r="591" spans="2:3">
      <c r="B591" s="765"/>
      <c r="C591" s="766"/>
    </row>
    <row r="592" spans="2:3">
      <c r="B592" s="765"/>
      <c r="C592" s="766"/>
    </row>
    <row r="593" spans="2:3">
      <c r="B593" s="765"/>
      <c r="C593" s="766"/>
    </row>
    <row r="594" spans="2:3">
      <c r="B594" s="765"/>
      <c r="C594" s="766"/>
    </row>
    <row r="595" spans="2:3">
      <c r="B595" s="765"/>
      <c r="C595" s="766"/>
    </row>
    <row r="596" spans="2:3">
      <c r="B596" s="765"/>
      <c r="C596" s="766"/>
    </row>
    <row r="597" spans="2:3">
      <c r="B597" s="765"/>
      <c r="C597" s="766"/>
    </row>
    <row r="598" spans="2:3">
      <c r="B598" s="765"/>
      <c r="C598" s="766"/>
    </row>
    <row r="599" spans="2:3">
      <c r="B599" s="765"/>
      <c r="C599" s="766"/>
    </row>
    <row r="600" spans="2:3">
      <c r="B600" s="765"/>
      <c r="C600" s="766"/>
    </row>
    <row r="601" spans="2:3">
      <c r="B601" s="765"/>
      <c r="C601" s="766"/>
    </row>
    <row r="602" spans="2:3">
      <c r="B602" s="765"/>
      <c r="C602" s="766"/>
    </row>
    <row r="603" spans="2:3">
      <c r="B603" s="765"/>
      <c r="C603" s="766"/>
    </row>
    <row r="604" spans="2:3">
      <c r="B604" s="765"/>
      <c r="C604" s="766"/>
    </row>
    <row r="605" spans="2:3">
      <c r="B605" s="765"/>
      <c r="C605" s="766"/>
    </row>
    <row r="606" spans="2:3">
      <c r="B606" s="765"/>
      <c r="C606" s="766"/>
    </row>
    <row r="607" spans="2:3">
      <c r="B607" s="765"/>
      <c r="C607" s="766"/>
    </row>
    <row r="608" spans="2:3">
      <c r="B608" s="765"/>
      <c r="C608" s="766"/>
    </row>
    <row r="609" spans="2:3">
      <c r="B609" s="765"/>
      <c r="C609" s="766"/>
    </row>
    <row r="610" spans="2:3">
      <c r="B610" s="765"/>
      <c r="C610" s="766"/>
    </row>
    <row r="611" spans="2:3">
      <c r="B611" s="765"/>
      <c r="C611" s="766"/>
    </row>
    <row r="612" spans="2:3">
      <c r="B612" s="765"/>
      <c r="C612" s="766"/>
    </row>
    <row r="613" spans="2:3">
      <c r="B613" s="765"/>
      <c r="C613" s="766"/>
    </row>
    <row r="614" spans="2:3">
      <c r="B614" s="765"/>
      <c r="C614" s="766"/>
    </row>
    <row r="615" spans="2:3">
      <c r="B615" s="765"/>
      <c r="C615" s="766"/>
    </row>
    <row r="616" spans="2:3">
      <c r="B616" s="765"/>
      <c r="C616" s="766"/>
    </row>
    <row r="617" spans="2:3">
      <c r="B617" s="765"/>
      <c r="C617" s="766"/>
    </row>
    <row r="618" spans="2:3">
      <c r="B618" s="765"/>
      <c r="C618" s="766"/>
    </row>
    <row r="619" spans="2:3">
      <c r="B619" s="765"/>
      <c r="C619" s="766"/>
    </row>
    <row r="620" spans="2:3">
      <c r="B620" s="765"/>
      <c r="C620" s="766"/>
    </row>
    <row r="621" spans="2:3">
      <c r="B621" s="765"/>
      <c r="C621" s="766"/>
    </row>
    <row r="622" spans="2:3">
      <c r="B622" s="765"/>
      <c r="C622" s="766"/>
    </row>
    <row r="623" spans="2:3">
      <c r="B623" s="765"/>
      <c r="C623" s="766"/>
    </row>
    <row r="624" spans="2:3">
      <c r="B624" s="765"/>
      <c r="C624" s="766"/>
    </row>
    <row r="625" spans="2:3">
      <c r="B625" s="765"/>
      <c r="C625" s="766"/>
    </row>
    <row r="626" spans="2:3">
      <c r="B626" s="765"/>
      <c r="C626" s="766"/>
    </row>
    <row r="627" spans="2:3">
      <c r="B627" s="765"/>
      <c r="C627" s="766"/>
    </row>
    <row r="628" spans="2:3">
      <c r="B628" s="765"/>
      <c r="C628" s="766"/>
    </row>
    <row r="629" spans="2:3">
      <c r="B629" s="765"/>
      <c r="C629" s="766"/>
    </row>
    <row r="630" spans="2:3">
      <c r="B630" s="765"/>
      <c r="C630" s="766"/>
    </row>
    <row r="631" spans="2:3">
      <c r="B631" s="765"/>
      <c r="C631" s="766"/>
    </row>
    <row r="632" spans="2:3">
      <c r="B632" s="765"/>
      <c r="C632" s="766"/>
    </row>
    <row r="633" spans="2:3">
      <c r="B633" s="765"/>
      <c r="C633" s="766"/>
    </row>
    <row r="634" spans="2:3">
      <c r="B634" s="765"/>
      <c r="C634" s="766"/>
    </row>
    <row r="635" spans="2:3">
      <c r="B635" s="765"/>
      <c r="C635" s="766"/>
    </row>
    <row r="636" spans="2:3">
      <c r="B636" s="765"/>
      <c r="C636" s="766"/>
    </row>
    <row r="637" spans="2:3">
      <c r="B637" s="765"/>
      <c r="C637" s="766"/>
    </row>
    <row r="638" spans="2:3">
      <c r="B638" s="765"/>
      <c r="C638" s="766"/>
    </row>
    <row r="639" spans="2:3">
      <c r="B639" s="765"/>
      <c r="C639" s="766"/>
    </row>
    <row r="640" spans="2:3">
      <c r="B640" s="765"/>
      <c r="C640" s="766"/>
    </row>
    <row r="641" spans="2:3">
      <c r="B641" s="765"/>
      <c r="C641" s="766"/>
    </row>
    <row r="642" spans="2:3">
      <c r="B642" s="765"/>
      <c r="C642" s="766"/>
    </row>
    <row r="643" spans="2:3">
      <c r="B643" s="765"/>
      <c r="C643" s="766"/>
    </row>
    <row r="644" spans="2:3">
      <c r="B644" s="765"/>
      <c r="C644" s="766"/>
    </row>
    <row r="645" spans="2:3">
      <c r="B645" s="765"/>
      <c r="C645" s="766"/>
    </row>
    <row r="646" spans="2:3">
      <c r="B646" s="765"/>
      <c r="C646" s="766"/>
    </row>
    <row r="647" spans="2:3">
      <c r="B647" s="765"/>
      <c r="C647" s="766"/>
    </row>
    <row r="648" spans="2:3">
      <c r="B648" s="765"/>
      <c r="C648" s="766"/>
    </row>
    <row r="649" spans="2:3">
      <c r="B649" s="765"/>
      <c r="C649" s="766"/>
    </row>
    <row r="650" spans="2:3">
      <c r="B650" s="765"/>
      <c r="C650" s="766"/>
    </row>
    <row r="651" spans="2:3">
      <c r="B651" s="765"/>
      <c r="C651" s="766"/>
    </row>
    <row r="652" spans="2:3">
      <c r="B652" s="765"/>
      <c r="C652" s="766"/>
    </row>
    <row r="653" spans="2:3">
      <c r="B653" s="765"/>
      <c r="C653" s="766"/>
    </row>
    <row r="654" spans="2:3">
      <c r="B654" s="765"/>
      <c r="C654" s="766"/>
    </row>
    <row r="655" spans="2:3">
      <c r="B655" s="765"/>
      <c r="C655" s="766"/>
    </row>
    <row r="656" spans="2:3">
      <c r="B656" s="765"/>
      <c r="C656" s="766"/>
    </row>
    <row r="657" spans="2:3">
      <c r="B657" s="765"/>
      <c r="C657" s="766"/>
    </row>
    <row r="658" spans="2:3">
      <c r="B658" s="765"/>
      <c r="C658" s="766"/>
    </row>
    <row r="659" spans="2:3">
      <c r="B659" s="765"/>
      <c r="C659" s="766"/>
    </row>
    <row r="660" spans="2:3">
      <c r="B660" s="765"/>
      <c r="C660" s="766"/>
    </row>
    <row r="661" spans="2:3">
      <c r="B661" s="764"/>
      <c r="C661" s="766"/>
    </row>
    <row r="662" spans="2:3">
      <c r="B662" s="764"/>
      <c r="C662" s="766"/>
    </row>
    <row r="663" spans="2:3">
      <c r="B663" s="764"/>
      <c r="C663" s="766"/>
    </row>
    <row r="664" spans="2:3">
      <c r="B664" s="764"/>
      <c r="C664" s="766"/>
    </row>
    <row r="665" spans="2:3">
      <c r="B665" s="764"/>
      <c r="C665" s="766"/>
    </row>
    <row r="666" spans="2:3">
      <c r="B666" s="764"/>
      <c r="C666" s="766"/>
    </row>
    <row r="667" spans="2:3">
      <c r="B667" s="764"/>
      <c r="C667" s="766"/>
    </row>
    <row r="668" spans="2:3">
      <c r="B668" s="764"/>
      <c r="C668" s="766"/>
    </row>
    <row r="669" spans="2:3">
      <c r="B669" s="764"/>
      <c r="C669" s="766"/>
    </row>
    <row r="670" spans="2:3">
      <c r="B670" s="764"/>
      <c r="C670" s="766"/>
    </row>
    <row r="671" spans="2:3">
      <c r="B671" s="764"/>
      <c r="C671" s="766"/>
    </row>
    <row r="672" spans="2:3">
      <c r="B672" s="764"/>
      <c r="C672" s="766"/>
    </row>
    <row r="673" spans="2:3">
      <c r="B673" s="764"/>
      <c r="C673" s="766"/>
    </row>
    <row r="674" spans="2:3">
      <c r="B674" s="764"/>
      <c r="C674" s="766"/>
    </row>
    <row r="675" spans="2:3">
      <c r="B675" s="764"/>
      <c r="C675" s="766"/>
    </row>
    <row r="676" spans="2:3">
      <c r="B676" s="764"/>
      <c r="C676" s="766"/>
    </row>
    <row r="677" spans="2:3">
      <c r="B677" s="764"/>
      <c r="C677" s="766"/>
    </row>
    <row r="678" spans="2:3">
      <c r="B678" s="764"/>
      <c r="C678" s="766"/>
    </row>
    <row r="679" spans="2:3">
      <c r="B679" s="764"/>
      <c r="C679" s="766"/>
    </row>
    <row r="680" spans="2:3">
      <c r="B680" s="764"/>
      <c r="C680" s="766"/>
    </row>
    <row r="681" spans="2:3">
      <c r="B681" s="764"/>
      <c r="C681" s="766"/>
    </row>
    <row r="682" spans="2:3">
      <c r="B682" s="764"/>
      <c r="C682" s="766"/>
    </row>
    <row r="683" spans="2:3">
      <c r="B683" s="764"/>
      <c r="C683" s="766"/>
    </row>
    <row r="684" spans="2:3">
      <c r="B684" s="764"/>
      <c r="C684" s="766"/>
    </row>
    <row r="685" spans="2:3">
      <c r="B685" s="764"/>
      <c r="C685" s="766"/>
    </row>
    <row r="686" spans="2:3">
      <c r="B686" s="764"/>
      <c r="C686" s="766"/>
    </row>
    <row r="687" spans="2:3">
      <c r="B687" s="764"/>
      <c r="C687" s="766"/>
    </row>
    <row r="688" spans="2:3">
      <c r="B688" s="764"/>
      <c r="C688" s="766"/>
    </row>
    <row r="689" spans="2:3">
      <c r="B689" s="764"/>
      <c r="C689" s="766"/>
    </row>
    <row r="690" spans="2:3">
      <c r="B690" s="764"/>
      <c r="C690" s="766"/>
    </row>
    <row r="691" spans="2:3">
      <c r="B691" s="764"/>
      <c r="C691" s="766"/>
    </row>
    <row r="692" spans="2:3">
      <c r="B692" s="764"/>
      <c r="C692" s="766"/>
    </row>
    <row r="693" spans="2:3">
      <c r="B693" s="764"/>
      <c r="C693" s="766"/>
    </row>
    <row r="694" spans="2:3">
      <c r="B694" s="764"/>
      <c r="C694" s="766"/>
    </row>
    <row r="695" spans="2:3">
      <c r="B695" s="764"/>
      <c r="C695" s="766"/>
    </row>
    <row r="696" spans="2:3">
      <c r="B696" s="764"/>
      <c r="C696" s="766"/>
    </row>
    <row r="697" spans="2:3">
      <c r="B697" s="764"/>
      <c r="C697" s="766"/>
    </row>
    <row r="698" spans="2:3">
      <c r="B698" s="764"/>
      <c r="C698" s="766"/>
    </row>
    <row r="699" spans="2:3">
      <c r="B699" s="764"/>
      <c r="C699" s="766"/>
    </row>
    <row r="700" spans="2:3">
      <c r="B700" s="764"/>
      <c r="C700" s="766"/>
    </row>
    <row r="701" spans="2:3">
      <c r="B701" s="764"/>
      <c r="C701" s="766"/>
    </row>
    <row r="702" spans="2:3">
      <c r="B702" s="764"/>
      <c r="C702" s="766"/>
    </row>
    <row r="703" spans="2:3">
      <c r="B703" s="764"/>
      <c r="C703" s="766"/>
    </row>
    <row r="704" spans="2:3">
      <c r="B704" s="764"/>
      <c r="C704" s="766"/>
    </row>
    <row r="705" spans="2:3">
      <c r="B705" s="764"/>
      <c r="C705" s="766"/>
    </row>
    <row r="706" spans="2:3">
      <c r="B706" s="764"/>
      <c r="C706" s="766"/>
    </row>
    <row r="707" spans="2:3">
      <c r="B707" s="764"/>
      <c r="C707" s="766"/>
    </row>
    <row r="708" spans="2:3">
      <c r="B708" s="764"/>
      <c r="C708" s="766"/>
    </row>
    <row r="709" spans="2:3">
      <c r="B709" s="764"/>
      <c r="C709" s="766"/>
    </row>
    <row r="710" spans="2:3">
      <c r="B710" s="764"/>
      <c r="C710" s="766"/>
    </row>
    <row r="711" spans="2:3">
      <c r="B711" s="764"/>
      <c r="C711" s="766"/>
    </row>
    <row r="712" spans="2:3">
      <c r="B712" s="764"/>
      <c r="C712" s="766"/>
    </row>
    <row r="713" spans="2:3">
      <c r="B713" s="764"/>
      <c r="C713" s="766"/>
    </row>
    <row r="714" spans="2:3">
      <c r="B714" s="764"/>
      <c r="C714" s="766"/>
    </row>
    <row r="715" spans="2:3">
      <c r="B715" s="764"/>
      <c r="C715" s="766"/>
    </row>
    <row r="716" spans="2:3">
      <c r="B716" s="764"/>
      <c r="C716" s="766"/>
    </row>
    <row r="717" spans="2:3">
      <c r="B717" s="764"/>
      <c r="C717" s="766"/>
    </row>
    <row r="718" spans="2:3">
      <c r="B718" s="764"/>
      <c r="C718" s="766"/>
    </row>
    <row r="719" spans="2:3">
      <c r="B719" s="764"/>
      <c r="C719" s="766"/>
    </row>
    <row r="720" spans="2:3">
      <c r="B720" s="764"/>
      <c r="C720" s="766"/>
    </row>
    <row r="721" spans="2:3">
      <c r="B721" s="764"/>
      <c r="C721" s="766"/>
    </row>
    <row r="722" spans="2:3">
      <c r="B722" s="764"/>
      <c r="C722" s="766"/>
    </row>
    <row r="723" spans="2:3">
      <c r="B723" s="764"/>
      <c r="C723" s="766"/>
    </row>
    <row r="724" spans="2:3">
      <c r="B724" s="764"/>
      <c r="C724" s="766"/>
    </row>
    <row r="725" spans="2:3">
      <c r="B725" s="764"/>
      <c r="C725" s="766"/>
    </row>
    <row r="726" spans="2:3">
      <c r="B726" s="764"/>
      <c r="C726" s="766"/>
    </row>
    <row r="727" spans="2:3">
      <c r="B727" s="764"/>
      <c r="C727" s="766"/>
    </row>
    <row r="728" spans="2:3">
      <c r="B728" s="764"/>
      <c r="C728" s="766"/>
    </row>
    <row r="729" spans="2:3">
      <c r="B729" s="764"/>
      <c r="C729" s="766"/>
    </row>
    <row r="730" spans="2:3">
      <c r="B730" s="764"/>
      <c r="C730" s="766"/>
    </row>
    <row r="731" spans="2:3">
      <c r="B731" s="764"/>
      <c r="C731" s="766"/>
    </row>
    <row r="732" spans="2:3">
      <c r="B732" s="764"/>
      <c r="C732" s="766"/>
    </row>
    <row r="733" spans="2:3">
      <c r="B733" s="764"/>
      <c r="C733" s="766"/>
    </row>
    <row r="734" spans="2:3">
      <c r="B734" s="764"/>
      <c r="C734" s="766"/>
    </row>
    <row r="735" spans="2:3">
      <c r="B735" s="764"/>
      <c r="C735" s="766"/>
    </row>
    <row r="736" spans="2:3">
      <c r="B736" s="764"/>
      <c r="C736" s="766"/>
    </row>
    <row r="737" spans="2:3">
      <c r="B737" s="764"/>
      <c r="C737" s="766"/>
    </row>
    <row r="738" spans="2:3">
      <c r="B738" s="764"/>
      <c r="C738" s="766"/>
    </row>
    <row r="739" spans="2:3">
      <c r="B739" s="764"/>
      <c r="C739" s="766"/>
    </row>
    <row r="740" spans="2:3">
      <c r="B740" s="764"/>
      <c r="C740" s="766"/>
    </row>
    <row r="741" spans="2:3">
      <c r="B741" s="764"/>
      <c r="C741" s="766"/>
    </row>
    <row r="742" spans="2:3">
      <c r="B742" s="764"/>
      <c r="C742" s="766"/>
    </row>
    <row r="743" spans="2:3">
      <c r="B743" s="764"/>
      <c r="C743" s="766"/>
    </row>
    <row r="744" spans="2:3">
      <c r="B744" s="764"/>
      <c r="C744" s="766"/>
    </row>
    <row r="745" spans="2:3">
      <c r="B745" s="764"/>
      <c r="C745" s="766"/>
    </row>
    <row r="746" spans="2:3">
      <c r="B746" s="764"/>
      <c r="C746" s="766"/>
    </row>
    <row r="747" spans="2:3">
      <c r="B747" s="764"/>
      <c r="C747" s="766"/>
    </row>
    <row r="748" spans="2:3">
      <c r="B748" s="764"/>
      <c r="C748" s="766"/>
    </row>
    <row r="749" spans="2:3">
      <c r="B749" s="764"/>
      <c r="C749" s="766"/>
    </row>
    <row r="750" spans="2:3">
      <c r="B750" s="764"/>
      <c r="C750" s="766"/>
    </row>
    <row r="751" spans="2:3">
      <c r="B751" s="764"/>
      <c r="C751" s="766"/>
    </row>
    <row r="752" spans="2:3">
      <c r="B752" s="764"/>
      <c r="C752" s="766"/>
    </row>
    <row r="753" spans="2:3">
      <c r="B753" s="764"/>
      <c r="C753" s="766"/>
    </row>
    <row r="754" spans="2:3">
      <c r="B754" s="764"/>
      <c r="C754" s="766"/>
    </row>
    <row r="755" spans="2:3">
      <c r="B755" s="764"/>
      <c r="C755" s="766"/>
    </row>
    <row r="756" spans="2:3">
      <c r="B756" s="764"/>
      <c r="C756" s="766"/>
    </row>
    <row r="757" spans="2:3">
      <c r="B757" s="764"/>
      <c r="C757" s="766"/>
    </row>
    <row r="758" spans="2:3">
      <c r="B758" s="764"/>
      <c r="C758" s="766"/>
    </row>
    <row r="759" spans="2:3">
      <c r="B759" s="764"/>
      <c r="C759" s="766"/>
    </row>
    <row r="760" spans="2:3">
      <c r="B760" s="764"/>
      <c r="C760" s="766"/>
    </row>
    <row r="761" spans="2:3">
      <c r="B761" s="764"/>
      <c r="C761" s="766"/>
    </row>
    <row r="762" spans="2:3">
      <c r="B762" s="764"/>
      <c r="C762" s="766"/>
    </row>
    <row r="763" spans="2:3">
      <c r="B763" s="764"/>
      <c r="C763" s="766"/>
    </row>
    <row r="764" spans="2:3">
      <c r="B764" s="764"/>
      <c r="C764" s="766"/>
    </row>
    <row r="765" spans="2:3">
      <c r="B765" s="764"/>
      <c r="C765" s="766"/>
    </row>
    <row r="766" spans="2:3">
      <c r="B766" s="764"/>
      <c r="C766" s="766"/>
    </row>
    <row r="767" spans="2:3">
      <c r="B767" s="764"/>
      <c r="C767" s="766"/>
    </row>
    <row r="768" spans="2:3">
      <c r="B768" s="764"/>
      <c r="C768" s="766"/>
    </row>
    <row r="769" spans="2:3">
      <c r="B769" s="764"/>
      <c r="C769" s="766"/>
    </row>
    <row r="770" spans="2:3">
      <c r="B770" s="764"/>
      <c r="C770" s="766"/>
    </row>
    <row r="771" spans="2:3">
      <c r="B771" s="764"/>
      <c r="C771" s="766"/>
    </row>
    <row r="772" spans="2:3">
      <c r="B772" s="764"/>
      <c r="C772" s="766"/>
    </row>
    <row r="773" spans="2:3">
      <c r="B773" s="764"/>
      <c r="C773" s="766"/>
    </row>
    <row r="774" spans="2:3">
      <c r="B774" s="764"/>
      <c r="C774" s="766"/>
    </row>
    <row r="775" spans="2:3">
      <c r="B775" s="764"/>
      <c r="C775" s="766"/>
    </row>
    <row r="776" spans="2:3">
      <c r="B776" s="764"/>
      <c r="C776" s="766"/>
    </row>
    <row r="777" spans="2:3">
      <c r="B777" s="765"/>
      <c r="C777" s="766"/>
    </row>
    <row r="778" spans="2:3">
      <c r="B778" s="764"/>
      <c r="C778" s="766"/>
    </row>
    <row r="779" spans="2:3">
      <c r="B779" s="764"/>
      <c r="C779" s="766"/>
    </row>
    <row r="780" spans="2:3">
      <c r="B780" s="764"/>
      <c r="C780" s="766"/>
    </row>
    <row r="781" spans="2:3">
      <c r="B781" s="764"/>
      <c r="C781" s="766"/>
    </row>
    <row r="782" spans="2:3">
      <c r="B782" s="764"/>
      <c r="C782" s="766"/>
    </row>
    <row r="783" spans="2:3">
      <c r="B783" s="764"/>
      <c r="C783" s="766"/>
    </row>
    <row r="784" spans="2:3">
      <c r="B784" s="765"/>
      <c r="C784" s="766"/>
    </row>
    <row r="785" spans="2:3">
      <c r="B785" s="764"/>
      <c r="C785" s="766"/>
    </row>
    <row r="786" spans="2:3">
      <c r="B786" s="764"/>
      <c r="C786" s="766"/>
    </row>
    <row r="787" spans="2:3">
      <c r="B787" s="764"/>
      <c r="C787" s="766"/>
    </row>
    <row r="788" spans="2:3">
      <c r="B788" s="764"/>
      <c r="C788" s="766"/>
    </row>
    <row r="789" spans="2:3">
      <c r="B789" s="764"/>
      <c r="C789" s="766"/>
    </row>
    <row r="790" spans="2:3">
      <c r="B790" s="765"/>
      <c r="C790" s="766"/>
    </row>
    <row r="791" spans="2:3">
      <c r="B791" s="764"/>
      <c r="C791" s="766"/>
    </row>
    <row r="792" spans="2:3">
      <c r="B792" s="764"/>
      <c r="C792" s="766"/>
    </row>
    <row r="793" spans="2:3">
      <c r="B793" s="764"/>
      <c r="C793" s="766"/>
    </row>
    <row r="794" spans="2:3">
      <c r="B794" s="764"/>
      <c r="C794" s="766"/>
    </row>
    <row r="795" spans="2:3">
      <c r="B795" s="764"/>
      <c r="C795" s="766"/>
    </row>
    <row r="796" spans="2:3">
      <c r="B796" s="764"/>
      <c r="C796" s="766"/>
    </row>
    <row r="797" spans="2:3">
      <c r="B797" s="765"/>
      <c r="C797" s="766"/>
    </row>
    <row r="798" spans="2:3">
      <c r="B798" s="764"/>
      <c r="C798" s="766"/>
    </row>
    <row r="799" spans="2:3">
      <c r="B799" s="764"/>
      <c r="C799" s="766"/>
    </row>
    <row r="800" spans="2:3">
      <c r="B800" s="764"/>
      <c r="C800" s="766"/>
    </row>
    <row r="801" spans="2:3">
      <c r="B801" s="764"/>
      <c r="C801" s="766"/>
    </row>
    <row r="802" spans="2:3">
      <c r="B802" s="764"/>
      <c r="C802" s="766"/>
    </row>
    <row r="803" spans="2:3">
      <c r="B803" s="764"/>
      <c r="C803" s="766"/>
    </row>
    <row r="804" spans="2:3">
      <c r="B804" s="764"/>
      <c r="C804" s="766"/>
    </row>
    <row r="805" spans="2:3">
      <c r="B805" s="764"/>
      <c r="C805" s="766"/>
    </row>
    <row r="806" spans="2:3">
      <c r="B806" s="764"/>
      <c r="C806" s="766"/>
    </row>
    <row r="807" spans="2:3">
      <c r="B807" s="764"/>
      <c r="C807" s="766"/>
    </row>
    <row r="808" spans="2:3">
      <c r="B808" s="764"/>
      <c r="C808" s="766"/>
    </row>
    <row r="809" spans="2:3">
      <c r="B809" s="764"/>
      <c r="C809" s="766"/>
    </row>
    <row r="810" spans="2:3">
      <c r="B810" s="764"/>
      <c r="C810" s="766"/>
    </row>
    <row r="811" spans="2:3">
      <c r="B811" s="764"/>
      <c r="C811" s="766"/>
    </row>
    <row r="812" spans="2:3">
      <c r="B812" s="764"/>
      <c r="C812" s="766"/>
    </row>
    <row r="813" spans="2:3">
      <c r="B813" s="764"/>
      <c r="C813" s="766"/>
    </row>
    <row r="814" spans="2:3">
      <c r="B814" s="765"/>
      <c r="C814" s="766"/>
    </row>
    <row r="815" spans="2:3">
      <c r="B815" s="764"/>
      <c r="C815" s="766"/>
    </row>
    <row r="816" spans="2:3">
      <c r="B816" s="764"/>
      <c r="C816" s="766"/>
    </row>
    <row r="817" spans="2:3">
      <c r="B817" s="764"/>
      <c r="C817" s="766"/>
    </row>
    <row r="818" spans="2:3">
      <c r="B818" s="764"/>
      <c r="C818" s="766"/>
    </row>
    <row r="819" spans="2:3">
      <c r="B819" s="764"/>
      <c r="C819" s="766"/>
    </row>
    <row r="820" spans="2:3">
      <c r="B820" s="765"/>
      <c r="C820" s="766"/>
    </row>
    <row r="821" spans="2:3">
      <c r="B821" s="764"/>
      <c r="C821" s="766"/>
    </row>
    <row r="822" spans="2:3">
      <c r="B822" s="764"/>
      <c r="C822" s="766"/>
    </row>
    <row r="823" spans="2:3">
      <c r="B823" s="764"/>
      <c r="C823" s="766"/>
    </row>
    <row r="824" spans="2:3">
      <c r="B824" s="764"/>
      <c r="C824" s="766"/>
    </row>
    <row r="825" spans="2:3">
      <c r="B825" s="764"/>
      <c r="C825" s="766"/>
    </row>
    <row r="826" spans="2:3">
      <c r="B826" s="764"/>
      <c r="C826" s="766"/>
    </row>
    <row r="827" spans="2:3">
      <c r="B827" s="764"/>
      <c r="C827" s="766"/>
    </row>
    <row r="828" spans="2:3">
      <c r="B828" s="765"/>
      <c r="C828" s="766"/>
    </row>
    <row r="829" spans="2:3">
      <c r="B829" s="764"/>
      <c r="C829" s="766"/>
    </row>
    <row r="830" spans="2:3">
      <c r="B830" s="764"/>
      <c r="C830" s="766"/>
    </row>
    <row r="831" spans="2:3">
      <c r="B831" s="764"/>
      <c r="C831" s="766"/>
    </row>
    <row r="832" spans="2:3">
      <c r="B832" s="764"/>
      <c r="C832" s="766"/>
    </row>
    <row r="833" spans="2:3">
      <c r="B833" s="764"/>
      <c r="C833" s="766"/>
    </row>
    <row r="834" spans="2:3">
      <c r="B834" s="764"/>
      <c r="C834" s="766"/>
    </row>
    <row r="835" spans="2:3">
      <c r="B835" s="765"/>
      <c r="C835" s="766"/>
    </row>
    <row r="836" spans="2:3">
      <c r="B836" s="764"/>
      <c r="C836" s="766"/>
    </row>
    <row r="837" spans="2:3">
      <c r="B837" s="764"/>
      <c r="C837" s="766"/>
    </row>
    <row r="838" spans="2:3">
      <c r="B838" s="764"/>
      <c r="C838" s="766"/>
    </row>
    <row r="839" spans="2:3">
      <c r="B839" s="764"/>
      <c r="C839" s="766"/>
    </row>
    <row r="840" spans="2:3">
      <c r="B840" s="764"/>
      <c r="C840" s="766"/>
    </row>
    <row r="841" spans="2:3">
      <c r="B841" s="764"/>
      <c r="C841" s="766"/>
    </row>
    <row r="842" spans="2:3">
      <c r="B842" s="764"/>
      <c r="C842" s="766"/>
    </row>
    <row r="843" spans="2:3">
      <c r="B843" s="764"/>
      <c r="C843" s="766"/>
    </row>
    <row r="844" spans="2:3">
      <c r="B844" s="764"/>
      <c r="C844" s="766"/>
    </row>
    <row r="845" spans="2:3">
      <c r="B845" s="764"/>
      <c r="C845" s="766"/>
    </row>
    <row r="846" spans="2:3">
      <c r="B846" s="764"/>
      <c r="C846" s="766"/>
    </row>
    <row r="847" spans="2:3">
      <c r="B847" s="764"/>
      <c r="C847" s="766"/>
    </row>
    <row r="848" spans="2:3">
      <c r="B848" s="764"/>
      <c r="C848" s="766"/>
    </row>
    <row r="849" spans="2:3">
      <c r="B849" s="764"/>
      <c r="C849" s="766"/>
    </row>
    <row r="850" spans="2:3">
      <c r="B850" s="764"/>
      <c r="C850" s="766"/>
    </row>
    <row r="851" spans="2:3">
      <c r="B851" s="764"/>
      <c r="C851" s="766"/>
    </row>
    <row r="852" spans="2:3">
      <c r="B852" s="765"/>
      <c r="C852" s="766"/>
    </row>
    <row r="853" spans="2:3">
      <c r="B853" s="764"/>
      <c r="C853" s="766"/>
    </row>
    <row r="854" spans="2:3">
      <c r="B854" s="764"/>
      <c r="C854" s="766"/>
    </row>
    <row r="855" spans="2:3">
      <c r="B855" s="764"/>
      <c r="C855" s="766"/>
    </row>
    <row r="856" spans="2:3">
      <c r="B856" s="764"/>
      <c r="C856" s="766"/>
    </row>
    <row r="857" spans="2:3">
      <c r="B857" s="764"/>
      <c r="C857" s="766"/>
    </row>
    <row r="858" spans="2:3">
      <c r="B858" s="765"/>
      <c r="C858" s="766"/>
    </row>
    <row r="859" spans="2:3">
      <c r="B859" s="764"/>
      <c r="C859" s="766"/>
    </row>
    <row r="860" spans="2:3">
      <c r="B860" s="764"/>
      <c r="C860" s="766"/>
    </row>
    <row r="861" spans="2:3">
      <c r="B861" s="764"/>
      <c r="C861" s="766"/>
    </row>
    <row r="862" spans="2:3">
      <c r="B862" s="764"/>
      <c r="C862" s="766"/>
    </row>
    <row r="863" spans="2:3">
      <c r="B863" s="764"/>
      <c r="C863" s="766"/>
    </row>
    <row r="864" spans="2:3">
      <c r="B864" s="764"/>
      <c r="C864" s="766"/>
    </row>
    <row r="865" spans="2:3">
      <c r="B865" s="765"/>
      <c r="C865" s="766"/>
    </row>
    <row r="866" spans="2:3">
      <c r="B866" s="764"/>
      <c r="C866" s="766"/>
    </row>
    <row r="867" spans="2:3">
      <c r="B867" s="764"/>
      <c r="C867" s="766"/>
    </row>
    <row r="868" spans="2:3">
      <c r="B868" s="764"/>
      <c r="C868" s="766"/>
    </row>
    <row r="869" spans="2:3">
      <c r="B869" s="764"/>
      <c r="C869" s="766"/>
    </row>
    <row r="870" spans="2:3">
      <c r="B870" s="764"/>
      <c r="C870" s="766"/>
    </row>
    <row r="871" spans="2:3">
      <c r="B871" s="764"/>
      <c r="C871" s="766"/>
    </row>
    <row r="872" spans="2:3">
      <c r="B872" s="764"/>
      <c r="C872" s="766"/>
    </row>
    <row r="873" spans="2:3">
      <c r="B873" s="764"/>
      <c r="C873" s="766"/>
    </row>
    <row r="874" spans="2:3">
      <c r="B874" s="764"/>
      <c r="C874" s="766"/>
    </row>
    <row r="875" spans="2:3">
      <c r="B875" s="764"/>
      <c r="C875" s="766"/>
    </row>
    <row r="876" spans="2:3">
      <c r="B876" s="764"/>
      <c r="C876" s="766"/>
    </row>
    <row r="877" spans="2:3">
      <c r="B877" s="764"/>
      <c r="C877" s="766"/>
    </row>
    <row r="878" spans="2:3">
      <c r="B878" s="764"/>
      <c r="C878" s="766"/>
    </row>
    <row r="879" spans="2:3">
      <c r="B879" s="764"/>
      <c r="C879" s="766"/>
    </row>
    <row r="880" spans="2:3">
      <c r="B880" s="764"/>
      <c r="C880" s="766"/>
    </row>
    <row r="881" spans="2:3">
      <c r="B881" s="764"/>
      <c r="C881" s="766"/>
    </row>
    <row r="882" spans="2:3">
      <c r="B882" s="764"/>
      <c r="C882" s="766"/>
    </row>
    <row r="883" spans="2:3">
      <c r="B883" s="764"/>
      <c r="C883" s="766"/>
    </row>
    <row r="884" spans="2:3">
      <c r="B884" s="764"/>
      <c r="C884" s="766"/>
    </row>
    <row r="885" spans="2:3">
      <c r="B885" s="764"/>
      <c r="C885" s="766"/>
    </row>
    <row r="886" spans="2:3">
      <c r="B886" s="764"/>
      <c r="C886" s="766"/>
    </row>
    <row r="887" spans="2:3">
      <c r="B887" s="764"/>
      <c r="C887" s="766"/>
    </row>
    <row r="888" spans="2:3">
      <c r="B888" s="764"/>
      <c r="C888" s="766"/>
    </row>
    <row r="889" spans="2:3">
      <c r="B889" s="764"/>
      <c r="C889" s="766"/>
    </row>
    <row r="890" spans="2:3">
      <c r="B890" s="764"/>
      <c r="C890" s="766"/>
    </row>
    <row r="891" spans="2:3">
      <c r="B891" s="764"/>
      <c r="C891" s="766"/>
    </row>
    <row r="892" spans="2:3">
      <c r="B892" s="764"/>
      <c r="C892" s="766"/>
    </row>
    <row r="893" spans="2:3">
      <c r="B893" s="764"/>
      <c r="C893" s="766"/>
    </row>
    <row r="894" spans="2:3">
      <c r="B894" s="764"/>
      <c r="C894" s="766"/>
    </row>
    <row r="895" spans="2:3">
      <c r="B895" s="764"/>
      <c r="C895" s="766"/>
    </row>
    <row r="896" spans="2:3">
      <c r="B896" s="764"/>
      <c r="C896" s="766"/>
    </row>
    <row r="897" spans="2:3">
      <c r="B897" s="764"/>
      <c r="C897" s="766"/>
    </row>
    <row r="898" spans="2:3">
      <c r="B898" s="764"/>
      <c r="C898" s="766"/>
    </row>
    <row r="899" spans="2:3">
      <c r="B899" s="764"/>
      <c r="C899" s="766"/>
    </row>
    <row r="900" spans="2:3">
      <c r="B900" s="764"/>
      <c r="C900" s="766"/>
    </row>
    <row r="901" spans="2:3">
      <c r="B901" s="764"/>
      <c r="C901" s="766"/>
    </row>
    <row r="902" spans="2:3">
      <c r="B902" s="764"/>
      <c r="C902" s="766"/>
    </row>
    <row r="903" spans="2:3">
      <c r="B903" s="764"/>
      <c r="C903" s="766"/>
    </row>
    <row r="904" spans="2:3">
      <c r="B904" s="764"/>
      <c r="C904" s="766"/>
    </row>
    <row r="905" spans="2:3">
      <c r="B905" s="764"/>
      <c r="C905" s="766"/>
    </row>
    <row r="906" spans="2:3">
      <c r="B906" s="764"/>
      <c r="C906" s="766"/>
    </row>
    <row r="907" spans="2:3">
      <c r="B907" s="764"/>
      <c r="C907" s="766"/>
    </row>
    <row r="908" spans="2:3">
      <c r="B908" s="764"/>
      <c r="C908" s="766"/>
    </row>
    <row r="909" spans="2:3">
      <c r="B909" s="764"/>
      <c r="C909" s="766"/>
    </row>
    <row r="910" spans="2:3">
      <c r="B910" s="764"/>
      <c r="C910" s="766"/>
    </row>
    <row r="911" spans="2:3">
      <c r="B911" s="764"/>
      <c r="C911" s="766"/>
    </row>
    <row r="912" spans="2:3">
      <c r="B912" s="764"/>
      <c r="C912" s="766"/>
    </row>
    <row r="913" spans="2:3">
      <c r="B913" s="764"/>
      <c r="C913" s="766"/>
    </row>
    <row r="914" spans="2:3">
      <c r="B914" s="764"/>
      <c r="C914" s="766"/>
    </row>
    <row r="915" spans="2:3">
      <c r="B915" s="764"/>
      <c r="C915" s="766"/>
    </row>
    <row r="916" spans="2:3">
      <c r="B916" s="764"/>
      <c r="C916" s="766"/>
    </row>
    <row r="917" spans="2:3">
      <c r="B917" s="764"/>
      <c r="C917" s="766"/>
    </row>
    <row r="918" spans="2:3">
      <c r="B918" s="764"/>
      <c r="C918" s="766"/>
    </row>
    <row r="919" spans="2:3">
      <c r="B919" s="764"/>
      <c r="C919" s="766"/>
    </row>
    <row r="920" spans="2:3">
      <c r="B920" s="764"/>
      <c r="C920" s="766"/>
    </row>
    <row r="921" spans="2:3">
      <c r="B921" s="764"/>
      <c r="C921" s="766"/>
    </row>
    <row r="922" spans="2:3">
      <c r="B922" s="764"/>
      <c r="C922" s="766"/>
    </row>
    <row r="923" spans="2:3">
      <c r="B923" s="764"/>
      <c r="C923" s="766"/>
    </row>
    <row r="924" spans="2:3">
      <c r="B924" s="764"/>
      <c r="C924" s="766"/>
    </row>
    <row r="925" spans="2:3">
      <c r="B925" s="764"/>
      <c r="C925" s="766"/>
    </row>
    <row r="926" spans="2:3">
      <c r="B926" s="764"/>
      <c r="C926" s="766"/>
    </row>
    <row r="927" spans="2:3">
      <c r="B927" s="764"/>
      <c r="C927" s="766"/>
    </row>
    <row r="928" spans="2:3">
      <c r="B928" s="764"/>
      <c r="C928" s="766"/>
    </row>
    <row r="929" spans="2:3">
      <c r="B929" s="764"/>
      <c r="C929" s="766"/>
    </row>
    <row r="930" spans="2:3">
      <c r="B930" s="764"/>
      <c r="C930" s="766"/>
    </row>
    <row r="931" spans="2:3">
      <c r="B931" s="764"/>
      <c r="C931" s="766"/>
    </row>
    <row r="932" spans="2:3">
      <c r="B932" s="764"/>
      <c r="C932" s="766"/>
    </row>
    <row r="933" spans="2:3">
      <c r="B933" s="764"/>
      <c r="C933" s="766"/>
    </row>
    <row r="934" spans="2:3">
      <c r="B934" s="764"/>
      <c r="C934" s="766"/>
    </row>
    <row r="935" spans="2:3">
      <c r="B935" s="764"/>
      <c r="C935" s="766"/>
    </row>
    <row r="936" spans="2:3">
      <c r="B936" s="764"/>
      <c r="C936" s="766"/>
    </row>
    <row r="937" spans="2:3">
      <c r="B937" s="764"/>
      <c r="C937" s="766"/>
    </row>
    <row r="938" spans="2:3">
      <c r="B938" s="764"/>
      <c r="C938" s="766"/>
    </row>
    <row r="939" spans="2:3">
      <c r="B939" s="764"/>
      <c r="C939" s="766"/>
    </row>
    <row r="940" spans="2:3">
      <c r="B940" s="764"/>
      <c r="C940" s="766"/>
    </row>
    <row r="941" spans="2:3">
      <c r="B941" s="764"/>
      <c r="C941" s="766"/>
    </row>
    <row r="942" spans="2:3">
      <c r="B942" s="764"/>
      <c r="C942" s="766"/>
    </row>
    <row r="943" spans="2:3">
      <c r="B943" s="764"/>
      <c r="C943" s="766"/>
    </row>
    <row r="944" spans="2:3">
      <c r="B944" s="764"/>
      <c r="C944" s="766"/>
    </row>
    <row r="945" spans="2:3">
      <c r="B945" s="764"/>
      <c r="C945" s="766"/>
    </row>
    <row r="946" spans="2:3">
      <c r="B946" s="764"/>
      <c r="C946" s="766"/>
    </row>
    <row r="947" spans="2:3">
      <c r="B947" s="764"/>
      <c r="C947" s="766"/>
    </row>
    <row r="948" spans="2:3">
      <c r="B948" s="764"/>
      <c r="C948" s="766"/>
    </row>
    <row r="949" spans="2:3">
      <c r="B949" s="764"/>
      <c r="C949" s="766"/>
    </row>
    <row r="950" spans="2:3">
      <c r="B950" s="764"/>
      <c r="C950" s="766"/>
    </row>
    <row r="951" spans="2:3">
      <c r="B951" s="764"/>
      <c r="C951" s="766"/>
    </row>
    <row r="952" spans="2:3">
      <c r="B952" s="764"/>
      <c r="C952" s="766"/>
    </row>
    <row r="953" spans="2:3">
      <c r="B953" s="764"/>
      <c r="C953" s="766"/>
    </row>
    <row r="954" spans="2:3">
      <c r="B954" s="764"/>
      <c r="C954" s="766"/>
    </row>
    <row r="955" spans="2:3">
      <c r="B955" s="764"/>
      <c r="C955" s="766"/>
    </row>
    <row r="956" spans="2:3">
      <c r="B956" s="764"/>
      <c r="C956" s="766"/>
    </row>
    <row r="957" spans="2:3">
      <c r="B957" s="764"/>
      <c r="C957" s="766"/>
    </row>
    <row r="958" spans="2:3">
      <c r="B958" s="764"/>
      <c r="C958" s="766"/>
    </row>
    <row r="959" spans="2:3">
      <c r="B959" s="764"/>
      <c r="C959" s="766"/>
    </row>
    <row r="960" spans="2:3">
      <c r="B960" s="764"/>
      <c r="C960" s="766"/>
    </row>
    <row r="961" spans="2:3">
      <c r="B961" s="764"/>
      <c r="C961" s="766"/>
    </row>
    <row r="962" spans="2:3">
      <c r="B962" s="764"/>
      <c r="C962" s="766"/>
    </row>
    <row r="963" spans="2:3">
      <c r="B963" s="764"/>
      <c r="C963" s="766"/>
    </row>
    <row r="964" spans="2:3">
      <c r="B964" s="764"/>
      <c r="C964" s="766"/>
    </row>
    <row r="965" spans="2:3">
      <c r="B965" s="764"/>
      <c r="C965" s="766"/>
    </row>
    <row r="966" spans="2:3">
      <c r="B966" s="764"/>
      <c r="C966" s="766"/>
    </row>
    <row r="967" spans="2:3">
      <c r="B967" s="764"/>
      <c r="C967" s="766"/>
    </row>
    <row r="968" spans="2:3">
      <c r="B968" s="764"/>
      <c r="C968" s="766"/>
    </row>
    <row r="969" spans="2:3">
      <c r="B969" s="764"/>
      <c r="C969" s="766"/>
    </row>
    <row r="970" spans="2:3">
      <c r="B970" s="764"/>
      <c r="C970" s="766"/>
    </row>
    <row r="971" spans="2:3">
      <c r="B971" s="764"/>
      <c r="C971" s="766"/>
    </row>
    <row r="972" spans="2:3">
      <c r="B972" s="764"/>
      <c r="C972" s="766"/>
    </row>
    <row r="973" spans="2:3">
      <c r="B973" s="764"/>
      <c r="C973" s="766"/>
    </row>
    <row r="974" spans="2:3">
      <c r="B974" s="764"/>
      <c r="C974" s="766"/>
    </row>
    <row r="975" spans="2:3">
      <c r="B975" s="764"/>
      <c r="C975" s="766"/>
    </row>
    <row r="976" spans="2:3">
      <c r="B976" s="764"/>
      <c r="C976" s="766"/>
    </row>
    <row r="977" spans="2:3">
      <c r="B977" s="764"/>
      <c r="C977" s="766"/>
    </row>
    <row r="978" spans="2:3">
      <c r="B978" s="764"/>
      <c r="C978" s="766"/>
    </row>
    <row r="979" spans="2:3">
      <c r="B979" s="764"/>
      <c r="C979" s="766"/>
    </row>
    <row r="980" spans="2:3">
      <c r="B980" s="764"/>
      <c r="C980" s="766"/>
    </row>
    <row r="981" spans="2:3">
      <c r="B981" s="764"/>
      <c r="C981" s="766"/>
    </row>
    <row r="982" spans="2:3">
      <c r="B982" s="764"/>
      <c r="C982" s="766"/>
    </row>
    <row r="983" spans="2:3">
      <c r="B983" s="764"/>
      <c r="C983" s="766"/>
    </row>
    <row r="984" spans="2:3">
      <c r="B984" s="764"/>
      <c r="C984" s="766"/>
    </row>
    <row r="985" spans="2:3">
      <c r="B985" s="764"/>
      <c r="C985" s="766"/>
    </row>
    <row r="986" spans="2:3">
      <c r="B986" s="764"/>
      <c r="C986" s="766"/>
    </row>
    <row r="987" spans="2:3">
      <c r="B987" s="764"/>
      <c r="C987" s="766"/>
    </row>
    <row r="988" spans="2:3">
      <c r="B988" s="764"/>
      <c r="C988" s="766"/>
    </row>
    <row r="989" spans="2:3">
      <c r="B989" s="764"/>
      <c r="C989" s="766"/>
    </row>
    <row r="990" spans="2:3">
      <c r="B990" s="764"/>
      <c r="C990" s="766"/>
    </row>
    <row r="991" spans="2:3">
      <c r="B991" s="764"/>
      <c r="C991" s="766"/>
    </row>
    <row r="992" spans="2:3">
      <c r="B992" s="764"/>
      <c r="C992" s="766"/>
    </row>
    <row r="993" spans="2:3">
      <c r="B993" s="764"/>
      <c r="C993" s="766"/>
    </row>
    <row r="994" spans="2:3">
      <c r="B994" s="764"/>
      <c r="C994" s="766"/>
    </row>
    <row r="995" spans="2:3">
      <c r="B995" s="764"/>
      <c r="C995" s="766"/>
    </row>
    <row r="996" spans="2:3">
      <c r="B996" s="764"/>
      <c r="C996" s="766"/>
    </row>
    <row r="997" spans="2:3">
      <c r="B997" s="764"/>
      <c r="C997" s="766"/>
    </row>
    <row r="998" spans="2:3">
      <c r="B998" s="764"/>
      <c r="C998" s="766"/>
    </row>
    <row r="999" spans="2:3">
      <c r="B999" s="764"/>
      <c r="C999" s="766"/>
    </row>
    <row r="1000" spans="2:3">
      <c r="B1000" s="764"/>
      <c r="C1000" s="766"/>
    </row>
    <row r="1001" spans="2:3">
      <c r="B1001" s="764"/>
      <c r="C1001" s="766"/>
    </row>
    <row r="1002" spans="2:3">
      <c r="B1002" s="764"/>
      <c r="C1002" s="766"/>
    </row>
    <row r="1003" spans="2:3">
      <c r="B1003" s="764"/>
      <c r="C1003" s="766"/>
    </row>
    <row r="1004" spans="2:3">
      <c r="B1004" s="764"/>
      <c r="C1004" s="766"/>
    </row>
    <row r="1005" spans="2:3">
      <c r="B1005" s="764"/>
      <c r="C1005" s="766"/>
    </row>
    <row r="1006" spans="2:3">
      <c r="B1006" s="764"/>
      <c r="C1006" s="766"/>
    </row>
    <row r="1007" spans="2:3">
      <c r="B1007" s="764"/>
      <c r="C1007" s="766"/>
    </row>
    <row r="1008" spans="2:3">
      <c r="B1008" s="764"/>
      <c r="C1008" s="766"/>
    </row>
    <row r="1009" spans="2:3">
      <c r="B1009" s="764"/>
      <c r="C1009" s="766"/>
    </row>
    <row r="1010" spans="2:3">
      <c r="B1010" s="764"/>
      <c r="C1010" s="766"/>
    </row>
    <row r="1011" spans="2:3">
      <c r="B1011" s="764"/>
      <c r="C1011" s="766"/>
    </row>
    <row r="1012" spans="2:3">
      <c r="B1012" s="764"/>
      <c r="C1012" s="766"/>
    </row>
    <row r="1013" spans="2:3">
      <c r="B1013" s="764"/>
      <c r="C1013" s="766"/>
    </row>
    <row r="1014" spans="2:3">
      <c r="B1014" s="764"/>
      <c r="C1014" s="766"/>
    </row>
    <row r="1015" spans="2:3">
      <c r="B1015" s="764"/>
      <c r="C1015" s="766"/>
    </row>
    <row r="1016" spans="2:3">
      <c r="B1016" s="764"/>
      <c r="C1016" s="766"/>
    </row>
    <row r="1017" spans="2:3">
      <c r="B1017" s="764"/>
      <c r="C1017" s="766"/>
    </row>
    <row r="1018" spans="2:3">
      <c r="B1018" s="764"/>
      <c r="C1018" s="766"/>
    </row>
    <row r="1019" spans="2:3">
      <c r="B1019" s="764"/>
      <c r="C1019" s="766"/>
    </row>
    <row r="1020" spans="2:3">
      <c r="B1020" s="764"/>
      <c r="C1020" s="766"/>
    </row>
    <row r="1021" spans="2:3">
      <c r="B1021" s="764"/>
      <c r="C1021" s="766"/>
    </row>
    <row r="1022" spans="2:3">
      <c r="B1022" s="764"/>
      <c r="C1022" s="766"/>
    </row>
    <row r="1023" spans="2:3">
      <c r="B1023" s="764"/>
      <c r="C1023" s="766"/>
    </row>
    <row r="1024" spans="2:3">
      <c r="B1024" s="764"/>
      <c r="C1024" s="766"/>
    </row>
    <row r="1025" spans="2:3">
      <c r="B1025" s="764"/>
      <c r="C1025" s="766"/>
    </row>
    <row r="1026" spans="2:3">
      <c r="B1026" s="764"/>
      <c r="C1026" s="766"/>
    </row>
    <row r="1027" spans="2:3">
      <c r="B1027" s="764"/>
      <c r="C1027" s="766"/>
    </row>
    <row r="1028" spans="2:3">
      <c r="B1028" s="764"/>
      <c r="C1028" s="766"/>
    </row>
    <row r="1029" spans="2:3">
      <c r="B1029" s="764"/>
      <c r="C1029" s="766"/>
    </row>
    <row r="1030" spans="2:3">
      <c r="B1030" s="764"/>
      <c r="C1030" s="766"/>
    </row>
    <row r="1031" spans="2:3">
      <c r="B1031" s="764"/>
      <c r="C1031" s="766"/>
    </row>
    <row r="1032" spans="2:3">
      <c r="B1032" s="764"/>
      <c r="C1032" s="766"/>
    </row>
    <row r="1033" spans="2:3">
      <c r="B1033" s="764"/>
      <c r="C1033" s="766"/>
    </row>
    <row r="1034" spans="2:3">
      <c r="B1034" s="764"/>
      <c r="C1034" s="766"/>
    </row>
    <row r="1035" spans="2:3">
      <c r="B1035" s="764"/>
      <c r="C1035" s="766"/>
    </row>
    <row r="1036" spans="2:3">
      <c r="B1036" s="764"/>
      <c r="C1036" s="766"/>
    </row>
    <row r="1037" spans="2:3">
      <c r="B1037" s="764"/>
      <c r="C1037" s="766"/>
    </row>
    <row r="1038" spans="2:3">
      <c r="B1038" s="764"/>
      <c r="C1038" s="766"/>
    </row>
    <row r="1039" spans="2:3">
      <c r="B1039" s="764"/>
      <c r="C1039" s="766"/>
    </row>
    <row r="1040" spans="2:3">
      <c r="B1040" s="764"/>
      <c r="C1040" s="766"/>
    </row>
    <row r="1041" spans="2:3">
      <c r="B1041" s="764"/>
      <c r="C1041" s="766"/>
    </row>
    <row r="1042" spans="2:3">
      <c r="B1042" s="764"/>
      <c r="C1042" s="766"/>
    </row>
    <row r="1043" spans="2:3">
      <c r="B1043" s="764"/>
      <c r="C1043" s="766"/>
    </row>
    <row r="1044" spans="2:3">
      <c r="B1044" s="764"/>
      <c r="C1044" s="766"/>
    </row>
    <row r="1045" spans="2:3">
      <c r="B1045" s="764"/>
      <c r="C1045" s="766"/>
    </row>
    <row r="1046" spans="2:3">
      <c r="B1046" s="764"/>
      <c r="C1046" s="766"/>
    </row>
    <row r="1047" spans="2:3">
      <c r="B1047" s="764"/>
      <c r="C1047" s="766"/>
    </row>
    <row r="1048" spans="2:3">
      <c r="B1048" s="764"/>
      <c r="C1048" s="766"/>
    </row>
    <row r="1049" spans="2:3">
      <c r="B1049" s="764"/>
      <c r="C1049" s="766"/>
    </row>
    <row r="1050" spans="2:3">
      <c r="B1050" s="764"/>
      <c r="C1050" s="766"/>
    </row>
    <row r="1051" spans="2:3">
      <c r="B1051" s="764"/>
      <c r="C1051" s="766"/>
    </row>
    <row r="1052" spans="2:3">
      <c r="B1052" s="764"/>
      <c r="C1052" s="766"/>
    </row>
    <row r="1053" spans="2:3">
      <c r="B1053" s="764"/>
      <c r="C1053" s="766"/>
    </row>
    <row r="1054" spans="2:3">
      <c r="B1054" s="764"/>
      <c r="C1054" s="766"/>
    </row>
    <row r="1055" spans="2:3">
      <c r="B1055" s="764"/>
      <c r="C1055" s="766"/>
    </row>
    <row r="1056" spans="2:3">
      <c r="B1056" s="764"/>
      <c r="C1056" s="766"/>
    </row>
    <row r="1057" spans="2:3">
      <c r="B1057" s="764"/>
      <c r="C1057" s="766"/>
    </row>
    <row r="1058" spans="2:3">
      <c r="B1058" s="764"/>
      <c r="C1058" s="766"/>
    </row>
    <row r="1059" spans="2:3">
      <c r="B1059" s="764"/>
      <c r="C1059" s="766"/>
    </row>
    <row r="1060" spans="2:3">
      <c r="B1060" s="764"/>
      <c r="C1060" s="766"/>
    </row>
    <row r="1061" spans="2:3">
      <c r="B1061" s="764"/>
      <c r="C1061" s="766"/>
    </row>
    <row r="1062" spans="2:3">
      <c r="B1062" s="764"/>
      <c r="C1062" s="766"/>
    </row>
    <row r="1063" spans="2:3">
      <c r="B1063" s="764"/>
      <c r="C1063" s="766"/>
    </row>
    <row r="1064" spans="2:3">
      <c r="B1064" s="764"/>
      <c r="C1064" s="766"/>
    </row>
    <row r="1065" spans="2:3">
      <c r="B1065" s="764"/>
      <c r="C1065" s="766"/>
    </row>
    <row r="1066" spans="2:3">
      <c r="B1066" s="764"/>
      <c r="C1066" s="766"/>
    </row>
    <row r="1067" spans="2:3">
      <c r="B1067" s="764"/>
      <c r="C1067" s="766"/>
    </row>
    <row r="1068" spans="2:3">
      <c r="B1068" s="764"/>
      <c r="C1068" s="766"/>
    </row>
    <row r="1069" spans="2:3">
      <c r="B1069" s="764"/>
      <c r="C1069" s="766"/>
    </row>
    <row r="1070" spans="2:3">
      <c r="B1070" s="764"/>
      <c r="C1070" s="766"/>
    </row>
    <row r="1071" spans="2:3">
      <c r="B1071" s="764"/>
      <c r="C1071" s="766"/>
    </row>
    <row r="1072" spans="2:3">
      <c r="B1072" s="764"/>
      <c r="C1072" s="766"/>
    </row>
    <row r="1073" spans="2:3">
      <c r="B1073" s="764"/>
      <c r="C1073" s="766"/>
    </row>
    <row r="1074" spans="2:3">
      <c r="B1074" s="764"/>
      <c r="C1074" s="766"/>
    </row>
    <row r="1075" spans="2:3">
      <c r="B1075" s="764"/>
      <c r="C1075" s="766"/>
    </row>
    <row r="1076" spans="2:3">
      <c r="B1076" s="764"/>
      <c r="C1076" s="766"/>
    </row>
    <row r="1077" spans="2:3">
      <c r="B1077" s="764"/>
      <c r="C1077" s="766"/>
    </row>
    <row r="1078" spans="2:3">
      <c r="B1078" s="764"/>
      <c r="C1078" s="766"/>
    </row>
    <row r="1079" spans="2:3">
      <c r="B1079" s="764"/>
      <c r="C1079" s="766"/>
    </row>
    <row r="1080" spans="2:3">
      <c r="B1080" s="764"/>
      <c r="C1080" s="766"/>
    </row>
    <row r="1081" spans="2:3">
      <c r="B1081" s="764"/>
      <c r="C1081" s="766"/>
    </row>
    <row r="1082" spans="2:3">
      <c r="B1082" s="764"/>
      <c r="C1082" s="766"/>
    </row>
    <row r="1083" spans="2:3">
      <c r="B1083" s="764"/>
      <c r="C1083" s="766"/>
    </row>
    <row r="1084" spans="2:3">
      <c r="B1084" s="764"/>
      <c r="C1084" s="766"/>
    </row>
    <row r="1085" spans="2:3">
      <c r="B1085" s="764"/>
      <c r="C1085" s="766"/>
    </row>
    <row r="1086" spans="2:3">
      <c r="B1086" s="764"/>
      <c r="C1086" s="766"/>
    </row>
    <row r="1087" spans="2:3">
      <c r="B1087" s="764"/>
      <c r="C1087" s="766"/>
    </row>
    <row r="1088" spans="2:3">
      <c r="B1088" s="764"/>
      <c r="C1088" s="766"/>
    </row>
    <row r="1089" spans="2:3">
      <c r="B1089" s="764"/>
      <c r="C1089" s="766"/>
    </row>
    <row r="1090" spans="2:3">
      <c r="B1090" s="764"/>
      <c r="C1090" s="766"/>
    </row>
    <row r="1091" spans="2:3">
      <c r="B1091" s="764"/>
      <c r="C1091" s="766"/>
    </row>
    <row r="1092" spans="2:3">
      <c r="B1092" s="764"/>
      <c r="C1092" s="766"/>
    </row>
    <row r="1093" spans="2:3">
      <c r="B1093" s="764"/>
      <c r="C1093" s="766"/>
    </row>
    <row r="1094" spans="2:3">
      <c r="B1094" s="764"/>
      <c r="C1094" s="766"/>
    </row>
    <row r="1095" spans="2:3">
      <c r="B1095" s="764"/>
      <c r="C1095" s="766"/>
    </row>
    <row r="1096" spans="2:3">
      <c r="B1096" s="764"/>
      <c r="C1096" s="766"/>
    </row>
    <row r="1097" spans="2:3">
      <c r="B1097" s="764"/>
      <c r="C1097" s="766"/>
    </row>
    <row r="1098" spans="2:3">
      <c r="B1098" s="764"/>
      <c r="C1098" s="766"/>
    </row>
    <row r="1099" spans="2:3">
      <c r="B1099" s="764"/>
      <c r="C1099" s="766"/>
    </row>
    <row r="1100" spans="2:3">
      <c r="B1100" s="764"/>
      <c r="C1100" s="766"/>
    </row>
    <row r="1101" spans="2:3">
      <c r="B1101" s="764"/>
      <c r="C1101" s="766"/>
    </row>
    <row r="1102" spans="2:3">
      <c r="B1102" s="764"/>
      <c r="C1102" s="766"/>
    </row>
    <row r="1103" spans="2:3">
      <c r="B1103" s="764"/>
      <c r="C1103" s="766"/>
    </row>
    <row r="1104" spans="2:3">
      <c r="B1104" s="764"/>
      <c r="C1104" s="766"/>
    </row>
    <row r="1105" spans="2:3">
      <c r="B1105" s="764"/>
      <c r="C1105" s="766"/>
    </row>
    <row r="1106" spans="2:3">
      <c r="B1106" s="764"/>
      <c r="C1106" s="766"/>
    </row>
    <row r="1107" spans="2:3">
      <c r="B1107" s="764"/>
      <c r="C1107" s="766"/>
    </row>
    <row r="1108" spans="2:3">
      <c r="B1108" s="764"/>
      <c r="C1108" s="766"/>
    </row>
    <row r="1109" spans="2:3">
      <c r="B1109" s="764"/>
      <c r="C1109" s="766"/>
    </row>
    <row r="1110" spans="2:3">
      <c r="B1110" s="764"/>
      <c r="C1110" s="766"/>
    </row>
    <row r="1111" spans="2:3">
      <c r="B1111" s="764"/>
      <c r="C1111" s="766"/>
    </row>
    <row r="1112" spans="2:3">
      <c r="B1112" s="764"/>
      <c r="C1112" s="766"/>
    </row>
    <row r="1113" spans="2:3">
      <c r="B1113" s="764"/>
      <c r="C1113" s="766"/>
    </row>
    <row r="1114" spans="2:3">
      <c r="B1114" s="764"/>
      <c r="C1114" s="766"/>
    </row>
    <row r="1115" spans="2:3">
      <c r="B1115" s="764"/>
      <c r="C1115" s="766"/>
    </row>
    <row r="1116" spans="2:3">
      <c r="B1116" s="764"/>
      <c r="C1116" s="766"/>
    </row>
    <row r="1117" spans="2:3">
      <c r="B1117" s="764"/>
      <c r="C1117" s="766"/>
    </row>
    <row r="1118" spans="2:3">
      <c r="B1118" s="764"/>
      <c r="C1118" s="766"/>
    </row>
    <row r="1119" spans="2:3">
      <c r="B1119" s="764"/>
      <c r="C1119" s="766"/>
    </row>
    <row r="1120" spans="2:3">
      <c r="B1120" s="764"/>
      <c r="C1120" s="766"/>
    </row>
    <row r="1121" spans="2:3">
      <c r="B1121" s="764"/>
      <c r="C1121" s="766"/>
    </row>
    <row r="1122" spans="2:3">
      <c r="B1122" s="764"/>
      <c r="C1122" s="766"/>
    </row>
    <row r="1123" spans="2:3">
      <c r="B1123" s="764"/>
      <c r="C1123" s="766"/>
    </row>
    <row r="1124" spans="2:3">
      <c r="B1124" s="764"/>
      <c r="C1124" s="766"/>
    </row>
    <row r="1125" spans="2:3">
      <c r="B1125" s="764"/>
      <c r="C1125" s="766"/>
    </row>
    <row r="1126" spans="2:3">
      <c r="B1126" s="764"/>
      <c r="C1126" s="766"/>
    </row>
    <row r="1127" spans="2:3">
      <c r="B1127" s="764"/>
      <c r="C1127" s="766"/>
    </row>
    <row r="1128" spans="2:3">
      <c r="B1128" s="764"/>
      <c r="C1128" s="766"/>
    </row>
    <row r="1129" spans="2:3">
      <c r="B1129" s="764"/>
      <c r="C1129" s="766"/>
    </row>
    <row r="1130" spans="2:3">
      <c r="B1130" s="764"/>
      <c r="C1130" s="766"/>
    </row>
    <row r="1131" spans="2:3">
      <c r="B1131" s="764"/>
      <c r="C1131" s="766"/>
    </row>
    <row r="1132" spans="2:3">
      <c r="B1132" s="764"/>
      <c r="C1132" s="766"/>
    </row>
    <row r="1133" spans="2:3">
      <c r="B1133" s="764"/>
      <c r="C1133" s="766"/>
    </row>
    <row r="1134" spans="2:3">
      <c r="B1134" s="764"/>
      <c r="C1134" s="766"/>
    </row>
    <row r="1135" spans="2:3">
      <c r="B1135" s="764"/>
      <c r="C1135" s="766"/>
    </row>
    <row r="1136" spans="2:3">
      <c r="B1136" s="764"/>
      <c r="C1136" s="766"/>
    </row>
    <row r="1137" spans="2:3">
      <c r="B1137" s="764"/>
      <c r="C1137" s="766"/>
    </row>
    <row r="1138" spans="2:3">
      <c r="B1138" s="764"/>
      <c r="C1138" s="766"/>
    </row>
    <row r="1139" spans="2:3">
      <c r="B1139" s="764"/>
      <c r="C1139" s="766"/>
    </row>
    <row r="1140" spans="2:3">
      <c r="B1140" s="764"/>
      <c r="C1140" s="766"/>
    </row>
    <row r="1141" spans="2:3">
      <c r="B1141" s="764"/>
      <c r="C1141" s="766"/>
    </row>
    <row r="1142" spans="2:3">
      <c r="B1142" s="764"/>
      <c r="C1142" s="766"/>
    </row>
    <row r="1143" spans="2:3">
      <c r="B1143" s="764"/>
      <c r="C1143" s="766"/>
    </row>
    <row r="1144" spans="2:3">
      <c r="B1144" s="764"/>
      <c r="C1144" s="766"/>
    </row>
    <row r="1145" spans="2:3">
      <c r="B1145" s="764"/>
      <c r="C1145" s="766"/>
    </row>
    <row r="1146" spans="2:3">
      <c r="B1146" s="764"/>
      <c r="C1146" s="766"/>
    </row>
    <row r="1147" spans="2:3">
      <c r="B1147" s="764"/>
      <c r="C1147" s="766"/>
    </row>
    <row r="1148" spans="2:3">
      <c r="B1148" s="764"/>
      <c r="C1148" s="766"/>
    </row>
    <row r="1149" spans="2:3">
      <c r="B1149" s="764"/>
      <c r="C1149" s="766"/>
    </row>
    <row r="1150" spans="2:3">
      <c r="B1150" s="764"/>
      <c r="C1150" s="766"/>
    </row>
    <row r="1151" spans="2:3">
      <c r="B1151" s="764"/>
      <c r="C1151" s="766"/>
    </row>
    <row r="1152" spans="2:3">
      <c r="B1152" s="764"/>
      <c r="C1152" s="766"/>
    </row>
    <row r="1153" spans="2:3">
      <c r="B1153" s="764"/>
      <c r="C1153" s="766"/>
    </row>
    <row r="1154" spans="2:3">
      <c r="B1154" s="764"/>
      <c r="C1154" s="766"/>
    </row>
    <row r="1155" spans="2:3">
      <c r="B1155" s="764"/>
      <c r="C1155" s="766"/>
    </row>
    <row r="1156" spans="2:3">
      <c r="B1156" s="764"/>
      <c r="C1156" s="766"/>
    </row>
    <row r="1157" spans="2:3">
      <c r="B1157" s="764"/>
      <c r="C1157" s="766"/>
    </row>
    <row r="1158" spans="2:3">
      <c r="B1158" s="764"/>
      <c r="C1158" s="766"/>
    </row>
    <row r="1159" spans="2:3">
      <c r="B1159" s="764"/>
      <c r="C1159" s="766"/>
    </row>
    <row r="1160" spans="2:3">
      <c r="B1160" s="764"/>
      <c r="C1160" s="766"/>
    </row>
    <row r="1161" spans="2:3">
      <c r="B1161" s="764"/>
      <c r="C1161" s="766"/>
    </row>
    <row r="1162" spans="2:3">
      <c r="B1162" s="764"/>
      <c r="C1162" s="766"/>
    </row>
    <row r="1163" spans="2:3">
      <c r="B1163" s="764"/>
      <c r="C1163" s="766"/>
    </row>
    <row r="1164" spans="2:3">
      <c r="B1164" s="764"/>
      <c r="C1164" s="766"/>
    </row>
    <row r="1165" spans="2:3">
      <c r="B1165" s="764"/>
      <c r="C1165" s="766"/>
    </row>
    <row r="1166" spans="2:3">
      <c r="B1166" s="764"/>
      <c r="C1166" s="766"/>
    </row>
    <row r="1167" spans="2:3">
      <c r="B1167" s="764"/>
      <c r="C1167" s="766"/>
    </row>
    <row r="1168" spans="2:3">
      <c r="B1168" s="764"/>
      <c r="C1168" s="766"/>
    </row>
    <row r="1169" spans="2:3">
      <c r="B1169" s="764"/>
      <c r="C1169" s="766"/>
    </row>
    <row r="1170" spans="2:3">
      <c r="B1170" s="764"/>
      <c r="C1170" s="766"/>
    </row>
    <row r="1171" spans="2:3">
      <c r="B1171" s="764"/>
      <c r="C1171" s="766"/>
    </row>
    <row r="1172" spans="2:3">
      <c r="B1172" s="764"/>
      <c r="C1172" s="766"/>
    </row>
    <row r="1173" spans="2:3">
      <c r="B1173" s="764"/>
      <c r="C1173" s="766"/>
    </row>
    <row r="1174" spans="2:3">
      <c r="B1174" s="764"/>
      <c r="C1174" s="766"/>
    </row>
    <row r="1175" spans="2:3">
      <c r="B1175" s="764"/>
      <c r="C1175" s="766"/>
    </row>
    <row r="1176" spans="2:3">
      <c r="B1176" s="764"/>
      <c r="C1176" s="766"/>
    </row>
    <row r="1177" spans="2:3">
      <c r="B1177" s="764"/>
      <c r="C1177" s="766"/>
    </row>
    <row r="1178" spans="2:3">
      <c r="B1178" s="764"/>
      <c r="C1178" s="766"/>
    </row>
    <row r="1179" spans="2:3">
      <c r="B1179" s="764"/>
      <c r="C1179" s="766"/>
    </row>
    <row r="1180" spans="2:3">
      <c r="B1180" s="764"/>
      <c r="C1180" s="766"/>
    </row>
    <row r="1181" spans="2:3">
      <c r="B1181" s="764"/>
      <c r="C1181" s="766"/>
    </row>
    <row r="1182" spans="2:3">
      <c r="B1182" s="764"/>
      <c r="C1182" s="766"/>
    </row>
    <row r="1183" spans="2:3">
      <c r="B1183" s="764"/>
      <c r="C1183" s="766"/>
    </row>
    <row r="1184" spans="2:3">
      <c r="B1184" s="764"/>
      <c r="C1184" s="766"/>
    </row>
    <row r="1185" spans="2:3">
      <c r="B1185" s="764"/>
      <c r="C1185" s="766"/>
    </row>
    <row r="1186" spans="2:3">
      <c r="B1186" s="764"/>
      <c r="C1186" s="766"/>
    </row>
    <row r="1187" spans="2:3">
      <c r="B1187" s="764"/>
      <c r="C1187" s="766"/>
    </row>
    <row r="1188" spans="2:3">
      <c r="B1188" s="764"/>
      <c r="C1188" s="766"/>
    </row>
    <row r="1189" spans="2:3">
      <c r="B1189" s="764"/>
      <c r="C1189" s="766"/>
    </row>
    <row r="1190" spans="2:3">
      <c r="B1190" s="764"/>
      <c r="C1190" s="766"/>
    </row>
    <row r="1191" spans="2:3">
      <c r="B1191" s="764"/>
      <c r="C1191" s="766"/>
    </row>
    <row r="1192" spans="2:3">
      <c r="B1192" s="764"/>
      <c r="C1192" s="766"/>
    </row>
    <row r="1193" spans="2:3">
      <c r="B1193" s="764"/>
      <c r="C1193" s="766"/>
    </row>
    <row r="1194" spans="2:3">
      <c r="B1194" s="764"/>
      <c r="C1194" s="766"/>
    </row>
    <row r="1195" spans="2:3">
      <c r="B1195" s="764"/>
      <c r="C1195" s="766"/>
    </row>
    <row r="1196" spans="2:3">
      <c r="B1196" s="764"/>
      <c r="C1196" s="766"/>
    </row>
    <row r="1197" spans="2:3">
      <c r="B1197" s="764"/>
      <c r="C1197" s="766"/>
    </row>
    <row r="1198" spans="2:3">
      <c r="B1198" s="764"/>
      <c r="C1198" s="766"/>
    </row>
    <row r="1199" spans="2:3">
      <c r="B1199" s="764"/>
      <c r="C1199" s="766"/>
    </row>
    <row r="1200" spans="2:3">
      <c r="B1200" s="764"/>
      <c r="C1200" s="766"/>
    </row>
    <row r="1201" spans="2:3">
      <c r="B1201" s="764"/>
      <c r="C1201" s="766"/>
    </row>
    <row r="1202" spans="2:3">
      <c r="B1202" s="764"/>
      <c r="C1202" s="766"/>
    </row>
    <row r="1203" spans="2:3">
      <c r="B1203" s="764"/>
      <c r="C1203" s="766"/>
    </row>
    <row r="1204" spans="2:3">
      <c r="B1204" s="764"/>
      <c r="C1204" s="766"/>
    </row>
    <row r="1205" spans="2:3">
      <c r="B1205" s="764"/>
      <c r="C1205" s="766"/>
    </row>
    <row r="1206" spans="2:3">
      <c r="B1206" s="764"/>
      <c r="C1206" s="766"/>
    </row>
    <row r="1207" spans="2:3">
      <c r="B1207" s="764"/>
      <c r="C1207" s="766"/>
    </row>
    <row r="1208" spans="2:3">
      <c r="B1208" s="764"/>
      <c r="C1208" s="766"/>
    </row>
    <row r="1209" spans="2:3">
      <c r="B1209" s="764"/>
      <c r="C1209" s="766"/>
    </row>
    <row r="1210" spans="2:3">
      <c r="B1210" s="764"/>
      <c r="C1210" s="766"/>
    </row>
    <row r="1211" spans="2:3">
      <c r="B1211" s="764"/>
      <c r="C1211" s="766"/>
    </row>
    <row r="1212" spans="2:3">
      <c r="B1212" s="764"/>
      <c r="C1212" s="766"/>
    </row>
    <row r="1213" spans="2:3">
      <c r="B1213" s="764"/>
      <c r="C1213" s="766"/>
    </row>
    <row r="1214" spans="2:3">
      <c r="B1214" s="764"/>
      <c r="C1214" s="766"/>
    </row>
    <row r="1215" spans="2:3">
      <c r="B1215" s="764"/>
      <c r="C1215" s="766"/>
    </row>
    <row r="1216" spans="2:3">
      <c r="B1216" s="764"/>
      <c r="C1216" s="766"/>
    </row>
    <row r="1217" spans="2:3">
      <c r="B1217" s="764"/>
      <c r="C1217" s="766"/>
    </row>
    <row r="1218" spans="2:3">
      <c r="B1218" s="764"/>
      <c r="C1218" s="766"/>
    </row>
    <row r="1219" spans="2:3">
      <c r="B1219" s="764"/>
      <c r="C1219" s="766"/>
    </row>
    <row r="1220" spans="2:3">
      <c r="B1220" s="764"/>
      <c r="C1220" s="766"/>
    </row>
    <row r="1221" spans="2:3">
      <c r="B1221" s="764"/>
      <c r="C1221" s="766"/>
    </row>
    <row r="1222" spans="2:3">
      <c r="B1222" s="764"/>
      <c r="C1222" s="766"/>
    </row>
    <row r="1223" spans="2:3">
      <c r="B1223" s="764"/>
      <c r="C1223" s="766"/>
    </row>
    <row r="1224" spans="2:3">
      <c r="B1224" s="764"/>
      <c r="C1224" s="766"/>
    </row>
    <row r="1225" spans="2:3">
      <c r="B1225" s="764"/>
      <c r="C1225" s="766"/>
    </row>
    <row r="1226" spans="2:3">
      <c r="B1226" s="764"/>
      <c r="C1226" s="766"/>
    </row>
    <row r="1227" spans="2:3">
      <c r="B1227" s="764"/>
      <c r="C1227" s="766"/>
    </row>
    <row r="1228" spans="2:3">
      <c r="B1228" s="764"/>
      <c r="C1228" s="766"/>
    </row>
    <row r="1229" spans="2:3">
      <c r="B1229" s="764"/>
      <c r="C1229" s="766"/>
    </row>
    <row r="1230" spans="2:3">
      <c r="B1230" s="764"/>
      <c r="C1230" s="766"/>
    </row>
    <row r="1231" spans="2:3">
      <c r="B1231" s="764"/>
      <c r="C1231" s="766"/>
    </row>
    <row r="1232" spans="2:3">
      <c r="B1232" s="764"/>
      <c r="C1232" s="766"/>
    </row>
    <row r="1233" spans="2:3">
      <c r="B1233" s="764"/>
      <c r="C1233" s="766"/>
    </row>
    <row r="1234" spans="2:3">
      <c r="B1234" s="764"/>
      <c r="C1234" s="766"/>
    </row>
    <row r="1235" spans="2:3">
      <c r="B1235" s="764"/>
      <c r="C1235" s="766"/>
    </row>
    <row r="1236" spans="2:3">
      <c r="B1236" s="764"/>
      <c r="C1236" s="766"/>
    </row>
    <row r="1237" spans="2:3">
      <c r="B1237" s="764"/>
      <c r="C1237" s="766"/>
    </row>
    <row r="1238" spans="2:3">
      <c r="B1238" s="764"/>
      <c r="C1238" s="766"/>
    </row>
    <row r="1239" spans="2:3">
      <c r="B1239" s="764"/>
      <c r="C1239" s="766"/>
    </row>
    <row r="1240" spans="2:3">
      <c r="B1240" s="764"/>
      <c r="C1240" s="766"/>
    </row>
    <row r="1241" spans="2:3">
      <c r="B1241" s="764"/>
      <c r="C1241" s="766"/>
    </row>
    <row r="1242" spans="2:3">
      <c r="B1242" s="764"/>
      <c r="C1242" s="766"/>
    </row>
    <row r="1243" spans="2:3">
      <c r="B1243" s="764"/>
      <c r="C1243" s="766"/>
    </row>
    <row r="1244" spans="2:3">
      <c r="B1244" s="764"/>
      <c r="C1244" s="766"/>
    </row>
    <row r="1245" spans="2:3">
      <c r="B1245" s="764"/>
      <c r="C1245" s="766"/>
    </row>
    <row r="1246" spans="2:3">
      <c r="B1246" s="764"/>
      <c r="C1246" s="766"/>
    </row>
    <row r="1247" spans="2:3">
      <c r="B1247" s="764"/>
      <c r="C1247" s="766"/>
    </row>
    <row r="1248" spans="2:3">
      <c r="B1248" s="764"/>
      <c r="C1248" s="766"/>
    </row>
    <row r="1249" spans="2:3">
      <c r="B1249" s="764"/>
      <c r="C1249" s="766"/>
    </row>
    <row r="1250" spans="2:3">
      <c r="B1250" s="764"/>
      <c r="C1250" s="766"/>
    </row>
    <row r="1251" spans="2:3">
      <c r="B1251" s="764"/>
      <c r="C1251" s="766"/>
    </row>
    <row r="1252" spans="2:3">
      <c r="B1252" s="764"/>
      <c r="C1252" s="766"/>
    </row>
    <row r="1253" spans="2:3">
      <c r="B1253" s="764"/>
      <c r="C1253" s="766"/>
    </row>
    <row r="1254" spans="2:3">
      <c r="B1254" s="764"/>
      <c r="C1254" s="766"/>
    </row>
    <row r="1255" spans="2:3">
      <c r="B1255" s="764"/>
      <c r="C1255" s="766"/>
    </row>
    <row r="1256" spans="2:3">
      <c r="B1256" s="764"/>
      <c r="C1256" s="766"/>
    </row>
    <row r="1257" spans="2:3">
      <c r="B1257" s="764"/>
      <c r="C1257" s="766"/>
    </row>
    <row r="1258" spans="2:3">
      <c r="B1258" s="764"/>
      <c r="C1258" s="766"/>
    </row>
    <row r="1259" spans="2:3">
      <c r="B1259" s="764"/>
      <c r="C1259" s="766"/>
    </row>
    <row r="1260" spans="2:3">
      <c r="B1260" s="764"/>
      <c r="C1260" s="766"/>
    </row>
    <row r="1261" spans="2:3">
      <c r="B1261" s="764"/>
      <c r="C1261" s="766"/>
    </row>
    <row r="1262" spans="2:3">
      <c r="B1262" s="764"/>
      <c r="C1262" s="766"/>
    </row>
    <row r="1263" spans="2:3">
      <c r="B1263" s="764"/>
      <c r="C1263" s="766"/>
    </row>
    <row r="1264" spans="2:3">
      <c r="B1264" s="764"/>
      <c r="C1264" s="766"/>
    </row>
    <row r="1265" spans="2:3">
      <c r="B1265" s="764"/>
      <c r="C1265" s="766"/>
    </row>
    <row r="1266" spans="2:3">
      <c r="B1266" s="764"/>
      <c r="C1266" s="766"/>
    </row>
    <row r="1267" spans="2:3">
      <c r="B1267" s="764"/>
      <c r="C1267" s="766"/>
    </row>
    <row r="1268" spans="2:3">
      <c r="B1268" s="764"/>
      <c r="C1268" s="766"/>
    </row>
    <row r="1269" spans="2:3">
      <c r="B1269" s="764"/>
      <c r="C1269" s="766"/>
    </row>
    <row r="1270" spans="2:3">
      <c r="B1270" s="764"/>
      <c r="C1270" s="766"/>
    </row>
    <row r="1271" spans="2:3">
      <c r="B1271" s="764"/>
      <c r="C1271" s="766"/>
    </row>
    <row r="1272" spans="2:3">
      <c r="B1272" s="764"/>
      <c r="C1272" s="766"/>
    </row>
    <row r="1273" spans="2:3">
      <c r="B1273" s="764"/>
      <c r="C1273" s="766"/>
    </row>
    <row r="1274" spans="2:3">
      <c r="B1274" s="764"/>
      <c r="C1274" s="766"/>
    </row>
    <row r="1275" spans="2:3">
      <c r="B1275" s="764"/>
      <c r="C1275" s="766"/>
    </row>
    <row r="1276" spans="2:3">
      <c r="B1276" s="764"/>
      <c r="C1276" s="766"/>
    </row>
    <row r="1277" spans="2:3">
      <c r="B1277" s="764"/>
      <c r="C1277" s="766"/>
    </row>
    <row r="1278" spans="2:3">
      <c r="B1278" s="764"/>
      <c r="C1278" s="766"/>
    </row>
    <row r="1279" spans="2:3">
      <c r="B1279" s="764"/>
      <c r="C1279" s="766"/>
    </row>
    <row r="1280" spans="2:3">
      <c r="B1280" s="764"/>
      <c r="C1280" s="766"/>
    </row>
    <row r="1281" spans="2:3">
      <c r="B1281" s="764"/>
      <c r="C1281" s="766"/>
    </row>
    <row r="1282" spans="2:3">
      <c r="B1282" s="764"/>
      <c r="C1282" s="766"/>
    </row>
    <row r="1283" spans="2:3">
      <c r="B1283" s="764"/>
      <c r="C1283" s="766"/>
    </row>
    <row r="1284" spans="2:3">
      <c r="B1284" s="764"/>
      <c r="C1284" s="766"/>
    </row>
    <row r="1285" spans="2:3">
      <c r="B1285" s="764"/>
      <c r="C1285" s="766"/>
    </row>
    <row r="1286" spans="2:3">
      <c r="B1286" s="764"/>
      <c r="C1286" s="766"/>
    </row>
    <row r="1287" spans="2:3">
      <c r="B1287" s="764"/>
      <c r="C1287" s="766"/>
    </row>
    <row r="1288" spans="2:3">
      <c r="B1288" s="764"/>
      <c r="C1288" s="766"/>
    </row>
    <row r="1289" spans="2:3">
      <c r="B1289" s="764"/>
      <c r="C1289" s="766"/>
    </row>
    <row r="1290" spans="2:3">
      <c r="B1290" s="764"/>
      <c r="C1290" s="766"/>
    </row>
    <row r="1291" spans="2:3">
      <c r="B1291" s="764"/>
      <c r="C1291" s="766"/>
    </row>
    <row r="1292" spans="2:3">
      <c r="B1292" s="764"/>
      <c r="C1292" s="766"/>
    </row>
    <row r="1293" spans="2:3">
      <c r="B1293" s="764"/>
      <c r="C1293" s="766"/>
    </row>
    <row r="1294" spans="2:3">
      <c r="B1294" s="764"/>
      <c r="C1294" s="766"/>
    </row>
    <row r="1295" spans="2:3">
      <c r="B1295" s="764"/>
      <c r="C1295" s="766"/>
    </row>
    <row r="1296" spans="2:3">
      <c r="B1296" s="764"/>
      <c r="C1296" s="766"/>
    </row>
    <row r="1297" spans="2:3">
      <c r="B1297" s="764"/>
      <c r="C1297" s="766"/>
    </row>
    <row r="1298" spans="2:3">
      <c r="B1298" s="764"/>
      <c r="C1298" s="766"/>
    </row>
    <row r="1299" spans="2:3">
      <c r="B1299" s="764"/>
      <c r="C1299" s="766"/>
    </row>
    <row r="1300" spans="2:3">
      <c r="B1300" s="764"/>
      <c r="C1300" s="766"/>
    </row>
    <row r="1301" spans="2:3">
      <c r="B1301" s="764"/>
      <c r="C1301" s="766"/>
    </row>
    <row r="1302" spans="2:3">
      <c r="B1302" s="764"/>
      <c r="C1302" s="766"/>
    </row>
    <row r="1303" spans="2:3">
      <c r="B1303" s="764"/>
      <c r="C1303" s="766"/>
    </row>
    <row r="1304" spans="2:3">
      <c r="B1304" s="764"/>
      <c r="C1304" s="766"/>
    </row>
    <row r="1305" spans="2:3">
      <c r="B1305" s="764"/>
      <c r="C1305" s="766"/>
    </row>
    <row r="1306" spans="2:3">
      <c r="B1306" s="764"/>
      <c r="C1306" s="766"/>
    </row>
    <row r="1307" spans="2:3">
      <c r="B1307" s="764"/>
      <c r="C1307" s="766"/>
    </row>
    <row r="1308" spans="2:3">
      <c r="B1308" s="764"/>
      <c r="C1308" s="766"/>
    </row>
    <row r="1309" spans="2:3">
      <c r="B1309" s="764"/>
      <c r="C1309" s="766"/>
    </row>
    <row r="1310" spans="2:3">
      <c r="B1310" s="764"/>
      <c r="C1310" s="766"/>
    </row>
    <row r="1311" spans="2:3">
      <c r="B1311" s="764"/>
      <c r="C1311" s="766"/>
    </row>
    <row r="1312" spans="2:3">
      <c r="B1312" s="764"/>
      <c r="C1312" s="766"/>
    </row>
    <row r="1313" spans="2:3">
      <c r="B1313" s="764"/>
      <c r="C1313" s="766"/>
    </row>
    <row r="1314" spans="2:3">
      <c r="B1314" s="764"/>
      <c r="C1314" s="766"/>
    </row>
    <row r="1315" spans="2:3">
      <c r="B1315" s="764"/>
      <c r="C1315" s="766"/>
    </row>
    <row r="1316" spans="2:3">
      <c r="B1316" s="764"/>
      <c r="C1316" s="766"/>
    </row>
    <row r="1317" spans="2:3">
      <c r="B1317" s="764"/>
      <c r="C1317" s="766"/>
    </row>
    <row r="1318" spans="2:3">
      <c r="B1318" s="764"/>
      <c r="C1318" s="766"/>
    </row>
    <row r="1319" spans="2:3">
      <c r="B1319" s="764"/>
      <c r="C1319" s="766"/>
    </row>
    <row r="1320" spans="2:3">
      <c r="B1320" s="764"/>
      <c r="C1320" s="766"/>
    </row>
    <row r="1321" spans="2:3">
      <c r="B1321" s="764"/>
      <c r="C1321" s="766"/>
    </row>
    <row r="1322" spans="2:3">
      <c r="B1322" s="764"/>
      <c r="C1322" s="766"/>
    </row>
    <row r="1323" spans="2:3">
      <c r="B1323" s="764"/>
      <c r="C1323" s="766"/>
    </row>
    <row r="1324" spans="2:3">
      <c r="B1324" s="764"/>
      <c r="C1324" s="766"/>
    </row>
    <row r="1325" spans="2:3">
      <c r="B1325" s="764"/>
      <c r="C1325" s="766"/>
    </row>
    <row r="1326" spans="2:3">
      <c r="B1326" s="764"/>
      <c r="C1326" s="766"/>
    </row>
    <row r="1327" spans="2:3">
      <c r="B1327" s="764"/>
      <c r="C1327" s="766"/>
    </row>
    <row r="1328" spans="2:3">
      <c r="B1328" s="764"/>
      <c r="C1328" s="766"/>
    </row>
    <row r="1329" spans="2:3">
      <c r="B1329" s="764"/>
      <c r="C1329" s="766"/>
    </row>
    <row r="1330" spans="2:3">
      <c r="B1330" s="764"/>
      <c r="C1330" s="766"/>
    </row>
    <row r="1331" spans="2:3">
      <c r="B1331" s="764"/>
      <c r="C1331" s="766"/>
    </row>
    <row r="1332" spans="2:3">
      <c r="B1332" s="764"/>
      <c r="C1332" s="766"/>
    </row>
    <row r="1333" spans="2:3">
      <c r="B1333" s="764"/>
      <c r="C1333" s="766"/>
    </row>
    <row r="1334" spans="2:3">
      <c r="B1334" s="764"/>
      <c r="C1334" s="766"/>
    </row>
    <row r="1335" spans="2:3">
      <c r="B1335" s="764"/>
      <c r="C1335" s="766"/>
    </row>
    <row r="1336" spans="2:3">
      <c r="B1336" s="764"/>
      <c r="C1336" s="766"/>
    </row>
    <row r="1337" spans="2:3">
      <c r="B1337" s="764"/>
      <c r="C1337" s="766"/>
    </row>
    <row r="1338" spans="2:3">
      <c r="B1338" s="764"/>
      <c r="C1338" s="766"/>
    </row>
    <row r="1339" spans="2:3">
      <c r="B1339" s="764"/>
      <c r="C1339" s="766"/>
    </row>
    <row r="1340" spans="2:3">
      <c r="B1340" s="764"/>
      <c r="C1340" s="766"/>
    </row>
    <row r="1341" spans="2:3">
      <c r="B1341" s="764"/>
      <c r="C1341" s="766"/>
    </row>
    <row r="1342" spans="2:3">
      <c r="B1342" s="764"/>
      <c r="C1342" s="766"/>
    </row>
    <row r="1343" spans="2:3">
      <c r="B1343" s="764"/>
      <c r="C1343" s="766"/>
    </row>
    <row r="1344" spans="2:3">
      <c r="B1344" s="764"/>
      <c r="C1344" s="766"/>
    </row>
    <row r="1345" spans="2:3">
      <c r="B1345" s="764"/>
      <c r="C1345" s="766"/>
    </row>
    <row r="1346" spans="2:3">
      <c r="B1346" s="764"/>
      <c r="C1346" s="766"/>
    </row>
    <row r="1347" spans="2:3">
      <c r="B1347" s="764"/>
      <c r="C1347" s="766"/>
    </row>
    <row r="1348" spans="2:3">
      <c r="B1348" s="764"/>
      <c r="C1348" s="766"/>
    </row>
    <row r="1349" spans="2:3">
      <c r="B1349" s="764"/>
      <c r="C1349" s="766"/>
    </row>
    <row r="1350" spans="2:3">
      <c r="B1350" s="764"/>
      <c r="C1350" s="766"/>
    </row>
    <row r="1351" spans="2:3">
      <c r="B1351" s="764"/>
      <c r="C1351" s="766"/>
    </row>
    <row r="1352" spans="2:3">
      <c r="B1352" s="764"/>
      <c r="C1352" s="766"/>
    </row>
    <row r="1353" spans="2:3">
      <c r="B1353" s="764"/>
      <c r="C1353" s="766"/>
    </row>
    <row r="1354" spans="2:3">
      <c r="B1354" s="764"/>
      <c r="C1354" s="766"/>
    </row>
    <row r="1355" spans="2:3">
      <c r="B1355" s="764"/>
      <c r="C1355" s="766"/>
    </row>
    <row r="1356" spans="2:3">
      <c r="B1356" s="764"/>
      <c r="C1356" s="766"/>
    </row>
    <row r="1357" spans="2:3">
      <c r="B1357" s="764"/>
      <c r="C1357" s="766"/>
    </row>
    <row r="1358" spans="2:3">
      <c r="B1358" s="764"/>
      <c r="C1358" s="766"/>
    </row>
    <row r="1359" spans="2:3">
      <c r="B1359" s="764"/>
      <c r="C1359" s="766"/>
    </row>
    <row r="1360" spans="2:3">
      <c r="B1360" s="764"/>
      <c r="C1360" s="766"/>
    </row>
    <row r="1361" spans="2:3">
      <c r="B1361" s="764"/>
      <c r="C1361" s="766"/>
    </row>
    <row r="1362" spans="2:3">
      <c r="B1362" s="764"/>
      <c r="C1362" s="766"/>
    </row>
    <row r="1363" spans="2:3">
      <c r="B1363" s="764"/>
      <c r="C1363" s="766"/>
    </row>
    <row r="1364" spans="2:3">
      <c r="B1364" s="764"/>
      <c r="C1364" s="766"/>
    </row>
    <row r="1365" spans="2:3">
      <c r="B1365" s="764"/>
      <c r="C1365" s="766"/>
    </row>
    <row r="1366" spans="2:3">
      <c r="B1366" s="764"/>
      <c r="C1366" s="766"/>
    </row>
    <row r="1367" spans="2:3">
      <c r="B1367" s="764"/>
      <c r="C1367" s="766"/>
    </row>
    <row r="1368" spans="2:3">
      <c r="B1368" s="764"/>
      <c r="C1368" s="766"/>
    </row>
    <row r="1369" spans="2:3">
      <c r="B1369" s="764"/>
      <c r="C1369" s="766"/>
    </row>
    <row r="1370" spans="2:3">
      <c r="B1370" s="764"/>
      <c r="C1370" s="766"/>
    </row>
    <row r="1371" spans="2:3">
      <c r="B1371" s="764"/>
      <c r="C1371" s="766"/>
    </row>
    <row r="1372" spans="2:3">
      <c r="B1372" s="764"/>
      <c r="C1372" s="766"/>
    </row>
    <row r="1373" spans="2:3">
      <c r="B1373" s="764"/>
      <c r="C1373" s="766"/>
    </row>
    <row r="1374" spans="2:3">
      <c r="B1374" s="764"/>
      <c r="C1374" s="766"/>
    </row>
    <row r="1375" spans="2:3">
      <c r="B1375" s="764"/>
      <c r="C1375" s="766"/>
    </row>
    <row r="1376" spans="2:3">
      <c r="B1376" s="764"/>
      <c r="C1376" s="766"/>
    </row>
    <row r="1377" spans="2:3">
      <c r="B1377" s="764"/>
      <c r="C1377" s="766"/>
    </row>
    <row r="1378" spans="2:3">
      <c r="B1378" s="764"/>
      <c r="C1378" s="766"/>
    </row>
    <row r="1379" spans="2:3">
      <c r="B1379" s="764"/>
      <c r="C1379" s="766"/>
    </row>
    <row r="1380" spans="2:3">
      <c r="B1380" s="764"/>
      <c r="C1380" s="766"/>
    </row>
    <row r="1381" spans="2:3">
      <c r="B1381" s="764"/>
      <c r="C1381" s="766"/>
    </row>
    <row r="1382" spans="2:3">
      <c r="B1382" s="764"/>
      <c r="C1382" s="766"/>
    </row>
    <row r="1383" spans="2:3">
      <c r="B1383" s="764"/>
      <c r="C1383" s="766"/>
    </row>
    <row r="1384" spans="2:3">
      <c r="B1384" s="764"/>
      <c r="C1384" s="766"/>
    </row>
    <row r="1385" spans="2:3">
      <c r="B1385" s="764"/>
      <c r="C1385" s="766"/>
    </row>
    <row r="1386" spans="2:3">
      <c r="B1386" s="764"/>
      <c r="C1386" s="766"/>
    </row>
    <row r="1387" spans="2:3">
      <c r="B1387" s="764"/>
      <c r="C1387" s="766"/>
    </row>
    <row r="1388" spans="2:3">
      <c r="B1388" s="764"/>
      <c r="C1388" s="766"/>
    </row>
    <row r="1389" spans="2:3">
      <c r="B1389" s="764"/>
      <c r="C1389" s="766"/>
    </row>
    <row r="1390" spans="2:3">
      <c r="B1390" s="764"/>
      <c r="C1390" s="766"/>
    </row>
    <row r="1391" spans="2:3">
      <c r="B1391" s="764"/>
      <c r="C1391" s="766"/>
    </row>
    <row r="1392" spans="2:3">
      <c r="B1392" s="764"/>
      <c r="C1392" s="766"/>
    </row>
    <row r="1393" spans="2:3">
      <c r="B1393" s="764"/>
      <c r="C1393" s="766"/>
    </row>
    <row r="1394" spans="2:3">
      <c r="B1394" s="764"/>
      <c r="C1394" s="766"/>
    </row>
    <row r="1395" spans="2:3">
      <c r="B1395" s="764"/>
      <c r="C1395" s="766"/>
    </row>
    <row r="1396" spans="2:3">
      <c r="B1396" s="764"/>
      <c r="C1396" s="766"/>
    </row>
    <row r="1397" spans="2:3">
      <c r="B1397" s="764"/>
      <c r="C1397" s="766"/>
    </row>
    <row r="1398" spans="2:3">
      <c r="B1398" s="764"/>
      <c r="C1398" s="766"/>
    </row>
    <row r="1399" spans="2:3">
      <c r="B1399" s="764"/>
      <c r="C1399" s="766"/>
    </row>
    <row r="1400" spans="2:3">
      <c r="B1400" s="764"/>
      <c r="C1400" s="766"/>
    </row>
    <row r="1401" spans="2:3">
      <c r="B1401" s="764"/>
      <c r="C1401" s="766"/>
    </row>
    <row r="1402" spans="2:3">
      <c r="B1402" s="764"/>
      <c r="C1402" s="766"/>
    </row>
    <row r="1403" spans="2:3">
      <c r="B1403" s="764"/>
      <c r="C1403" s="766"/>
    </row>
    <row r="1404" spans="2:3">
      <c r="B1404" s="764"/>
      <c r="C1404" s="766"/>
    </row>
    <row r="1405" spans="2:3">
      <c r="B1405" s="764"/>
      <c r="C1405" s="766"/>
    </row>
    <row r="1406" spans="2:3">
      <c r="B1406" s="764"/>
      <c r="C1406" s="766"/>
    </row>
    <row r="1407" spans="2:3">
      <c r="B1407" s="764"/>
      <c r="C1407" s="766"/>
    </row>
    <row r="1408" spans="2:3">
      <c r="B1408" s="764"/>
      <c r="C1408" s="766"/>
    </row>
    <row r="1409" spans="2:3">
      <c r="B1409" s="764"/>
      <c r="C1409" s="766"/>
    </row>
    <row r="1410" spans="2:3">
      <c r="B1410" s="764"/>
      <c r="C1410" s="766"/>
    </row>
    <row r="1411" spans="2:3">
      <c r="B1411" s="764"/>
      <c r="C1411" s="766"/>
    </row>
    <row r="1412" spans="2:3">
      <c r="B1412" s="764"/>
      <c r="C1412" s="766"/>
    </row>
    <row r="1413" spans="2:3">
      <c r="B1413" s="764"/>
      <c r="C1413" s="766"/>
    </row>
    <row r="1414" spans="2:3">
      <c r="B1414" s="764"/>
      <c r="C1414" s="766"/>
    </row>
    <row r="1415" spans="2:3">
      <c r="B1415" s="764"/>
      <c r="C1415" s="766"/>
    </row>
    <row r="1416" spans="2:3">
      <c r="B1416" s="764"/>
      <c r="C1416" s="766"/>
    </row>
    <row r="1417" spans="2:3">
      <c r="B1417" s="764"/>
      <c r="C1417" s="766"/>
    </row>
    <row r="1418" spans="2:3">
      <c r="B1418" s="764"/>
      <c r="C1418" s="766"/>
    </row>
    <row r="1419" spans="2:3">
      <c r="B1419" s="764"/>
      <c r="C1419" s="766"/>
    </row>
    <row r="1420" spans="2:3">
      <c r="B1420" s="764"/>
      <c r="C1420" s="766"/>
    </row>
    <row r="1421" spans="2:3">
      <c r="B1421" s="764"/>
      <c r="C1421" s="766"/>
    </row>
    <row r="1422" spans="2:3">
      <c r="B1422" s="764"/>
      <c r="C1422" s="766"/>
    </row>
    <row r="1423" spans="2:3">
      <c r="B1423" s="764"/>
      <c r="C1423" s="766"/>
    </row>
    <row r="1424" spans="2:3">
      <c r="B1424" s="764"/>
      <c r="C1424" s="766"/>
    </row>
    <row r="1425" spans="2:3">
      <c r="B1425" s="764"/>
      <c r="C1425" s="766"/>
    </row>
    <row r="1426" spans="2:3">
      <c r="B1426" s="764"/>
      <c r="C1426" s="766"/>
    </row>
    <row r="1427" spans="2:3">
      <c r="B1427" s="764"/>
      <c r="C1427" s="766"/>
    </row>
    <row r="1428" spans="2:3">
      <c r="B1428" s="764"/>
      <c r="C1428" s="766"/>
    </row>
    <row r="1429" spans="2:3">
      <c r="B1429" s="764"/>
      <c r="C1429" s="766"/>
    </row>
    <row r="1430" spans="2:3">
      <c r="B1430" s="764"/>
      <c r="C1430" s="766"/>
    </row>
    <row r="1431" spans="2:3">
      <c r="B1431" s="764"/>
      <c r="C1431" s="766"/>
    </row>
    <row r="1432" spans="2:3">
      <c r="B1432" s="764"/>
      <c r="C1432" s="766"/>
    </row>
    <row r="1433" spans="2:3">
      <c r="B1433" s="764"/>
      <c r="C1433" s="766"/>
    </row>
    <row r="1434" spans="2:3">
      <c r="B1434" s="764"/>
      <c r="C1434" s="766"/>
    </row>
    <row r="1435" spans="2:3">
      <c r="B1435" s="764"/>
      <c r="C1435" s="766"/>
    </row>
    <row r="1436" spans="2:3">
      <c r="B1436" s="764"/>
      <c r="C1436" s="766"/>
    </row>
    <row r="1437" spans="2:3">
      <c r="B1437" s="764"/>
      <c r="C1437" s="766"/>
    </row>
    <row r="1438" spans="2:3">
      <c r="B1438" s="764"/>
      <c r="C1438" s="766"/>
    </row>
    <row r="1439" spans="2:3">
      <c r="B1439" s="764"/>
      <c r="C1439" s="766"/>
    </row>
    <row r="1440" spans="2:3">
      <c r="B1440" s="764"/>
      <c r="C1440" s="766"/>
    </row>
    <row r="1441" spans="2:3">
      <c r="B1441" s="764"/>
      <c r="C1441" s="766"/>
    </row>
    <row r="1442" spans="2:3">
      <c r="B1442" s="764"/>
      <c r="C1442" s="766"/>
    </row>
    <row r="1443" spans="2:3">
      <c r="B1443" s="764"/>
      <c r="C1443" s="766"/>
    </row>
    <row r="1444" spans="2:3">
      <c r="B1444" s="764"/>
      <c r="C1444" s="766"/>
    </row>
    <row r="1445" spans="2:3">
      <c r="B1445" s="764"/>
      <c r="C1445" s="766"/>
    </row>
    <row r="1446" spans="2:3">
      <c r="B1446" s="764"/>
      <c r="C1446" s="766"/>
    </row>
    <row r="1447" spans="2:3">
      <c r="B1447" s="764"/>
      <c r="C1447" s="766"/>
    </row>
    <row r="1448" spans="2:3">
      <c r="B1448" s="764"/>
      <c r="C1448" s="766"/>
    </row>
    <row r="1449" spans="2:3">
      <c r="B1449" s="764"/>
      <c r="C1449" s="766"/>
    </row>
    <row r="1450" spans="2:3">
      <c r="B1450" s="764"/>
      <c r="C1450" s="766"/>
    </row>
    <row r="1451" spans="2:3">
      <c r="B1451" s="764"/>
      <c r="C1451" s="766"/>
    </row>
    <row r="1452" spans="2:3">
      <c r="B1452" s="764"/>
      <c r="C1452" s="766"/>
    </row>
    <row r="1453" spans="2:3">
      <c r="B1453" s="764"/>
      <c r="C1453" s="766"/>
    </row>
    <row r="1454" spans="2:3">
      <c r="B1454" s="764"/>
      <c r="C1454" s="766"/>
    </row>
    <row r="1455" spans="2:3">
      <c r="B1455" s="764"/>
      <c r="C1455" s="766"/>
    </row>
    <row r="1456" spans="2:3">
      <c r="B1456" s="764"/>
      <c r="C1456" s="766"/>
    </row>
    <row r="1457" spans="2:3">
      <c r="B1457" s="764"/>
      <c r="C1457" s="766"/>
    </row>
    <row r="1458" spans="2:3">
      <c r="B1458" s="764"/>
      <c r="C1458" s="766"/>
    </row>
    <row r="1459" spans="2:3">
      <c r="B1459" s="764"/>
      <c r="C1459" s="766"/>
    </row>
    <row r="1460" spans="2:3">
      <c r="B1460" s="764"/>
      <c r="C1460" s="766"/>
    </row>
    <row r="1461" spans="2:3">
      <c r="B1461" s="764"/>
      <c r="C1461" s="766"/>
    </row>
    <row r="1462" spans="2:3">
      <c r="B1462" s="764"/>
      <c r="C1462" s="766"/>
    </row>
    <row r="1463" spans="2:3">
      <c r="B1463" s="764"/>
      <c r="C1463" s="766"/>
    </row>
    <row r="1464" spans="2:3">
      <c r="B1464" s="764"/>
      <c r="C1464" s="766"/>
    </row>
    <row r="1465" spans="2:3">
      <c r="B1465" s="764"/>
      <c r="C1465" s="766"/>
    </row>
    <row r="1466" spans="2:3">
      <c r="B1466" s="764"/>
      <c r="C1466" s="766"/>
    </row>
    <row r="1467" spans="2:3">
      <c r="B1467" s="764"/>
      <c r="C1467" s="766"/>
    </row>
    <row r="1468" spans="2:3">
      <c r="B1468" s="764"/>
      <c r="C1468" s="766"/>
    </row>
    <row r="1469" spans="2:3">
      <c r="B1469" s="764"/>
      <c r="C1469" s="766"/>
    </row>
    <row r="1470" spans="2:3">
      <c r="B1470" s="764"/>
      <c r="C1470" s="766"/>
    </row>
    <row r="1471" spans="2:3">
      <c r="B1471" s="764"/>
      <c r="C1471" s="766"/>
    </row>
    <row r="1472" spans="2:3">
      <c r="B1472" s="764"/>
      <c r="C1472" s="766"/>
    </row>
    <row r="1473" spans="2:3">
      <c r="B1473" s="764"/>
      <c r="C1473" s="766"/>
    </row>
    <row r="1474" spans="2:3">
      <c r="B1474" s="764"/>
      <c r="C1474" s="766"/>
    </row>
    <row r="1475" spans="2:3">
      <c r="B1475" s="764"/>
      <c r="C1475" s="766"/>
    </row>
    <row r="1476" spans="2:3">
      <c r="B1476" s="764"/>
      <c r="C1476" s="766"/>
    </row>
    <row r="1477" spans="2:3">
      <c r="B1477" s="764"/>
      <c r="C1477" s="766"/>
    </row>
    <row r="1478" spans="2:3">
      <c r="B1478" s="764"/>
      <c r="C1478" s="766"/>
    </row>
    <row r="1479" spans="2:3">
      <c r="B1479" s="764"/>
      <c r="C1479" s="766"/>
    </row>
    <row r="1480" spans="2:3">
      <c r="B1480" s="764"/>
      <c r="C1480" s="766"/>
    </row>
    <row r="1481" spans="2:3">
      <c r="B1481" s="764"/>
      <c r="C1481" s="766"/>
    </row>
    <row r="1482" spans="2:3">
      <c r="B1482" s="764"/>
      <c r="C1482" s="766"/>
    </row>
    <row r="1483" spans="2:3">
      <c r="B1483" s="764"/>
      <c r="C1483" s="766"/>
    </row>
    <row r="1484" spans="2:3">
      <c r="B1484" s="764"/>
      <c r="C1484" s="766"/>
    </row>
    <row r="1485" spans="2:3">
      <c r="B1485" s="764"/>
      <c r="C1485" s="766"/>
    </row>
    <row r="1486" spans="2:3">
      <c r="B1486" s="764"/>
      <c r="C1486" s="766"/>
    </row>
    <row r="1487" spans="2:3">
      <c r="B1487" s="764"/>
      <c r="C1487" s="766"/>
    </row>
    <row r="1488" spans="2:3">
      <c r="B1488" s="764"/>
      <c r="C1488" s="766"/>
    </row>
    <row r="1489" spans="2:3">
      <c r="B1489" s="764"/>
      <c r="C1489" s="766"/>
    </row>
    <row r="1490" spans="2:3">
      <c r="B1490" s="764"/>
      <c r="C1490" s="766"/>
    </row>
    <row r="1491" spans="2:3">
      <c r="B1491" s="764"/>
      <c r="C1491" s="766"/>
    </row>
    <row r="1492" spans="2:3">
      <c r="B1492" s="764"/>
      <c r="C1492" s="766"/>
    </row>
    <row r="1493" spans="2:3">
      <c r="B1493" s="764"/>
      <c r="C1493" s="766"/>
    </row>
    <row r="1494" spans="2:3">
      <c r="B1494" s="764"/>
      <c r="C1494" s="766"/>
    </row>
    <row r="1495" spans="2:3">
      <c r="B1495" s="764"/>
      <c r="C1495" s="766"/>
    </row>
    <row r="1496" spans="2:3">
      <c r="B1496" s="764"/>
      <c r="C1496" s="766"/>
    </row>
    <row r="1497" spans="2:3">
      <c r="B1497" s="764"/>
      <c r="C1497" s="766"/>
    </row>
    <row r="1498" spans="2:3">
      <c r="B1498" s="764"/>
      <c r="C1498" s="766"/>
    </row>
    <row r="1499" spans="2:3">
      <c r="B1499" s="764"/>
      <c r="C1499" s="766"/>
    </row>
    <row r="1500" spans="2:3">
      <c r="B1500" s="764"/>
      <c r="C1500" s="766"/>
    </row>
    <row r="1501" spans="2:3">
      <c r="B1501" s="764"/>
      <c r="C1501" s="766"/>
    </row>
    <row r="1502" spans="2:3">
      <c r="B1502" s="764"/>
      <c r="C1502" s="766"/>
    </row>
    <row r="1503" spans="2:3">
      <c r="B1503" s="764"/>
      <c r="C1503" s="766"/>
    </row>
    <row r="1504" spans="2:3">
      <c r="B1504" s="764"/>
      <c r="C1504" s="766"/>
    </row>
    <row r="1505" spans="2:3">
      <c r="B1505" s="764"/>
      <c r="C1505" s="766"/>
    </row>
    <row r="1506" spans="2:3">
      <c r="B1506" s="764"/>
      <c r="C1506" s="766"/>
    </row>
    <row r="1507" spans="2:3">
      <c r="B1507" s="764"/>
      <c r="C1507" s="766"/>
    </row>
    <row r="1508" spans="2:3">
      <c r="B1508" s="764"/>
      <c r="C1508" s="766"/>
    </row>
    <row r="1509" spans="2:3">
      <c r="B1509" s="764"/>
      <c r="C1509" s="766"/>
    </row>
    <row r="1510" spans="2:3">
      <c r="B1510" s="764"/>
      <c r="C1510" s="766"/>
    </row>
    <row r="1511" spans="2:3">
      <c r="B1511" s="764"/>
      <c r="C1511" s="766"/>
    </row>
    <row r="1512" spans="2:3">
      <c r="B1512" s="764"/>
      <c r="C1512" s="766"/>
    </row>
    <row r="1513" spans="2:3">
      <c r="B1513" s="764"/>
      <c r="C1513" s="766"/>
    </row>
    <row r="1514" spans="2:3">
      <c r="B1514" s="764"/>
      <c r="C1514" s="766"/>
    </row>
    <row r="1515" spans="2:3">
      <c r="B1515" s="764"/>
      <c r="C1515" s="766"/>
    </row>
    <row r="1516" spans="2:3">
      <c r="B1516" s="764"/>
      <c r="C1516" s="766"/>
    </row>
    <row r="1517" spans="2:3">
      <c r="B1517" s="764"/>
      <c r="C1517" s="766"/>
    </row>
    <row r="1518" spans="2:3">
      <c r="B1518" s="764"/>
      <c r="C1518" s="766"/>
    </row>
    <row r="1519" spans="2:3">
      <c r="B1519" s="764"/>
      <c r="C1519" s="766"/>
    </row>
    <row r="1520" spans="2:3">
      <c r="B1520" s="764"/>
      <c r="C1520" s="766"/>
    </row>
    <row r="1521" spans="2:3">
      <c r="B1521" s="764"/>
      <c r="C1521" s="766"/>
    </row>
    <row r="1522" spans="2:3">
      <c r="B1522" s="764"/>
      <c r="C1522" s="766"/>
    </row>
    <row r="1523" spans="2:3">
      <c r="B1523" s="764"/>
      <c r="C1523" s="766"/>
    </row>
    <row r="1524" spans="2:3">
      <c r="B1524" s="764"/>
      <c r="C1524" s="766"/>
    </row>
    <row r="1525" spans="2:3">
      <c r="B1525" s="764"/>
      <c r="C1525" s="766"/>
    </row>
    <row r="1526" spans="2:3">
      <c r="B1526" s="764"/>
      <c r="C1526" s="766"/>
    </row>
    <row r="1527" spans="2:3">
      <c r="B1527" s="764"/>
      <c r="C1527" s="766"/>
    </row>
    <row r="1528" spans="2:3">
      <c r="B1528" s="764"/>
      <c r="C1528" s="766"/>
    </row>
    <row r="1529" spans="2:3">
      <c r="B1529" s="764"/>
      <c r="C1529" s="766"/>
    </row>
    <row r="1530" spans="2:3">
      <c r="B1530" s="764"/>
      <c r="C1530" s="766"/>
    </row>
    <row r="1531" spans="2:3">
      <c r="B1531" s="764"/>
      <c r="C1531" s="766"/>
    </row>
    <row r="1532" spans="2:3">
      <c r="B1532" s="764"/>
      <c r="C1532" s="766"/>
    </row>
    <row r="1533" spans="2:3">
      <c r="B1533" s="764"/>
      <c r="C1533" s="766"/>
    </row>
    <row r="1534" spans="2:3">
      <c r="B1534" s="764"/>
      <c r="C1534" s="766"/>
    </row>
    <row r="1535" spans="2:3">
      <c r="B1535" s="764"/>
      <c r="C1535" s="766"/>
    </row>
    <row r="1536" spans="2:3">
      <c r="B1536" s="764"/>
      <c r="C1536" s="766"/>
    </row>
    <row r="1537" spans="2:3">
      <c r="B1537" s="764"/>
      <c r="C1537" s="766"/>
    </row>
    <row r="1538" spans="2:3">
      <c r="B1538" s="764"/>
      <c r="C1538" s="766"/>
    </row>
    <row r="1539" spans="2:3">
      <c r="B1539" s="764"/>
      <c r="C1539" s="766"/>
    </row>
    <row r="1540" spans="2:3">
      <c r="B1540" s="764"/>
      <c r="C1540" s="766"/>
    </row>
    <row r="1541" spans="2:3">
      <c r="B1541" s="764"/>
      <c r="C1541" s="766"/>
    </row>
    <row r="1542" spans="2:3">
      <c r="B1542" s="764"/>
      <c r="C1542" s="766"/>
    </row>
    <row r="1543" spans="2:3">
      <c r="B1543" s="764"/>
      <c r="C1543" s="766"/>
    </row>
    <row r="1544" spans="2:3">
      <c r="B1544" s="764"/>
      <c r="C1544" s="766"/>
    </row>
    <row r="1545" spans="2:3">
      <c r="B1545" s="764"/>
      <c r="C1545" s="766"/>
    </row>
    <row r="1546" spans="2:3">
      <c r="B1546" s="764"/>
      <c r="C1546" s="766"/>
    </row>
    <row r="1547" spans="2:3">
      <c r="B1547" s="764"/>
      <c r="C1547" s="766"/>
    </row>
    <row r="1548" spans="2:3">
      <c r="B1548" s="764"/>
      <c r="C1548" s="766"/>
    </row>
    <row r="1549" spans="2:3">
      <c r="B1549" s="764"/>
      <c r="C1549" s="766"/>
    </row>
    <row r="1550" spans="2:3">
      <c r="B1550" s="764"/>
      <c r="C1550" s="766"/>
    </row>
    <row r="1551" spans="2:3">
      <c r="B1551" s="764"/>
      <c r="C1551" s="766"/>
    </row>
    <row r="1552" spans="2:3">
      <c r="B1552" s="764"/>
      <c r="C1552" s="766"/>
    </row>
    <row r="1553" spans="2:3">
      <c r="B1553" s="764"/>
      <c r="C1553" s="766"/>
    </row>
    <row r="1554" spans="2:3">
      <c r="B1554" s="764"/>
      <c r="C1554" s="766"/>
    </row>
    <row r="1555" spans="2:3">
      <c r="B1555" s="764"/>
      <c r="C1555" s="766"/>
    </row>
    <row r="1556" spans="2:3">
      <c r="B1556" s="764"/>
      <c r="C1556" s="766"/>
    </row>
    <row r="1557" spans="2:3">
      <c r="B1557" s="764"/>
      <c r="C1557" s="766"/>
    </row>
    <row r="1558" spans="2:3">
      <c r="B1558" s="764"/>
      <c r="C1558" s="766"/>
    </row>
    <row r="1559" spans="2:3">
      <c r="B1559" s="764"/>
      <c r="C1559" s="766"/>
    </row>
    <row r="1560" spans="2:3">
      <c r="B1560" s="764"/>
      <c r="C1560" s="766"/>
    </row>
    <row r="1561" spans="2:3">
      <c r="B1561" s="764"/>
      <c r="C1561" s="766"/>
    </row>
    <row r="1562" spans="2:3">
      <c r="B1562" s="764"/>
      <c r="C1562" s="766"/>
    </row>
    <row r="1563" spans="2:3">
      <c r="B1563" s="764"/>
      <c r="C1563" s="766"/>
    </row>
    <row r="1564" spans="2:3">
      <c r="B1564" s="764"/>
      <c r="C1564" s="766"/>
    </row>
    <row r="1565" spans="2:3">
      <c r="B1565" s="764"/>
      <c r="C1565" s="766"/>
    </row>
    <row r="1566" spans="2:3">
      <c r="B1566" s="764"/>
      <c r="C1566" s="766"/>
    </row>
    <row r="1567" spans="2:3">
      <c r="B1567" s="764"/>
      <c r="C1567" s="766"/>
    </row>
    <row r="1568" spans="2:3">
      <c r="B1568" s="764"/>
      <c r="C1568" s="766"/>
    </row>
    <row r="1569" spans="2:3">
      <c r="B1569" s="764"/>
      <c r="C1569" s="766"/>
    </row>
    <row r="1570" spans="2:3">
      <c r="B1570" s="764"/>
      <c r="C1570" s="766"/>
    </row>
    <row r="1571" spans="2:3">
      <c r="B1571" s="764"/>
      <c r="C1571" s="766"/>
    </row>
    <row r="1572" spans="2:3">
      <c r="B1572" s="764"/>
      <c r="C1572" s="766"/>
    </row>
    <row r="1573" spans="2:3">
      <c r="B1573" s="764"/>
      <c r="C1573" s="766"/>
    </row>
    <row r="1574" spans="2:3">
      <c r="B1574" s="764"/>
      <c r="C1574" s="766"/>
    </row>
    <row r="1575" spans="2:3">
      <c r="B1575" s="764"/>
      <c r="C1575" s="766"/>
    </row>
    <row r="1576" spans="2:3">
      <c r="B1576" s="764"/>
      <c r="C1576" s="766"/>
    </row>
    <row r="1577" spans="2:3">
      <c r="B1577" s="764"/>
      <c r="C1577" s="766"/>
    </row>
    <row r="1578" spans="2:3">
      <c r="B1578" s="764"/>
      <c r="C1578" s="766"/>
    </row>
    <row r="1579" spans="2:3">
      <c r="B1579" s="764"/>
      <c r="C1579" s="766"/>
    </row>
    <row r="1580" spans="2:3">
      <c r="B1580" s="764"/>
      <c r="C1580" s="766"/>
    </row>
    <row r="1581" spans="2:3">
      <c r="B1581" s="764"/>
      <c r="C1581" s="766"/>
    </row>
    <row r="1582" spans="2:3">
      <c r="B1582" s="764"/>
      <c r="C1582" s="766"/>
    </row>
    <row r="1583" spans="2:3">
      <c r="B1583" s="764"/>
      <c r="C1583" s="766"/>
    </row>
    <row r="1584" spans="2:3">
      <c r="B1584" s="764"/>
      <c r="C1584" s="766"/>
    </row>
    <row r="1585" spans="2:3">
      <c r="B1585" s="764"/>
      <c r="C1585" s="766"/>
    </row>
    <row r="1586" spans="2:3">
      <c r="B1586" s="764"/>
      <c r="C1586" s="766"/>
    </row>
    <row r="1587" spans="2:3">
      <c r="B1587" s="764"/>
      <c r="C1587" s="766"/>
    </row>
    <row r="1588" spans="2:3">
      <c r="B1588" s="764"/>
      <c r="C1588" s="766"/>
    </row>
    <row r="1589" spans="2:3">
      <c r="B1589" s="764"/>
      <c r="C1589" s="766"/>
    </row>
    <row r="1590" spans="2:3">
      <c r="B1590" s="764"/>
      <c r="C1590" s="766"/>
    </row>
    <row r="1591" spans="2:3">
      <c r="B1591" s="764"/>
      <c r="C1591" s="766"/>
    </row>
    <row r="1592" spans="2:3">
      <c r="B1592" s="764"/>
      <c r="C1592" s="766"/>
    </row>
    <row r="1593" spans="2:3">
      <c r="B1593" s="764"/>
      <c r="C1593" s="766"/>
    </row>
    <row r="1594" spans="2:3">
      <c r="B1594" s="764"/>
      <c r="C1594" s="766"/>
    </row>
    <row r="1595" spans="2:3">
      <c r="B1595" s="764"/>
      <c r="C1595" s="766"/>
    </row>
    <row r="1596" spans="2:3">
      <c r="B1596" s="764"/>
      <c r="C1596" s="766"/>
    </row>
    <row r="1597" spans="2:3">
      <c r="B1597" s="764"/>
      <c r="C1597" s="766"/>
    </row>
    <row r="1598" spans="2:3">
      <c r="B1598" s="764"/>
      <c r="C1598" s="766"/>
    </row>
    <row r="1599" spans="2:3">
      <c r="B1599" s="764"/>
      <c r="C1599" s="766"/>
    </row>
    <row r="1600" spans="2:3">
      <c r="B1600" s="764"/>
      <c r="C1600" s="766"/>
    </row>
    <row r="1601" spans="2:3">
      <c r="B1601" s="764"/>
      <c r="C1601" s="766"/>
    </row>
    <row r="1602" spans="2:3">
      <c r="B1602" s="764"/>
      <c r="C1602" s="766"/>
    </row>
    <row r="1603" spans="2:3">
      <c r="B1603" s="764"/>
      <c r="C1603" s="766"/>
    </row>
    <row r="1604" spans="2:3">
      <c r="B1604" s="764"/>
      <c r="C1604" s="766"/>
    </row>
    <row r="1605" spans="2:3">
      <c r="B1605" s="764"/>
      <c r="C1605" s="766"/>
    </row>
    <row r="1606" spans="2:3">
      <c r="B1606" s="764"/>
      <c r="C1606" s="766"/>
    </row>
    <row r="1607" spans="2:3">
      <c r="B1607" s="764"/>
      <c r="C1607" s="766"/>
    </row>
    <row r="1608" spans="2:3">
      <c r="B1608" s="764"/>
      <c r="C1608" s="766"/>
    </row>
    <row r="1609" spans="2:3">
      <c r="B1609" s="764"/>
      <c r="C1609" s="766"/>
    </row>
    <row r="1610" spans="2:3">
      <c r="B1610" s="764"/>
      <c r="C1610" s="766"/>
    </row>
    <row r="1611" spans="2:3">
      <c r="B1611" s="764"/>
      <c r="C1611" s="766"/>
    </row>
    <row r="1612" spans="2:3">
      <c r="B1612" s="764"/>
      <c r="C1612" s="766"/>
    </row>
    <row r="1613" spans="2:3">
      <c r="B1613" s="764"/>
      <c r="C1613" s="766"/>
    </row>
    <row r="1614" spans="2:3">
      <c r="B1614" s="764"/>
      <c r="C1614" s="766"/>
    </row>
    <row r="1615" spans="2:3">
      <c r="B1615" s="764"/>
      <c r="C1615" s="766"/>
    </row>
    <row r="1616" spans="2:3">
      <c r="B1616" s="764"/>
      <c r="C1616" s="766"/>
    </row>
    <row r="1617" spans="2:3">
      <c r="B1617" s="764"/>
      <c r="C1617" s="766"/>
    </row>
    <row r="1618" spans="2:3">
      <c r="B1618" s="764"/>
      <c r="C1618" s="766"/>
    </row>
    <row r="1619" spans="2:3">
      <c r="B1619" s="764"/>
      <c r="C1619" s="766"/>
    </row>
    <row r="1620" spans="2:3">
      <c r="B1620" s="764"/>
      <c r="C1620" s="766"/>
    </row>
    <row r="1621" spans="2:3">
      <c r="B1621" s="764"/>
      <c r="C1621" s="766"/>
    </row>
    <row r="1622" spans="2:3">
      <c r="B1622" s="764"/>
      <c r="C1622" s="766"/>
    </row>
    <row r="1623" spans="2:3">
      <c r="B1623" s="764"/>
      <c r="C1623" s="766"/>
    </row>
    <row r="1624" spans="2:3">
      <c r="B1624" s="764"/>
      <c r="C1624" s="766"/>
    </row>
    <row r="1625" spans="2:3">
      <c r="B1625" s="764"/>
      <c r="C1625" s="766"/>
    </row>
    <row r="1626" spans="2:3">
      <c r="B1626" s="764"/>
      <c r="C1626" s="766"/>
    </row>
    <row r="1627" spans="2:3">
      <c r="B1627" s="764"/>
      <c r="C1627" s="766"/>
    </row>
    <row r="1628" spans="2:3">
      <c r="B1628" s="764"/>
      <c r="C1628" s="766"/>
    </row>
    <row r="1629" spans="2:3">
      <c r="B1629" s="764"/>
      <c r="C1629" s="766"/>
    </row>
    <row r="1630" spans="2:3">
      <c r="B1630" s="764"/>
      <c r="C1630" s="766"/>
    </row>
    <row r="1631" spans="2:3">
      <c r="B1631" s="764"/>
      <c r="C1631" s="766"/>
    </row>
    <row r="1632" spans="2:3">
      <c r="B1632" s="764"/>
      <c r="C1632" s="766"/>
    </row>
    <row r="1633" spans="2:3">
      <c r="B1633" s="764"/>
      <c r="C1633" s="766"/>
    </row>
    <row r="1634" spans="2:3">
      <c r="B1634" s="764"/>
      <c r="C1634" s="766"/>
    </row>
    <row r="1635" spans="2:3">
      <c r="B1635" s="764"/>
      <c r="C1635" s="766"/>
    </row>
    <row r="1636" spans="2:3">
      <c r="B1636" s="764"/>
      <c r="C1636" s="766"/>
    </row>
    <row r="1637" spans="2:3">
      <c r="B1637" s="764"/>
      <c r="C1637" s="766"/>
    </row>
    <row r="1638" spans="2:3">
      <c r="B1638" s="764"/>
      <c r="C1638" s="766"/>
    </row>
    <row r="1639" spans="2:3">
      <c r="B1639" s="764"/>
      <c r="C1639" s="766"/>
    </row>
    <row r="1640" spans="2:3">
      <c r="B1640" s="764"/>
      <c r="C1640" s="766"/>
    </row>
    <row r="1641" spans="2:3">
      <c r="B1641" s="764"/>
      <c r="C1641" s="766"/>
    </row>
    <row r="1642" spans="2:3">
      <c r="B1642" s="764"/>
      <c r="C1642" s="766"/>
    </row>
    <row r="1643" spans="2:3">
      <c r="B1643" s="764"/>
      <c r="C1643" s="766"/>
    </row>
    <row r="1644" spans="2:3">
      <c r="B1644" s="764"/>
      <c r="C1644" s="766"/>
    </row>
    <row r="1645" spans="2:3">
      <c r="B1645" s="764"/>
      <c r="C1645" s="766"/>
    </row>
    <row r="1646" spans="2:3">
      <c r="B1646" s="764"/>
      <c r="C1646" s="766"/>
    </row>
    <row r="1647" spans="2:3">
      <c r="B1647" s="764"/>
      <c r="C1647" s="766"/>
    </row>
    <row r="1648" spans="2:3">
      <c r="B1648" s="764"/>
      <c r="C1648" s="766"/>
    </row>
    <row r="1649" spans="2:3">
      <c r="B1649" s="764"/>
      <c r="C1649" s="766"/>
    </row>
    <row r="1650" spans="2:3">
      <c r="B1650" s="764"/>
      <c r="C1650" s="766"/>
    </row>
    <row r="1651" spans="2:3">
      <c r="B1651" s="764"/>
      <c r="C1651" s="766"/>
    </row>
    <row r="1652" spans="2:3">
      <c r="B1652" s="764"/>
      <c r="C1652" s="766"/>
    </row>
    <row r="1653" spans="2:3">
      <c r="B1653" s="764"/>
      <c r="C1653" s="766"/>
    </row>
    <row r="1654" spans="2:3">
      <c r="B1654" s="764"/>
      <c r="C1654" s="766"/>
    </row>
    <row r="1655" spans="2:3">
      <c r="B1655" s="764"/>
      <c r="C1655" s="766"/>
    </row>
    <row r="1656" spans="2:3">
      <c r="B1656" s="764"/>
      <c r="C1656" s="766"/>
    </row>
    <row r="1657" spans="2:3">
      <c r="B1657" s="764"/>
      <c r="C1657" s="766"/>
    </row>
    <row r="1658" spans="2:3">
      <c r="B1658" s="764"/>
      <c r="C1658" s="766"/>
    </row>
    <row r="1659" spans="2:3">
      <c r="B1659" s="764"/>
      <c r="C1659" s="766"/>
    </row>
    <row r="1660" spans="2:3">
      <c r="B1660" s="764"/>
      <c r="C1660" s="766"/>
    </row>
    <row r="1661" spans="2:3">
      <c r="B1661" s="764"/>
      <c r="C1661" s="766"/>
    </row>
    <row r="1662" spans="2:3">
      <c r="B1662" s="764"/>
      <c r="C1662" s="766"/>
    </row>
    <row r="1663" spans="2:3">
      <c r="B1663" s="764"/>
      <c r="C1663" s="766"/>
    </row>
    <row r="1664" spans="2:3">
      <c r="B1664" s="764"/>
      <c r="C1664" s="766"/>
    </row>
    <row r="1665" spans="2:3">
      <c r="B1665" s="764"/>
      <c r="C1665" s="766"/>
    </row>
    <row r="1666" spans="2:3">
      <c r="B1666" s="764"/>
      <c r="C1666" s="766"/>
    </row>
    <row r="1667" spans="2:3">
      <c r="B1667" s="764"/>
      <c r="C1667" s="766"/>
    </row>
    <row r="1668" spans="2:3">
      <c r="B1668" s="764"/>
      <c r="C1668" s="766"/>
    </row>
    <row r="1669" spans="2:3">
      <c r="B1669" s="764"/>
      <c r="C1669" s="766"/>
    </row>
    <row r="1670" spans="2:3">
      <c r="B1670" s="764"/>
      <c r="C1670" s="766"/>
    </row>
    <row r="1671" spans="2:3">
      <c r="B1671" s="764"/>
      <c r="C1671" s="766"/>
    </row>
    <row r="1672" spans="2:3">
      <c r="B1672" s="764"/>
      <c r="C1672" s="766"/>
    </row>
    <row r="1673" spans="2:3">
      <c r="B1673" s="764"/>
      <c r="C1673" s="766"/>
    </row>
    <row r="1674" spans="2:3">
      <c r="B1674" s="764"/>
      <c r="C1674" s="766"/>
    </row>
    <row r="1675" spans="2:3">
      <c r="B1675" s="764"/>
      <c r="C1675" s="766"/>
    </row>
    <row r="1676" spans="2:3">
      <c r="B1676" s="764"/>
      <c r="C1676" s="766"/>
    </row>
    <row r="1677" spans="2:3">
      <c r="B1677" s="764"/>
      <c r="C1677" s="766"/>
    </row>
    <row r="1678" spans="2:3">
      <c r="B1678" s="764"/>
      <c r="C1678" s="766"/>
    </row>
    <row r="1679" spans="2:3">
      <c r="B1679" s="764"/>
      <c r="C1679" s="766"/>
    </row>
    <row r="1680" spans="2:3">
      <c r="B1680" s="764"/>
      <c r="C1680" s="766"/>
    </row>
    <row r="1681" spans="2:3">
      <c r="B1681" s="764"/>
      <c r="C1681" s="766"/>
    </row>
    <row r="1682" spans="2:3">
      <c r="B1682" s="764"/>
      <c r="C1682" s="766"/>
    </row>
    <row r="1683" spans="2:3">
      <c r="B1683" s="764"/>
      <c r="C1683" s="766"/>
    </row>
    <row r="1684" spans="2:3">
      <c r="B1684" s="764"/>
      <c r="C1684" s="766"/>
    </row>
    <row r="1685" spans="2:3">
      <c r="B1685" s="764"/>
      <c r="C1685" s="766"/>
    </row>
    <row r="1686" spans="2:3">
      <c r="B1686" s="764"/>
      <c r="C1686" s="766"/>
    </row>
    <row r="1687" spans="2:3">
      <c r="B1687" s="764"/>
      <c r="C1687" s="766"/>
    </row>
    <row r="1688" spans="2:3">
      <c r="B1688" s="764"/>
      <c r="C1688" s="766"/>
    </row>
    <row r="1689" spans="2:3">
      <c r="B1689" s="764"/>
      <c r="C1689" s="766"/>
    </row>
    <row r="1690" spans="2:3">
      <c r="B1690" s="764"/>
      <c r="C1690" s="766"/>
    </row>
    <row r="1691" spans="2:3">
      <c r="B1691" s="764"/>
      <c r="C1691" s="766"/>
    </row>
    <row r="1692" spans="2:3">
      <c r="B1692" s="764"/>
      <c r="C1692" s="766"/>
    </row>
    <row r="1693" spans="2:3">
      <c r="B1693" s="764"/>
      <c r="C1693" s="766"/>
    </row>
    <row r="1694" spans="2:3">
      <c r="B1694" s="764"/>
      <c r="C1694" s="766"/>
    </row>
    <row r="1695" spans="2:3">
      <c r="B1695" s="764"/>
      <c r="C1695" s="766"/>
    </row>
    <row r="1696" spans="2:3">
      <c r="B1696" s="764"/>
      <c r="C1696" s="766"/>
    </row>
    <row r="1697" spans="2:3">
      <c r="B1697" s="764"/>
      <c r="C1697" s="766"/>
    </row>
    <row r="1698" spans="2:3">
      <c r="B1698" s="764"/>
      <c r="C1698" s="766"/>
    </row>
    <row r="1699" spans="2:3">
      <c r="B1699" s="764"/>
      <c r="C1699" s="766"/>
    </row>
    <row r="1700" spans="2:3">
      <c r="B1700" s="764"/>
      <c r="C1700" s="766"/>
    </row>
    <row r="1701" spans="2:3">
      <c r="B1701" s="764"/>
      <c r="C1701" s="766"/>
    </row>
    <row r="1702" spans="2:3">
      <c r="B1702" s="764"/>
      <c r="C1702" s="766"/>
    </row>
    <row r="1703" spans="2:3">
      <c r="B1703" s="764"/>
      <c r="C1703" s="766"/>
    </row>
    <row r="1704" spans="2:3">
      <c r="B1704" s="764"/>
      <c r="C1704" s="766"/>
    </row>
    <row r="1705" spans="2:3">
      <c r="B1705" s="764"/>
      <c r="C1705" s="766"/>
    </row>
    <row r="1706" spans="2:3">
      <c r="B1706" s="764"/>
      <c r="C1706" s="766"/>
    </row>
    <row r="1707" spans="2:3">
      <c r="B1707" s="764"/>
      <c r="C1707" s="766"/>
    </row>
    <row r="1708" spans="2:3">
      <c r="B1708" s="764"/>
      <c r="C1708" s="766"/>
    </row>
    <row r="1709" spans="2:3">
      <c r="B1709" s="764"/>
      <c r="C1709" s="766"/>
    </row>
    <row r="1710" spans="2:3">
      <c r="B1710" s="764"/>
      <c r="C1710" s="766"/>
    </row>
    <row r="1711" spans="2:3">
      <c r="B1711" s="764"/>
      <c r="C1711" s="766"/>
    </row>
    <row r="1712" spans="2:3">
      <c r="B1712" s="764"/>
      <c r="C1712" s="766"/>
    </row>
    <row r="1713" spans="2:3">
      <c r="B1713" s="764"/>
      <c r="C1713" s="766"/>
    </row>
    <row r="1714" spans="2:3">
      <c r="B1714" s="764"/>
      <c r="C1714" s="766"/>
    </row>
    <row r="1715" spans="2:3">
      <c r="B1715" s="764"/>
      <c r="C1715" s="766"/>
    </row>
    <row r="1716" spans="2:3">
      <c r="B1716" s="764"/>
      <c r="C1716" s="766"/>
    </row>
    <row r="1717" spans="2:3">
      <c r="B1717" s="764"/>
      <c r="C1717" s="766"/>
    </row>
    <row r="1718" spans="2:3">
      <c r="B1718" s="764"/>
      <c r="C1718" s="766"/>
    </row>
    <row r="1719" spans="2:3">
      <c r="B1719" s="764"/>
      <c r="C1719" s="766"/>
    </row>
    <row r="1720" spans="2:3">
      <c r="B1720" s="764"/>
      <c r="C1720" s="766"/>
    </row>
    <row r="1721" spans="2:3">
      <c r="B1721" s="764"/>
      <c r="C1721" s="766"/>
    </row>
    <row r="1722" spans="2:3">
      <c r="B1722" s="764"/>
      <c r="C1722" s="766"/>
    </row>
    <row r="1723" spans="2:3">
      <c r="B1723" s="764"/>
      <c r="C1723" s="766"/>
    </row>
    <row r="1724" spans="2:3">
      <c r="B1724" s="764"/>
      <c r="C1724" s="766"/>
    </row>
    <row r="1725" spans="2:3">
      <c r="B1725" s="764"/>
      <c r="C1725" s="766"/>
    </row>
    <row r="1726" spans="2:3">
      <c r="B1726" s="764"/>
      <c r="C1726" s="766"/>
    </row>
    <row r="1727" spans="2:3">
      <c r="B1727" s="764"/>
      <c r="C1727" s="766"/>
    </row>
    <row r="1728" spans="2:3">
      <c r="B1728" s="764"/>
      <c r="C1728" s="766"/>
    </row>
    <row r="1729" spans="2:3">
      <c r="B1729" s="764"/>
      <c r="C1729" s="766"/>
    </row>
    <row r="1730" spans="2:3">
      <c r="B1730" s="764"/>
      <c r="C1730" s="766"/>
    </row>
    <row r="1731" spans="2:3">
      <c r="B1731" s="764"/>
      <c r="C1731" s="766"/>
    </row>
    <row r="1732" spans="2:3">
      <c r="B1732" s="764"/>
      <c r="C1732" s="766"/>
    </row>
    <row r="1733" spans="2:3">
      <c r="B1733" s="764"/>
      <c r="C1733" s="766"/>
    </row>
    <row r="1734" spans="2:3">
      <c r="B1734" s="764"/>
      <c r="C1734" s="766"/>
    </row>
    <row r="1735" spans="2:3">
      <c r="B1735" s="764"/>
      <c r="C1735" s="766"/>
    </row>
    <row r="1736" spans="2:3">
      <c r="B1736" s="764"/>
      <c r="C1736" s="766"/>
    </row>
    <row r="1737" spans="2:3">
      <c r="B1737" s="764"/>
      <c r="C1737" s="766"/>
    </row>
    <row r="1738" spans="2:3">
      <c r="B1738" s="764"/>
      <c r="C1738" s="766"/>
    </row>
    <row r="1739" spans="2:3">
      <c r="B1739" s="764"/>
      <c r="C1739" s="766"/>
    </row>
    <row r="1740" spans="2:3">
      <c r="B1740" s="764"/>
      <c r="C1740" s="766"/>
    </row>
    <row r="1741" spans="2:3">
      <c r="B1741" s="764"/>
      <c r="C1741" s="766"/>
    </row>
    <row r="1742" spans="2:3">
      <c r="B1742" s="764"/>
      <c r="C1742" s="766"/>
    </row>
    <row r="1743" spans="2:3">
      <c r="B1743" s="764"/>
      <c r="C1743" s="766"/>
    </row>
    <row r="1744" spans="2:3">
      <c r="B1744" s="764"/>
      <c r="C1744" s="766"/>
    </row>
    <row r="1745" spans="2:3">
      <c r="B1745" s="764"/>
      <c r="C1745" s="766"/>
    </row>
    <row r="1746" spans="2:3">
      <c r="B1746" s="764"/>
      <c r="C1746" s="766"/>
    </row>
    <row r="1747" spans="2:3">
      <c r="B1747" s="764"/>
      <c r="C1747" s="766"/>
    </row>
    <row r="1748" spans="2:3">
      <c r="B1748" s="764"/>
      <c r="C1748" s="766"/>
    </row>
    <row r="1749" spans="2:3">
      <c r="B1749" s="764"/>
      <c r="C1749" s="766"/>
    </row>
    <row r="1750" spans="2:3">
      <c r="B1750" s="764"/>
      <c r="C1750" s="766"/>
    </row>
    <row r="1751" spans="2:3">
      <c r="B1751" s="764"/>
      <c r="C1751" s="766"/>
    </row>
    <row r="1752" spans="2:3">
      <c r="B1752" s="764"/>
      <c r="C1752" s="766"/>
    </row>
    <row r="1753" spans="2:3">
      <c r="B1753" s="764"/>
      <c r="C1753" s="766"/>
    </row>
    <row r="1754" spans="2:3">
      <c r="B1754" s="764"/>
      <c r="C1754" s="766"/>
    </row>
    <row r="1755" spans="2:3">
      <c r="B1755" s="764"/>
      <c r="C1755" s="766"/>
    </row>
    <row r="1756" spans="2:3">
      <c r="B1756" s="764"/>
      <c r="C1756" s="766"/>
    </row>
    <row r="1757" spans="2:3">
      <c r="B1757" s="764"/>
      <c r="C1757" s="766"/>
    </row>
    <row r="1758" spans="2:3">
      <c r="B1758" s="764"/>
      <c r="C1758" s="766"/>
    </row>
    <row r="1759" spans="2:3">
      <c r="B1759" s="764"/>
      <c r="C1759" s="766"/>
    </row>
    <row r="1760" spans="2:3">
      <c r="B1760" s="764"/>
      <c r="C1760" s="766"/>
    </row>
    <row r="1761" spans="2:3">
      <c r="B1761" s="764"/>
      <c r="C1761" s="766"/>
    </row>
    <row r="1762" spans="2:3">
      <c r="B1762" s="764"/>
      <c r="C1762" s="766"/>
    </row>
    <row r="1763" spans="2:3">
      <c r="B1763" s="764"/>
      <c r="C1763" s="766"/>
    </row>
    <row r="1764" spans="2:3">
      <c r="B1764" s="764"/>
      <c r="C1764" s="766"/>
    </row>
    <row r="1765" spans="2:3">
      <c r="B1765" s="764"/>
      <c r="C1765" s="766"/>
    </row>
    <row r="1766" spans="2:3">
      <c r="B1766" s="764"/>
      <c r="C1766" s="766"/>
    </row>
    <row r="1767" spans="2:3">
      <c r="B1767" s="764"/>
      <c r="C1767" s="766"/>
    </row>
    <row r="1768" spans="2:3">
      <c r="B1768" s="764"/>
      <c r="C1768" s="766"/>
    </row>
    <row r="1769" spans="2:3">
      <c r="B1769" s="764"/>
      <c r="C1769" s="766"/>
    </row>
    <row r="1770" spans="2:3">
      <c r="B1770" s="764"/>
      <c r="C1770" s="766"/>
    </row>
    <row r="1771" spans="2:3">
      <c r="B1771" s="764"/>
      <c r="C1771" s="766"/>
    </row>
    <row r="1772" spans="2:3">
      <c r="B1772" s="764"/>
      <c r="C1772" s="766"/>
    </row>
    <row r="1773" spans="2:3">
      <c r="B1773" s="764"/>
      <c r="C1773" s="766"/>
    </row>
    <row r="1774" spans="2:3">
      <c r="B1774" s="764"/>
      <c r="C1774" s="766"/>
    </row>
    <row r="1775" spans="2:3">
      <c r="B1775" s="764"/>
      <c r="C1775" s="766"/>
    </row>
    <row r="1776" spans="2:3">
      <c r="B1776" s="764"/>
      <c r="C1776" s="766"/>
    </row>
    <row r="1777" spans="2:3">
      <c r="B1777" s="764"/>
      <c r="C1777" s="766"/>
    </row>
    <row r="1778" spans="2:3">
      <c r="B1778" s="764"/>
      <c r="C1778" s="766"/>
    </row>
    <row r="1779" spans="2:3">
      <c r="B1779" s="764"/>
      <c r="C1779" s="766"/>
    </row>
    <row r="1780" spans="2:3">
      <c r="B1780" s="764"/>
      <c r="C1780" s="766"/>
    </row>
    <row r="1781" spans="2:3">
      <c r="B1781" s="764"/>
      <c r="C1781" s="766"/>
    </row>
    <row r="1782" spans="2:3">
      <c r="B1782" s="764"/>
      <c r="C1782" s="766"/>
    </row>
    <row r="1783" spans="2:3">
      <c r="B1783" s="764"/>
      <c r="C1783" s="766"/>
    </row>
    <row r="1784" spans="2:3">
      <c r="B1784" s="764"/>
      <c r="C1784" s="766"/>
    </row>
    <row r="1785" spans="2:3">
      <c r="B1785" s="764"/>
      <c r="C1785" s="766"/>
    </row>
    <row r="1786" spans="2:3">
      <c r="B1786" s="764"/>
      <c r="C1786" s="766"/>
    </row>
    <row r="1787" spans="2:3">
      <c r="B1787" s="764"/>
      <c r="C1787" s="766"/>
    </row>
    <row r="1788" spans="2:3">
      <c r="B1788" s="764"/>
      <c r="C1788" s="766"/>
    </row>
    <row r="1789" spans="2:3">
      <c r="B1789" s="764"/>
      <c r="C1789" s="766"/>
    </row>
    <row r="1790" spans="2:3">
      <c r="B1790" s="764"/>
      <c r="C1790" s="766"/>
    </row>
    <row r="1791" spans="2:3">
      <c r="B1791" s="764"/>
      <c r="C1791" s="766"/>
    </row>
    <row r="1792" spans="2:3">
      <c r="B1792" s="764"/>
      <c r="C1792" s="766"/>
    </row>
    <row r="1793" spans="2:3">
      <c r="B1793" s="764"/>
      <c r="C1793" s="766"/>
    </row>
    <row r="1794" spans="2:3">
      <c r="B1794" s="764"/>
      <c r="C1794" s="766"/>
    </row>
    <row r="1795" spans="2:3">
      <c r="B1795" s="764"/>
      <c r="C1795" s="766"/>
    </row>
    <row r="1796" spans="2:3">
      <c r="B1796" s="764"/>
      <c r="C1796" s="766"/>
    </row>
    <row r="1797" spans="2:3">
      <c r="B1797" s="764"/>
      <c r="C1797" s="766"/>
    </row>
    <row r="1798" spans="2:3">
      <c r="B1798" s="764"/>
      <c r="C1798" s="766"/>
    </row>
    <row r="1799" spans="2:3">
      <c r="B1799" s="764"/>
      <c r="C1799" s="766"/>
    </row>
    <row r="1800" spans="2:3">
      <c r="B1800" s="764"/>
      <c r="C1800" s="766"/>
    </row>
    <row r="1801" spans="2:3">
      <c r="B1801" s="764"/>
      <c r="C1801" s="766"/>
    </row>
    <row r="1802" spans="2:3">
      <c r="B1802" s="764"/>
      <c r="C1802" s="766"/>
    </row>
    <row r="1803" spans="2:3">
      <c r="B1803" s="764"/>
      <c r="C1803" s="766"/>
    </row>
    <row r="1804" spans="2:3">
      <c r="B1804" s="764"/>
      <c r="C1804" s="766"/>
    </row>
    <row r="1805" spans="2:3">
      <c r="B1805" s="764"/>
      <c r="C1805" s="766"/>
    </row>
    <row r="1806" spans="2:3">
      <c r="B1806" s="764"/>
      <c r="C1806" s="766"/>
    </row>
    <row r="1807" spans="2:3">
      <c r="B1807" s="764"/>
      <c r="C1807" s="766"/>
    </row>
    <row r="1808" spans="2:3">
      <c r="B1808" s="764"/>
      <c r="C1808" s="766"/>
    </row>
    <row r="1809" spans="2:3">
      <c r="B1809" s="764"/>
      <c r="C1809" s="766"/>
    </row>
    <row r="1810" spans="2:3">
      <c r="B1810" s="764"/>
      <c r="C1810" s="766"/>
    </row>
    <row r="1811" spans="2:3">
      <c r="B1811" s="764"/>
      <c r="C1811" s="766"/>
    </row>
    <row r="1812" spans="2:3">
      <c r="B1812" s="764"/>
      <c r="C1812" s="766"/>
    </row>
    <row r="1813" spans="2:3">
      <c r="B1813" s="764"/>
      <c r="C1813" s="766"/>
    </row>
    <row r="1814" spans="2:3">
      <c r="B1814" s="764"/>
      <c r="C1814" s="766"/>
    </row>
    <row r="1815" spans="2:3">
      <c r="B1815" s="764"/>
      <c r="C1815" s="766"/>
    </row>
    <row r="1816" spans="2:3">
      <c r="B1816" s="764"/>
      <c r="C1816" s="766"/>
    </row>
    <row r="1817" spans="2:3">
      <c r="B1817" s="764"/>
      <c r="C1817" s="766"/>
    </row>
    <row r="1818" spans="2:3">
      <c r="B1818" s="764"/>
      <c r="C1818" s="766"/>
    </row>
    <row r="1819" spans="2:3">
      <c r="B1819" s="764"/>
      <c r="C1819" s="766"/>
    </row>
    <row r="1820" spans="2:3">
      <c r="B1820" s="764"/>
      <c r="C1820" s="766"/>
    </row>
    <row r="1821" spans="2:3">
      <c r="B1821" s="764"/>
      <c r="C1821" s="766"/>
    </row>
    <row r="1822" spans="2:3">
      <c r="B1822" s="764"/>
      <c r="C1822" s="766"/>
    </row>
    <row r="1823" spans="2:3">
      <c r="B1823" s="764"/>
      <c r="C1823" s="766"/>
    </row>
    <row r="1824" spans="2:3">
      <c r="B1824" s="764"/>
      <c r="C1824" s="766"/>
    </row>
    <row r="1825" spans="2:3">
      <c r="B1825" s="764"/>
      <c r="C1825" s="766"/>
    </row>
    <row r="1826" spans="2:3">
      <c r="B1826" s="764"/>
      <c r="C1826" s="766"/>
    </row>
    <row r="1827" spans="2:3">
      <c r="B1827" s="764"/>
      <c r="C1827" s="766"/>
    </row>
    <row r="1828" spans="2:3">
      <c r="B1828" s="764"/>
      <c r="C1828" s="766"/>
    </row>
    <row r="1829" spans="2:3">
      <c r="B1829" s="764"/>
      <c r="C1829" s="766"/>
    </row>
    <row r="1830" spans="2:3">
      <c r="B1830" s="764"/>
      <c r="C1830" s="766"/>
    </row>
    <row r="1831" spans="2:3">
      <c r="B1831" s="764"/>
      <c r="C1831" s="766"/>
    </row>
    <row r="1832" spans="2:3">
      <c r="B1832" s="764"/>
      <c r="C1832" s="766"/>
    </row>
    <row r="1833" spans="2:3">
      <c r="B1833" s="764"/>
      <c r="C1833" s="766"/>
    </row>
    <row r="1834" spans="2:3">
      <c r="B1834" s="764"/>
      <c r="C1834" s="766"/>
    </row>
    <row r="1835" spans="2:3">
      <c r="B1835" s="764"/>
      <c r="C1835" s="766"/>
    </row>
    <row r="1836" spans="2:3">
      <c r="B1836" s="764"/>
      <c r="C1836" s="766"/>
    </row>
    <row r="1837" spans="2:3">
      <c r="B1837" s="764"/>
      <c r="C1837" s="766"/>
    </row>
    <row r="1838" spans="2:3">
      <c r="B1838" s="764"/>
      <c r="C1838" s="766"/>
    </row>
    <row r="1839" spans="2:3">
      <c r="B1839" s="764"/>
      <c r="C1839" s="766"/>
    </row>
    <row r="1840" spans="2:3">
      <c r="B1840" s="764"/>
      <c r="C1840" s="766"/>
    </row>
    <row r="1841" spans="2:3">
      <c r="B1841" s="764"/>
      <c r="C1841" s="766"/>
    </row>
    <row r="1842" spans="2:3">
      <c r="B1842" s="764"/>
      <c r="C1842" s="766"/>
    </row>
    <row r="1843" spans="2:3">
      <c r="B1843" s="764"/>
      <c r="C1843" s="766"/>
    </row>
    <row r="1844" spans="2:3">
      <c r="B1844" s="764"/>
      <c r="C1844" s="766"/>
    </row>
    <row r="1845" spans="2:3">
      <c r="B1845" s="764"/>
      <c r="C1845" s="766"/>
    </row>
    <row r="1846" spans="2:3">
      <c r="B1846" s="764"/>
      <c r="C1846" s="766"/>
    </row>
    <row r="1847" spans="2:3">
      <c r="B1847" s="764"/>
      <c r="C1847" s="766"/>
    </row>
    <row r="1848" spans="2:3">
      <c r="B1848" s="764"/>
      <c r="C1848" s="766"/>
    </row>
    <row r="1849" spans="2:3">
      <c r="B1849" s="764"/>
      <c r="C1849" s="766"/>
    </row>
    <row r="1850" spans="2:3">
      <c r="B1850" s="764"/>
      <c r="C1850" s="766"/>
    </row>
    <row r="1851" spans="2:3">
      <c r="B1851" s="764"/>
      <c r="C1851" s="766"/>
    </row>
    <row r="1852" spans="2:3">
      <c r="B1852" s="764"/>
      <c r="C1852" s="766"/>
    </row>
    <row r="1853" spans="2:3">
      <c r="B1853" s="764"/>
      <c r="C1853" s="766"/>
    </row>
    <row r="1854" spans="2:3">
      <c r="B1854" s="764"/>
      <c r="C1854" s="766"/>
    </row>
    <row r="1855" spans="2:3">
      <c r="B1855" s="764"/>
      <c r="C1855" s="766"/>
    </row>
    <row r="1856" spans="2:3">
      <c r="B1856" s="764"/>
      <c r="C1856" s="766"/>
    </row>
    <row r="1857" spans="2:3">
      <c r="B1857" s="764"/>
      <c r="C1857" s="766"/>
    </row>
    <row r="1858" spans="2:3">
      <c r="B1858" s="764"/>
      <c r="C1858" s="766"/>
    </row>
    <row r="1859" spans="2:3">
      <c r="B1859" s="764"/>
      <c r="C1859" s="766"/>
    </row>
    <row r="1860" spans="2:3">
      <c r="B1860" s="764"/>
      <c r="C1860" s="766"/>
    </row>
    <row r="1861" spans="2:3">
      <c r="B1861" s="764"/>
      <c r="C1861" s="766"/>
    </row>
    <row r="1862" spans="2:3">
      <c r="B1862" s="764"/>
      <c r="C1862" s="766"/>
    </row>
    <row r="1863" spans="2:3">
      <c r="B1863" s="764"/>
      <c r="C1863" s="766"/>
    </row>
    <row r="1864" spans="2:3">
      <c r="B1864" s="764"/>
      <c r="C1864" s="766"/>
    </row>
    <row r="1865" spans="2:3">
      <c r="B1865" s="764"/>
      <c r="C1865" s="766"/>
    </row>
    <row r="1866" spans="2:3">
      <c r="B1866" s="764"/>
      <c r="C1866" s="766"/>
    </row>
    <row r="1867" spans="2:3">
      <c r="B1867" s="764"/>
      <c r="C1867" s="766"/>
    </row>
    <row r="1868" spans="2:3">
      <c r="B1868" s="764"/>
      <c r="C1868" s="766"/>
    </row>
    <row r="1869" spans="2:3">
      <c r="B1869" s="764"/>
      <c r="C1869" s="766"/>
    </row>
    <row r="1870" spans="2:3">
      <c r="B1870" s="764"/>
      <c r="C1870" s="766"/>
    </row>
    <row r="1871" spans="2:3">
      <c r="B1871" s="764"/>
      <c r="C1871" s="766"/>
    </row>
    <row r="1872" spans="2:3">
      <c r="B1872" s="764"/>
      <c r="C1872" s="766"/>
    </row>
    <row r="1873" spans="2:3">
      <c r="B1873" s="764"/>
      <c r="C1873" s="766"/>
    </row>
    <row r="1874" spans="2:3">
      <c r="B1874" s="764"/>
      <c r="C1874" s="766"/>
    </row>
    <row r="1875" spans="2:3">
      <c r="B1875" s="764"/>
      <c r="C1875" s="766"/>
    </row>
    <row r="1876" spans="2:3">
      <c r="B1876" s="764"/>
      <c r="C1876" s="766"/>
    </row>
    <row r="1877" spans="2:3">
      <c r="B1877" s="764"/>
      <c r="C1877" s="766"/>
    </row>
    <row r="1878" spans="2:3">
      <c r="B1878" s="764"/>
      <c r="C1878" s="766"/>
    </row>
    <row r="1879" spans="2:3">
      <c r="B1879" s="764"/>
      <c r="C1879" s="766"/>
    </row>
    <row r="1880" spans="2:3">
      <c r="B1880" s="764"/>
      <c r="C1880" s="766"/>
    </row>
    <row r="1881" spans="2:3">
      <c r="B1881" s="764"/>
      <c r="C1881" s="766"/>
    </row>
    <row r="1882" spans="2:3">
      <c r="B1882" s="764"/>
      <c r="C1882" s="766"/>
    </row>
    <row r="1883" spans="2:3">
      <c r="B1883" s="764"/>
      <c r="C1883" s="766"/>
    </row>
    <row r="1884" spans="2:3">
      <c r="B1884" s="764"/>
      <c r="C1884" s="766"/>
    </row>
    <row r="1885" spans="2:3">
      <c r="B1885" s="764"/>
      <c r="C1885" s="766"/>
    </row>
    <row r="1886" spans="2:3">
      <c r="B1886" s="764"/>
      <c r="C1886" s="766"/>
    </row>
    <row r="1887" spans="2:3">
      <c r="B1887" s="764"/>
      <c r="C1887" s="766"/>
    </row>
    <row r="1888" spans="2:3">
      <c r="B1888" s="764"/>
      <c r="C1888" s="766"/>
    </row>
    <row r="1889" spans="2:3">
      <c r="B1889" s="764"/>
      <c r="C1889" s="766"/>
    </row>
    <row r="1890" spans="2:3">
      <c r="B1890" s="764"/>
      <c r="C1890" s="766"/>
    </row>
    <row r="1891" spans="2:3">
      <c r="B1891" s="764"/>
      <c r="C1891" s="766"/>
    </row>
    <row r="1892" spans="2:3">
      <c r="B1892" s="764"/>
      <c r="C1892" s="766"/>
    </row>
    <row r="1893" spans="2:3">
      <c r="B1893" s="764"/>
      <c r="C1893" s="766"/>
    </row>
    <row r="1894" spans="2:3">
      <c r="B1894" s="764"/>
      <c r="C1894" s="766"/>
    </row>
    <row r="1895" spans="2:3">
      <c r="B1895" s="764"/>
      <c r="C1895" s="766"/>
    </row>
    <row r="1896" spans="2:3">
      <c r="B1896" s="764"/>
      <c r="C1896" s="766"/>
    </row>
    <row r="1897" spans="2:3">
      <c r="B1897" s="764"/>
      <c r="C1897" s="766"/>
    </row>
    <row r="1898" spans="2:3">
      <c r="B1898" s="764"/>
      <c r="C1898" s="766"/>
    </row>
    <row r="1899" spans="2:3">
      <c r="B1899" s="764"/>
      <c r="C1899" s="766"/>
    </row>
    <row r="1900" spans="2:3">
      <c r="B1900" s="764"/>
      <c r="C1900" s="766"/>
    </row>
    <row r="1901" spans="2:3">
      <c r="B1901" s="764"/>
      <c r="C1901" s="766"/>
    </row>
    <row r="1902" spans="2:3">
      <c r="B1902" s="764"/>
      <c r="C1902" s="766"/>
    </row>
    <row r="1903" spans="2:3">
      <c r="B1903" s="764"/>
      <c r="C1903" s="766"/>
    </row>
    <row r="1904" spans="2:3">
      <c r="B1904" s="764"/>
      <c r="C1904" s="764"/>
    </row>
  </sheetData>
  <sortState xmlns:xlrd2="http://schemas.microsoft.com/office/spreadsheetml/2017/richdata2" ref="B36:C1904">
    <sortCondition ref="B36:B1904" customList="January,February,March,April,May,June,July,August,September,October,November,December"/>
  </sortState>
  <mergeCells count="1">
    <mergeCell ref="C14:L14"/>
  </mergeCells>
  <phoneticPr fontId="88" type="noConversion"/>
  <conditionalFormatting sqref="C192:D193">
    <cfRule type="cellIs" dxfId="500" priority="4" operator="greaterThan">
      <formula>0.75</formula>
    </cfRule>
  </conditionalFormatting>
  <conditionalFormatting sqref="C185:E187">
    <cfRule type="cellIs" dxfId="499" priority="18" operator="greaterThanOrEqual">
      <formula>0.75</formula>
    </cfRule>
    <cfRule type="cellIs" dxfId="498" priority="17" operator="lessThan">
      <formula>-0.75</formula>
    </cfRule>
    <cfRule type="cellIs" dxfId="497" priority="19" operator="between">
      <formula>-0.74</formula>
      <formula>0.74</formula>
    </cfRule>
  </conditionalFormatting>
  <conditionalFormatting sqref="C139:F145">
    <cfRule type="cellIs" dxfId="496" priority="13" operator="between">
      <formula>0.001</formula>
      <formula>0.5</formula>
    </cfRule>
    <cfRule type="cellIs" dxfId="495" priority="15" operator="greaterThan">
      <formula>0.5</formula>
    </cfRule>
    <cfRule type="cellIs" dxfId="494" priority="14" operator="lessThan">
      <formula>0</formula>
    </cfRule>
  </conditionalFormatting>
  <conditionalFormatting sqref="C176:G182">
    <cfRule type="cellIs" dxfId="493" priority="3" operator="between">
      <formula>-0.74</formula>
      <formula>0.74</formula>
    </cfRule>
    <cfRule type="cellIs" dxfId="492" priority="2" operator="greaterThanOrEqual">
      <formula>0.75</formula>
    </cfRule>
    <cfRule type="cellIs" dxfId="491" priority="1" operator="lessThan">
      <formula>-0.75</formula>
    </cfRule>
  </conditionalFormatting>
  <conditionalFormatting sqref="C171:DR171">
    <cfRule type="containsText" dxfId="490" priority="12" operator="containsText" text="Supply">
      <formula>NOT(ISERROR(SEARCH("Supply",C171)))</formula>
    </cfRule>
    <cfRule type="containsText" dxfId="489" priority="11" operator="containsText" text="Demand">
      <formula>NOT(ISERROR(SEARCH("Demand",C171)))</formula>
    </cfRule>
  </conditionalFormatting>
  <conditionalFormatting sqref="D113:AF113">
    <cfRule type="colorScale" priority="16">
      <colorScale>
        <cfvo type="min"/>
        <cfvo type="percentile" val="50"/>
        <cfvo type="max"/>
        <color rgb="FFF8696B"/>
        <color rgb="FFFFEB84"/>
        <color rgb="FF63BE7B"/>
      </colorScale>
    </cfRule>
  </conditionalFormatting>
  <conditionalFormatting sqref="D105:AH105">
    <cfRule type="colorScale" priority="5">
      <colorScale>
        <cfvo type="min"/>
        <cfvo type="percentile" val="50"/>
        <cfvo type="max"/>
        <color rgb="FFF8696B"/>
        <color rgb="FFFFEB84"/>
        <color rgb="FF63BE7B"/>
      </colorScale>
    </cfRule>
  </conditionalFormatting>
  <conditionalFormatting sqref="D107:AH107">
    <cfRule type="colorScale" priority="6">
      <colorScale>
        <cfvo type="min"/>
        <cfvo type="percentile" val="50"/>
        <cfvo type="max"/>
        <color rgb="FFF8696B"/>
        <color rgb="FFFFEB84"/>
        <color rgb="FF63BE7B"/>
      </colorScale>
    </cfRule>
  </conditionalFormatting>
  <conditionalFormatting sqref="D109:AH109">
    <cfRule type="colorScale" priority="7">
      <colorScale>
        <cfvo type="min"/>
        <cfvo type="percentile" val="50"/>
        <cfvo type="max"/>
        <color rgb="FFF8696B"/>
        <color rgb="FFFFEB84"/>
        <color rgb="FF63BE7B"/>
      </colorScale>
    </cfRule>
  </conditionalFormatting>
  <conditionalFormatting sqref="D111:AH111 F112:AH112">
    <cfRule type="colorScale" priority="301">
      <colorScale>
        <cfvo type="min"/>
        <cfvo type="percentile" val="50"/>
        <cfvo type="max"/>
        <color rgb="FFF8696B"/>
        <color rgb="FFFFEB84"/>
        <color rgb="FF63BE7B"/>
      </colorScale>
    </cfRule>
  </conditionalFormatting>
  <pageMargins left="0.7" right="0.7" top="0.75" bottom="0.75" header="0.3" footer="0.3"/>
  <pageSetup paperSize="9" orientation="portrait" r:id="rId1"/>
  <ignoredErrors>
    <ignoredError sqref="F123" calculatedColumn="1"/>
  </ignoredErrors>
  <drawing r:id="rId2"/>
  <legacyDrawing r:id="rId3"/>
  <tableParts count="9">
    <tablePart r:id="rId4"/>
    <tablePart r:id="rId5"/>
    <tablePart r:id="rId6"/>
    <tablePart r:id="rId7"/>
    <tablePart r:id="rId8"/>
    <tablePart r:id="rId9"/>
    <tablePart r:id="rId10"/>
    <tablePart r:id="rId11"/>
    <tablePart r:id="rId12"/>
  </tableParts>
  <extLst>
    <ext xmlns:x14="http://schemas.microsoft.com/office/spreadsheetml/2009/9/main" uri="{05C60535-1F16-4fd2-B633-F4F36F0B64E0}">
      <x14:sparklineGroups xmlns:xm="http://schemas.microsoft.com/office/excel/2006/main">
        <x14:sparklineGroup displayEmptyCellsAs="gap" high="1" low="1" displayXAxis="1" xr2:uid="{E487022A-F13E-444D-9797-E12D8B68422E}">
          <x14:colorSeries rgb="FF376092"/>
          <x14:colorNegative rgb="FFD00000"/>
          <x14:colorAxis rgb="FF000000"/>
          <x14:colorMarkers rgb="FFD00000"/>
          <x14:colorFirst rgb="FFD00000"/>
          <x14:colorLast rgb="FFD00000"/>
          <x14:colorHigh rgb="FFD00000"/>
          <x14:colorLow rgb="FFD00000"/>
          <x14:sparklines>
            <x14:sparkline>
              <xm:f>Assumptions!J117:AH117</xm:f>
              <xm:sqref>D117</xm:sqref>
            </x14:sparkline>
            <x14:sparkline>
              <xm:f>Assumptions!M118:AH118</xm:f>
              <xm:sqref>D118</xm:sqref>
            </x14:sparkline>
            <x14:sparkline>
              <xm:f>Assumptions!M119:AH119</xm:f>
              <xm:sqref>D119</xm:sqref>
            </x14:sparkline>
          </x14:sparklines>
        </x14:sparklineGroup>
        <x14:sparklineGroup displayEmptyCellsAs="gap" xr2:uid="{1F076866-D9A9-4A4F-9941-EAC532D86B08}">
          <x14:colorSeries rgb="FF376092"/>
          <x14:colorNegative rgb="FFD00000"/>
          <x14:colorAxis rgb="FF000000"/>
          <x14:colorMarkers rgb="FFD00000"/>
          <x14:colorFirst rgb="FFD00000"/>
          <x14:colorLast rgb="FFD00000"/>
          <x14:colorHigh rgb="FFD00000"/>
          <x14:colorLow rgb="FFD00000"/>
          <x14:sparklines>
            <x14:sparkline>
              <xm:f>Assumptions!J50:J64</xm:f>
              <xm:sqref>J47</xm:sqref>
            </x14:sparkline>
          </x14:sparklines>
        </x14:sparklineGroup>
        <x14:sparklineGroup type="column" displayEmptyCellsAs="gap" high="1" low="1" xr2:uid="{07DDFBCF-2550-8F45-80E1-B47619DC8C24}">
          <x14:colorSeries rgb="FF376092"/>
          <x14:colorNegative rgb="FFD00000"/>
          <x14:colorAxis rgb="FF000000"/>
          <x14:colorMarkers rgb="FFD00000"/>
          <x14:colorFirst rgb="FFD00000"/>
          <x14:colorLast rgb="FFD00000"/>
          <x14:colorHigh rgb="FFD00000"/>
          <x14:colorLow rgb="FFD00000"/>
          <x14:sparklines>
            <x14:sparkline>
              <xm:f>Assumptions!E104:AH104</xm:f>
              <xm:sqref>D104</xm:sqref>
            </x14:sparkline>
            <x14:sparkline>
              <xm:f>Assumptions!E106:AH106</xm:f>
              <xm:sqref>D106</xm:sqref>
            </x14:sparkline>
            <x14:sparkline>
              <xm:f>Assumptions!E108:AH108</xm:f>
              <xm:sqref>D108</xm:sqref>
            </x14:sparkline>
            <x14:sparkline>
              <xm:f>Assumptions!E110:AH110</xm:f>
              <xm:sqref>D110</xm:sqref>
            </x14:sparkline>
          </x14:sparklines>
        </x14:sparklineGroup>
        <x14:sparklineGroup type="column" displayEmptyCellsAs="gap" high="1" low="1" xr2:uid="{C3F26F50-841D-FD40-B93E-2863E7B92BA4}">
          <x14:colorSeries rgb="FF376092"/>
          <x14:colorNegative rgb="FFD00000"/>
          <x14:colorAxis rgb="FF000000"/>
          <x14:colorMarkers rgb="FFD00000"/>
          <x14:colorFirst rgb="FFD00000"/>
          <x14:colorLast rgb="FFD00000"/>
          <x14:colorHigh rgb="FFD00000"/>
          <x14:colorLow rgb="FFD00000"/>
          <x14:sparklines>
            <x14:sparkline>
              <xm:f>Assumptions!E122:K122</xm:f>
              <xm:sqref>D122</xm:sqref>
            </x14:sparkline>
          </x14:sparklines>
        </x14:sparklineGroup>
        <x14:sparklineGroup type="column" displayEmptyCellsAs="gap" high="1" low="1" xr2:uid="{B09D5D28-05E4-6341-B814-D34D7C15A1A5}">
          <x14:colorSeries rgb="FF376092"/>
          <x14:colorNegative rgb="FFD00000"/>
          <x14:colorAxis rgb="FF000000"/>
          <x14:colorMarkers rgb="FFD00000"/>
          <x14:colorFirst rgb="FFD00000"/>
          <x14:colorLast rgb="FFD00000"/>
          <x14:colorHigh rgb="FFD00000"/>
          <x14:colorLow rgb="FFD00000"/>
          <x14:sparklines>
            <x14:sparkline>
              <xm:f>Assumptions!E124:L124</xm:f>
              <xm:sqref>D124</xm:sqref>
            </x14:sparkline>
          </x14:sparklines>
        </x14:sparklineGroup>
        <x14:sparklineGroup type="column" displayEmptyCellsAs="gap" high="1" low="1" xr2:uid="{E5CFC028-A923-DA40-9583-9D85CBB943D6}">
          <x14:colorSeries rgb="FF376092"/>
          <x14:colorNegative rgb="FFD00000"/>
          <x14:colorAxis rgb="FF000000"/>
          <x14:colorMarkers rgb="FFD00000"/>
          <x14:colorFirst rgb="FFD00000"/>
          <x14:colorLast rgb="FFD00000"/>
          <x14:colorHigh rgb="FFD00000"/>
          <x14:colorLow rgb="FFD00000"/>
          <x14:sparklines>
            <x14:sparkline>
              <xm:f>Assumptions!E126:L126</xm:f>
              <xm:sqref>D126</xm:sqref>
            </x14:sparkline>
          </x14:sparklines>
        </x14:sparklineGroup>
        <x14:sparklineGroup type="column" displayEmptyCellsAs="gap" high="1" low="1" xr2:uid="{8263CFD7-CB2D-AE4C-A743-D7531D1A9997}">
          <x14:colorSeries rgb="FF376092"/>
          <x14:colorNegative rgb="FFD00000"/>
          <x14:colorAxis rgb="FF000000"/>
          <x14:colorMarkers rgb="FFD00000"/>
          <x14:colorFirst rgb="FFD00000"/>
          <x14:colorLast rgb="FFD00000"/>
          <x14:colorHigh rgb="FFD00000"/>
          <x14:colorLow rgb="FFD00000"/>
          <x14:sparklines>
            <x14:sparkline>
              <xm:f>Assumptions!E128:L128</xm:f>
              <xm:sqref>D128</xm:sqref>
            </x14:sparkline>
          </x14:sparklines>
        </x14:sparklineGroup>
        <x14:sparklineGroup displayEmptyCellsAs="gap" high="1" low="1" displayXAxis="1" xr2:uid="{E1333146-E767-784A-B62A-33FE83558F7E}">
          <x14:colorSeries rgb="FF376092"/>
          <x14:colorNegative rgb="FFD00000"/>
          <x14:colorAxis rgb="FF000000"/>
          <x14:colorMarkers rgb="FFD00000"/>
          <x14:colorFirst rgb="FFD00000"/>
          <x14:colorLast rgb="FFD00000"/>
          <x14:colorHigh rgb="FFD00000"/>
          <x14:colorLow rgb="FFD00000"/>
          <x14:sparklines>
            <x14:sparkline>
              <xm:f>Assumptions!E133:L133</xm:f>
              <xm:sqref>D133</xm:sqref>
            </x14:sparkline>
            <x14:sparkline>
              <xm:f>Assumptions!E134:L134</xm:f>
              <xm:sqref>D134</xm:sqref>
            </x14:sparkline>
            <x14:sparkline>
              <xm:f>Assumptions!E135:L135</xm:f>
              <xm:sqref>D135</xm:sqref>
            </x14:sparkline>
          </x14:sparklines>
        </x14:sparklineGroup>
        <x14:sparklineGroup type="column" displayEmptyCellsAs="gap" high="1" low="1" xr2:uid="{9AA200AA-4172-F445-948C-8C104BB64779}">
          <x14:colorSeries rgb="FF376092"/>
          <x14:colorNegative rgb="FFD00000"/>
          <x14:colorAxis rgb="FF000000"/>
          <x14:colorMarkers rgb="FFD00000"/>
          <x14:colorFirst rgb="FFD00000"/>
          <x14:colorLast rgb="FFD00000"/>
          <x14:colorHigh rgb="FFD00000"/>
          <x14:colorLow rgb="FFD00000"/>
          <x14:sparklines>
            <x14:sparkline>
              <xm:f>Assumptions!E112:AH112</xm:f>
              <xm:sqref>D112</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86" workbookViewId="0">
      <selection activeCell="B5" sqref="B5"/>
    </sheetView>
  </sheetViews>
  <sheetFormatPr defaultColWidth="11.42578125" defaultRowHeight="12.95"/>
  <cols>
    <col min="1" max="1" width="36.140625" style="10" customWidth="1"/>
    <col min="2" max="10" width="12.42578125" style="40" customWidth="1"/>
    <col min="11" max="11" width="12.42578125" style="46" customWidth="1"/>
    <col min="12" max="12" width="12.42578125" style="46" hidden="1" customWidth="1"/>
    <col min="13" max="13" width="12.140625" style="46" hidden="1" customWidth="1"/>
    <col min="14" max="16384" width="11.42578125" style="39"/>
  </cols>
  <sheetData>
    <row r="1" spans="1:25" ht="15.95">
      <c r="A1" s="1459" t="e" vm="1">
        <f>'Inputs (AUD)'!H3</f>
        <v>#VALUE!</v>
      </c>
      <c r="B1" s="1459"/>
      <c r="C1" s="1459"/>
      <c r="D1" s="1459"/>
      <c r="E1" s="1459"/>
      <c r="F1" s="1459"/>
      <c r="G1" s="1459"/>
      <c r="H1" s="1459"/>
      <c r="I1" s="1459"/>
      <c r="J1" s="1459"/>
      <c r="K1" s="1459"/>
      <c r="L1" s="1459"/>
      <c r="M1" s="1459"/>
    </row>
    <row r="2" spans="1:25" ht="12">
      <c r="A2" s="1460" t="str">
        <f>'Inputs (AUD)'!G2</f>
        <v>Figures in Millions of AUD</v>
      </c>
      <c r="B2" s="1460"/>
      <c r="C2" s="1460"/>
      <c r="D2" s="1460"/>
      <c r="E2" s="1460"/>
      <c r="F2" s="1460"/>
      <c r="G2" s="1460"/>
      <c r="H2" s="1460"/>
      <c r="I2" s="1460"/>
      <c r="J2" s="1460"/>
      <c r="K2" s="1460"/>
      <c r="L2" s="1460"/>
      <c r="M2" s="1460"/>
    </row>
    <row r="3" spans="1:25" ht="20.100000000000001">
      <c r="A3" s="1458" t="s">
        <v>342</v>
      </c>
      <c r="B3" s="1458"/>
      <c r="C3" s="1458"/>
      <c r="D3" s="1458"/>
      <c r="E3" s="1458"/>
      <c r="F3" s="1458"/>
      <c r="G3" s="1458"/>
      <c r="H3" s="1458"/>
      <c r="I3" s="1458"/>
      <c r="J3" s="1458"/>
      <c r="K3" s="1458"/>
      <c r="L3" s="1458"/>
      <c r="M3" s="1458"/>
    </row>
    <row r="4" spans="1:25">
      <c r="A4" s="104"/>
      <c r="B4" s="49">
        <f>OP!J21</f>
        <v>2023</v>
      </c>
      <c r="C4" s="41">
        <f>B4-1</f>
        <v>2022</v>
      </c>
      <c r="D4" s="41">
        <f t="shared" ref="D4:M4" si="0">C4-1</f>
        <v>2021</v>
      </c>
      <c r="E4" s="41">
        <f t="shared" si="0"/>
        <v>2020</v>
      </c>
      <c r="F4" s="41">
        <f t="shared" si="0"/>
        <v>2019</v>
      </c>
      <c r="G4" s="41">
        <f t="shared" si="0"/>
        <v>2018</v>
      </c>
      <c r="H4" s="41">
        <f t="shared" si="0"/>
        <v>2017</v>
      </c>
      <c r="I4" s="41">
        <f t="shared" si="0"/>
        <v>2016</v>
      </c>
      <c r="J4" s="41">
        <f>I4-1</f>
        <v>2015</v>
      </c>
      <c r="K4" s="41">
        <f t="shared" si="0"/>
        <v>2014</v>
      </c>
      <c r="L4" s="41">
        <f t="shared" si="0"/>
        <v>2013</v>
      </c>
      <c r="M4" s="41">
        <f t="shared" si="0"/>
        <v>2012</v>
      </c>
    </row>
    <row r="5" spans="1:25">
      <c r="A5" s="105" t="s">
        <v>135</v>
      </c>
      <c r="B5" s="813">
        <f>_xlfn.XLOOKUP($A5,'Inputs (AUD)'!$A:$A,'Inputs (AUD)'!B:B,,0)</f>
        <v>4064</v>
      </c>
      <c r="C5" s="813">
        <f>_xlfn.XLOOKUP($A5,'Inputs (AUD)'!$A:$A,'Inputs (AUD)'!C:C,,0)</f>
        <v>1189.5999999999999</v>
      </c>
      <c r="D5" s="813">
        <f>_xlfn.XLOOKUP($A5,'Inputs (AUD)'!$A:$A,'Inputs (AUD)'!D:D,,0)</f>
        <v>175.8</v>
      </c>
      <c r="E5" s="813">
        <f>_xlfn.XLOOKUP($A5,'Inputs (AUD)'!$A:$A,'Inputs (AUD)'!E:E,,0)</f>
        <v>84.1</v>
      </c>
      <c r="F5" s="813">
        <f>_xlfn.XLOOKUP($A5,'Inputs (AUD)'!$A:$A,'Inputs (AUD)'!F:F,,0)</f>
        <v>42.8</v>
      </c>
      <c r="G5" s="813">
        <f>_xlfn.XLOOKUP($A5,'Inputs (AUD)'!$A:$A,'Inputs (AUD)'!G:G,,0)</f>
        <v>10.199999999999999</v>
      </c>
      <c r="H5" s="813">
        <f>_xlfn.XLOOKUP($A5,'Inputs (AUD)'!$A:$A,'Inputs (AUD)'!H:H,,0)</f>
        <v>0</v>
      </c>
      <c r="I5" s="813">
        <f>_xlfn.XLOOKUP($A5,'Inputs (AUD)'!$A:$A,'Inputs (AUD)'!I:I,,0)</f>
        <v>0</v>
      </c>
      <c r="J5" s="813">
        <f>_xlfn.XLOOKUP($A5,'Inputs (AUD)'!$A:$A,'Inputs (AUD)'!J:J,,0)</f>
        <v>0.1</v>
      </c>
      <c r="K5" s="813">
        <f>_xlfn.XLOOKUP($A5,'Inputs (AUD)'!$A:$A,'Inputs (AUD)'!K:K,,0)</f>
        <v>0.3</v>
      </c>
      <c r="L5" s="50">
        <f>_xlfn.XLOOKUP($A5,'Inputs (AUD)'!$A:$A,'Inputs (AUD)'!L:L,,0)</f>
        <v>4884</v>
      </c>
      <c r="M5" s="51">
        <f>_xlfn.XLOOKUP($A5,'Inputs (AUD)'!$A:$A,'Inputs (AUD)'!M:M,,0)</f>
        <v>0</v>
      </c>
    </row>
    <row r="6" spans="1:25">
      <c r="A6" s="106" t="s">
        <v>1218</v>
      </c>
      <c r="B6" s="52">
        <f t="shared" ref="B6:L6" si="1">IFERROR(B5/C5-1,"-")</f>
        <v>2.4162743779421656</v>
      </c>
      <c r="C6" s="52">
        <f t="shared" si="1"/>
        <v>5.7667804323094414</v>
      </c>
      <c r="D6" s="52">
        <f t="shared" si="1"/>
        <v>1.0903686087990492</v>
      </c>
      <c r="E6" s="52">
        <f t="shared" si="1"/>
        <v>0.9649532710280373</v>
      </c>
      <c r="F6" s="52">
        <f t="shared" si="1"/>
        <v>3.1960784313725492</v>
      </c>
      <c r="G6" s="52" t="str">
        <f t="shared" si="1"/>
        <v>-</v>
      </c>
      <c r="H6" s="52" t="str">
        <f t="shared" si="1"/>
        <v>-</v>
      </c>
      <c r="I6" s="52">
        <f t="shared" si="1"/>
        <v>-1</v>
      </c>
      <c r="J6" s="52">
        <f t="shared" si="1"/>
        <v>-0.66666666666666663</v>
      </c>
      <c r="K6" s="52">
        <f t="shared" si="1"/>
        <v>-0.99993857493857496</v>
      </c>
      <c r="L6" s="52" t="str">
        <f t="shared" si="1"/>
        <v>-</v>
      </c>
      <c r="M6" s="53" t="str">
        <f>IFERROR(M5/#REF!-1,"-")</f>
        <v>-</v>
      </c>
      <c r="N6" s="336"/>
      <c r="O6" s="336"/>
    </row>
    <row r="7" spans="1:25">
      <c r="A7" s="105" t="s">
        <v>1219</v>
      </c>
      <c r="B7" s="50">
        <f>_xlfn.XLOOKUP($A7,'Inputs (AUD)'!$A:$A,'Inputs (AUD)'!B:B,,0)</f>
        <v>3287.8</v>
      </c>
      <c r="C7" s="50">
        <f>_xlfn.XLOOKUP($A7,'Inputs (AUD)'!$A:$A,'Inputs (AUD)'!C:C,,0)</f>
        <v>811.2</v>
      </c>
      <c r="D7" s="50">
        <f>_xlfn.XLOOKUP($A7,'Inputs (AUD)'!$A:$A,'Inputs (AUD)'!D:D,,0)</f>
        <v>20.100000000000001</v>
      </c>
      <c r="E7" s="50">
        <f>_xlfn.XLOOKUP($A7,'Inputs (AUD)'!$A:$A,'Inputs (AUD)'!E:E,,0)</f>
        <v>-27.9</v>
      </c>
      <c r="F7" s="50">
        <f>_xlfn.XLOOKUP($A7,'Inputs (AUD)'!$A:$A,'Inputs (AUD)'!F:F,,0)</f>
        <v>6.2</v>
      </c>
      <c r="G7" s="50">
        <f>_xlfn.XLOOKUP($A7,'Inputs (AUD)'!$A:$A,'Inputs (AUD)'!G:G,,0)</f>
        <v>4</v>
      </c>
      <c r="H7" s="50">
        <f>_xlfn.XLOOKUP($A7,'Inputs (AUD)'!$A:$A,'Inputs (AUD)'!H:H,,0)</f>
        <v>0</v>
      </c>
      <c r="I7" s="50">
        <f>_xlfn.XLOOKUP($A7,'Inputs (AUD)'!$A:$A,'Inputs (AUD)'!I:I,,0)</f>
        <v>0</v>
      </c>
      <c r="J7" s="50">
        <f>_xlfn.XLOOKUP($A7,'Inputs (AUD)'!$A:$A,'Inputs (AUD)'!J:J,,0)</f>
        <v>0</v>
      </c>
      <c r="K7" s="50">
        <f>_xlfn.XLOOKUP($A7,'Inputs (AUD)'!$A:$A,'Inputs (AUD)'!K:K,,0)</f>
        <v>0</v>
      </c>
      <c r="L7" s="50">
        <f>_xlfn.XLOOKUP($A7,'Inputs (AUD)'!$A:$A,'Inputs (AUD)'!L:L,,0)</f>
        <v>1681</v>
      </c>
      <c r="M7" s="51">
        <f>_xlfn.XLOOKUP($A7,'Inputs (AUD)'!$A:$A,'Inputs (AUD)'!M:M,,0)</f>
        <v>0</v>
      </c>
    </row>
    <row r="8" spans="1:25">
      <c r="A8" s="106" t="s">
        <v>1220</v>
      </c>
      <c r="B8" s="52">
        <f>IFERROR(B7/B$5,"-")</f>
        <v>0.80900590551181106</v>
      </c>
      <c r="C8" s="52">
        <f t="shared" ref="C8:M8" si="2">IFERROR(C7/C$5,"-")</f>
        <v>0.68190988567585753</v>
      </c>
      <c r="D8" s="52">
        <f t="shared" si="2"/>
        <v>0.11433447098976109</v>
      </c>
      <c r="E8" s="52">
        <f t="shared" si="2"/>
        <v>-0.33174791914387636</v>
      </c>
      <c r="F8" s="52">
        <f t="shared" si="2"/>
        <v>0.14485981308411217</v>
      </c>
      <c r="G8" s="52">
        <f t="shared" si="2"/>
        <v>0.39215686274509809</v>
      </c>
      <c r="H8" s="52" t="str">
        <f t="shared" si="2"/>
        <v>-</v>
      </c>
      <c r="I8" s="52" t="str">
        <f t="shared" si="2"/>
        <v>-</v>
      </c>
      <c r="J8" s="52">
        <f t="shared" si="2"/>
        <v>0</v>
      </c>
      <c r="K8" s="52">
        <f t="shared" si="2"/>
        <v>0</v>
      </c>
      <c r="L8" s="52">
        <f t="shared" si="2"/>
        <v>0.34418509418509419</v>
      </c>
      <c r="M8" s="53" t="str">
        <f t="shared" si="2"/>
        <v>-</v>
      </c>
    </row>
    <row r="9" spans="1:25">
      <c r="A9" s="105" t="s">
        <v>1221</v>
      </c>
      <c r="B9" s="50">
        <f t="shared" ref="B9:M9" si="3">B5-B11</f>
        <v>852.09999999999991</v>
      </c>
      <c r="C9" s="50">
        <f t="shared" si="3"/>
        <v>457.69999999999993</v>
      </c>
      <c r="D9" s="50">
        <f t="shared" si="3"/>
        <v>210.8</v>
      </c>
      <c r="E9" s="50">
        <f t="shared" si="3"/>
        <v>155.69999999999999</v>
      </c>
      <c r="F9" s="50">
        <f t="shared" si="3"/>
        <v>61.3</v>
      </c>
      <c r="G9" s="50">
        <f t="shared" si="3"/>
        <v>27.099999999999998</v>
      </c>
      <c r="H9" s="50">
        <f t="shared" si="3"/>
        <v>28</v>
      </c>
      <c r="I9" s="50">
        <f t="shared" si="3"/>
        <v>53.2</v>
      </c>
      <c r="J9" s="50">
        <f t="shared" si="3"/>
        <v>5.3</v>
      </c>
      <c r="K9" s="50">
        <f t="shared" si="3"/>
        <v>3.3</v>
      </c>
      <c r="L9" s="50">
        <f t="shared" si="3"/>
        <v>4166</v>
      </c>
      <c r="M9" s="51">
        <f t="shared" si="3"/>
        <v>0</v>
      </c>
    </row>
    <row r="10" spans="1:25">
      <c r="A10" s="106" t="s">
        <v>1220</v>
      </c>
      <c r="B10" s="52">
        <f>IFERROR(B9/B$5,"-")</f>
        <v>0.20967027559055115</v>
      </c>
      <c r="C10" s="52">
        <f t="shared" ref="C10:M10" si="4">IFERROR(C9/C$5,"-")</f>
        <v>0.38475117686617349</v>
      </c>
      <c r="D10" s="52">
        <f t="shared" si="4"/>
        <v>1.1990898748577929</v>
      </c>
      <c r="E10" s="52">
        <f t="shared" si="4"/>
        <v>1.8513674197384067</v>
      </c>
      <c r="F10" s="52">
        <f t="shared" si="4"/>
        <v>1.4322429906542056</v>
      </c>
      <c r="G10" s="52">
        <f t="shared" si="4"/>
        <v>2.6568627450980391</v>
      </c>
      <c r="H10" s="52" t="str">
        <f t="shared" si="4"/>
        <v>-</v>
      </c>
      <c r="I10" s="52" t="str">
        <f t="shared" si="4"/>
        <v>-</v>
      </c>
      <c r="J10" s="52">
        <f t="shared" si="4"/>
        <v>52.999999999999993</v>
      </c>
      <c r="K10" s="52">
        <f t="shared" si="4"/>
        <v>11</v>
      </c>
      <c r="L10" s="52">
        <f t="shared" si="4"/>
        <v>0.85298935298935297</v>
      </c>
      <c r="M10" s="53" t="str">
        <f t="shared" si="4"/>
        <v>-</v>
      </c>
    </row>
    <row r="11" spans="1:25">
      <c r="A11" s="105" t="s">
        <v>312</v>
      </c>
      <c r="B11" s="50">
        <f>_xlfn.XLOOKUP($A11,'Inputs (AUD)'!$A:$A,'Inputs (AUD)'!B:B,,0)</f>
        <v>3211.9</v>
      </c>
      <c r="C11" s="50">
        <f>_xlfn.XLOOKUP($A11,'Inputs (AUD)'!$A:$A,'Inputs (AUD)'!C:C,,0)</f>
        <v>731.9</v>
      </c>
      <c r="D11" s="50">
        <f>_xlfn.XLOOKUP($A11,'Inputs (AUD)'!$A:$A,'Inputs (AUD)'!D:D,,0)</f>
        <v>-35</v>
      </c>
      <c r="E11" s="50">
        <f>_xlfn.XLOOKUP($A11,'Inputs (AUD)'!$A:$A,'Inputs (AUD)'!E:E,,0)</f>
        <v>-71.599999999999994</v>
      </c>
      <c r="F11" s="50">
        <f>_xlfn.XLOOKUP($A11,'Inputs (AUD)'!$A:$A,'Inputs (AUD)'!F:F,,0)</f>
        <v>-18.5</v>
      </c>
      <c r="G11" s="50">
        <f>_xlfn.XLOOKUP($A11,'Inputs (AUD)'!$A:$A,'Inputs (AUD)'!G:G,,0)</f>
        <v>-16.899999999999999</v>
      </c>
      <c r="H11" s="50">
        <f>_xlfn.XLOOKUP($A11,'Inputs (AUD)'!$A:$A,'Inputs (AUD)'!H:H,,0)</f>
        <v>-28</v>
      </c>
      <c r="I11" s="50">
        <f>_xlfn.XLOOKUP($A11,'Inputs (AUD)'!$A:$A,'Inputs (AUD)'!I:I,,0)</f>
        <v>-53.2</v>
      </c>
      <c r="J11" s="50">
        <f>_xlfn.XLOOKUP($A11,'Inputs (AUD)'!$A:$A,'Inputs (AUD)'!J:J,,0)</f>
        <v>-5.2</v>
      </c>
      <c r="K11" s="50">
        <f>_xlfn.XLOOKUP($A11,'Inputs (AUD)'!$A:$A,'Inputs (AUD)'!K:K,,0)</f>
        <v>-3</v>
      </c>
      <c r="L11" s="50">
        <f>_xlfn.XLOOKUP($A11,'Inputs (AUD)'!$A:$A,'Inputs (AUD)'!L:L,,0)</f>
        <v>718</v>
      </c>
      <c r="M11" s="51">
        <f>_xlfn.XLOOKUP($A11,'Inputs (AUD)'!$A:$A,'Inputs (AUD)'!M:M,,0)</f>
        <v>0</v>
      </c>
    </row>
    <row r="12" spans="1:25">
      <c r="A12" s="106" t="s">
        <v>136</v>
      </c>
      <c r="B12" s="52">
        <f t="shared" ref="B12:M12" si="5">IFERROR(B11/B$5,"-")</f>
        <v>0.79032972440944882</v>
      </c>
      <c r="C12" s="52">
        <f t="shared" si="5"/>
        <v>0.61524882313382656</v>
      </c>
      <c r="D12" s="52">
        <f t="shared" si="5"/>
        <v>-0.19908987485779292</v>
      </c>
      <c r="E12" s="52">
        <f t="shared" si="5"/>
        <v>-0.85136741973840668</v>
      </c>
      <c r="F12" s="52">
        <f t="shared" si="5"/>
        <v>-0.43224299065420563</v>
      </c>
      <c r="G12" s="52">
        <f t="shared" si="5"/>
        <v>-1.6568627450980391</v>
      </c>
      <c r="H12" s="52" t="str">
        <f t="shared" si="5"/>
        <v>-</v>
      </c>
      <c r="I12" s="52" t="str">
        <f t="shared" si="5"/>
        <v>-</v>
      </c>
      <c r="J12" s="52">
        <f t="shared" si="5"/>
        <v>-52</v>
      </c>
      <c r="K12" s="52">
        <f t="shared" si="5"/>
        <v>-10</v>
      </c>
      <c r="L12" s="52">
        <f t="shared" si="5"/>
        <v>0.14701064701064701</v>
      </c>
      <c r="M12" s="53" t="str">
        <f t="shared" si="5"/>
        <v>-</v>
      </c>
    </row>
    <row r="13" spans="1:25">
      <c r="A13" s="105" t="s">
        <v>1222</v>
      </c>
      <c r="B13" s="52">
        <f>IFERROR(B12/C12-1,"-")</f>
        <v>0.28456925831053459</v>
      </c>
      <c r="C13" s="52">
        <f t="shared" ref="C13" si="6">IFERROR(C12/D12-1,"-")</f>
        <v>-4.0903069459121921</v>
      </c>
      <c r="D13" s="52">
        <f t="shared" ref="D13" si="7">IFERROR(D12/E12-1,"-")</f>
        <v>-0.76615281458742479</v>
      </c>
      <c r="E13" s="52">
        <f t="shared" ref="E13" si="8">IFERROR(E12/F12-1,"-")</f>
        <v>0.96965003052993537</v>
      </c>
      <c r="F13" s="52">
        <f t="shared" ref="F13" si="9">IFERROR(F12/G12-1,"-")</f>
        <v>-0.73911961510811253</v>
      </c>
      <c r="G13" s="52" t="str">
        <f t="shared" ref="G13" si="10">IFERROR(G12/H12-1,"-")</f>
        <v>-</v>
      </c>
      <c r="H13" s="52" t="str">
        <f t="shared" ref="H13" si="11">IFERROR(H12/I12-1,"-")</f>
        <v>-</v>
      </c>
      <c r="I13" s="52" t="str">
        <f t="shared" ref="I13" si="12">IFERROR(I12/J12-1,"-")</f>
        <v>-</v>
      </c>
      <c r="J13" s="52">
        <f t="shared" ref="J13" si="13">IFERROR(J12/K12-1,"-")</f>
        <v>4.2</v>
      </c>
      <c r="K13" s="52">
        <f t="shared" ref="K13" si="14">IFERROR(K12/L12-1,"-")</f>
        <v>-69.022284122562681</v>
      </c>
      <c r="L13" s="52" t="str">
        <f t="shared" ref="L13" si="15">IFERROR(L12/M12-1,"-")</f>
        <v>-</v>
      </c>
      <c r="M13" s="53" t="str">
        <f>IFERROR(M12/#REF!-1,"-")</f>
        <v>-</v>
      </c>
      <c r="O13" s="336"/>
    </row>
    <row r="14" spans="1:25">
      <c r="A14" s="107" t="s">
        <v>313</v>
      </c>
      <c r="B14" s="50">
        <f>_xlfn.XLOOKUP($A14,'Inputs (AUD)'!$A:$A,'Inputs (AUD)'!B:B,,0)</f>
        <v>44.900000000000006</v>
      </c>
      <c r="C14" s="50">
        <f>_xlfn.XLOOKUP($A14,'Inputs (AUD)'!$A:$A,'Inputs (AUD)'!C:C,,0)</f>
        <v>-12.5</v>
      </c>
      <c r="D14" s="50">
        <f>_xlfn.XLOOKUP($A14,'Inputs (AUD)'!$A:$A,'Inputs (AUD)'!D:D,,0)</f>
        <v>-15.100000000000001</v>
      </c>
      <c r="E14" s="50">
        <f>_xlfn.XLOOKUP($A14,'Inputs (AUD)'!$A:$A,'Inputs (AUD)'!E:E,,0)</f>
        <v>-22.5</v>
      </c>
      <c r="F14" s="50">
        <f>_xlfn.XLOOKUP($A14,'Inputs (AUD)'!$A:$A,'Inputs (AUD)'!F:F,,0)</f>
        <v>-3.9</v>
      </c>
      <c r="G14" s="50">
        <f>_xlfn.XLOOKUP($A14,'Inputs (AUD)'!$A:$A,'Inputs (AUD)'!G:G,,0)</f>
        <v>1.5000000000000002</v>
      </c>
      <c r="H14" s="50">
        <f>_xlfn.XLOOKUP($A14,'Inputs (AUD)'!$A:$A,'Inputs (AUD)'!H:H,,0)</f>
        <v>2.1</v>
      </c>
      <c r="I14" s="50">
        <f>_xlfn.XLOOKUP($A14,'Inputs (AUD)'!$A:$A,'Inputs (AUD)'!I:I,,0)</f>
        <v>-2.1999999999999997</v>
      </c>
      <c r="J14" s="50">
        <f>_xlfn.XLOOKUP($A14,'Inputs (AUD)'!$A:$A,'Inputs (AUD)'!J:J,,0)</f>
        <v>-0.2</v>
      </c>
      <c r="K14" s="50">
        <f>_xlfn.XLOOKUP($A14,'Inputs (AUD)'!$A:$A,'Inputs (AUD)'!K:K,,0)</f>
        <v>-0.2</v>
      </c>
      <c r="L14" s="50">
        <f>_xlfn.XLOOKUP($A14,'Inputs (AUD)'!$A:$A,'Inputs (AUD)'!L:L,,0)</f>
        <v>-67</v>
      </c>
      <c r="M14" s="51">
        <f>_xlfn.XLOOKUP($A14,'Inputs (AUD)'!$A:$A,'Inputs (AUD)'!M:M,,0)</f>
        <v>0</v>
      </c>
    </row>
    <row r="15" spans="1:25">
      <c r="A15" s="105" t="s">
        <v>1223</v>
      </c>
      <c r="B15" s="50">
        <f>_xlfn.XLOOKUP($A15,'Inputs (AUD)'!$A:$A,'Inputs (AUD)'!B:B,,0)</f>
        <v>114.69999999999963</v>
      </c>
      <c r="C15" s="50">
        <f>_xlfn.XLOOKUP($A15,'Inputs (AUD)'!$A:$A,'Inputs (AUD)'!C:C,,0)</f>
        <v>5.5999999999998629</v>
      </c>
      <c r="D15" s="50">
        <f>_xlfn.XLOOKUP($A15,'Inputs (AUD)'!$A:$A,'Inputs (AUD)'!D:D,,0)</f>
        <v>-1.2999999999999989</v>
      </c>
      <c r="E15" s="50">
        <f>_xlfn.XLOOKUP($A15,'Inputs (AUD)'!$A:$A,'Inputs (AUD)'!E:E,,0)</f>
        <v>-5.2000000000000082</v>
      </c>
      <c r="F15" s="50">
        <f>_xlfn.XLOOKUP($A15,'Inputs (AUD)'!$A:$A,'Inputs (AUD)'!F:F,,0)</f>
        <v>-6.5</v>
      </c>
      <c r="G15" s="50">
        <f>_xlfn.XLOOKUP($A15,'Inputs (AUD)'!$A:$A,'Inputs (AUD)'!G:G,,0)</f>
        <v>-4</v>
      </c>
      <c r="H15" s="50">
        <f>_xlfn.XLOOKUP($A15,'Inputs (AUD)'!$A:$A,'Inputs (AUD)'!H:H,,0)</f>
        <v>-0.10000000000000142</v>
      </c>
      <c r="I15" s="50">
        <f>_xlfn.XLOOKUP($A15,'Inputs (AUD)'!$A:$A,'Inputs (AUD)'!I:I,,0)</f>
        <v>0</v>
      </c>
      <c r="J15" s="50">
        <f>_xlfn.XLOOKUP($A15,'Inputs (AUD)'!$A:$A,'Inputs (AUD)'!J:J,,0)</f>
        <v>-0.19999999999999965</v>
      </c>
      <c r="K15" s="50">
        <f>_xlfn.XLOOKUP($A15,'Inputs (AUD)'!$A:$A,'Inputs (AUD)'!K:K,,0)</f>
        <v>0</v>
      </c>
      <c r="L15" s="50">
        <f>_xlfn.XLOOKUP($A15,'Inputs (AUD)'!$A:$A,'Inputs (AUD)'!L:L,,0)</f>
        <v>0</v>
      </c>
      <c r="M15" s="51">
        <f>_xlfn.XLOOKUP($A15,'Inputs (AUD)'!$A:$A,'Inputs (AUD)'!M:M,,0)</f>
        <v>0</v>
      </c>
    </row>
    <row r="16" spans="1:25">
      <c r="A16" s="107" t="s">
        <v>71</v>
      </c>
      <c r="B16" s="50">
        <f>B11-B15</f>
        <v>3097.2000000000003</v>
      </c>
      <c r="C16" s="50">
        <f t="shared" ref="C16:M16" si="16">C11-C15</f>
        <v>726.30000000000007</v>
      </c>
      <c r="D16" s="50">
        <f t="shared" si="16"/>
        <v>-33.700000000000003</v>
      </c>
      <c r="E16" s="50">
        <f t="shared" si="16"/>
        <v>-66.399999999999991</v>
      </c>
      <c r="F16" s="50">
        <f t="shared" si="16"/>
        <v>-12</v>
      </c>
      <c r="G16" s="50">
        <f t="shared" si="16"/>
        <v>-12.899999999999999</v>
      </c>
      <c r="H16" s="50">
        <f t="shared" si="16"/>
        <v>-27.9</v>
      </c>
      <c r="I16" s="50">
        <f t="shared" si="16"/>
        <v>-53.2</v>
      </c>
      <c r="J16" s="50">
        <f t="shared" si="16"/>
        <v>-5.0000000000000009</v>
      </c>
      <c r="K16" s="50">
        <f t="shared" si="16"/>
        <v>-3</v>
      </c>
      <c r="L16" s="50">
        <f t="shared" si="16"/>
        <v>718</v>
      </c>
      <c r="M16" s="51">
        <f t="shared" si="16"/>
        <v>0</v>
      </c>
      <c r="N16" s="48"/>
      <c r="O16" s="48"/>
      <c r="P16" s="48"/>
      <c r="Q16" s="48"/>
      <c r="R16" s="48"/>
      <c r="S16" s="48"/>
      <c r="T16" s="48"/>
      <c r="U16" s="48"/>
      <c r="V16" s="48"/>
      <c r="W16" s="48"/>
      <c r="X16" s="48"/>
      <c r="Y16" s="48"/>
    </row>
    <row r="17" spans="1:18">
      <c r="A17" s="105" t="s">
        <v>67</v>
      </c>
      <c r="B17" s="50">
        <f>_xlfn.XLOOKUP($A17,'Inputs (AUD)'!$A:$A,'Inputs (AUD)'!B:B,,0)</f>
        <v>1.5</v>
      </c>
      <c r="C17" s="50">
        <f>_xlfn.XLOOKUP($A17,'Inputs (AUD)'!$A:$A,'Inputs (AUD)'!C:C,,0)</f>
        <v>0.7</v>
      </c>
      <c r="D17" s="50">
        <f>_xlfn.XLOOKUP($A17,'Inputs (AUD)'!$A:$A,'Inputs (AUD)'!D:D,,0)</f>
        <v>0.5</v>
      </c>
      <c r="E17" s="50">
        <f>_xlfn.XLOOKUP($A17,'Inputs (AUD)'!$A:$A,'Inputs (AUD)'!E:E,,0)</f>
        <v>0.6</v>
      </c>
      <c r="F17" s="50">
        <f>_xlfn.XLOOKUP($A17,'Inputs (AUD)'!$A:$A,'Inputs (AUD)'!F:F,,0)</f>
        <v>0.2</v>
      </c>
      <c r="G17" s="50">
        <f>_xlfn.XLOOKUP($A17,'Inputs (AUD)'!$A:$A,'Inputs (AUD)'!G:G,,0)</f>
        <v>0.2</v>
      </c>
      <c r="H17" s="50">
        <f>_xlfn.XLOOKUP($A17,'Inputs (AUD)'!$A:$A,'Inputs (AUD)'!H:H,,0)</f>
        <v>0.1</v>
      </c>
      <c r="I17" s="50">
        <f>_xlfn.XLOOKUP($A17,'Inputs (AUD)'!$A:$A,'Inputs (AUD)'!I:I,,0)</f>
        <v>0.1</v>
      </c>
      <c r="J17" s="50">
        <f>_xlfn.XLOOKUP($A17,'Inputs (AUD)'!$A:$A,'Inputs (AUD)'!J:J,,0)</f>
        <v>0</v>
      </c>
      <c r="K17" s="50">
        <f>_xlfn.XLOOKUP($A17,'Inputs (AUD)'!$A:$A,'Inputs (AUD)'!K:K,,0)</f>
        <v>0</v>
      </c>
      <c r="L17" s="50">
        <f>_xlfn.XLOOKUP($A17,'Inputs (AUD)'!$A:$A,'Inputs (AUD)'!L:L,,0)</f>
        <v>329.6</v>
      </c>
      <c r="M17" s="51">
        <f>_xlfn.XLOOKUP($A17,'Inputs (AUD)'!$A:$A,'Inputs (AUD)'!M:M,,0)</f>
        <v>0</v>
      </c>
      <c r="N17" s="255"/>
    </row>
    <row r="18" spans="1:18">
      <c r="A18" s="107" t="s">
        <v>1224</v>
      </c>
      <c r="B18" s="50">
        <f>_xlfn.XLOOKUP($A18,'Inputs (AUD)'!$A:$A,'Inputs (AUD)'!B:B,,0)</f>
        <v>-852.89999999999975</v>
      </c>
      <c r="C18" s="50">
        <f>_xlfn.XLOOKUP($A18,'Inputs (AUD)'!$A:$A,'Inputs (AUD)'!C:C,,0)</f>
        <v>201.00000000000011</v>
      </c>
      <c r="D18" s="50">
        <f>_xlfn.XLOOKUP($A18,'Inputs (AUD)'!$A:$A,'Inputs (AUD)'!D:D,,0)</f>
        <v>-86.499999999999986</v>
      </c>
      <c r="E18" s="50">
        <f>_xlfn.XLOOKUP($A18,'Inputs (AUD)'!$A:$A,'Inputs (AUD)'!E:E,,0)</f>
        <v>-15.40000000000002</v>
      </c>
      <c r="F18" s="50">
        <f>_xlfn.XLOOKUP($A18,'Inputs (AUD)'!$A:$A,'Inputs (AUD)'!F:F,,0)</f>
        <v>35.000000000000014</v>
      </c>
      <c r="G18" s="50">
        <f>_xlfn.XLOOKUP($A18,'Inputs (AUD)'!$A:$A,'Inputs (AUD)'!G:G,,0)</f>
        <v>-145.10000000000002</v>
      </c>
      <c r="H18" s="50">
        <f>_xlfn.XLOOKUP($A18,'Inputs (AUD)'!$A:$A,'Inputs (AUD)'!H:H,,0)</f>
        <v>123.50000000000003</v>
      </c>
      <c r="I18" s="50">
        <f>_xlfn.XLOOKUP($A18,'Inputs (AUD)'!$A:$A,'Inputs (AUD)'!I:I,,0)</f>
        <v>4.3000000000000007</v>
      </c>
      <c r="J18" s="50">
        <f>_xlfn.XLOOKUP($A18,'Inputs (AUD)'!$A:$A,'Inputs (AUD)'!J:J,,0)</f>
        <v>1.1999999999999997</v>
      </c>
      <c r="K18" s="50">
        <f>_xlfn.XLOOKUP($A18,'Inputs (AUD)'!$A:$A,'Inputs (AUD)'!K:K,,0)</f>
        <v>-9.9999999999999867E-2</v>
      </c>
      <c r="L18" s="50" t="e">
        <f>_xlfn.XLOOKUP($A18,'Inputs (AUD)'!$A:$A,'Inputs (AUD)'!L:L,,0)</f>
        <v>#REF!</v>
      </c>
      <c r="M18" s="51">
        <f>_xlfn.XLOOKUP($A18,'Inputs (AUD)'!$A:$A,'Inputs (AUD)'!M:M,,0)</f>
        <v>0</v>
      </c>
    </row>
    <row r="19" spans="1:18">
      <c r="A19" s="105" t="s">
        <v>63</v>
      </c>
      <c r="B19" s="50">
        <f>B11-B15+B17</f>
        <v>3098.7000000000003</v>
      </c>
      <c r="C19" s="50">
        <f t="shared" ref="C19:M19" si="17">C11-C15+C17</f>
        <v>727.00000000000011</v>
      </c>
      <c r="D19" s="50">
        <f t="shared" si="17"/>
        <v>-33.200000000000003</v>
      </c>
      <c r="E19" s="50">
        <f t="shared" si="17"/>
        <v>-65.8</v>
      </c>
      <c r="F19" s="50">
        <f t="shared" si="17"/>
        <v>-11.8</v>
      </c>
      <c r="G19" s="50">
        <f t="shared" si="17"/>
        <v>-12.7</v>
      </c>
      <c r="H19" s="50">
        <f t="shared" si="17"/>
        <v>-27.799999999999997</v>
      </c>
      <c r="I19" s="50">
        <f t="shared" si="17"/>
        <v>-53.1</v>
      </c>
      <c r="J19" s="50">
        <f t="shared" si="17"/>
        <v>-5.0000000000000009</v>
      </c>
      <c r="K19" s="50">
        <f t="shared" si="17"/>
        <v>-3</v>
      </c>
      <c r="L19" s="50">
        <f t="shared" si="17"/>
        <v>1047.5999999999999</v>
      </c>
      <c r="M19" s="51">
        <f t="shared" si="17"/>
        <v>0</v>
      </c>
    </row>
    <row r="20" spans="1:18">
      <c r="A20" s="106" t="s">
        <v>1225</v>
      </c>
      <c r="B20" s="52">
        <f t="shared" ref="B20" si="18">IFERROR(B19/B$5,"-")</f>
        <v>0.76247539370078743</v>
      </c>
      <c r="C20" s="52">
        <f t="shared" ref="C20" si="19">IFERROR(C19/C$5,"-")</f>
        <v>0.61112979152656366</v>
      </c>
      <c r="D20" s="52">
        <f t="shared" ref="D20" si="20">IFERROR(D19/D$5,"-")</f>
        <v>-0.18885096700796361</v>
      </c>
      <c r="E20" s="52">
        <f t="shared" ref="E20" si="21">IFERROR(E19/E$5,"-")</f>
        <v>-0.78240190249702735</v>
      </c>
      <c r="F20" s="52">
        <f t="shared" ref="F20" si="22">IFERROR(F19/F$5,"-")</f>
        <v>-0.27570093457943928</v>
      </c>
      <c r="G20" s="52">
        <f t="shared" ref="G20" si="23">IFERROR(G19/G$5,"-")</f>
        <v>-1.2450980392156863</v>
      </c>
      <c r="H20" s="52" t="str">
        <f t="shared" ref="H20" si="24">IFERROR(H19/H$5,"-")</f>
        <v>-</v>
      </c>
      <c r="I20" s="52" t="str">
        <f t="shared" ref="I20" si="25">IFERROR(I19/I$5,"-")</f>
        <v>-</v>
      </c>
      <c r="J20" s="52">
        <f t="shared" ref="J20" si="26">IFERROR(J19/J$5,"-")</f>
        <v>-50.000000000000007</v>
      </c>
      <c r="K20" s="52">
        <f t="shared" ref="K20" si="27">IFERROR(K19/K$5,"-")</f>
        <v>-10</v>
      </c>
      <c r="L20" s="52">
        <f t="shared" ref="L20" si="28">IFERROR(L19/L$5,"-")</f>
        <v>0.21449631449631448</v>
      </c>
      <c r="M20" s="53" t="str">
        <f t="shared" ref="M20" si="29">IFERROR(M19/M$5,"-")</f>
        <v>-</v>
      </c>
      <c r="N20" s="336"/>
      <c r="P20" s="255"/>
      <c r="Q20" s="255"/>
      <c r="R20" s="255"/>
    </row>
    <row r="21" spans="1:18">
      <c r="A21" s="105" t="s">
        <v>314</v>
      </c>
      <c r="B21" s="50">
        <f>_xlfn.XLOOKUP($A21,'Inputs (AUD)'!$A:$A,'Inputs (AUD)'!B:B,,0)</f>
        <v>-980.4</v>
      </c>
      <c r="C21" s="50">
        <f>_xlfn.XLOOKUP($A21,'Inputs (AUD)'!$A:$A,'Inputs (AUD)'!C:C,,0)</f>
        <v>-163.19999999999999</v>
      </c>
      <c r="D21" s="50">
        <f>_xlfn.XLOOKUP($A21,'Inputs (AUD)'!$A:$A,'Inputs (AUD)'!D:D,,0)</f>
        <v>0</v>
      </c>
      <c r="E21" s="50">
        <f>_xlfn.XLOOKUP($A21,'Inputs (AUD)'!$A:$A,'Inputs (AUD)'!E:E,,0)</f>
        <v>0</v>
      </c>
      <c r="F21" s="50">
        <f>_xlfn.XLOOKUP($A21,'Inputs (AUD)'!$A:$A,'Inputs (AUD)'!F:F,,0)</f>
        <v>0</v>
      </c>
      <c r="G21" s="50">
        <f>_xlfn.XLOOKUP($A21,'Inputs (AUD)'!$A:$A,'Inputs (AUD)'!G:G,,0)</f>
        <v>0</v>
      </c>
      <c r="H21" s="50">
        <f>_xlfn.XLOOKUP($A21,'Inputs (AUD)'!$A:$A,'Inputs (AUD)'!H:H,,0)</f>
        <v>0</v>
      </c>
      <c r="I21" s="50">
        <f>_xlfn.XLOOKUP($A21,'Inputs (AUD)'!$A:$A,'Inputs (AUD)'!I:I,,0)</f>
        <v>-0.2</v>
      </c>
      <c r="J21" s="50">
        <f>_xlfn.XLOOKUP($A21,'Inputs (AUD)'!$A:$A,'Inputs (AUD)'!J:J,,0)</f>
        <v>0.1</v>
      </c>
      <c r="K21" s="50">
        <f>_xlfn.XLOOKUP($A21,'Inputs (AUD)'!$A:$A,'Inputs (AUD)'!K:K,,0)</f>
        <v>0</v>
      </c>
      <c r="L21" s="50">
        <f>_xlfn.XLOOKUP($A21,'Inputs (AUD)'!$A:$A,'Inputs (AUD)'!L:L,,0)</f>
        <v>82</v>
      </c>
      <c r="M21" s="51">
        <f>_xlfn.XLOOKUP($A21,'Inputs (AUD)'!$A:$A,'Inputs (AUD)'!M:M,,0)</f>
        <v>0</v>
      </c>
    </row>
    <row r="22" spans="1:18">
      <c r="A22" s="106" t="s">
        <v>1226</v>
      </c>
      <c r="B22" s="52">
        <f t="shared" ref="B22" si="30">IFERROR(B21/B$5,"-")</f>
        <v>-0.24124015748031497</v>
      </c>
      <c r="C22" s="52">
        <f t="shared" ref="C22" si="31">IFERROR(C21/C$5,"-")</f>
        <v>-0.13718897108271688</v>
      </c>
      <c r="D22" s="52">
        <f t="shared" ref="D22" si="32">IFERROR(D21/D$5,"-")</f>
        <v>0</v>
      </c>
      <c r="E22" s="52">
        <f t="shared" ref="E22" si="33">IFERROR(E21/E$5,"-")</f>
        <v>0</v>
      </c>
      <c r="F22" s="52">
        <f t="shared" ref="F22" si="34">IFERROR(F21/F$5,"-")</f>
        <v>0</v>
      </c>
      <c r="G22" s="52">
        <f t="shared" ref="G22" si="35">IFERROR(G21/G$5,"-")</f>
        <v>0</v>
      </c>
      <c r="H22" s="52" t="str">
        <f t="shared" ref="H22" si="36">IFERROR(H21/H$5,"-")</f>
        <v>-</v>
      </c>
      <c r="I22" s="52" t="str">
        <f t="shared" ref="I22" si="37">IFERROR(I21/I$5,"-")</f>
        <v>-</v>
      </c>
      <c r="J22" s="52">
        <f t="shared" ref="J22" si="38">IFERROR(J21/J$5,"-")</f>
        <v>1</v>
      </c>
      <c r="K22" s="52">
        <f t="shared" ref="K22" si="39">IFERROR(K21/K$5,"-")</f>
        <v>0</v>
      </c>
      <c r="L22" s="52">
        <f t="shared" ref="L22" si="40">IFERROR(L21/L$5,"-")</f>
        <v>1.678951678951679E-2</v>
      </c>
      <c r="M22" s="53" t="str">
        <f t="shared" ref="M22" si="41">IFERROR(M21/M$5,"-")</f>
        <v>-</v>
      </c>
    </row>
    <row r="23" spans="1:18">
      <c r="A23" s="105" t="s">
        <v>75</v>
      </c>
      <c r="B23" s="50">
        <f>_xlfn.XLOOKUP($A23,'Inputs (AUD)'!$A:$A,'Inputs (AUD)'!B:B,,0)</f>
        <v>2391.1</v>
      </c>
      <c r="C23" s="50">
        <f>_xlfn.XLOOKUP($A23,'Inputs (AUD)'!$A:$A,'Inputs (AUD)'!C:C,,0)</f>
        <v>561.79999999999995</v>
      </c>
      <c r="D23" s="50">
        <f>_xlfn.XLOOKUP($A23,'Inputs (AUD)'!$A:$A,'Inputs (AUD)'!D:D,,0)</f>
        <v>-51.4</v>
      </c>
      <c r="E23" s="50">
        <f>_xlfn.XLOOKUP($A23,'Inputs (AUD)'!$A:$A,'Inputs (AUD)'!E:E,,0)</f>
        <v>-99.3</v>
      </c>
      <c r="F23" s="50">
        <f>_xlfn.XLOOKUP($A23,'Inputs (AUD)'!$A:$A,'Inputs (AUD)'!F:F,,0)</f>
        <v>-28.9</v>
      </c>
      <c r="G23" s="50">
        <f>_xlfn.XLOOKUP($A23,'Inputs (AUD)'!$A:$A,'Inputs (AUD)'!G:G,,0)</f>
        <v>-19.399999999999999</v>
      </c>
      <c r="H23" s="50">
        <f>_xlfn.XLOOKUP($A23,'Inputs (AUD)'!$A:$A,'Inputs (AUD)'!H:H,,0)</f>
        <v>-26</v>
      </c>
      <c r="I23" s="50">
        <f>_xlfn.XLOOKUP($A23,'Inputs (AUD)'!$A:$A,'Inputs (AUD)'!I:I,,0)</f>
        <v>-55.6</v>
      </c>
      <c r="J23" s="50">
        <f>_xlfn.XLOOKUP($A23,'Inputs (AUD)'!$A:$A,'Inputs (AUD)'!J:J,,0)</f>
        <v>-5.5</v>
      </c>
      <c r="K23" s="50">
        <f>_xlfn.XLOOKUP($A23,'Inputs (AUD)'!$A:$A,'Inputs (AUD)'!K:K,,0)</f>
        <v>-3.2</v>
      </c>
      <c r="L23" s="50">
        <f>_xlfn.XLOOKUP($A23,'Inputs (AUD)'!$A:$A,'Inputs (AUD)'!L:L,,0)</f>
        <v>569</v>
      </c>
      <c r="M23" s="51">
        <f>_xlfn.XLOOKUP($A23,'Inputs (AUD)'!$A:$A,'Inputs (AUD)'!M:M,,0)</f>
        <v>0</v>
      </c>
    </row>
    <row r="24" spans="1:18">
      <c r="A24" s="106" t="s">
        <v>271</v>
      </c>
      <c r="B24" s="52">
        <f t="shared" ref="B24" si="42">IFERROR(B23/B$5,"-")</f>
        <v>0.58836122047244088</v>
      </c>
      <c r="C24" s="52">
        <f t="shared" ref="C24" si="43">IFERROR(C23/C$5,"-")</f>
        <v>0.4722595830531271</v>
      </c>
      <c r="D24" s="52">
        <f t="shared" ref="D24" si="44">IFERROR(D23/D$5,"-")</f>
        <v>-0.29237770193401591</v>
      </c>
      <c r="E24" s="52">
        <f t="shared" ref="E24" si="45">IFERROR(E23/E$5,"-")</f>
        <v>-1.1807372175980975</v>
      </c>
      <c r="F24" s="52">
        <f t="shared" ref="F24" si="46">IFERROR(F23/F$5,"-")</f>
        <v>-0.67523364485981308</v>
      </c>
      <c r="G24" s="52">
        <f t="shared" ref="G24" si="47">IFERROR(G23/G$5,"-")</f>
        <v>-1.9019607843137254</v>
      </c>
      <c r="H24" s="52" t="str">
        <f t="shared" ref="H24" si="48">IFERROR(H23/H$5,"-")</f>
        <v>-</v>
      </c>
      <c r="I24" s="52" t="str">
        <f t="shared" ref="I24" si="49">IFERROR(I23/I$5,"-")</f>
        <v>-</v>
      </c>
      <c r="J24" s="52">
        <f t="shared" ref="J24" si="50">IFERROR(J23/J$5,"-")</f>
        <v>-55</v>
      </c>
      <c r="K24" s="52">
        <f t="shared" ref="K24" si="51">IFERROR(K23/K$5,"-")</f>
        <v>-10.666666666666668</v>
      </c>
      <c r="L24" s="52">
        <f t="shared" ref="L24" si="52">IFERROR(L23/L$5,"-")</f>
        <v>0.11650286650286651</v>
      </c>
      <c r="M24" s="53" t="str">
        <f t="shared" ref="M24" si="53">IFERROR(M23/M$5,"-")</f>
        <v>-</v>
      </c>
    </row>
    <row r="25" spans="1:18">
      <c r="A25" s="105" t="s">
        <v>1218</v>
      </c>
      <c r="B25" s="52">
        <f t="shared" ref="B25" si="54">IFERROR(B24/C24-1,"-")</f>
        <v>0.24584284064438533</v>
      </c>
      <c r="C25" s="52">
        <f t="shared" ref="C25" si="55">IFERROR(C24/D24-1,"-")</f>
        <v>-2.6152380291972714</v>
      </c>
      <c r="D25" s="52">
        <f t="shared" ref="D25" si="56">IFERROR(D24/E24-1,"-")</f>
        <v>-0.75237699161479621</v>
      </c>
      <c r="E25" s="52">
        <f t="shared" ref="E25" si="57">IFERROR(E24/F24-1,"-")</f>
        <v>0.74863504889960453</v>
      </c>
      <c r="F25" s="52">
        <f t="shared" ref="F25" si="58">IFERROR(F24/G24-1,"-")</f>
        <v>-0.64498024857886116</v>
      </c>
      <c r="G25" s="52" t="str">
        <f t="shared" ref="G25" si="59">IFERROR(G24/H24-1,"-")</f>
        <v>-</v>
      </c>
      <c r="H25" s="52" t="str">
        <f t="shared" ref="H25" si="60">IFERROR(H24/I24-1,"-")</f>
        <v>-</v>
      </c>
      <c r="I25" s="52" t="str">
        <f t="shared" ref="I25" si="61">IFERROR(I24/J24-1,"-")</f>
        <v>-</v>
      </c>
      <c r="J25" s="52">
        <f t="shared" ref="J25" si="62">IFERROR(J24/K24-1,"-")</f>
        <v>4.1562499999999991</v>
      </c>
      <c r="K25" s="52">
        <f t="shared" ref="K25" si="63">IFERROR(K24/L24-1,"-")</f>
        <v>-92.557117750439375</v>
      </c>
      <c r="L25" s="52" t="str">
        <f t="shared" ref="L25" si="64">IFERROR(L24/M24-1,"-")</f>
        <v>-</v>
      </c>
      <c r="M25" s="53" t="str">
        <f>IFERROR(M24/#REF!-1,"-")</f>
        <v>-</v>
      </c>
    </row>
    <row r="26" spans="1:18">
      <c r="A26" s="106" t="s">
        <v>1227</v>
      </c>
      <c r="B26" s="54">
        <f>B39-C39</f>
        <v>2503.7999999999997</v>
      </c>
      <c r="C26" s="54">
        <f t="shared" ref="C26:M26" si="65">C39-D39</f>
        <v>427.9</v>
      </c>
      <c r="D26" s="54">
        <f t="shared" si="65"/>
        <v>42.3</v>
      </c>
      <c r="E26" s="54">
        <f t="shared" si="65"/>
        <v>-13.299999999999997</v>
      </c>
      <c r="F26" s="54">
        <f t="shared" si="65"/>
        <v>-69.900000000000006</v>
      </c>
      <c r="G26" s="54">
        <f t="shared" si="65"/>
        <v>32.800000000000011</v>
      </c>
      <c r="H26" s="54">
        <f t="shared" si="65"/>
        <v>-6.9000000000000057</v>
      </c>
      <c r="I26" s="54">
        <f t="shared" si="65"/>
        <v>90.8</v>
      </c>
      <c r="J26" s="54">
        <f t="shared" si="65"/>
        <v>2.1</v>
      </c>
      <c r="K26" s="54">
        <f t="shared" si="65"/>
        <v>0.10000000000000009</v>
      </c>
      <c r="L26" s="54">
        <f t="shared" si="65"/>
        <v>1</v>
      </c>
      <c r="M26" s="51">
        <f t="shared" si="65"/>
        <v>0</v>
      </c>
    </row>
    <row r="27" spans="1:18">
      <c r="A27" s="105" t="s">
        <v>146</v>
      </c>
      <c r="B27" s="50">
        <f>_xlfn.XLOOKUP($A27,'Inputs (AUD)'!$A:$A,'Inputs (AUD)'!B:B,,0)</f>
        <v>-329.8</v>
      </c>
      <c r="C27" s="50">
        <f>_xlfn.XLOOKUP($A27,'Inputs (AUD)'!$A:$A,'Inputs (AUD)'!C:C,,0)</f>
        <v>0</v>
      </c>
      <c r="D27" s="50">
        <f>_xlfn.XLOOKUP($A27,'Inputs (AUD)'!$A:$A,'Inputs (AUD)'!D:D,,0)</f>
        <v>0</v>
      </c>
      <c r="E27" s="50">
        <f>_xlfn.XLOOKUP($A27,'Inputs (AUD)'!$A:$A,'Inputs (AUD)'!E:E,,0)</f>
        <v>0</v>
      </c>
      <c r="F27" s="50">
        <f>_xlfn.XLOOKUP($A27,'Inputs (AUD)'!$A:$A,'Inputs (AUD)'!F:F,,0)</f>
        <v>0</v>
      </c>
      <c r="G27" s="50">
        <f>_xlfn.XLOOKUP($A27,'Inputs (AUD)'!$A:$A,'Inputs (AUD)'!G:G,,0)</f>
        <v>0</v>
      </c>
      <c r="H27" s="50">
        <f>_xlfn.XLOOKUP($A27,'Inputs (AUD)'!$A:$A,'Inputs (AUD)'!H:H,,0)</f>
        <v>0</v>
      </c>
      <c r="I27" s="50">
        <f>_xlfn.XLOOKUP($A27,'Inputs (AUD)'!$A:$A,'Inputs (AUD)'!I:I,,0)</f>
        <v>0</v>
      </c>
      <c r="J27" s="50">
        <f>_xlfn.XLOOKUP($A27,'Inputs (AUD)'!$A:$A,'Inputs (AUD)'!J:J,,0)</f>
        <v>0</v>
      </c>
      <c r="K27" s="50">
        <f>_xlfn.XLOOKUP($A27,'Inputs (AUD)'!$A:$A,'Inputs (AUD)'!K:K,,0)</f>
        <v>0</v>
      </c>
      <c r="L27" s="50" t="str">
        <f>_xlfn.XLOOKUP($A27,'Inputs (AUD)'!$A:$A,'Inputs (AUD)'!L:L,,0)</f>
        <v>--</v>
      </c>
      <c r="M27" s="51">
        <f>_xlfn.XLOOKUP($A27,'Inputs (AUD)'!$A:$A,'Inputs (AUD)'!M:M,,0)</f>
        <v>0</v>
      </c>
    </row>
    <row r="28" spans="1:18">
      <c r="A28" s="107" t="s">
        <v>1228</v>
      </c>
      <c r="B28" s="50">
        <f>_xlfn.XLOOKUP($A28,'Inputs (AUD)'!$A:$A,'Inputs (AUD)'!B:B,,0)</f>
        <v>1.2</v>
      </c>
      <c r="C28" s="50">
        <f>_xlfn.XLOOKUP($A28,'Inputs (AUD)'!$A:$A,'Inputs (AUD)'!C:C,,0)</f>
        <v>3.6</v>
      </c>
      <c r="D28" s="50">
        <f>_xlfn.XLOOKUP($A28,'Inputs (AUD)'!$A:$A,'Inputs (AUD)'!D:D,,0)</f>
        <v>239.7</v>
      </c>
      <c r="E28" s="50">
        <f>_xlfn.XLOOKUP($A28,'Inputs (AUD)'!$A:$A,'Inputs (AUD)'!E:E,,0)</f>
        <v>111.5</v>
      </c>
      <c r="F28" s="50">
        <f>_xlfn.XLOOKUP($A28,'Inputs (AUD)'!$A:$A,'Inputs (AUD)'!F:F,,0)</f>
        <v>60.7</v>
      </c>
      <c r="G28" s="50">
        <f>_xlfn.XLOOKUP($A28,'Inputs (AUD)'!$A:$A,'Inputs (AUD)'!G:G,,0)</f>
        <v>156.4</v>
      </c>
      <c r="H28" s="50">
        <f>_xlfn.XLOOKUP($A28,'Inputs (AUD)'!$A:$A,'Inputs (AUD)'!H:H,,0)</f>
        <v>68.400000000000006</v>
      </c>
      <c r="I28" s="50">
        <f>_xlfn.XLOOKUP($A28,'Inputs (AUD)'!$A:$A,'Inputs (AUD)'!I:I,,0)</f>
        <v>122.7</v>
      </c>
      <c r="J28" s="50">
        <f>_xlfn.XLOOKUP($A28,'Inputs (AUD)'!$A:$A,'Inputs (AUD)'!J:J,,0)</f>
        <v>5.2</v>
      </c>
      <c r="K28" s="50">
        <f>_xlfn.XLOOKUP($A28,'Inputs (AUD)'!$A:$A,'Inputs (AUD)'!K:K,,0)</f>
        <v>1.2</v>
      </c>
      <c r="L28" s="50">
        <f>_xlfn.XLOOKUP($A28,'Inputs (AUD)'!$A:$A,'Inputs (AUD)'!L:L,,0)</f>
        <v>1.1000000000000001</v>
      </c>
      <c r="M28" s="51">
        <f>_xlfn.XLOOKUP($A28,'Inputs (AUD)'!$A:$A,'Inputs (AUD)'!M:M,,0)</f>
        <v>0</v>
      </c>
    </row>
    <row r="29" spans="1:18">
      <c r="A29" s="105" t="s">
        <v>138</v>
      </c>
      <c r="B29" s="54">
        <f>SUM(B26:B28)</f>
        <v>2175.1999999999994</v>
      </c>
      <c r="C29" s="54">
        <f t="shared" ref="C29:M29" si="66">SUM(C26:C28)</f>
        <v>431.5</v>
      </c>
      <c r="D29" s="54">
        <f t="shared" si="66"/>
        <v>282</v>
      </c>
      <c r="E29" s="54">
        <f t="shared" si="66"/>
        <v>98.2</v>
      </c>
      <c r="F29" s="54">
        <f t="shared" si="66"/>
        <v>-9.2000000000000028</v>
      </c>
      <c r="G29" s="54">
        <f t="shared" si="66"/>
        <v>189.20000000000002</v>
      </c>
      <c r="H29" s="54">
        <f t="shared" si="66"/>
        <v>61.5</v>
      </c>
      <c r="I29" s="54">
        <f t="shared" si="66"/>
        <v>213.5</v>
      </c>
      <c r="J29" s="54">
        <f t="shared" si="66"/>
        <v>7.3000000000000007</v>
      </c>
      <c r="K29" s="54">
        <f t="shared" si="66"/>
        <v>1.3</v>
      </c>
      <c r="L29" s="54">
        <f t="shared" si="66"/>
        <v>2.1</v>
      </c>
      <c r="M29" s="51">
        <f t="shared" si="66"/>
        <v>0</v>
      </c>
    </row>
    <row r="30" spans="1:18">
      <c r="A30" s="107" t="s">
        <v>1229</v>
      </c>
      <c r="B30" s="54">
        <f>+B29-(B58-C29)</f>
        <v>2134.6999999999994</v>
      </c>
      <c r="C30" s="54">
        <f t="shared" ref="C30:M30" si="67">+C29-(C58-D29)</f>
        <v>421.5</v>
      </c>
      <c r="D30" s="54">
        <f t="shared" si="67"/>
        <v>213.3</v>
      </c>
      <c r="E30" s="54">
        <f t="shared" si="67"/>
        <v>-87.40000000000002</v>
      </c>
      <c r="F30" s="54">
        <f t="shared" si="67"/>
        <v>41.000000000000014</v>
      </c>
      <c r="G30" s="54">
        <f t="shared" si="67"/>
        <v>119.50000000000003</v>
      </c>
      <c r="H30" s="54">
        <f t="shared" si="67"/>
        <v>150.60000000000002</v>
      </c>
      <c r="I30" s="54" t="e">
        <f t="shared" si="67"/>
        <v>#VALUE!</v>
      </c>
      <c r="J30" s="54" t="e">
        <f t="shared" si="67"/>
        <v>#VALUE!</v>
      </c>
      <c r="K30" s="54" t="e">
        <f t="shared" si="67"/>
        <v>#VALUE!</v>
      </c>
      <c r="L30" s="54" t="e">
        <f t="shared" si="67"/>
        <v>#VALUE!</v>
      </c>
      <c r="M30" s="51">
        <f t="shared" si="67"/>
        <v>0</v>
      </c>
    </row>
    <row r="31" spans="1:18">
      <c r="A31" s="105" t="s">
        <v>1230</v>
      </c>
      <c r="B31" s="54">
        <f>+B30+B33</f>
        <v>2112.2999999999993</v>
      </c>
      <c r="C31" s="54">
        <f t="shared" ref="C31:L31" si="68">+C30+C33</f>
        <v>345.3</v>
      </c>
      <c r="D31" s="54">
        <f t="shared" si="68"/>
        <v>3</v>
      </c>
      <c r="E31" s="54">
        <f t="shared" si="68"/>
        <v>-87.40000000000002</v>
      </c>
      <c r="F31" s="54">
        <f t="shared" si="68"/>
        <v>41.000000000000014</v>
      </c>
      <c r="G31" s="54">
        <f t="shared" si="68"/>
        <v>123.80000000000003</v>
      </c>
      <c r="H31" s="54">
        <f t="shared" si="68"/>
        <v>150.60000000000002</v>
      </c>
      <c r="I31" s="54" t="e">
        <f t="shared" si="68"/>
        <v>#VALUE!</v>
      </c>
      <c r="J31" s="54" t="e">
        <f t="shared" si="68"/>
        <v>#VALUE!</v>
      </c>
      <c r="K31" s="54" t="e">
        <f t="shared" si="68"/>
        <v>#VALUE!</v>
      </c>
      <c r="L31" s="54" t="e">
        <f t="shared" si="68"/>
        <v>#VALUE!</v>
      </c>
      <c r="M31" s="51">
        <f t="shared" ref="M31" si="69">+M30+M33</f>
        <v>0</v>
      </c>
    </row>
    <row r="32" spans="1:18">
      <c r="A32" s="107" t="s">
        <v>143</v>
      </c>
      <c r="B32" s="50">
        <f>_xlfn.XLOOKUP($A32,'Inputs (AUD)'!$A:$A,'Inputs (AUD)'!B:B,,0)</f>
        <v>-385.5</v>
      </c>
      <c r="C32" s="50">
        <f>_xlfn.XLOOKUP($A32,'Inputs (AUD)'!$A:$A,'Inputs (AUD)'!C:C,,0)</f>
        <v>-128.30000000000001</v>
      </c>
      <c r="D32" s="50">
        <f>_xlfn.XLOOKUP($A32,'Inputs (AUD)'!$A:$A,'Inputs (AUD)'!D:D,,0)</f>
        <v>-20.5</v>
      </c>
      <c r="E32" s="50">
        <f>_xlfn.XLOOKUP($A32,'Inputs (AUD)'!$A:$A,'Inputs (AUD)'!E:E,,0)</f>
        <v>-22.6</v>
      </c>
      <c r="F32" s="50">
        <f>_xlfn.XLOOKUP($A32,'Inputs (AUD)'!$A:$A,'Inputs (AUD)'!F:F,,0)</f>
        <v>-178.3</v>
      </c>
      <c r="G32" s="50">
        <f>_xlfn.XLOOKUP($A32,'Inputs (AUD)'!$A:$A,'Inputs (AUD)'!G:G,,0)</f>
        <v>-219.1</v>
      </c>
      <c r="H32" s="50">
        <f>_xlfn.XLOOKUP($A32,'Inputs (AUD)'!$A:$A,'Inputs (AUD)'!H:H,,0)</f>
        <v>-52.8</v>
      </c>
      <c r="I32" s="50">
        <f>_xlfn.XLOOKUP($A32,'Inputs (AUD)'!$A:$A,'Inputs (AUD)'!I:I,,0)</f>
        <v>-4.5999999999999996</v>
      </c>
      <c r="J32" s="50">
        <f>_xlfn.XLOOKUP($A32,'Inputs (AUD)'!$A:$A,'Inputs (AUD)'!J:J,,0)</f>
        <v>-0.6</v>
      </c>
      <c r="K32" s="50">
        <f>_xlfn.XLOOKUP($A32,'Inputs (AUD)'!$A:$A,'Inputs (AUD)'!K:K,,0)</f>
        <v>-1.6</v>
      </c>
      <c r="L32" s="50">
        <f>_xlfn.XLOOKUP($A32,'Inputs (AUD)'!$A:$A,'Inputs (AUD)'!L:L,,0)</f>
        <v>-1.5</v>
      </c>
      <c r="M32" s="51">
        <f>_xlfn.XLOOKUP($A32,'Inputs (AUD)'!$A:$A,'Inputs (AUD)'!M:M,,0)</f>
        <v>0</v>
      </c>
    </row>
    <row r="33" spans="1:26">
      <c r="A33" s="105" t="s">
        <v>144</v>
      </c>
      <c r="B33" s="50">
        <f>_xlfn.XLOOKUP($A33,'Inputs (AUD)'!$A:$A,'Inputs (AUD)'!B:B,,0)</f>
        <v>-22.4</v>
      </c>
      <c r="C33" s="50">
        <f>_xlfn.XLOOKUP($A33,'Inputs (AUD)'!$A:$A,'Inputs (AUD)'!C:C,,0)</f>
        <v>-76.2</v>
      </c>
      <c r="D33" s="50">
        <f>_xlfn.XLOOKUP($A33,'Inputs (AUD)'!$A:$A,'Inputs (AUD)'!D:D,,0)</f>
        <v>-210.3</v>
      </c>
      <c r="E33" s="50">
        <f>_xlfn.XLOOKUP($A33,'Inputs (AUD)'!$A:$A,'Inputs (AUD)'!E:E,,0)</f>
        <v>0</v>
      </c>
      <c r="F33" s="50">
        <f>_xlfn.XLOOKUP($A33,'Inputs (AUD)'!$A:$A,'Inputs (AUD)'!F:F,,0)</f>
        <v>0</v>
      </c>
      <c r="G33" s="50">
        <f>_xlfn.XLOOKUP($A33,'Inputs (AUD)'!$A:$A,'Inputs (AUD)'!G:G,,0)</f>
        <v>4.3</v>
      </c>
      <c r="H33" s="50">
        <f>_xlfn.XLOOKUP($A33,'Inputs (AUD)'!$A:$A,'Inputs (AUD)'!H:H,,0)</f>
        <v>0</v>
      </c>
      <c r="I33" s="50">
        <f>_xlfn.XLOOKUP($A33,'Inputs (AUD)'!$A:$A,'Inputs (AUD)'!I:I,,0)</f>
        <v>-2</v>
      </c>
      <c r="J33" s="50">
        <f>_xlfn.XLOOKUP($A33,'Inputs (AUD)'!$A:$A,'Inputs (AUD)'!J:J,,0)</f>
        <v>-1</v>
      </c>
      <c r="K33" s="50">
        <f>_xlfn.XLOOKUP($A33,'Inputs (AUD)'!$A:$A,'Inputs (AUD)'!K:K,,0)</f>
        <v>0</v>
      </c>
      <c r="L33" s="50">
        <f>_xlfn.XLOOKUP($A33,'Inputs (AUD)'!$A:$A,'Inputs (AUD)'!L:L,,0)</f>
        <v>0</v>
      </c>
      <c r="M33" s="51">
        <f>_xlfn.XLOOKUP($A33,'Inputs (AUD)'!$A:$A,'Inputs (AUD)'!M:M,,0)</f>
        <v>0</v>
      </c>
      <c r="P33" s="39">
        <v>2023</v>
      </c>
      <c r="U33" s="39">
        <v>2018</v>
      </c>
      <c r="V33" s="39">
        <v>2017</v>
      </c>
      <c r="W33" s="39">
        <v>2016</v>
      </c>
      <c r="X33" s="39">
        <v>2017</v>
      </c>
      <c r="Y33" s="39">
        <v>2018</v>
      </c>
    </row>
    <row r="34" spans="1:26">
      <c r="A34" s="106" t="s">
        <v>139</v>
      </c>
      <c r="B34" s="54">
        <f t="shared" ref="B34:M34" si="70">+B32+B33</f>
        <v>-407.9</v>
      </c>
      <c r="C34" s="54">
        <f t="shared" si="70"/>
        <v>-204.5</v>
      </c>
      <c r="D34" s="54">
        <f t="shared" si="70"/>
        <v>-230.8</v>
      </c>
      <c r="E34" s="54">
        <f t="shared" si="70"/>
        <v>-22.6</v>
      </c>
      <c r="F34" s="54">
        <f t="shared" si="70"/>
        <v>-178.3</v>
      </c>
      <c r="G34" s="54">
        <f t="shared" si="70"/>
        <v>-214.79999999999998</v>
      </c>
      <c r="H34" s="54">
        <f t="shared" si="70"/>
        <v>-52.8</v>
      </c>
      <c r="I34" s="54">
        <f t="shared" si="70"/>
        <v>-6.6</v>
      </c>
      <c r="J34" s="54">
        <f t="shared" si="70"/>
        <v>-1.6</v>
      </c>
      <c r="K34" s="54">
        <f t="shared" si="70"/>
        <v>-1.6</v>
      </c>
      <c r="L34" s="54">
        <f t="shared" si="70"/>
        <v>-1.5</v>
      </c>
      <c r="M34" s="55">
        <f t="shared" si="70"/>
        <v>0</v>
      </c>
      <c r="O34" s="39" t="s">
        <v>1231</v>
      </c>
      <c r="P34" s="255">
        <f>B39/B5</f>
        <v>0.74082185039370074</v>
      </c>
      <c r="Q34" s="255"/>
      <c r="R34" s="255"/>
      <c r="S34" s="255"/>
      <c r="T34" s="255"/>
      <c r="U34" s="255">
        <f t="shared" ref="U34:Y34" si="71">G39/G5</f>
        <v>11.754901960784315</v>
      </c>
      <c r="V34" s="255" t="e">
        <f t="shared" si="71"/>
        <v>#DIV/0!</v>
      </c>
      <c r="W34" s="255" t="e">
        <f t="shared" si="71"/>
        <v>#DIV/0!</v>
      </c>
      <c r="X34" s="255">
        <f t="shared" si="71"/>
        <v>32</v>
      </c>
      <c r="Y34" s="255">
        <f t="shared" si="71"/>
        <v>3.666666666666667</v>
      </c>
      <c r="Z34" s="659" t="e">
        <f>AVERAGE(P34:Y34)</f>
        <v>#DIV/0!</v>
      </c>
    </row>
    <row r="35" spans="1:26">
      <c r="A35" s="105" t="s">
        <v>137</v>
      </c>
      <c r="B35" s="54">
        <f>+B27+B28</f>
        <v>-328.6</v>
      </c>
      <c r="C35" s="54">
        <f t="shared" ref="C35:M35" si="72">+C27+C28</f>
        <v>3.6</v>
      </c>
      <c r="D35" s="54">
        <f t="shared" si="72"/>
        <v>239.7</v>
      </c>
      <c r="E35" s="54">
        <f t="shared" si="72"/>
        <v>111.5</v>
      </c>
      <c r="F35" s="54">
        <f t="shared" si="72"/>
        <v>60.7</v>
      </c>
      <c r="G35" s="54">
        <f t="shared" si="72"/>
        <v>156.4</v>
      </c>
      <c r="H35" s="54">
        <f t="shared" si="72"/>
        <v>68.400000000000006</v>
      </c>
      <c r="I35" s="54">
        <f t="shared" si="72"/>
        <v>122.7</v>
      </c>
      <c r="J35" s="54">
        <f t="shared" si="72"/>
        <v>5.2</v>
      </c>
      <c r="K35" s="54">
        <f t="shared" si="72"/>
        <v>1.2</v>
      </c>
      <c r="L35" s="54" t="e">
        <f t="shared" si="72"/>
        <v>#VALUE!</v>
      </c>
      <c r="M35" s="55">
        <f t="shared" si="72"/>
        <v>0</v>
      </c>
    </row>
    <row r="36" spans="1:26">
      <c r="A36" s="107" t="s">
        <v>1232</v>
      </c>
      <c r="B36" s="52">
        <f>IFERROR(B35/B23,"-")</f>
        <v>-0.13742628915561877</v>
      </c>
      <c r="C36" s="52">
        <f t="shared" ref="C36:M36" si="73">IFERROR(C35/C23,"-")</f>
        <v>6.4079743681025279E-3</v>
      </c>
      <c r="D36" s="52">
        <f t="shared" si="73"/>
        <v>-4.663424124513619</v>
      </c>
      <c r="E36" s="52">
        <f t="shared" si="73"/>
        <v>-1.1228600201409868</v>
      </c>
      <c r="F36" s="52">
        <f t="shared" si="73"/>
        <v>-2.1003460207612457</v>
      </c>
      <c r="G36" s="52">
        <f t="shared" si="73"/>
        <v>-8.0618556701030943</v>
      </c>
      <c r="H36" s="52">
        <f t="shared" si="73"/>
        <v>-2.6307692307692312</v>
      </c>
      <c r="I36" s="52">
        <f t="shared" si="73"/>
        <v>-2.2068345323741005</v>
      </c>
      <c r="J36" s="52">
        <f t="shared" si="73"/>
        <v>-0.94545454545454544</v>
      </c>
      <c r="K36" s="52">
        <f t="shared" si="73"/>
        <v>-0.37499999999999994</v>
      </c>
      <c r="L36" s="52" t="str">
        <f t="shared" si="73"/>
        <v>-</v>
      </c>
      <c r="M36" s="53" t="str">
        <f t="shared" si="73"/>
        <v>-</v>
      </c>
    </row>
    <row r="37" spans="1:26">
      <c r="A37" s="7"/>
      <c r="B37" s="43"/>
      <c r="C37" s="43"/>
      <c r="D37" s="43"/>
      <c r="E37" s="43"/>
      <c r="F37" s="43"/>
      <c r="G37" s="43"/>
      <c r="H37" s="43"/>
      <c r="I37" s="43"/>
      <c r="J37" s="43"/>
      <c r="K37" s="43"/>
      <c r="L37" s="43"/>
      <c r="M37" s="43"/>
      <c r="O37" s="39" t="s">
        <v>325</v>
      </c>
      <c r="P37" s="660">
        <v>2023</v>
      </c>
      <c r="Q37" s="660">
        <v>2022</v>
      </c>
      <c r="R37" s="660">
        <v>2021</v>
      </c>
      <c r="S37" s="660">
        <v>2020</v>
      </c>
      <c r="T37" s="660">
        <v>2019</v>
      </c>
      <c r="U37" s="660">
        <v>2018</v>
      </c>
      <c r="V37" s="660">
        <v>2017</v>
      </c>
      <c r="W37" s="660">
        <v>2016</v>
      </c>
      <c r="X37" s="660">
        <v>2015</v>
      </c>
      <c r="Y37" s="660">
        <v>2014</v>
      </c>
    </row>
    <row r="38" spans="1:26" ht="20.100000000000001">
      <c r="A38" s="1458" t="s">
        <v>1233</v>
      </c>
      <c r="B38" s="1458"/>
      <c r="C38" s="1458"/>
      <c r="D38" s="1458"/>
      <c r="E38" s="1458"/>
      <c r="F38" s="1458"/>
      <c r="G38" s="1458"/>
      <c r="H38" s="1458"/>
      <c r="I38" s="1458"/>
      <c r="J38" s="1458"/>
      <c r="K38" s="1458"/>
      <c r="L38" s="1458"/>
      <c r="M38" s="1458"/>
      <c r="P38" s="661">
        <f t="shared" ref="P38:Y38" si="74">B58/B5</f>
        <v>0.11614173228346457</v>
      </c>
      <c r="Q38" s="661">
        <f t="shared" si="74"/>
        <v>0.24546065904505718</v>
      </c>
      <c r="R38" s="661">
        <f t="shared" si="74"/>
        <v>0.94937428896473264</v>
      </c>
      <c r="S38" s="661">
        <f t="shared" si="74"/>
        <v>2.0975029726516055</v>
      </c>
      <c r="T38" s="661">
        <f t="shared" si="74"/>
        <v>3.2476635514018692</v>
      </c>
      <c r="U38" s="661">
        <f t="shared" si="74"/>
        <v>12.862745098039216</v>
      </c>
      <c r="V38" s="661" t="e">
        <f t="shared" si="74"/>
        <v>#DIV/0!</v>
      </c>
      <c r="W38" s="661" t="e">
        <f t="shared" si="74"/>
        <v>#VALUE!</v>
      </c>
      <c r="X38" s="661" t="e">
        <f t="shared" si="74"/>
        <v>#VALUE!</v>
      </c>
      <c r="Y38" s="661" t="e">
        <f t="shared" si="74"/>
        <v>#VALUE!</v>
      </c>
      <c r="Z38" s="659" t="e">
        <f>AVERAGE(P38,V38,U38,W38,X38,Y38)</f>
        <v>#DIV/0!</v>
      </c>
    </row>
    <row r="39" spans="1:26">
      <c r="A39" s="108" t="s">
        <v>317</v>
      </c>
      <c r="B39" s="50">
        <f>_xlfn.XLOOKUP($A39,'Inputs (AUD)'!$A:$A,'Inputs (AUD)'!B:B,,0)</f>
        <v>3010.7</v>
      </c>
      <c r="C39" s="50">
        <f>_xlfn.XLOOKUP($A39,'Inputs (AUD)'!$A:$A,'Inputs (AUD)'!C:C,,0)</f>
        <v>506.9</v>
      </c>
      <c r="D39" s="50">
        <f>_xlfn.XLOOKUP($A39,'Inputs (AUD)'!$A:$A,'Inputs (AUD)'!D:D,,0)</f>
        <v>79</v>
      </c>
      <c r="E39" s="50">
        <f>_xlfn.XLOOKUP($A39,'Inputs (AUD)'!$A:$A,'Inputs (AUD)'!E:E,,0)</f>
        <v>36.700000000000003</v>
      </c>
      <c r="F39" s="50">
        <f>_xlfn.XLOOKUP($A39,'Inputs (AUD)'!$A:$A,'Inputs (AUD)'!F:F,,0)</f>
        <v>50</v>
      </c>
      <c r="G39" s="50">
        <f>_xlfn.XLOOKUP($A39,'Inputs (AUD)'!$A:$A,'Inputs (AUD)'!G:G,,0)</f>
        <v>119.9</v>
      </c>
      <c r="H39" s="50">
        <f>_xlfn.XLOOKUP($A39,'Inputs (AUD)'!$A:$A,'Inputs (AUD)'!H:H,,0)</f>
        <v>87.1</v>
      </c>
      <c r="I39" s="50">
        <f>_xlfn.XLOOKUP($A39,'Inputs (AUD)'!$A:$A,'Inputs (AUD)'!I:I,,0)</f>
        <v>94</v>
      </c>
      <c r="J39" s="50">
        <f>_xlfn.XLOOKUP($A39,'Inputs (AUD)'!$A:$A,'Inputs (AUD)'!J:J,,0)</f>
        <v>3.2</v>
      </c>
      <c r="K39" s="50">
        <f>_xlfn.XLOOKUP($A39,'Inputs (AUD)'!$A:$A,'Inputs (AUD)'!K:K,,0)</f>
        <v>1.1000000000000001</v>
      </c>
      <c r="L39" s="50">
        <f>_xlfn.XLOOKUP($A39,'Inputs (AUD)'!$A:$A,'Inputs (AUD)'!L:L,,0)</f>
        <v>1</v>
      </c>
      <c r="M39" s="51">
        <f>_xlfn.XLOOKUP($A39,'Inputs (AUD)'!$A:$A,'Inputs (AUD)'!M:M,,0)</f>
        <v>0</v>
      </c>
    </row>
    <row r="40" spans="1:26">
      <c r="A40" s="106" t="s">
        <v>1234</v>
      </c>
      <c r="B40" s="50">
        <f>_xlfn.XLOOKUP($A40,'Inputs (AUD)'!$A:$A,'Inputs (AUD)'!B:B,,0)</f>
        <v>82.1</v>
      </c>
      <c r="C40" s="50">
        <f>_xlfn.XLOOKUP($A40,'Inputs (AUD)'!$A:$A,'Inputs (AUD)'!C:C,,0)</f>
        <v>288.5</v>
      </c>
      <c r="D40" s="50">
        <f>_xlfn.XLOOKUP($A40,'Inputs (AUD)'!$A:$A,'Inputs (AUD)'!D:D,,0)</f>
        <v>20.8</v>
      </c>
      <c r="E40" s="50">
        <f>_xlfn.XLOOKUP($A40,'Inputs (AUD)'!$A:$A,'Inputs (AUD)'!E:E,,0)</f>
        <v>1.1000000000000001</v>
      </c>
      <c r="F40" s="50">
        <f>_xlfn.XLOOKUP($A40,'Inputs (AUD)'!$A:$A,'Inputs (AUD)'!F:F,,0)</f>
        <v>3.2</v>
      </c>
      <c r="G40" s="50">
        <f>_xlfn.XLOOKUP($A40,'Inputs (AUD)'!$A:$A,'Inputs (AUD)'!G:G,,0)</f>
        <v>6.2</v>
      </c>
      <c r="H40" s="50" t="str">
        <f>_xlfn.XLOOKUP($A40,'Inputs (AUD)'!$A:$A,'Inputs (AUD)'!H:H,,0)</f>
        <v>--</v>
      </c>
      <c r="I40" s="50">
        <f>_xlfn.XLOOKUP($A40,'Inputs (AUD)'!$A:$A,'Inputs (AUD)'!I:I,,0)</f>
        <v>0</v>
      </c>
      <c r="J40" s="50" t="str">
        <f>_xlfn.XLOOKUP($A40,'Inputs (AUD)'!$A:$A,'Inputs (AUD)'!J:J,,0)</f>
        <v>--</v>
      </c>
      <c r="K40" s="50" t="str">
        <f>_xlfn.XLOOKUP($A40,'Inputs (AUD)'!$A:$A,'Inputs (AUD)'!K:K,,0)</f>
        <v>--</v>
      </c>
      <c r="L40" s="50" t="str">
        <f>_xlfn.XLOOKUP($A40,'Inputs (AUD)'!$A:$A,'Inputs (AUD)'!L:L,,0)</f>
        <v>--</v>
      </c>
      <c r="M40" s="51">
        <f>_xlfn.XLOOKUP($A40,'Inputs (AUD)'!$A:$A,'Inputs (AUD)'!M:M,,0)</f>
        <v>0</v>
      </c>
    </row>
    <row r="41" spans="1:26">
      <c r="A41" s="108" t="s">
        <v>319</v>
      </c>
      <c r="B41" s="50">
        <f>_xlfn.XLOOKUP($A41,'Inputs (AUD)'!$A:$A,'Inputs (AUD)'!B:B,,0)</f>
        <v>97.3</v>
      </c>
      <c r="C41" s="50">
        <f>_xlfn.XLOOKUP($A41,'Inputs (AUD)'!$A:$A,'Inputs (AUD)'!C:C,,0)</f>
        <v>69.3</v>
      </c>
      <c r="D41" s="50">
        <f>_xlfn.XLOOKUP($A41,'Inputs (AUD)'!$A:$A,'Inputs (AUD)'!D:D,,0)</f>
        <v>38.6</v>
      </c>
      <c r="E41" s="50">
        <f>_xlfn.XLOOKUP($A41,'Inputs (AUD)'!$A:$A,'Inputs (AUD)'!E:E,,0)</f>
        <v>23.3</v>
      </c>
      <c r="F41" s="50">
        <f>_xlfn.XLOOKUP($A41,'Inputs (AUD)'!$A:$A,'Inputs (AUD)'!F:F,,0)</f>
        <v>51.2</v>
      </c>
      <c r="G41" s="50">
        <f>_xlfn.XLOOKUP($A41,'Inputs (AUD)'!$A:$A,'Inputs (AUD)'!G:G,,0)</f>
        <v>7.5</v>
      </c>
      <c r="H41" s="50">
        <f>_xlfn.XLOOKUP($A41,'Inputs (AUD)'!$A:$A,'Inputs (AUD)'!H:H,,0)</f>
        <v>0</v>
      </c>
      <c r="I41" s="50">
        <f>_xlfn.XLOOKUP($A41,'Inputs (AUD)'!$A:$A,'Inputs (AUD)'!I:I,,0)</f>
        <v>0</v>
      </c>
      <c r="J41" s="50" t="str">
        <f>_xlfn.XLOOKUP($A41,'Inputs (AUD)'!$A:$A,'Inputs (AUD)'!J:J,,0)</f>
        <v>--</v>
      </c>
      <c r="K41" s="50" t="str">
        <f>_xlfn.XLOOKUP($A41,'Inputs (AUD)'!$A:$A,'Inputs (AUD)'!K:K,,0)</f>
        <v>--</v>
      </c>
      <c r="L41" s="50" t="str">
        <f>_xlfn.XLOOKUP($A41,'Inputs (AUD)'!$A:$A,'Inputs (AUD)'!L:L,,0)</f>
        <v>--</v>
      </c>
      <c r="M41" s="51">
        <f>_xlfn.XLOOKUP($A41,'Inputs (AUD)'!$A:$A,'Inputs (AUD)'!M:M,,0)</f>
        <v>0</v>
      </c>
    </row>
    <row r="42" spans="1:26">
      <c r="A42" s="106" t="s">
        <v>1235</v>
      </c>
      <c r="B42" s="50">
        <f>_xlfn.XLOOKUP($A42,'Inputs (AUD)'!$A:$A,'Inputs (AUD)'!B:B,,0)</f>
        <v>1384.5</v>
      </c>
      <c r="C42" s="50">
        <f>_xlfn.XLOOKUP($A42,'Inputs (AUD)'!$A:$A,'Inputs (AUD)'!C:C,,0)</f>
        <v>938.7</v>
      </c>
      <c r="D42" s="50">
        <f>_xlfn.XLOOKUP($A42,'Inputs (AUD)'!$A:$A,'Inputs (AUD)'!D:D,,0)</f>
        <v>785.7</v>
      </c>
      <c r="E42" s="50">
        <f>_xlfn.XLOOKUP($A42,'Inputs (AUD)'!$A:$A,'Inputs (AUD)'!E:E,,0)</f>
        <v>488.8</v>
      </c>
      <c r="F42" s="50">
        <f>_xlfn.XLOOKUP($A42,'Inputs (AUD)'!$A:$A,'Inputs (AUD)'!F:F,,0)</f>
        <v>440.3</v>
      </c>
      <c r="G42" s="50">
        <f>_xlfn.XLOOKUP($A42,'Inputs (AUD)'!$A:$A,'Inputs (AUD)'!G:G,,0)</f>
        <v>379.3</v>
      </c>
      <c r="H42" s="50">
        <f>_xlfn.XLOOKUP($A42,'Inputs (AUD)'!$A:$A,'Inputs (AUD)'!H:H,,0)</f>
        <v>110.7</v>
      </c>
      <c r="I42" s="50">
        <f>_xlfn.XLOOKUP($A42,'Inputs (AUD)'!$A:$A,'Inputs (AUD)'!I:I,,0)</f>
        <v>1.1000000000000001</v>
      </c>
      <c r="J42" s="50">
        <f>_xlfn.XLOOKUP($A42,'Inputs (AUD)'!$A:$A,'Inputs (AUD)'!J:J,,0)</f>
        <v>1.9</v>
      </c>
      <c r="K42" s="50">
        <f>_xlfn.XLOOKUP($A42,'Inputs (AUD)'!$A:$A,'Inputs (AUD)'!K:K,,0)</f>
        <v>3.1</v>
      </c>
      <c r="L42" s="50">
        <f>_xlfn.XLOOKUP($A42,'Inputs (AUD)'!$A:$A,'Inputs (AUD)'!L:L,,0)</f>
        <v>2.9</v>
      </c>
      <c r="M42" s="51">
        <f>_xlfn.XLOOKUP($A42,'Inputs (AUD)'!$A:$A,'Inputs (AUD)'!M:M,,0)</f>
        <v>0</v>
      </c>
    </row>
    <row r="43" spans="1:26">
      <c r="A43" s="108" t="s">
        <v>1236</v>
      </c>
      <c r="B43" s="50">
        <f>_xlfn.XLOOKUP($A43,'Inputs (AUD)'!$A:$A,'Inputs (AUD)'!B:B,,0)</f>
        <v>407.00000000000023</v>
      </c>
      <c r="C43" s="50">
        <f>_xlfn.XLOOKUP($A43,'Inputs (AUD)'!$A:$A,'Inputs (AUD)'!C:C,,0)</f>
        <v>95.500000000000114</v>
      </c>
      <c r="D43" s="50">
        <f>_xlfn.XLOOKUP($A43,'Inputs (AUD)'!$A:$A,'Inputs (AUD)'!D:D,,0)</f>
        <v>25.599999999999994</v>
      </c>
      <c r="E43" s="50">
        <f>_xlfn.XLOOKUP($A43,'Inputs (AUD)'!$A:$A,'Inputs (AUD)'!E:E,,0)</f>
        <v>52.599999999999952</v>
      </c>
      <c r="F43" s="50">
        <f>_xlfn.XLOOKUP($A43,'Inputs (AUD)'!$A:$A,'Inputs (AUD)'!F:F,,0)</f>
        <v>37.599999999999966</v>
      </c>
      <c r="G43" s="50">
        <f>_xlfn.XLOOKUP($A43,'Inputs (AUD)'!$A:$A,'Inputs (AUD)'!G:G,,0)</f>
        <v>19.099999999999937</v>
      </c>
      <c r="H43" s="50">
        <f>_xlfn.XLOOKUP($A43,'Inputs (AUD)'!$A:$A,'Inputs (AUD)'!H:H,,0)</f>
        <v>138.70000000000002</v>
      </c>
      <c r="I43" s="50">
        <f>_xlfn.XLOOKUP($A43,'Inputs (AUD)'!$A:$A,'Inputs (AUD)'!I:I,,0)</f>
        <v>7.6000000000000032</v>
      </c>
      <c r="J43" s="50">
        <f>_xlfn.XLOOKUP($A43,'Inputs (AUD)'!$A:$A,'Inputs (AUD)'!J:J,,0)</f>
        <v>2.5999999999999996</v>
      </c>
      <c r="K43" s="50">
        <f>_xlfn.XLOOKUP($A43,'Inputs (AUD)'!$A:$A,'Inputs (AUD)'!K:K,,0)</f>
        <v>0.29999999999999982</v>
      </c>
      <c r="L43" s="50">
        <f>_xlfn.XLOOKUP($A43,'Inputs (AUD)'!$A:$A,'Inputs (AUD)'!L:L,,0)</f>
        <v>8528.8000000000011</v>
      </c>
      <c r="M43" s="51">
        <f>_xlfn.XLOOKUP($A43,'Inputs (AUD)'!$A:$A,'Inputs (AUD)'!M:M,,0)</f>
        <v>0</v>
      </c>
    </row>
    <row r="44" spans="1:26">
      <c r="A44" s="109" t="s">
        <v>52</v>
      </c>
      <c r="B44" s="56">
        <f>_xlfn.XLOOKUP($A44,'Inputs (AUD)'!$A:$A,'Inputs (AUD)'!B:B,,0)</f>
        <v>5198.8</v>
      </c>
      <c r="C44" s="56">
        <f>_xlfn.XLOOKUP($A44,'Inputs (AUD)'!$A:$A,'Inputs (AUD)'!C:C,,0)</f>
        <v>1978.4</v>
      </c>
      <c r="D44" s="56">
        <f>_xlfn.XLOOKUP($A44,'Inputs (AUD)'!$A:$A,'Inputs (AUD)'!D:D,,0)</f>
        <v>949.7</v>
      </c>
      <c r="E44" s="56">
        <f>_xlfn.XLOOKUP($A44,'Inputs (AUD)'!$A:$A,'Inputs (AUD)'!E:E,,0)</f>
        <v>602.5</v>
      </c>
      <c r="F44" s="56">
        <f>_xlfn.XLOOKUP($A44,'Inputs (AUD)'!$A:$A,'Inputs (AUD)'!F:F,,0)</f>
        <v>582.29999999999995</v>
      </c>
      <c r="G44" s="56">
        <f>_xlfn.XLOOKUP($A44,'Inputs (AUD)'!$A:$A,'Inputs (AUD)'!G:G,,0)</f>
        <v>532</v>
      </c>
      <c r="H44" s="56">
        <f>_xlfn.XLOOKUP($A44,'Inputs (AUD)'!$A:$A,'Inputs (AUD)'!H:H,,0)</f>
        <v>336.5</v>
      </c>
      <c r="I44" s="56">
        <f>_xlfn.XLOOKUP($A44,'Inputs (AUD)'!$A:$A,'Inputs (AUD)'!I:I,,0)</f>
        <v>102.7</v>
      </c>
      <c r="J44" s="56">
        <f>_xlfn.XLOOKUP($A44,'Inputs (AUD)'!$A:$A,'Inputs (AUD)'!J:J,,0)</f>
        <v>8.9</v>
      </c>
      <c r="K44" s="56">
        <f>_xlfn.XLOOKUP($A44,'Inputs (AUD)'!$A:$A,'Inputs (AUD)'!K:K,,0)</f>
        <v>4.7</v>
      </c>
      <c r="L44" s="56">
        <f>_xlfn.XLOOKUP($A44,'Inputs (AUD)'!$A:$A,'Inputs (AUD)'!L:L,,0)</f>
        <v>8943</v>
      </c>
      <c r="M44" s="56">
        <f>_xlfn.XLOOKUP($A44,'Inputs (AUD)'!$A:$A,'Inputs (AUD)'!M:M,,0)</f>
        <v>0</v>
      </c>
    </row>
    <row r="45" spans="1:26">
      <c r="B45"/>
      <c r="C45"/>
      <c r="D45"/>
      <c r="E45"/>
      <c r="F45"/>
      <c r="G45"/>
      <c r="H45"/>
      <c r="I45"/>
      <c r="J45"/>
      <c r="K45"/>
      <c r="L45"/>
      <c r="M45"/>
    </row>
    <row r="46" spans="1:26">
      <c r="B46"/>
      <c r="C46"/>
      <c r="D46"/>
      <c r="E46"/>
      <c r="F46"/>
      <c r="G46"/>
      <c r="H46"/>
      <c r="I46"/>
      <c r="J46"/>
      <c r="K46"/>
      <c r="L46"/>
      <c r="M46"/>
    </row>
    <row r="47" spans="1:26" ht="20.100000000000001">
      <c r="A47" s="1458" t="s">
        <v>1237</v>
      </c>
      <c r="B47" s="1458"/>
      <c r="C47" s="1458"/>
      <c r="D47" s="1458"/>
      <c r="E47" s="1458"/>
      <c r="F47" s="1458"/>
      <c r="G47" s="1458"/>
      <c r="H47" s="1458"/>
      <c r="I47" s="1458"/>
      <c r="J47" s="1458"/>
      <c r="K47" s="1458"/>
      <c r="L47" s="1458"/>
      <c r="M47" s="1458"/>
    </row>
    <row r="48" spans="1:26">
      <c r="A48" s="110" t="s">
        <v>323</v>
      </c>
      <c r="B48" s="56">
        <f>_xlfn.XLOOKUP($A48,'Inputs (AUD)'!$A:$A,'Inputs (AUD)'!B:B,,0)</f>
        <v>1294.0999999999999</v>
      </c>
      <c r="C48" s="56">
        <f>_xlfn.XLOOKUP($A48,'Inputs (AUD)'!$A:$A,'Inputs (AUD)'!C:C,,0)</f>
        <v>337.3</v>
      </c>
      <c r="D48" s="56">
        <f>_xlfn.XLOOKUP($A48,'Inputs (AUD)'!$A:$A,'Inputs (AUD)'!D:D,,0)</f>
        <v>170</v>
      </c>
      <c r="E48" s="56">
        <f>_xlfn.XLOOKUP($A48,'Inputs (AUD)'!$A:$A,'Inputs (AUD)'!E:E,,0)</f>
        <v>75.400000000000006</v>
      </c>
      <c r="F48" s="56">
        <f>_xlfn.XLOOKUP($A48,'Inputs (AUD)'!$A:$A,'Inputs (AUD)'!F:F,,0)</f>
        <v>59</v>
      </c>
      <c r="G48" s="56">
        <f>_xlfn.XLOOKUP($A48,'Inputs (AUD)'!$A:$A,'Inputs (AUD)'!G:G,,0)</f>
        <v>50.8</v>
      </c>
      <c r="H48" s="56">
        <f>_xlfn.XLOOKUP($A48,'Inputs (AUD)'!$A:$A,'Inputs (AUD)'!H:H,,0)</f>
        <v>11.7</v>
      </c>
      <c r="I48" s="56">
        <f>_xlfn.XLOOKUP($A48,'Inputs (AUD)'!$A:$A,'Inputs (AUD)'!I:I,,0)</f>
        <v>4.0999999999999996</v>
      </c>
      <c r="J48" s="56">
        <f>_xlfn.XLOOKUP($A48,'Inputs (AUD)'!$A:$A,'Inputs (AUD)'!J:J,,0)</f>
        <v>3.4</v>
      </c>
      <c r="K48" s="56">
        <f>_xlfn.XLOOKUP($A48,'Inputs (AUD)'!$A:$A,'Inputs (AUD)'!K:K,,0)</f>
        <v>2.2999999999999998</v>
      </c>
      <c r="L48" s="56">
        <f>_xlfn.XLOOKUP($A48,'Inputs (AUD)'!$A:$A,'Inputs (AUD)'!L:L,,0)</f>
        <v>2.2000000000000002</v>
      </c>
      <c r="M48" s="56">
        <f>_xlfn.XLOOKUP($A48,'Inputs (AUD)'!$A:$A,'Inputs (AUD)'!M:M,,0)</f>
        <v>0</v>
      </c>
    </row>
    <row r="49" spans="1:13">
      <c r="A49" s="111" t="s">
        <v>1238</v>
      </c>
      <c r="B49" s="50">
        <f>_xlfn.XLOOKUP($A49,'Inputs (AUD)'!$A:$A,'Inputs (AUD)'!B:B,,0)</f>
        <v>0</v>
      </c>
      <c r="C49" s="50">
        <f>_xlfn.XLOOKUP($A49,'Inputs (AUD)'!$A:$A,'Inputs (AUD)'!C:C,,0)</f>
        <v>0</v>
      </c>
      <c r="D49" s="50">
        <f>_xlfn.XLOOKUP($A49,'Inputs (AUD)'!$A:$A,'Inputs (AUD)'!D:D,,0)</f>
        <v>0</v>
      </c>
      <c r="E49" s="50">
        <f>_xlfn.XLOOKUP($A49,'Inputs (AUD)'!$A:$A,'Inputs (AUD)'!E:E,,0)</f>
        <v>0</v>
      </c>
      <c r="F49" s="50">
        <f>_xlfn.XLOOKUP($A49,'Inputs (AUD)'!$A:$A,'Inputs (AUD)'!F:F,,0)</f>
        <v>0</v>
      </c>
      <c r="G49" s="50">
        <f>_xlfn.XLOOKUP($A49,'Inputs (AUD)'!$A:$A,'Inputs (AUD)'!G:G,,0)</f>
        <v>0</v>
      </c>
      <c r="H49" s="50">
        <f>_xlfn.XLOOKUP($A49,'Inputs (AUD)'!$A:$A,'Inputs (AUD)'!H:H,,0)</f>
        <v>0</v>
      </c>
      <c r="I49" s="50">
        <f>_xlfn.XLOOKUP($A49,'Inputs (AUD)'!$A:$A,'Inputs (AUD)'!I:I,,0)</f>
        <v>0</v>
      </c>
      <c r="J49" s="50">
        <f>_xlfn.XLOOKUP($A49,'Inputs (AUD)'!$A:$A,'Inputs (AUD)'!J:J,,0)</f>
        <v>2.6</v>
      </c>
      <c r="K49" s="50">
        <f>_xlfn.XLOOKUP($A49,'Inputs (AUD)'!$A:$A,'Inputs (AUD)'!K:K,,0)</f>
        <v>1.4</v>
      </c>
      <c r="L49" s="50">
        <f>_xlfn.XLOOKUP($A49,'Inputs (AUD)'!$A:$A,'Inputs (AUD)'!L:L,,0)</f>
        <v>1.3</v>
      </c>
      <c r="M49" s="50">
        <f>_xlfn.XLOOKUP($A49,'Inputs (AUD)'!$A:$A,'Inputs (AUD)'!M:M,,0)</f>
        <v>0</v>
      </c>
    </row>
    <row r="50" spans="1:13">
      <c r="A50" s="105" t="s">
        <v>1239</v>
      </c>
      <c r="B50" s="50">
        <f>_xlfn.XLOOKUP($A50,'Inputs (AUD)'!$A:$A,'Inputs (AUD)'!B:B,,0)</f>
        <v>124.3</v>
      </c>
      <c r="C50" s="50">
        <f>_xlfn.XLOOKUP($A50,'Inputs (AUD)'!$A:$A,'Inputs (AUD)'!C:C,,0)</f>
        <v>55.8</v>
      </c>
      <c r="D50" s="50">
        <f>_xlfn.XLOOKUP($A50,'Inputs (AUD)'!$A:$A,'Inputs (AUD)'!D:D,,0)</f>
        <v>13.3</v>
      </c>
      <c r="E50" s="50">
        <f>_xlfn.XLOOKUP($A50,'Inputs (AUD)'!$A:$A,'Inputs (AUD)'!E:E,,0)</f>
        <v>53.3</v>
      </c>
      <c r="F50" s="50">
        <f>_xlfn.XLOOKUP($A50,'Inputs (AUD)'!$A:$A,'Inputs (AUD)'!F:F,,0)</f>
        <v>8.9</v>
      </c>
      <c r="G50" s="50">
        <f>_xlfn.XLOOKUP($A50,'Inputs (AUD)'!$A:$A,'Inputs (AUD)'!G:G,,0)</f>
        <v>0.2</v>
      </c>
      <c r="H50" s="50">
        <f>_xlfn.XLOOKUP($A50,'Inputs (AUD)'!$A:$A,'Inputs (AUD)'!H:H,,0)</f>
        <v>0.1</v>
      </c>
      <c r="I50" s="50">
        <f>_xlfn.XLOOKUP($A50,'Inputs (AUD)'!$A:$A,'Inputs (AUD)'!I:I,,0)</f>
        <v>0.1</v>
      </c>
      <c r="J50" s="50" t="str">
        <f>_xlfn.XLOOKUP($A50,'Inputs (AUD)'!$A:$A,'Inputs (AUD)'!J:J,,0)</f>
        <v>--</v>
      </c>
      <c r="K50" s="50" t="str">
        <f>_xlfn.XLOOKUP($A50,'Inputs (AUD)'!$A:$A,'Inputs (AUD)'!K:K,,0)</f>
        <v>--</v>
      </c>
      <c r="L50" s="50">
        <f>_xlfn.XLOOKUP($A50,'Inputs (AUD)'!$A:$A,'Inputs (AUD)'!L:L,,0)</f>
        <v>0</v>
      </c>
      <c r="M50" s="50">
        <f>_xlfn.XLOOKUP($A50,'Inputs (AUD)'!$A:$A,'Inputs (AUD)'!M:M,,0)</f>
        <v>0</v>
      </c>
    </row>
    <row r="51" spans="1:13">
      <c r="A51" s="106" t="s">
        <v>1240</v>
      </c>
      <c r="B51" s="50">
        <f>_xlfn.XLOOKUP($A51,'Inputs (AUD)'!$A:$A,'Inputs (AUD)'!B:B,,0)</f>
        <v>216</v>
      </c>
      <c r="C51" s="50">
        <f>_xlfn.XLOOKUP($A51,'Inputs (AUD)'!$A:$A,'Inputs (AUD)'!C:C,,0)</f>
        <v>146.60000000000002</v>
      </c>
      <c r="D51" s="50">
        <f>_xlfn.XLOOKUP($A51,'Inputs (AUD)'!$A:$A,'Inputs (AUD)'!D:D,,0)</f>
        <v>141.1</v>
      </c>
      <c r="E51" s="50">
        <f>_xlfn.XLOOKUP($A51,'Inputs (AUD)'!$A:$A,'Inputs (AUD)'!E:E,,0)</f>
        <v>10.100000000000009</v>
      </c>
      <c r="F51" s="50">
        <f>_xlfn.XLOOKUP($A51,'Inputs (AUD)'!$A:$A,'Inputs (AUD)'!F:F,,0)</f>
        <v>27</v>
      </c>
      <c r="G51" s="50">
        <f>_xlfn.XLOOKUP($A51,'Inputs (AUD)'!$A:$A,'Inputs (AUD)'!G:G,,0)</f>
        <v>41.3</v>
      </c>
      <c r="H51" s="50">
        <f>_xlfn.XLOOKUP($A51,'Inputs (AUD)'!$A:$A,'Inputs (AUD)'!H:H,,0)</f>
        <v>7.6999999999999993</v>
      </c>
      <c r="I51" s="50">
        <f>_xlfn.XLOOKUP($A51,'Inputs (AUD)'!$A:$A,'Inputs (AUD)'!I:I,,0)</f>
        <v>1.7999999999999994</v>
      </c>
      <c r="J51" s="50">
        <f>_xlfn.XLOOKUP($A51,'Inputs (AUD)'!$A:$A,'Inputs (AUD)'!J:J,,0)</f>
        <v>0.10000000000000009</v>
      </c>
      <c r="K51" s="50">
        <f>_xlfn.XLOOKUP($A51,'Inputs (AUD)'!$A:$A,'Inputs (AUD)'!K:K,,0)</f>
        <v>0.7</v>
      </c>
      <c r="L51" s="50">
        <f>_xlfn.XLOOKUP($A51,'Inputs (AUD)'!$A:$A,'Inputs (AUD)'!L:L,,0)</f>
        <v>0.90000000000000013</v>
      </c>
      <c r="M51" s="50">
        <f>_xlfn.XLOOKUP($A51,'Inputs (AUD)'!$A:$A,'Inputs (AUD)'!M:M,,0)</f>
        <v>0</v>
      </c>
    </row>
    <row r="52" spans="1:13">
      <c r="A52" s="110" t="s">
        <v>1241</v>
      </c>
      <c r="B52" s="56">
        <f>_xlfn.XLOOKUP($A52,'Inputs (AUD)'!$A:$A,'Inputs (AUD)'!B:B,,0)</f>
        <v>514.70000000000005</v>
      </c>
      <c r="C52" s="56">
        <f>_xlfn.XLOOKUP($A52,'Inputs (AUD)'!$A:$A,'Inputs (AUD)'!C:C,,0)</f>
        <v>349.09999999999997</v>
      </c>
      <c r="D52" s="56">
        <f>_xlfn.XLOOKUP($A52,'Inputs (AUD)'!$A:$A,'Inputs (AUD)'!D:D,,0)</f>
        <v>205.5</v>
      </c>
      <c r="E52" s="56">
        <f>_xlfn.XLOOKUP($A52,'Inputs (AUD)'!$A:$A,'Inputs (AUD)'!E:E,,0)</f>
        <v>140.1</v>
      </c>
      <c r="F52" s="56">
        <f>_xlfn.XLOOKUP($A52,'Inputs (AUD)'!$A:$A,'Inputs (AUD)'!F:F,,0)</f>
        <v>146.6</v>
      </c>
      <c r="G52" s="56">
        <f>_xlfn.XLOOKUP($A52,'Inputs (AUD)'!$A:$A,'Inputs (AUD)'!G:G,,0)</f>
        <v>137.89999999999998</v>
      </c>
      <c r="H52" s="56">
        <f>_xlfn.XLOOKUP($A52,'Inputs (AUD)'!$A:$A,'Inputs (AUD)'!H:H,,0)</f>
        <v>124.60000000000001</v>
      </c>
      <c r="I52" s="56">
        <f>_xlfn.XLOOKUP($A52,'Inputs (AUD)'!$A:$A,'Inputs (AUD)'!I:I,,0)</f>
        <v>0.20000000000000018</v>
      </c>
      <c r="J52" s="56">
        <f>_xlfn.XLOOKUP($A52,'Inputs (AUD)'!$A:$A,'Inputs (AUD)'!J:J,,0)</f>
        <v>0</v>
      </c>
      <c r="K52" s="56">
        <f>_xlfn.XLOOKUP($A52,'Inputs (AUD)'!$A:$A,'Inputs (AUD)'!K:K,,0)</f>
        <v>0</v>
      </c>
      <c r="L52" s="56">
        <f>_xlfn.XLOOKUP($A52,'Inputs (AUD)'!$A:$A,'Inputs (AUD)'!L:L,,0)</f>
        <v>0</v>
      </c>
      <c r="M52" s="56">
        <f>_xlfn.XLOOKUP($A52,'Inputs (AUD)'!$A:$A,'Inputs (AUD)'!M:M,,0)</f>
        <v>0</v>
      </c>
    </row>
    <row r="53" spans="1:13">
      <c r="A53" s="111" t="s">
        <v>1242</v>
      </c>
      <c r="B53" s="50">
        <f>_xlfn.XLOOKUP($A53,'Inputs (AUD)'!$A:$A,'Inputs (AUD)'!B:B,,0)</f>
        <v>272.5</v>
      </c>
      <c r="C53" s="50">
        <f>_xlfn.XLOOKUP($A53,'Inputs (AUD)'!$A:$A,'Inputs (AUD)'!C:C,,0)</f>
        <v>204.2</v>
      </c>
      <c r="D53" s="50">
        <f>_xlfn.XLOOKUP($A53,'Inputs (AUD)'!$A:$A,'Inputs (AUD)'!D:D,,0)</f>
        <v>141.19999999999999</v>
      </c>
      <c r="E53" s="50">
        <f>_xlfn.XLOOKUP($A53,'Inputs (AUD)'!$A:$A,'Inputs (AUD)'!E:E,,0)</f>
        <v>97.8</v>
      </c>
      <c r="F53" s="50">
        <f>_xlfn.XLOOKUP($A53,'Inputs (AUD)'!$A:$A,'Inputs (AUD)'!F:F,,0)</f>
        <v>130.1</v>
      </c>
      <c r="G53" s="50">
        <f>_xlfn.XLOOKUP($A53,'Inputs (AUD)'!$A:$A,'Inputs (AUD)'!G:G,,0)</f>
        <v>130.5</v>
      </c>
      <c r="H53" s="50">
        <f>_xlfn.XLOOKUP($A53,'Inputs (AUD)'!$A:$A,'Inputs (AUD)'!H:H,,0)</f>
        <v>124.3</v>
      </c>
      <c r="I53" s="50" t="str">
        <f>_xlfn.XLOOKUP($A53,'Inputs (AUD)'!$A:$A,'Inputs (AUD)'!I:I,,0)</f>
        <v>--</v>
      </c>
      <c r="J53" s="50" t="str">
        <f>_xlfn.XLOOKUP($A53,'Inputs (AUD)'!$A:$A,'Inputs (AUD)'!J:J,,0)</f>
        <v>--</v>
      </c>
      <c r="K53" s="50" t="str">
        <f>_xlfn.XLOOKUP($A53,'Inputs (AUD)'!$A:$A,'Inputs (AUD)'!K:K,,0)</f>
        <v>--</v>
      </c>
      <c r="L53" s="50" t="str">
        <f>_xlfn.XLOOKUP($A53,'Inputs (AUD)'!$A:$A,'Inputs (AUD)'!L:L,,0)</f>
        <v>--</v>
      </c>
      <c r="M53" s="50">
        <f>_xlfn.XLOOKUP($A53,'Inputs (AUD)'!$A:$A,'Inputs (AUD)'!M:M,,0)</f>
        <v>0</v>
      </c>
    </row>
    <row r="54" spans="1:13">
      <c r="A54" s="105" t="s">
        <v>1243</v>
      </c>
      <c r="B54" s="50">
        <f>_xlfn.XLOOKUP($A54,'Inputs (AUD)'!$A:$A,'Inputs (AUD)'!B:B,,0)</f>
        <v>75.2</v>
      </c>
      <c r="C54" s="50">
        <f>_xlfn.XLOOKUP($A54,'Inputs (AUD)'!$A:$A,'Inputs (AUD)'!C:C,,0)</f>
        <v>32</v>
      </c>
      <c r="D54" s="50">
        <f>_xlfn.XLOOKUP($A54,'Inputs (AUD)'!$A:$A,'Inputs (AUD)'!D:D,,0)</f>
        <v>12.4</v>
      </c>
      <c r="E54" s="50">
        <f>_xlfn.XLOOKUP($A54,'Inputs (AUD)'!$A:$A,'Inputs (AUD)'!E:E,,0)</f>
        <v>25.3</v>
      </c>
      <c r="F54" s="50">
        <f>_xlfn.XLOOKUP($A54,'Inputs (AUD)'!$A:$A,'Inputs (AUD)'!F:F,,0)</f>
        <v>0</v>
      </c>
      <c r="G54" s="50">
        <f>_xlfn.XLOOKUP($A54,'Inputs (AUD)'!$A:$A,'Inputs (AUD)'!G:G,,0)</f>
        <v>0.5</v>
      </c>
      <c r="H54" s="50">
        <f>_xlfn.XLOOKUP($A54,'Inputs (AUD)'!$A:$A,'Inputs (AUD)'!H:H,,0)</f>
        <v>0</v>
      </c>
      <c r="I54" s="50">
        <f>_xlfn.XLOOKUP($A54,'Inputs (AUD)'!$A:$A,'Inputs (AUD)'!I:I,,0)</f>
        <v>0.2</v>
      </c>
      <c r="J54" s="50" t="str">
        <f>_xlfn.XLOOKUP($A54,'Inputs (AUD)'!$A:$A,'Inputs (AUD)'!J:J,,0)</f>
        <v>--</v>
      </c>
      <c r="K54" s="50" t="str">
        <f>_xlfn.XLOOKUP($A54,'Inputs (AUD)'!$A:$A,'Inputs (AUD)'!K:K,,0)</f>
        <v>--</v>
      </c>
      <c r="L54" s="50">
        <f>_xlfn.XLOOKUP($A54,'Inputs (AUD)'!$A:$A,'Inputs (AUD)'!L:L,,0)</f>
        <v>0</v>
      </c>
      <c r="M54" s="50">
        <f>_xlfn.XLOOKUP($A54,'Inputs (AUD)'!$A:$A,'Inputs (AUD)'!M:M,,0)</f>
        <v>0</v>
      </c>
    </row>
    <row r="55" spans="1:13">
      <c r="A55" s="106" t="s">
        <v>1244</v>
      </c>
      <c r="B55" s="50">
        <f>_xlfn.XLOOKUP($A55,'Inputs (AUD)'!$A:$A,'Inputs (AUD)'!B:B,,0)</f>
        <v>167.00000000000006</v>
      </c>
      <c r="C55" s="50">
        <f>_xlfn.XLOOKUP($A55,'Inputs (AUD)'!$A:$A,'Inputs (AUD)'!C:C,,0)</f>
        <v>112.89999999999998</v>
      </c>
      <c r="D55" s="50">
        <f>_xlfn.XLOOKUP($A55,'Inputs (AUD)'!$A:$A,'Inputs (AUD)'!D:D,,0)</f>
        <v>51.900000000000006</v>
      </c>
      <c r="E55" s="50">
        <f>_xlfn.XLOOKUP($A55,'Inputs (AUD)'!$A:$A,'Inputs (AUD)'!E:E,,0)</f>
        <v>17</v>
      </c>
      <c r="F55" s="50">
        <f>_xlfn.XLOOKUP($A55,'Inputs (AUD)'!$A:$A,'Inputs (AUD)'!F:F,,0)</f>
        <v>16.5</v>
      </c>
      <c r="G55" s="50">
        <f>_xlfn.XLOOKUP($A55,'Inputs (AUD)'!$A:$A,'Inputs (AUD)'!G:G,,0)</f>
        <v>6.8999999999999773</v>
      </c>
      <c r="H55" s="50">
        <f>_xlfn.XLOOKUP($A55,'Inputs (AUD)'!$A:$A,'Inputs (AUD)'!H:H,,0)</f>
        <v>0.30000000000001137</v>
      </c>
      <c r="I55" s="50">
        <f>_xlfn.XLOOKUP($A55,'Inputs (AUD)'!$A:$A,'Inputs (AUD)'!I:I,,0)</f>
        <v>0</v>
      </c>
      <c r="J55" s="50">
        <f>_xlfn.XLOOKUP($A55,'Inputs (AUD)'!$A:$A,'Inputs (AUD)'!J:J,,0)</f>
        <v>0</v>
      </c>
      <c r="K55" s="50">
        <f>_xlfn.XLOOKUP($A55,'Inputs (AUD)'!$A:$A,'Inputs (AUD)'!K:K,,0)</f>
        <v>0</v>
      </c>
      <c r="L55" s="50">
        <f>_xlfn.XLOOKUP($A55,'Inputs (AUD)'!$A:$A,'Inputs (AUD)'!L:L,,0)</f>
        <v>0</v>
      </c>
      <c r="M55" s="50">
        <f>_xlfn.XLOOKUP($A55,'Inputs (AUD)'!$A:$A,'Inputs (AUD)'!M:M,,0)</f>
        <v>0</v>
      </c>
    </row>
    <row r="56" spans="1:13">
      <c r="A56" s="110" t="s">
        <v>58</v>
      </c>
      <c r="B56" s="56">
        <f>_xlfn.XLOOKUP($A56,'Inputs (AUD)'!$A:$A,'Inputs (AUD)'!B:B,,0)</f>
        <v>1808.8</v>
      </c>
      <c r="C56" s="56">
        <f>_xlfn.XLOOKUP($A56,'Inputs (AUD)'!$A:$A,'Inputs (AUD)'!C:C,,0)</f>
        <v>686.4</v>
      </c>
      <c r="D56" s="56">
        <f>_xlfn.XLOOKUP($A56,'Inputs (AUD)'!$A:$A,'Inputs (AUD)'!D:D,,0)</f>
        <v>375.5</v>
      </c>
      <c r="E56" s="56">
        <f>_xlfn.XLOOKUP($A56,'Inputs (AUD)'!$A:$A,'Inputs (AUD)'!E:E,,0)</f>
        <v>215.5</v>
      </c>
      <c r="F56" s="56">
        <f>_xlfn.XLOOKUP($A56,'Inputs (AUD)'!$A:$A,'Inputs (AUD)'!F:F,,0)</f>
        <v>205.6</v>
      </c>
      <c r="G56" s="56">
        <f>_xlfn.XLOOKUP($A56,'Inputs (AUD)'!$A:$A,'Inputs (AUD)'!G:G,,0)</f>
        <v>188.7</v>
      </c>
      <c r="H56" s="56">
        <f>_xlfn.XLOOKUP($A56,'Inputs (AUD)'!$A:$A,'Inputs (AUD)'!H:H,,0)</f>
        <v>136.30000000000001</v>
      </c>
      <c r="I56" s="56">
        <f>_xlfn.XLOOKUP($A56,'Inputs (AUD)'!$A:$A,'Inputs (AUD)'!I:I,,0)</f>
        <v>4.3</v>
      </c>
      <c r="J56" s="56">
        <f>_xlfn.XLOOKUP($A56,'Inputs (AUD)'!$A:$A,'Inputs (AUD)'!J:J,,0)</f>
        <v>3.4</v>
      </c>
      <c r="K56" s="56">
        <f>_xlfn.XLOOKUP($A56,'Inputs (AUD)'!$A:$A,'Inputs (AUD)'!K:K,,0)</f>
        <v>2.2999999999999998</v>
      </c>
      <c r="L56" s="56">
        <f>_xlfn.XLOOKUP($A56,'Inputs (AUD)'!$A:$A,'Inputs (AUD)'!L:L,,0)</f>
        <v>2.2000000000000002</v>
      </c>
      <c r="M56" s="56">
        <f>_xlfn.XLOOKUP($A56,'Inputs (AUD)'!$A:$A,'Inputs (AUD)'!M:M,,0)</f>
        <v>0</v>
      </c>
    </row>
    <row r="57" spans="1:13">
      <c r="B57"/>
      <c r="C57"/>
      <c r="D57"/>
      <c r="E57"/>
      <c r="F57"/>
      <c r="G57"/>
      <c r="H57"/>
      <c r="I57"/>
      <c r="J57"/>
      <c r="K57"/>
      <c r="L57"/>
      <c r="M57"/>
    </row>
    <row r="58" spans="1:13">
      <c r="A58" s="110" t="s">
        <v>325</v>
      </c>
      <c r="B58" s="56">
        <f>B49+B53+B50+B54</f>
        <v>472</v>
      </c>
      <c r="C58" s="56">
        <f t="shared" ref="C58:M58" si="75">C49+C53+C50+C54</f>
        <v>292</v>
      </c>
      <c r="D58" s="56">
        <f t="shared" si="75"/>
        <v>166.9</v>
      </c>
      <c r="E58" s="56">
        <f t="shared" si="75"/>
        <v>176.4</v>
      </c>
      <c r="F58" s="56">
        <f t="shared" si="75"/>
        <v>139</v>
      </c>
      <c r="G58" s="56">
        <f t="shared" si="75"/>
        <v>131.19999999999999</v>
      </c>
      <c r="H58" s="56">
        <f t="shared" si="75"/>
        <v>124.39999999999999</v>
      </c>
      <c r="I58" s="56" t="e">
        <f t="shared" si="75"/>
        <v>#VALUE!</v>
      </c>
      <c r="J58" s="56" t="e">
        <f t="shared" si="75"/>
        <v>#VALUE!</v>
      </c>
      <c r="K58" s="56" t="e">
        <f t="shared" si="75"/>
        <v>#VALUE!</v>
      </c>
      <c r="L58" s="56" t="e">
        <f t="shared" si="75"/>
        <v>#VALUE!</v>
      </c>
      <c r="M58" s="56">
        <f t="shared" si="75"/>
        <v>0</v>
      </c>
    </row>
    <row r="59" spans="1:13">
      <c r="A59" s="111" t="s">
        <v>79</v>
      </c>
      <c r="B59" s="52">
        <f>IFERROR(B58/B44,"-")</f>
        <v>9.0790182349773027E-2</v>
      </c>
      <c r="C59" s="52">
        <f t="shared" ref="C59:M59" si="76">IFERROR(C58/C44,"-")</f>
        <v>0.14759401536595229</v>
      </c>
      <c r="D59" s="52">
        <f t="shared" si="76"/>
        <v>0.1757397072759819</v>
      </c>
      <c r="E59" s="52">
        <f t="shared" si="76"/>
        <v>0.29278008298755187</v>
      </c>
      <c r="F59" s="52">
        <f t="shared" si="76"/>
        <v>0.23870856946591107</v>
      </c>
      <c r="G59" s="52">
        <f t="shared" si="76"/>
        <v>0.24661654135338343</v>
      </c>
      <c r="H59" s="52">
        <f t="shared" si="76"/>
        <v>0.36968796433878154</v>
      </c>
      <c r="I59" s="52" t="str">
        <f t="shared" si="76"/>
        <v>-</v>
      </c>
      <c r="J59" s="52" t="str">
        <f t="shared" si="76"/>
        <v>-</v>
      </c>
      <c r="K59" s="52" t="str">
        <f t="shared" si="76"/>
        <v>-</v>
      </c>
      <c r="L59" s="52" t="str">
        <f t="shared" si="76"/>
        <v>-</v>
      </c>
      <c r="M59" s="52" t="str">
        <f t="shared" si="76"/>
        <v>-</v>
      </c>
    </row>
    <row r="60" spans="1:13">
      <c r="A60" s="110" t="s">
        <v>1245</v>
      </c>
      <c r="B60" s="56">
        <f>B58-B39</f>
        <v>-2538.6999999999998</v>
      </c>
      <c r="C60" s="56">
        <f t="shared" ref="C60:M60" si="77">C58-C39</f>
        <v>-214.89999999999998</v>
      </c>
      <c r="D60" s="56">
        <f t="shared" si="77"/>
        <v>87.9</v>
      </c>
      <c r="E60" s="56">
        <f t="shared" si="77"/>
        <v>139.69999999999999</v>
      </c>
      <c r="F60" s="56">
        <f t="shared" si="77"/>
        <v>89</v>
      </c>
      <c r="G60" s="56">
        <f t="shared" si="77"/>
        <v>11.299999999999983</v>
      </c>
      <c r="H60" s="56">
        <f t="shared" si="77"/>
        <v>37.299999999999997</v>
      </c>
      <c r="I60" s="56" t="e">
        <f t="shared" si="77"/>
        <v>#VALUE!</v>
      </c>
      <c r="J60" s="56" t="e">
        <f t="shared" si="77"/>
        <v>#VALUE!</v>
      </c>
      <c r="K60" s="56" t="e">
        <f t="shared" si="77"/>
        <v>#VALUE!</v>
      </c>
      <c r="L60" s="56" t="e">
        <f t="shared" si="77"/>
        <v>#VALUE!</v>
      </c>
      <c r="M60" s="56">
        <f t="shared" si="77"/>
        <v>0</v>
      </c>
    </row>
    <row r="61" spans="1:13">
      <c r="B61"/>
      <c r="C61"/>
      <c r="D61"/>
      <c r="E61"/>
      <c r="F61"/>
      <c r="G61"/>
      <c r="H61"/>
      <c r="I61"/>
      <c r="J61"/>
      <c r="K61"/>
      <c r="L61"/>
      <c r="M61"/>
    </row>
    <row r="62" spans="1:13" s="44" customFormat="1">
      <c r="A62" s="110" t="s">
        <v>1246</v>
      </c>
      <c r="B62" s="56">
        <f>_xlfn.XLOOKUP($A62,'Inputs (AUD)'!$A:$A,'Inputs (AUD)'!B:B,,0)</f>
        <v>0</v>
      </c>
      <c r="C62" s="56">
        <f>_xlfn.XLOOKUP($A62,'Inputs (AUD)'!$A:$A,'Inputs (AUD)'!C:C,,0)</f>
        <v>0</v>
      </c>
      <c r="D62" s="56">
        <f>_xlfn.XLOOKUP($A62,'Inputs (AUD)'!$A:$A,'Inputs (AUD)'!D:D,,0)</f>
        <v>0</v>
      </c>
      <c r="E62" s="56">
        <f>_xlfn.XLOOKUP($A62,'Inputs (AUD)'!$A:$A,'Inputs (AUD)'!E:E,,0)</f>
        <v>0</v>
      </c>
      <c r="F62" s="56">
        <f>_xlfn.XLOOKUP($A62,'Inputs (AUD)'!$A:$A,'Inputs (AUD)'!F:F,,0)</f>
        <v>0</v>
      </c>
      <c r="G62" s="56">
        <f>_xlfn.XLOOKUP($A62,'Inputs (AUD)'!$A:$A,'Inputs (AUD)'!G:G,,0)</f>
        <v>0</v>
      </c>
      <c r="H62" s="56">
        <f>_xlfn.XLOOKUP($A62,'Inputs (AUD)'!$A:$A,'Inputs (AUD)'!H:H,,0)</f>
        <v>0</v>
      </c>
      <c r="I62" s="56">
        <f>_xlfn.XLOOKUP($A62,'Inputs (AUD)'!$A:$A,'Inputs (AUD)'!I:I,,0)</f>
        <v>0</v>
      </c>
      <c r="J62" s="56">
        <f>_xlfn.XLOOKUP($A62,'Inputs (AUD)'!$A:$A,'Inputs (AUD)'!J:J,,0)</f>
        <v>0</v>
      </c>
      <c r="K62" s="56">
        <f>_xlfn.XLOOKUP($A62,'Inputs (AUD)'!$A:$A,'Inputs (AUD)'!K:K,,0)</f>
        <v>0</v>
      </c>
      <c r="L62" s="56">
        <f>_xlfn.XLOOKUP($A62,'Inputs (AUD)'!$A:$A,'Inputs (AUD)'!L:L,,0)</f>
        <v>0</v>
      </c>
      <c r="M62" s="56">
        <f>_xlfn.XLOOKUP($A62,'Inputs (AUD)'!$A:$A,'Inputs (AUD)'!M:M,,0)</f>
        <v>0</v>
      </c>
    </row>
    <row r="63" spans="1:13">
      <c r="B63"/>
      <c r="C63"/>
      <c r="D63"/>
      <c r="E63"/>
      <c r="F63"/>
      <c r="G63"/>
      <c r="H63"/>
      <c r="I63"/>
      <c r="J63"/>
      <c r="K63"/>
      <c r="L63"/>
      <c r="M63"/>
    </row>
    <row r="64" spans="1:13">
      <c r="A64" s="110" t="s">
        <v>1247</v>
      </c>
      <c r="B64" s="56">
        <f>_xlfn.XLOOKUP($A64,'Inputs (AUD)'!$A:$A,'Inputs (AUD)'!B:B,,0)</f>
        <v>3390</v>
      </c>
      <c r="C64" s="56">
        <f>_xlfn.XLOOKUP($A64,'Inputs (AUD)'!$A:$A,'Inputs (AUD)'!C:C,,0)</f>
        <v>1292</v>
      </c>
      <c r="D64" s="56">
        <f>_xlfn.XLOOKUP($A64,'Inputs (AUD)'!$A:$A,'Inputs (AUD)'!D:D,,0)</f>
        <v>574.20000000000005</v>
      </c>
      <c r="E64" s="56">
        <f>_xlfn.XLOOKUP($A64,'Inputs (AUD)'!$A:$A,'Inputs (AUD)'!E:E,,0)</f>
        <v>387</v>
      </c>
      <c r="F64" s="56">
        <f>_xlfn.XLOOKUP($A64,'Inputs (AUD)'!$A:$A,'Inputs (AUD)'!F:F,,0)</f>
        <v>376.69999999999993</v>
      </c>
      <c r="G64" s="56">
        <f>_xlfn.XLOOKUP($A64,'Inputs (AUD)'!$A:$A,'Inputs (AUD)'!G:G,,0)</f>
        <v>343.3</v>
      </c>
      <c r="H64" s="56">
        <f>_xlfn.XLOOKUP($A64,'Inputs (AUD)'!$A:$A,'Inputs (AUD)'!H:H,,0)</f>
        <v>200.2</v>
      </c>
      <c r="I64" s="56">
        <f>_xlfn.XLOOKUP($A64,'Inputs (AUD)'!$A:$A,'Inputs (AUD)'!I:I,,0)</f>
        <v>98.4</v>
      </c>
      <c r="J64" s="56">
        <f>_xlfn.XLOOKUP($A64,'Inputs (AUD)'!$A:$A,'Inputs (AUD)'!J:J,,0)</f>
        <v>5.5</v>
      </c>
      <c r="K64" s="56">
        <f>_xlfn.XLOOKUP($A64,'Inputs (AUD)'!$A:$A,'Inputs (AUD)'!K:K,,0)</f>
        <v>2.4000000000000004</v>
      </c>
      <c r="L64" s="56">
        <f>_xlfn.XLOOKUP($A64,'Inputs (AUD)'!$A:$A,'Inputs (AUD)'!L:L,,0)</f>
        <v>8940.7999999999993</v>
      </c>
      <c r="M64" s="56">
        <f>_xlfn.XLOOKUP($A64,'Inputs (AUD)'!$A:$A,'Inputs (AUD)'!M:M,,0)</f>
        <v>0</v>
      </c>
    </row>
    <row r="65" spans="1:235">
      <c r="K65" s="40"/>
      <c r="L65" s="40"/>
      <c r="M65" s="40"/>
    </row>
    <row r="66" spans="1:235" ht="20.100000000000001">
      <c r="A66" s="1458" t="s">
        <v>140</v>
      </c>
      <c r="B66" s="1458"/>
      <c r="C66" s="1458"/>
      <c r="D66" s="1458"/>
      <c r="E66" s="1458"/>
      <c r="F66" s="1458"/>
      <c r="G66" s="1458"/>
      <c r="H66" s="1458"/>
      <c r="I66" s="1458"/>
      <c r="J66" s="1458"/>
      <c r="K66" s="1458"/>
      <c r="L66" s="1458"/>
      <c r="M66" s="1458"/>
    </row>
    <row r="67" spans="1:235">
      <c r="A67" s="110" t="s">
        <v>141</v>
      </c>
      <c r="B67" s="56">
        <f>_xlfn.XLOOKUP($A67,'Inputs (AUD)'!$A:$A,'Inputs (AUD)'!B:B,,0)</f>
        <v>3456.7</v>
      </c>
      <c r="C67" s="56">
        <f>_xlfn.XLOOKUP($A67,'Inputs (AUD)'!$A:$A,'Inputs (AUD)'!C:C,,0)</f>
        <v>647.6</v>
      </c>
      <c r="D67" s="56">
        <f>_xlfn.XLOOKUP($A67,'Inputs (AUD)'!$A:$A,'Inputs (AUD)'!D:D,,0)</f>
        <v>18.8</v>
      </c>
      <c r="E67" s="56">
        <f>_xlfn.XLOOKUP($A67,'Inputs (AUD)'!$A:$A,'Inputs (AUD)'!E:E,,0)</f>
        <v>-19</v>
      </c>
      <c r="F67" s="56">
        <f>_xlfn.XLOOKUP($A67,'Inputs (AUD)'!$A:$A,'Inputs (AUD)'!F:F,,0)</f>
        <v>-10.4</v>
      </c>
      <c r="G67" s="56">
        <f>_xlfn.XLOOKUP($A67,'Inputs (AUD)'!$A:$A,'Inputs (AUD)'!G:G,,0)</f>
        <v>-9</v>
      </c>
      <c r="H67" s="56">
        <f>_xlfn.XLOOKUP($A67,'Inputs (AUD)'!$A:$A,'Inputs (AUD)'!H:H,,0)</f>
        <v>-16.3</v>
      </c>
      <c r="I67" s="56">
        <f>_xlfn.XLOOKUP($A67,'Inputs (AUD)'!$A:$A,'Inputs (AUD)'!I:I,,0)</f>
        <v>-14.6</v>
      </c>
      <c r="J67" s="56">
        <f>_xlfn.XLOOKUP($A67,'Inputs (AUD)'!$A:$A,'Inputs (AUD)'!J:J,,0)</f>
        <v>-1.5</v>
      </c>
      <c r="K67" s="56">
        <f>_xlfn.XLOOKUP($A67,'Inputs (AUD)'!$A:$A,'Inputs (AUD)'!K:K,,0)</f>
        <v>-0.9</v>
      </c>
      <c r="L67" s="56">
        <f>_xlfn.XLOOKUP($A67,'Inputs (AUD)'!$A:$A,'Inputs (AUD)'!L:L,,0)</f>
        <v>-0.8</v>
      </c>
      <c r="M67" s="56">
        <f>_xlfn.XLOOKUP($A67,'Inputs (AUD)'!$A:$A,'Inputs (AUD)'!M:M,,0)</f>
        <v>0</v>
      </c>
    </row>
    <row r="68" spans="1:235">
      <c r="A68" s="110" t="s">
        <v>142</v>
      </c>
      <c r="B68" s="56">
        <f>_xlfn.XLOOKUP($A68,'Inputs (AUD)'!$A:$A,'Inputs (AUD)'!B:B,,0)</f>
        <v>-408</v>
      </c>
      <c r="C68" s="56">
        <f>_xlfn.XLOOKUP($A68,'Inputs (AUD)'!$A:$A,'Inputs (AUD)'!C:C,,0)</f>
        <v>-204.5</v>
      </c>
      <c r="D68" s="56">
        <f>_xlfn.XLOOKUP($A68,'Inputs (AUD)'!$A:$A,'Inputs (AUD)'!D:D,,0)</f>
        <v>-230.8</v>
      </c>
      <c r="E68" s="56">
        <f>_xlfn.XLOOKUP($A68,'Inputs (AUD)'!$A:$A,'Inputs (AUD)'!E:E,,0)</f>
        <v>-22.6</v>
      </c>
      <c r="F68" s="56">
        <f>_xlfn.XLOOKUP($A68,'Inputs (AUD)'!$A:$A,'Inputs (AUD)'!F:F,,0)</f>
        <v>-94.4</v>
      </c>
      <c r="G68" s="56">
        <f>_xlfn.XLOOKUP($A68,'Inputs (AUD)'!$A:$A,'Inputs (AUD)'!G:G,,0)</f>
        <v>-214.5</v>
      </c>
      <c r="H68" s="56">
        <f>_xlfn.XLOOKUP($A68,'Inputs (AUD)'!$A:$A,'Inputs (AUD)'!H:H,,0)</f>
        <v>-52.7</v>
      </c>
      <c r="I68" s="56">
        <f>_xlfn.XLOOKUP($A68,'Inputs (AUD)'!$A:$A,'Inputs (AUD)'!I:I,,0)</f>
        <v>-7.6</v>
      </c>
      <c r="J68" s="56">
        <f>_xlfn.XLOOKUP($A68,'Inputs (AUD)'!$A:$A,'Inputs (AUD)'!J:J,,0)</f>
        <v>-3.2</v>
      </c>
      <c r="K68" s="56">
        <f>_xlfn.XLOOKUP($A68,'Inputs (AUD)'!$A:$A,'Inputs (AUD)'!K:K,,0)</f>
        <v>-1.6</v>
      </c>
      <c r="L68" s="56">
        <f>_xlfn.XLOOKUP($A68,'Inputs (AUD)'!$A:$A,'Inputs (AUD)'!L:L,,0)</f>
        <v>-1.5</v>
      </c>
      <c r="M68" s="56">
        <f>_xlfn.XLOOKUP($A68,'Inputs (AUD)'!$A:$A,'Inputs (AUD)'!M:M,,0)</f>
        <v>0</v>
      </c>
    </row>
    <row r="69" spans="1:235">
      <c r="A69" s="106" t="s">
        <v>143</v>
      </c>
      <c r="B69" s="50">
        <f>_xlfn.XLOOKUP($A69,'Inputs (AUD)'!$A:$A,'Inputs (AUD)'!B:B,,0)</f>
        <v>-385.5</v>
      </c>
      <c r="C69" s="50">
        <f>_xlfn.XLOOKUP($A69,'Inputs (AUD)'!$A:$A,'Inputs (AUD)'!C:C,,0)</f>
        <v>-128.30000000000001</v>
      </c>
      <c r="D69" s="50">
        <f>_xlfn.XLOOKUP($A69,'Inputs (AUD)'!$A:$A,'Inputs (AUD)'!D:D,,0)</f>
        <v>-20.5</v>
      </c>
      <c r="E69" s="50">
        <f>_xlfn.XLOOKUP($A69,'Inputs (AUD)'!$A:$A,'Inputs (AUD)'!E:E,,0)</f>
        <v>-22.6</v>
      </c>
      <c r="F69" s="50">
        <f>_xlfn.XLOOKUP($A69,'Inputs (AUD)'!$A:$A,'Inputs (AUD)'!F:F,,0)</f>
        <v>-178.3</v>
      </c>
      <c r="G69" s="50">
        <f>_xlfn.XLOOKUP($A69,'Inputs (AUD)'!$A:$A,'Inputs (AUD)'!G:G,,0)</f>
        <v>-219.1</v>
      </c>
      <c r="H69" s="50">
        <f>_xlfn.XLOOKUP($A69,'Inputs (AUD)'!$A:$A,'Inputs (AUD)'!H:H,,0)</f>
        <v>-52.8</v>
      </c>
      <c r="I69" s="50">
        <f>_xlfn.XLOOKUP($A69,'Inputs (AUD)'!$A:$A,'Inputs (AUD)'!I:I,,0)</f>
        <v>-4.5999999999999996</v>
      </c>
      <c r="J69" s="50">
        <f>_xlfn.XLOOKUP($A69,'Inputs (AUD)'!$A:$A,'Inputs (AUD)'!J:J,,0)</f>
        <v>-0.6</v>
      </c>
      <c r="K69" s="50">
        <f>_xlfn.XLOOKUP($A69,'Inputs (AUD)'!$A:$A,'Inputs (AUD)'!K:K,,0)</f>
        <v>-1.6</v>
      </c>
      <c r="L69" s="50">
        <f>_xlfn.XLOOKUP($A69,'Inputs (AUD)'!$A:$A,'Inputs (AUD)'!L:L,,0)</f>
        <v>-1.5</v>
      </c>
      <c r="M69" s="50">
        <f>_xlfn.XLOOKUP($A69,'Inputs (AUD)'!$A:$A,'Inputs (AUD)'!M:M,,0)</f>
        <v>0</v>
      </c>
    </row>
    <row r="70" spans="1:235">
      <c r="A70" s="106" t="s">
        <v>144</v>
      </c>
      <c r="B70" s="50">
        <f>_xlfn.XLOOKUP($A70,'Inputs (AUD)'!$A:$A,'Inputs (AUD)'!B:B,,0)</f>
        <v>-22.4</v>
      </c>
      <c r="C70" s="50">
        <f>_xlfn.XLOOKUP($A70,'Inputs (AUD)'!$A:$A,'Inputs (AUD)'!C:C,,0)</f>
        <v>-76.2</v>
      </c>
      <c r="D70" s="50">
        <f>_xlfn.XLOOKUP($A70,'Inputs (AUD)'!$A:$A,'Inputs (AUD)'!D:D,,0)</f>
        <v>-210.3</v>
      </c>
      <c r="E70" s="50">
        <f>_xlfn.XLOOKUP($A70,'Inputs (AUD)'!$A:$A,'Inputs (AUD)'!E:E,,0)</f>
        <v>0</v>
      </c>
      <c r="F70" s="50">
        <f>_xlfn.XLOOKUP($A70,'Inputs (AUD)'!$A:$A,'Inputs (AUD)'!F:F,,0)</f>
        <v>0</v>
      </c>
      <c r="G70" s="50">
        <f>_xlfn.XLOOKUP($A70,'Inputs (AUD)'!$A:$A,'Inputs (AUD)'!G:G,,0)</f>
        <v>4.3</v>
      </c>
      <c r="H70" s="50">
        <f>_xlfn.XLOOKUP($A70,'Inputs (AUD)'!$A:$A,'Inputs (AUD)'!H:H,,0)</f>
        <v>0</v>
      </c>
      <c r="I70" s="50">
        <f>_xlfn.XLOOKUP($A70,'Inputs (AUD)'!$A:$A,'Inputs (AUD)'!I:I,,0)</f>
        <v>-2</v>
      </c>
      <c r="J70" s="50">
        <f>_xlfn.XLOOKUP($A70,'Inputs (AUD)'!$A:$A,'Inputs (AUD)'!J:J,,0)</f>
        <v>-1</v>
      </c>
      <c r="K70" s="50">
        <f>_xlfn.XLOOKUP($A70,'Inputs (AUD)'!$A:$A,'Inputs (AUD)'!K:K,,0)</f>
        <v>0</v>
      </c>
      <c r="L70" s="50">
        <f>_xlfn.XLOOKUP($A70,'Inputs (AUD)'!$A:$A,'Inputs (AUD)'!L:L,,0)</f>
        <v>0</v>
      </c>
      <c r="M70" s="50">
        <f>_xlfn.XLOOKUP($A70,'Inputs (AUD)'!$A:$A,'Inputs (AUD)'!M:M,,0)</f>
        <v>0</v>
      </c>
      <c r="IA70" s="40"/>
    </row>
    <row r="71" spans="1:235">
      <c r="A71" s="110" t="s">
        <v>145</v>
      </c>
      <c r="B71" s="56">
        <f>_xlfn.XLOOKUP($A71,'Inputs (AUD)'!$A:$A,'Inputs (AUD)'!B:B,,0)</f>
        <v>-315.10000000000002</v>
      </c>
      <c r="C71" s="56">
        <f>_xlfn.XLOOKUP($A71,'Inputs (AUD)'!$A:$A,'Inputs (AUD)'!C:C,,0)</f>
        <v>45.5</v>
      </c>
      <c r="D71" s="56">
        <f>_xlfn.XLOOKUP($A71,'Inputs (AUD)'!$A:$A,'Inputs (AUD)'!D:D,,0)</f>
        <v>232.7</v>
      </c>
      <c r="E71" s="56">
        <f>_xlfn.XLOOKUP($A71,'Inputs (AUD)'!$A:$A,'Inputs (AUD)'!E:E,,0)</f>
        <v>65.8</v>
      </c>
      <c r="F71" s="56">
        <f>_xlfn.XLOOKUP($A71,'Inputs (AUD)'!$A:$A,'Inputs (AUD)'!F:F,,0)</f>
        <v>49</v>
      </c>
      <c r="G71" s="56">
        <f>_xlfn.XLOOKUP($A71,'Inputs (AUD)'!$A:$A,'Inputs (AUD)'!G:G,,0)</f>
        <v>256</v>
      </c>
      <c r="H71" s="56">
        <f>_xlfn.XLOOKUP($A71,'Inputs (AUD)'!$A:$A,'Inputs (AUD)'!H:H,,0)</f>
        <v>56.1</v>
      </c>
      <c r="I71" s="56">
        <f>_xlfn.XLOOKUP($A71,'Inputs (AUD)'!$A:$A,'Inputs (AUD)'!I:I,,0)</f>
        <v>119</v>
      </c>
      <c r="J71" s="56">
        <f>_xlfn.XLOOKUP($A71,'Inputs (AUD)'!$A:$A,'Inputs (AUD)'!J:J,,0)</f>
        <v>6.8</v>
      </c>
      <c r="K71" s="56">
        <f>_xlfn.XLOOKUP($A71,'Inputs (AUD)'!$A:$A,'Inputs (AUD)'!K:K,,0)</f>
        <v>3.4</v>
      </c>
      <c r="L71" s="56">
        <f>_xlfn.XLOOKUP($A71,'Inputs (AUD)'!$A:$A,'Inputs (AUD)'!L:L,,0)</f>
        <v>3.1</v>
      </c>
      <c r="M71" s="56">
        <f>_xlfn.XLOOKUP($A71,'Inputs (AUD)'!$A:$A,'Inputs (AUD)'!M:M,,0)</f>
        <v>0</v>
      </c>
      <c r="IA71" s="40"/>
    </row>
    <row r="72" spans="1:235">
      <c r="A72" s="106" t="s">
        <v>146</v>
      </c>
      <c r="B72" s="50">
        <f>_xlfn.XLOOKUP($A72,'Inputs (AUD)'!$A:$A,'Inputs (AUD)'!B:B,,0)</f>
        <v>-329.8</v>
      </c>
      <c r="C72" s="50">
        <f>_xlfn.XLOOKUP($A72,'Inputs (AUD)'!$A:$A,'Inputs (AUD)'!C:C,,0)</f>
        <v>0</v>
      </c>
      <c r="D72" s="50">
        <f>_xlfn.XLOOKUP($A72,'Inputs (AUD)'!$A:$A,'Inputs (AUD)'!D:D,,0)</f>
        <v>0</v>
      </c>
      <c r="E72" s="50">
        <f>_xlfn.XLOOKUP($A72,'Inputs (AUD)'!$A:$A,'Inputs (AUD)'!E:E,,0)</f>
        <v>0</v>
      </c>
      <c r="F72" s="50">
        <f>_xlfn.XLOOKUP($A72,'Inputs (AUD)'!$A:$A,'Inputs (AUD)'!F:F,,0)</f>
        <v>0</v>
      </c>
      <c r="G72" s="50">
        <f>_xlfn.XLOOKUP($A72,'Inputs (AUD)'!$A:$A,'Inputs (AUD)'!G:G,,0)</f>
        <v>0</v>
      </c>
      <c r="H72" s="50">
        <f>_xlfn.XLOOKUP($A72,'Inputs (AUD)'!$A:$A,'Inputs (AUD)'!H:H,,0)</f>
        <v>0</v>
      </c>
      <c r="I72" s="50">
        <f>_xlfn.XLOOKUP($A72,'Inputs (AUD)'!$A:$A,'Inputs (AUD)'!I:I,,0)</f>
        <v>0</v>
      </c>
      <c r="J72" s="50">
        <f>_xlfn.XLOOKUP($A72,'Inputs (AUD)'!$A:$A,'Inputs (AUD)'!J:J,,0)</f>
        <v>0</v>
      </c>
      <c r="K72" s="50">
        <f>_xlfn.XLOOKUP($A72,'Inputs (AUD)'!$A:$A,'Inputs (AUD)'!K:K,,0)</f>
        <v>0</v>
      </c>
      <c r="L72" s="50" t="str">
        <f>_xlfn.XLOOKUP($A72,'Inputs (AUD)'!$A:$A,'Inputs (AUD)'!L:L,,0)</f>
        <v>--</v>
      </c>
      <c r="M72" s="50">
        <f>_xlfn.XLOOKUP($A72,'Inputs (AUD)'!$A:$A,'Inputs (AUD)'!M:M,,0)</f>
        <v>0</v>
      </c>
      <c r="IA72" s="40"/>
    </row>
    <row r="73" spans="1:235">
      <c r="A73" s="106" t="s">
        <v>1228</v>
      </c>
      <c r="B73" s="50">
        <f>_xlfn.XLOOKUP($A73,'Inputs (AUD)'!$A:$A,'Inputs (AUD)'!B:B,,0)</f>
        <v>1.2</v>
      </c>
      <c r="C73" s="50">
        <f>_xlfn.XLOOKUP($A73,'Inputs (AUD)'!$A:$A,'Inputs (AUD)'!C:C,,0)</f>
        <v>3.6</v>
      </c>
      <c r="D73" s="50">
        <f>_xlfn.XLOOKUP($A73,'Inputs (AUD)'!$A:$A,'Inputs (AUD)'!D:D,,0)</f>
        <v>239.7</v>
      </c>
      <c r="E73" s="50">
        <f>_xlfn.XLOOKUP($A73,'Inputs (AUD)'!$A:$A,'Inputs (AUD)'!E:E,,0)</f>
        <v>111.5</v>
      </c>
      <c r="F73" s="50">
        <f>_xlfn.XLOOKUP($A73,'Inputs (AUD)'!$A:$A,'Inputs (AUD)'!F:F,,0)</f>
        <v>60.7</v>
      </c>
      <c r="G73" s="50">
        <f>_xlfn.XLOOKUP($A73,'Inputs (AUD)'!$A:$A,'Inputs (AUD)'!G:G,,0)</f>
        <v>156.4</v>
      </c>
      <c r="H73" s="50">
        <f>_xlfn.XLOOKUP($A73,'Inputs (AUD)'!$A:$A,'Inputs (AUD)'!H:H,,0)</f>
        <v>68.400000000000006</v>
      </c>
      <c r="I73" s="50">
        <f>_xlfn.XLOOKUP($A73,'Inputs (AUD)'!$A:$A,'Inputs (AUD)'!I:I,,0)</f>
        <v>122.7</v>
      </c>
      <c r="J73" s="50">
        <f>_xlfn.XLOOKUP($A73,'Inputs (AUD)'!$A:$A,'Inputs (AUD)'!J:J,,0)</f>
        <v>5.2</v>
      </c>
      <c r="K73" s="50">
        <f>_xlfn.XLOOKUP($A73,'Inputs (AUD)'!$A:$A,'Inputs (AUD)'!K:K,,0)</f>
        <v>1.2</v>
      </c>
      <c r="L73" s="50">
        <f>_xlfn.XLOOKUP($A73,'Inputs (AUD)'!$A:$A,'Inputs (AUD)'!L:L,,0)</f>
        <v>1.1000000000000001</v>
      </c>
      <c r="M73" s="50">
        <f>_xlfn.XLOOKUP($A73,'Inputs (AUD)'!$A:$A,'Inputs (AUD)'!M:M,,0)</f>
        <v>0</v>
      </c>
    </row>
    <row r="74" spans="1:235">
      <c r="A74" s="110" t="s">
        <v>149</v>
      </c>
      <c r="B74" s="56">
        <f>_xlfn.XLOOKUP($A74,'Inputs (AUD)'!$A:$A,'Inputs (AUD)'!B:B,,0)</f>
        <v>13.2</v>
      </c>
      <c r="C74" s="56">
        <f>_xlfn.XLOOKUP($A74,'Inputs (AUD)'!$A:$A,'Inputs (AUD)'!C:C,,0)</f>
        <v>3.4</v>
      </c>
      <c r="D74" s="56">
        <f>_xlfn.XLOOKUP($A74,'Inputs (AUD)'!$A:$A,'Inputs (AUD)'!D:D,,0)</f>
        <v>-7.2</v>
      </c>
      <c r="E74" s="56">
        <f>_xlfn.XLOOKUP($A74,'Inputs (AUD)'!$A:$A,'Inputs (AUD)'!E:E,,0)</f>
        <v>-1.6</v>
      </c>
      <c r="F74" s="56">
        <f>_xlfn.XLOOKUP($A74,'Inputs (AUD)'!$A:$A,'Inputs (AUD)'!F:F,,0)</f>
        <v>-0.5</v>
      </c>
      <c r="G74" s="56">
        <f>_xlfn.XLOOKUP($A74,'Inputs (AUD)'!$A:$A,'Inputs (AUD)'!G:G,,0)</f>
        <v>0.2</v>
      </c>
      <c r="H74" s="56">
        <f>_xlfn.XLOOKUP($A74,'Inputs (AUD)'!$A:$A,'Inputs (AUD)'!H:H,,0)</f>
        <v>0</v>
      </c>
      <c r="I74" s="56">
        <f>_xlfn.XLOOKUP($A74,'Inputs (AUD)'!$A:$A,'Inputs (AUD)'!I:I,,0)</f>
        <v>0</v>
      </c>
      <c r="J74" s="56">
        <f>_xlfn.XLOOKUP($A74,'Inputs (AUD)'!$A:$A,'Inputs (AUD)'!J:J,,0)</f>
        <v>0</v>
      </c>
      <c r="K74" s="56">
        <f>_xlfn.XLOOKUP($A74,'Inputs (AUD)'!$A:$A,'Inputs (AUD)'!K:K,,0)</f>
        <v>0</v>
      </c>
      <c r="L74" s="56" t="str">
        <f>_xlfn.XLOOKUP($A74,'Inputs (AUD)'!$A:$A,'Inputs (AUD)'!L:L,,0)</f>
        <v>--</v>
      </c>
      <c r="M74" s="56">
        <f>_xlfn.XLOOKUP($A74,'Inputs (AUD)'!$A:$A,'Inputs (AUD)'!M:M,,0)</f>
        <v>0</v>
      </c>
    </row>
    <row r="75" spans="1:235">
      <c r="A75" s="110" t="s">
        <v>1248</v>
      </c>
      <c r="B75" s="56">
        <f>_xlfn.XLOOKUP($A75,'Inputs (AUD)'!$A:$A,'Inputs (AUD)'!B:B,,0)</f>
        <v>2746.7999999999997</v>
      </c>
      <c r="C75" s="56">
        <f>_xlfn.XLOOKUP($A75,'Inputs (AUD)'!$A:$A,'Inputs (AUD)'!C:C,,0)</f>
        <v>492</v>
      </c>
      <c r="D75" s="56">
        <f>_xlfn.XLOOKUP($A75,'Inputs (AUD)'!$A:$A,'Inputs (AUD)'!D:D,,0)</f>
        <v>13.499999999999989</v>
      </c>
      <c r="E75" s="56">
        <f>_xlfn.XLOOKUP($A75,'Inputs (AUD)'!$A:$A,'Inputs (AUD)'!E:E,,0)</f>
        <v>22.599999999999994</v>
      </c>
      <c r="F75" s="56">
        <f>_xlfn.XLOOKUP($A75,'Inputs (AUD)'!$A:$A,'Inputs (AUD)'!F:F,,0)</f>
        <v>-56.300000000000011</v>
      </c>
      <c r="G75" s="56">
        <f>_xlfn.XLOOKUP($A75,'Inputs (AUD)'!$A:$A,'Inputs (AUD)'!G:G,,0)</f>
        <v>32.700000000000003</v>
      </c>
      <c r="H75" s="56">
        <f>_xlfn.XLOOKUP($A75,'Inputs (AUD)'!$A:$A,'Inputs (AUD)'!H:H,,0)</f>
        <v>-12.899999999999999</v>
      </c>
      <c r="I75" s="56">
        <f>_xlfn.XLOOKUP($A75,'Inputs (AUD)'!$A:$A,'Inputs (AUD)'!I:I,,0)</f>
        <v>96.8</v>
      </c>
      <c r="J75" s="56">
        <f>_xlfn.XLOOKUP($A75,'Inputs (AUD)'!$A:$A,'Inputs (AUD)'!J:J,,0)</f>
        <v>2.0999999999999996</v>
      </c>
      <c r="K75" s="56">
        <f>_xlfn.XLOOKUP($A75,'Inputs (AUD)'!$A:$A,'Inputs (AUD)'!K:K,,0)</f>
        <v>0.89999999999999991</v>
      </c>
      <c r="L75" s="56" t="e">
        <f>_xlfn.XLOOKUP($A75,'Inputs (AUD)'!$A:$A,'Inputs (AUD)'!L:L,,0)</f>
        <v>#VALUE!</v>
      </c>
      <c r="M75" s="56">
        <f>_xlfn.XLOOKUP($A75,'Inputs (AUD)'!$A:$A,'Inputs (AUD)'!M:M,,0)</f>
        <v>0</v>
      </c>
    </row>
    <row r="76" spans="1:235">
      <c r="K76" s="40"/>
      <c r="L76" s="40"/>
      <c r="M76" s="40"/>
    </row>
    <row r="77" spans="1:235" ht="20.100000000000001">
      <c r="A77" s="1458" t="s">
        <v>1249</v>
      </c>
      <c r="B77" s="1458"/>
      <c r="C77" s="1458"/>
      <c r="D77" s="1458"/>
      <c r="E77" s="1458"/>
      <c r="F77" s="1458"/>
      <c r="G77" s="1458"/>
      <c r="H77" s="1458"/>
      <c r="I77" s="1458"/>
      <c r="J77" s="1458"/>
      <c r="K77" s="1458"/>
      <c r="L77" s="1458"/>
      <c r="M77" s="1458"/>
    </row>
    <row r="78" spans="1:235">
      <c r="A78" s="105" t="s">
        <v>1250</v>
      </c>
      <c r="B78" s="50" t="e">
        <f>_xlfn.XLOOKUP($A78,'Inputs (AUD)'!$A:$A,'Inputs (AUD)'!B:B,,0)</f>
        <v>#N/A</v>
      </c>
      <c r="C78" s="50" t="e">
        <f>_xlfn.XLOOKUP($A78,'Inputs (AUD)'!$A:$A,'Inputs (AUD)'!C:C,,0)</f>
        <v>#N/A</v>
      </c>
      <c r="D78" s="50" t="e">
        <f>_xlfn.XLOOKUP($A78,'Inputs (AUD)'!$A:$A,'Inputs (AUD)'!D:D,,0)</f>
        <v>#N/A</v>
      </c>
      <c r="E78" s="50" t="e">
        <f>_xlfn.XLOOKUP($A78,'Inputs (AUD)'!$A:$A,'Inputs (AUD)'!E:E,,0)</f>
        <v>#N/A</v>
      </c>
      <c r="F78" s="50" t="e">
        <f>_xlfn.XLOOKUP($A78,'Inputs (AUD)'!$A:$A,'Inputs (AUD)'!F:F,,0)</f>
        <v>#N/A</v>
      </c>
      <c r="G78" s="50" t="e">
        <f>_xlfn.XLOOKUP($A78,'Inputs (AUD)'!$A:$A,'Inputs (AUD)'!G:G,,0)</f>
        <v>#N/A</v>
      </c>
      <c r="H78" s="50" t="e">
        <f>_xlfn.XLOOKUP($A78,'Inputs (AUD)'!$A:$A,'Inputs (AUD)'!H:H,,0)</f>
        <v>#N/A</v>
      </c>
      <c r="I78" s="50" t="e">
        <f>_xlfn.XLOOKUP($A78,'Inputs (AUD)'!$A:$A,'Inputs (AUD)'!I:I,,0)</f>
        <v>#N/A</v>
      </c>
      <c r="J78" s="50" t="e">
        <f>_xlfn.XLOOKUP($A78,'Inputs (AUD)'!$A:$A,'Inputs (AUD)'!J:J,,0)</f>
        <v>#N/A</v>
      </c>
      <c r="K78" s="50" t="e">
        <f>_xlfn.XLOOKUP($A78,'Inputs (AUD)'!$A:$A,'Inputs (AUD)'!K:K,,0)</f>
        <v>#N/A</v>
      </c>
      <c r="L78" s="50" t="e">
        <f>_xlfn.XLOOKUP($A78,'Inputs (AUD)'!$A:$A,'Inputs (AUD)'!L:L,,0)</f>
        <v>#N/A</v>
      </c>
      <c r="M78" s="50" t="e">
        <f>_xlfn.XLOOKUP($A78,'Inputs (AUD)'!$A:$A,'Inputs (AUD)'!M:M,,0)</f>
        <v>#N/A</v>
      </c>
    </row>
    <row r="79" spans="1:235">
      <c r="A79" s="111" t="s">
        <v>1251</v>
      </c>
      <c r="B79" s="50" t="e">
        <f>_xlfn.XLOOKUP($A79,'Inputs (AUD)'!$A:$A,'Inputs (AUD)'!B:B,,0)</f>
        <v>#N/A</v>
      </c>
      <c r="C79" s="50" t="e">
        <f>_xlfn.XLOOKUP($A79,'Inputs (AUD)'!$A:$A,'Inputs (AUD)'!C:C,,0)</f>
        <v>#N/A</v>
      </c>
      <c r="D79" s="50" t="e">
        <f>_xlfn.XLOOKUP($A79,'Inputs (AUD)'!$A:$A,'Inputs (AUD)'!D:D,,0)</f>
        <v>#N/A</v>
      </c>
      <c r="E79" s="50" t="e">
        <f>_xlfn.XLOOKUP($A79,'Inputs (AUD)'!$A:$A,'Inputs (AUD)'!E:E,,0)</f>
        <v>#N/A</v>
      </c>
      <c r="F79" s="50" t="e">
        <f>_xlfn.XLOOKUP($A79,'Inputs (AUD)'!$A:$A,'Inputs (AUD)'!F:F,,0)</f>
        <v>#N/A</v>
      </c>
      <c r="G79" s="50" t="e">
        <f>_xlfn.XLOOKUP($A79,'Inputs (AUD)'!$A:$A,'Inputs (AUD)'!G:G,,0)</f>
        <v>#N/A</v>
      </c>
      <c r="H79" s="50" t="e">
        <f>_xlfn.XLOOKUP($A79,'Inputs (AUD)'!$A:$A,'Inputs (AUD)'!H:H,,0)</f>
        <v>#N/A</v>
      </c>
      <c r="I79" s="50" t="e">
        <f>_xlfn.XLOOKUP($A79,'Inputs (AUD)'!$A:$A,'Inputs (AUD)'!I:I,,0)</f>
        <v>#N/A</v>
      </c>
      <c r="J79" s="50" t="e">
        <f>_xlfn.XLOOKUP($A79,'Inputs (AUD)'!$A:$A,'Inputs (AUD)'!J:J,,0)</f>
        <v>#N/A</v>
      </c>
      <c r="K79" s="50" t="e">
        <f>_xlfn.XLOOKUP($A79,'Inputs (AUD)'!$A:$A,'Inputs (AUD)'!K:K,,0)</f>
        <v>#N/A</v>
      </c>
      <c r="L79" s="50" t="e">
        <f>_xlfn.XLOOKUP($A79,'Inputs (AUD)'!$A:$A,'Inputs (AUD)'!L:L,,0)</f>
        <v>#N/A</v>
      </c>
      <c r="M79" s="50" t="e">
        <f>_xlfn.XLOOKUP($A79,'Inputs (AUD)'!$A:$A,'Inputs (AUD)'!M:M,,0)</f>
        <v>#N/A</v>
      </c>
    </row>
    <row r="80" spans="1:235">
      <c r="A80" s="105" t="s">
        <v>56</v>
      </c>
      <c r="B80" s="50">
        <f>_xlfn.XLOOKUP($A80,'Inputs (AUD)'!$A:$A,'Inputs (AUD)'!B:B,,0)</f>
        <v>0.90369999999999995</v>
      </c>
      <c r="C80" s="50" t="str">
        <f>_xlfn.XLOOKUP($A80,'Inputs (AUD)'!$A:$A,'Inputs (AUD)'!C:C,,0)</f>
        <v>Yahoo finance</v>
      </c>
      <c r="D80" s="50">
        <f>_xlfn.XLOOKUP($A80,'Inputs (AUD)'!$A:$A,'Inputs (AUD)'!D:D,,0)</f>
        <v>0</v>
      </c>
      <c r="E80" s="50">
        <f>_xlfn.XLOOKUP($A80,'Inputs (AUD)'!$A:$A,'Inputs (AUD)'!E:E,,0)</f>
        <v>0</v>
      </c>
      <c r="F80" s="50">
        <f>_xlfn.XLOOKUP($A80,'Inputs (AUD)'!$A:$A,'Inputs (AUD)'!F:F,,0)</f>
        <v>0</v>
      </c>
      <c r="G80" s="50">
        <f>_xlfn.XLOOKUP($A80,'Inputs (AUD)'!$A:$A,'Inputs (AUD)'!G:G,,0)</f>
        <v>0</v>
      </c>
      <c r="H80" s="50">
        <f>_xlfn.XLOOKUP($A80,'Inputs (AUD)'!$A:$A,'Inputs (AUD)'!H:H,,0)</f>
        <v>0</v>
      </c>
      <c r="I80" s="50">
        <f>_xlfn.XLOOKUP($A80,'Inputs (AUD)'!$A:$A,'Inputs (AUD)'!I:I,,0)</f>
        <v>0</v>
      </c>
      <c r="J80" s="50">
        <f>_xlfn.XLOOKUP($A80,'Inputs (AUD)'!$A:$A,'Inputs (AUD)'!J:J,,0)</f>
        <v>0</v>
      </c>
      <c r="K80" s="50">
        <f>_xlfn.XLOOKUP($A80,'Inputs (AUD)'!$A:$A,'Inputs (AUD)'!K:K,,0)</f>
        <v>0</v>
      </c>
      <c r="L80" s="50">
        <f>_xlfn.XLOOKUP($A80,'Inputs (AUD)'!$A:$A,'Inputs (AUD)'!L:L,,0)</f>
        <v>0</v>
      </c>
      <c r="M80" s="50">
        <f>_xlfn.XLOOKUP($A80,'Inputs (AUD)'!$A:$A,'Inputs (AUD)'!M:M,,0)</f>
        <v>0</v>
      </c>
    </row>
    <row r="81" spans="1:15">
      <c r="A81" s="111" t="s">
        <v>60</v>
      </c>
      <c r="B81" s="50">
        <f>_xlfn.XLOOKUP($A81,'Inputs (AUD)'!$A:$A,'Inputs (AUD)'!B:B,,0)</f>
        <v>9.6299999999999997E-2</v>
      </c>
      <c r="C81" s="50" t="str">
        <f>_xlfn.XLOOKUP($A81,'Inputs (AUD)'!$A:$A,'Inputs (AUD)'!C:C,,0)</f>
        <v>Yahoo finance</v>
      </c>
      <c r="D81" s="50">
        <f>_xlfn.XLOOKUP($A81,'Inputs (AUD)'!$A:$A,'Inputs (AUD)'!D:D,,0)</f>
        <v>0</v>
      </c>
      <c r="E81" s="50">
        <f>_xlfn.XLOOKUP($A81,'Inputs (AUD)'!$A:$A,'Inputs (AUD)'!E:E,,0)</f>
        <v>0</v>
      </c>
      <c r="F81" s="50">
        <f>_xlfn.XLOOKUP($A81,'Inputs (AUD)'!$A:$A,'Inputs (AUD)'!F:F,,0)</f>
        <v>0</v>
      </c>
      <c r="G81" s="50">
        <f>_xlfn.XLOOKUP($A81,'Inputs (AUD)'!$A:$A,'Inputs (AUD)'!G:G,,0)</f>
        <v>0</v>
      </c>
      <c r="H81" s="50">
        <f>_xlfn.XLOOKUP($A81,'Inputs (AUD)'!$A:$A,'Inputs (AUD)'!H:H,,0)</f>
        <v>0</v>
      </c>
      <c r="I81" s="50">
        <f>_xlfn.XLOOKUP($A81,'Inputs (AUD)'!$A:$A,'Inputs (AUD)'!I:I,,0)</f>
        <v>0</v>
      </c>
      <c r="J81" s="50">
        <f>_xlfn.XLOOKUP($A81,'Inputs (AUD)'!$A:$A,'Inputs (AUD)'!J:J,,0)</f>
        <v>0</v>
      </c>
      <c r="K81" s="50">
        <f>_xlfn.XLOOKUP($A81,'Inputs (AUD)'!$A:$A,'Inputs (AUD)'!K:K,,0)</f>
        <v>0</v>
      </c>
      <c r="L81" s="50">
        <f>_xlfn.XLOOKUP($A81,'Inputs (AUD)'!$A:$A,'Inputs (AUD)'!L:L,,0)</f>
        <v>0</v>
      </c>
      <c r="M81" s="50">
        <f>_xlfn.XLOOKUP($A81,'Inputs (AUD)'!$A:$A,'Inputs (AUD)'!M:M,,0)</f>
        <v>0</v>
      </c>
    </row>
    <row r="82" spans="1:15">
      <c r="A82" s="105" t="s">
        <v>1252</v>
      </c>
      <c r="B82" s="50" t="str">
        <f>_xlfn.XLOOKUP($A82,'Inputs (AUD)'!$A:$A,'Inputs (AUD)'!B:B,,0)</f>
        <v>None</v>
      </c>
      <c r="C82" s="50" t="str">
        <f>_xlfn.XLOOKUP($A82,'Inputs (AUD)'!$A:$A,'Inputs (AUD)'!C:C,,0)</f>
        <v>10-K</v>
      </c>
      <c r="D82" s="50">
        <f>_xlfn.XLOOKUP($A82,'Inputs (AUD)'!$A:$A,'Inputs (AUD)'!D:D,,0)</f>
        <v>0</v>
      </c>
      <c r="E82" s="50">
        <f>_xlfn.XLOOKUP($A82,'Inputs (AUD)'!$A:$A,'Inputs (AUD)'!E:E,,0)</f>
        <v>0</v>
      </c>
      <c r="F82" s="50">
        <f>_xlfn.XLOOKUP($A82,'Inputs (AUD)'!$A:$A,'Inputs (AUD)'!F:F,,0)</f>
        <v>0</v>
      </c>
      <c r="G82" s="50">
        <f>_xlfn.XLOOKUP($A82,'Inputs (AUD)'!$A:$A,'Inputs (AUD)'!G:G,,0)</f>
        <v>0</v>
      </c>
      <c r="H82" s="50">
        <f>_xlfn.XLOOKUP($A82,'Inputs (AUD)'!$A:$A,'Inputs (AUD)'!H:H,,0)</f>
        <v>0</v>
      </c>
      <c r="I82" s="50">
        <f>_xlfn.XLOOKUP($A82,'Inputs (AUD)'!$A:$A,'Inputs (AUD)'!I:I,,0)</f>
        <v>0</v>
      </c>
      <c r="J82" s="50">
        <f>_xlfn.XLOOKUP($A82,'Inputs (AUD)'!$A:$A,'Inputs (AUD)'!J:J,,0)</f>
        <v>0</v>
      </c>
      <c r="K82" s="50">
        <f>_xlfn.XLOOKUP($A82,'Inputs (AUD)'!$A:$A,'Inputs (AUD)'!K:K,,0)</f>
        <v>0</v>
      </c>
      <c r="L82" s="50">
        <f>_xlfn.XLOOKUP($A82,'Inputs (AUD)'!$A:$A,'Inputs (AUD)'!L:L,,0)</f>
        <v>0</v>
      </c>
      <c r="M82" s="50">
        <f>_xlfn.XLOOKUP($A82,'Inputs (AUD)'!$A:$A,'Inputs (AUD)'!M:M,,0)</f>
        <v>0</v>
      </c>
    </row>
    <row r="83" spans="1:15">
      <c r="A83" s="105" t="s">
        <v>1253</v>
      </c>
      <c r="B83" s="50" t="e">
        <f>_xlfn.XLOOKUP($A83,'Inputs (AUD)'!$A:$A,'Inputs (AUD)'!B:B,,0)</f>
        <v>#N/A</v>
      </c>
      <c r="C83" s="50" t="e">
        <f>_xlfn.XLOOKUP($A83,'Inputs (AUD)'!$A:$A,'Inputs (AUD)'!C:C,,0)</f>
        <v>#N/A</v>
      </c>
      <c r="D83" s="50" t="e">
        <f>_xlfn.XLOOKUP($A83,'Inputs (AUD)'!$A:$A,'Inputs (AUD)'!D:D,,0)</f>
        <v>#N/A</v>
      </c>
      <c r="E83" s="50" t="e">
        <f>_xlfn.XLOOKUP($A83,'Inputs (AUD)'!$A:$A,'Inputs (AUD)'!E:E,,0)</f>
        <v>#N/A</v>
      </c>
      <c r="F83" s="50" t="e">
        <f>_xlfn.XLOOKUP($A83,'Inputs (AUD)'!$A:$A,'Inputs (AUD)'!F:F,,0)</f>
        <v>#N/A</v>
      </c>
      <c r="G83" s="50" t="e">
        <f>_xlfn.XLOOKUP($A83,'Inputs (AUD)'!$A:$A,'Inputs (AUD)'!G:G,,0)</f>
        <v>#N/A</v>
      </c>
      <c r="H83" s="50" t="e">
        <f>_xlfn.XLOOKUP($A83,'Inputs (AUD)'!$A:$A,'Inputs (AUD)'!H:H,,0)</f>
        <v>#N/A</v>
      </c>
      <c r="I83" s="50" t="e">
        <f>_xlfn.XLOOKUP($A83,'Inputs (AUD)'!$A:$A,'Inputs (AUD)'!I:I,,0)</f>
        <v>#N/A</v>
      </c>
      <c r="J83" s="50" t="e">
        <f>_xlfn.XLOOKUP($A83,'Inputs (AUD)'!$A:$A,'Inputs (AUD)'!J:J,,0)</f>
        <v>#N/A</v>
      </c>
      <c r="K83" s="50" t="e">
        <f>_xlfn.XLOOKUP($A83,'Inputs (AUD)'!$A:$A,'Inputs (AUD)'!K:K,,0)</f>
        <v>#N/A</v>
      </c>
      <c r="L83" s="50" t="e">
        <f>_xlfn.XLOOKUP($A83,'Inputs (AUD)'!$A:$A,'Inputs (AUD)'!L:L,,0)</f>
        <v>#N/A</v>
      </c>
      <c r="M83" s="50" t="e">
        <f>_xlfn.XLOOKUP($A83,'Inputs (AUD)'!$A:$A,'Inputs (AUD)'!M:M,,0)</f>
        <v>#N/A</v>
      </c>
    </row>
    <row r="84" spans="1:15">
      <c r="A84" s="111" t="s">
        <v>1254</v>
      </c>
      <c r="B84" s="50">
        <f>_xlfn.XLOOKUP($A84,'Inputs (AUD)'!$A:$A,'Inputs (AUD)'!B:B,,0)</f>
        <v>24266361</v>
      </c>
      <c r="C84" s="50" t="str">
        <f>_xlfn.XLOOKUP($A84,'Inputs (AUD)'!$A:$A,'Inputs (AUD)'!C:C,,0)</f>
        <v>Yahoo Finance</v>
      </c>
      <c r="D84" s="50">
        <f>_xlfn.XLOOKUP($A84,'Inputs (AUD)'!$A:$A,'Inputs (AUD)'!D:D,,0)</f>
        <v>0</v>
      </c>
      <c r="E84" s="50">
        <f>_xlfn.XLOOKUP($A84,'Inputs (AUD)'!$A:$A,'Inputs (AUD)'!E:E,,0)</f>
        <v>0</v>
      </c>
      <c r="F84" s="50">
        <f>_xlfn.XLOOKUP($A84,'Inputs (AUD)'!$A:$A,'Inputs (AUD)'!F:F,,0)</f>
        <v>0</v>
      </c>
      <c r="G84" s="50">
        <f>_xlfn.XLOOKUP($A84,'Inputs (AUD)'!$A:$A,'Inputs (AUD)'!G:G,,0)</f>
        <v>0</v>
      </c>
      <c r="H84" s="50">
        <f>_xlfn.XLOOKUP($A84,'Inputs (AUD)'!$A:$A,'Inputs (AUD)'!H:H,,0)</f>
        <v>0</v>
      </c>
      <c r="I84" s="50">
        <f>_xlfn.XLOOKUP($A84,'Inputs (AUD)'!$A:$A,'Inputs (AUD)'!I:I,,0)</f>
        <v>0</v>
      </c>
      <c r="J84" s="50">
        <f>_xlfn.XLOOKUP($A84,'Inputs (AUD)'!$A:$A,'Inputs (AUD)'!J:J,,0)</f>
        <v>0</v>
      </c>
      <c r="K84" s="50">
        <f>_xlfn.XLOOKUP($A84,'Inputs (AUD)'!$A:$A,'Inputs (AUD)'!K:K,,0)</f>
        <v>0</v>
      </c>
      <c r="L84" s="50">
        <f>_xlfn.XLOOKUP($A84,'Inputs (AUD)'!$A:$A,'Inputs (AUD)'!L:L,,0)</f>
        <v>0</v>
      </c>
      <c r="M84" s="50">
        <f>_xlfn.XLOOKUP($A84,'Inputs (AUD)'!$A:$A,'Inputs (AUD)'!M:M,,0)</f>
        <v>0</v>
      </c>
    </row>
    <row r="85" spans="1:15">
      <c r="B85" s="42"/>
      <c r="C85" s="42"/>
      <c r="D85" s="42"/>
      <c r="E85" s="42"/>
      <c r="F85" s="42"/>
      <c r="G85" s="42"/>
      <c r="H85" s="42"/>
      <c r="I85" s="42"/>
      <c r="J85" s="42"/>
      <c r="K85" s="42"/>
      <c r="L85" s="42"/>
      <c r="M85" s="42"/>
    </row>
    <row r="86" spans="1:15">
      <c r="B86" s="41">
        <v>2023</v>
      </c>
      <c r="C86" s="41">
        <v>2022</v>
      </c>
      <c r="D86" s="41">
        <v>2021</v>
      </c>
      <c r="G86" s="41"/>
      <c r="H86" s="42"/>
      <c r="I86" s="42"/>
      <c r="J86" s="42"/>
      <c r="K86" s="42"/>
      <c r="L86" s="42"/>
      <c r="M86" s="42"/>
    </row>
    <row r="87" spans="1:15">
      <c r="A87" s="105" t="s">
        <v>1255</v>
      </c>
      <c r="B87" s="758" t="str">
        <f>'Inputs (AUD)'!B88</f>
        <v>N/A</v>
      </c>
      <c r="C87" s="758" t="str">
        <f>'Inputs (AUD)'!C88</f>
        <v>N/A</v>
      </c>
      <c r="D87" s="759" t="str">
        <f>'Inputs (AUD)'!D88</f>
        <v>N/A</v>
      </c>
      <c r="G87" s="42"/>
      <c r="H87" s="42"/>
      <c r="I87" s="42"/>
      <c r="J87" s="42"/>
      <c r="K87" s="42"/>
      <c r="L87" s="42"/>
      <c r="M87" s="42"/>
    </row>
    <row r="88" spans="1:15">
      <c r="A88" s="111" t="s">
        <v>81</v>
      </c>
      <c r="B88" s="758">
        <f>'Inputs (AUD)'!B89</f>
        <v>0.8</v>
      </c>
      <c r="C88" s="758">
        <f>'Inputs (AUD)'!C89</f>
        <v>0.19</v>
      </c>
      <c r="D88" s="759">
        <f>'Inputs (AUD)'!D89</f>
        <v>-0.02</v>
      </c>
    </row>
    <row r="90" spans="1:15">
      <c r="A90" s="13" t="s">
        <v>1256</v>
      </c>
      <c r="B90" s="41" t="s">
        <v>948</v>
      </c>
      <c r="C90" s="41" t="s">
        <v>1257</v>
      </c>
      <c r="D90" s="41" t="s">
        <v>1258</v>
      </c>
      <c r="E90" s="41" t="s">
        <v>1259</v>
      </c>
      <c r="G90" s="41"/>
    </row>
    <row r="91" spans="1:15">
      <c r="B91" s="57" t="e">
        <f>VLOOKUP($A91,'Inputs (AUD)'!$A$5:$M$90,MATCH(B$4,'Inputs (AUD)'!$B$5:$M$5,0)+1,FALSE)</f>
        <v>#N/A</v>
      </c>
      <c r="C91" s="57" t="e">
        <f>VLOOKUP($A91,'Inputs (AUD)'!$A$5:$M$90,MATCH(C$4,'Inputs (AUD)'!$B$5:$M$5,0)+1,FALSE)</f>
        <v>#N/A</v>
      </c>
      <c r="D91" s="57" t="e">
        <f>VLOOKUP($A91,'Inputs (AUD)'!$A$5:$M$90,MATCH(D$4,'Inputs (AUD)'!$B$5:$M$5,0)+1,FALSE)</f>
        <v>#N/A</v>
      </c>
      <c r="E91" s="57" t="e">
        <f>VLOOKUP($A91,'Inputs (AUD)'!$A$5:$M$90,MATCH(E$4,'Inputs (AUD)'!$B$5:$M$5,0)+1,FALSE)</f>
        <v>#N/A</v>
      </c>
    </row>
    <row r="92" spans="1:15">
      <c r="B92" s="58"/>
      <c r="C92" s="58"/>
      <c r="D92" s="2"/>
      <c r="E92" s="58"/>
      <c r="F92" s="2"/>
    </row>
    <row r="93" spans="1:15">
      <c r="A93" s="10" t="s">
        <v>1260</v>
      </c>
      <c r="B93" s="4">
        <f>B28/B23</f>
        <v>5.0186106812763996E-4</v>
      </c>
      <c r="C93" s="4">
        <f t="shared" ref="C93:K93" si="78">C28/C23</f>
        <v>6.4079743681025279E-3</v>
      </c>
      <c r="D93" s="4">
        <f t="shared" si="78"/>
        <v>-4.663424124513619</v>
      </c>
      <c r="E93" s="4">
        <f t="shared" si="78"/>
        <v>-1.1228600201409868</v>
      </c>
      <c r="F93" s="4">
        <f t="shared" si="78"/>
        <v>-2.1003460207612457</v>
      </c>
      <c r="G93" s="4">
        <f t="shared" si="78"/>
        <v>-8.0618556701030943</v>
      </c>
      <c r="H93" s="4">
        <f t="shared" si="78"/>
        <v>-2.6307692307692312</v>
      </c>
      <c r="I93" s="4">
        <f t="shared" si="78"/>
        <v>-2.2068345323741005</v>
      </c>
      <c r="J93" s="4">
        <f t="shared" si="78"/>
        <v>-0.94545454545454544</v>
      </c>
      <c r="K93" s="4">
        <f t="shared" si="78"/>
        <v>-0.37499999999999994</v>
      </c>
      <c r="L93" s="583"/>
      <c r="M93" s="583"/>
      <c r="N93" s="584"/>
      <c r="O93" s="584">
        <f>AVERAGE(E93:K93)</f>
        <v>-2.4918742885147434</v>
      </c>
    </row>
    <row r="94" spans="1:15">
      <c r="B94" s="58"/>
      <c r="C94" s="58"/>
      <c r="D94" s="2"/>
      <c r="E94" s="58"/>
      <c r="F94" s="2"/>
    </row>
    <row r="95" spans="1:15">
      <c r="A95" s="10" t="s">
        <v>70</v>
      </c>
      <c r="B95" s="1">
        <f t="shared" ref="B95:K95" si="79">B58/B19</f>
        <v>0.15232194145932162</v>
      </c>
      <c r="C95" s="1">
        <f t="shared" si="79"/>
        <v>0.40165061898211823</v>
      </c>
      <c r="D95" s="1">
        <f t="shared" si="79"/>
        <v>-5.0271084337349397</v>
      </c>
      <c r="E95" s="1">
        <f t="shared" si="79"/>
        <v>-2.6808510638297873</v>
      </c>
      <c r="F95" s="1">
        <f t="shared" si="79"/>
        <v>-11.779661016949152</v>
      </c>
      <c r="G95" s="1">
        <f t="shared" si="79"/>
        <v>-10.330708661417322</v>
      </c>
      <c r="H95" s="1">
        <f t="shared" si="79"/>
        <v>-4.4748201438848918</v>
      </c>
      <c r="I95" s="1" t="e">
        <f t="shared" si="79"/>
        <v>#VALUE!</v>
      </c>
      <c r="J95" s="1" t="e">
        <f t="shared" si="79"/>
        <v>#VALUE!</v>
      </c>
      <c r="K95" s="1" t="e">
        <f t="shared" si="79"/>
        <v>#VALUE!</v>
      </c>
    </row>
    <row r="96" spans="1:15">
      <c r="B96" s="58"/>
      <c r="C96" s="58"/>
      <c r="D96" s="2"/>
      <c r="E96" s="58"/>
      <c r="F96" s="2"/>
    </row>
    <row r="97" spans="2:6">
      <c r="B97" s="58"/>
      <c r="C97" s="58"/>
      <c r="D97" s="2"/>
      <c r="E97" s="58"/>
      <c r="F97" s="2"/>
    </row>
    <row r="98" spans="2:6">
      <c r="B98" s="58"/>
      <c r="C98" s="58"/>
      <c r="D98" s="2"/>
      <c r="E98" s="58"/>
      <c r="F98" s="2"/>
    </row>
    <row r="99" spans="2:6">
      <c r="B99" s="58"/>
      <c r="C99" s="58"/>
      <c r="D99" s="2"/>
      <c r="E99" s="58"/>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7109375" defaultRowHeight="12.95"/>
  <cols>
    <col min="1" max="9" width="0" hidden="1" customWidth="1"/>
    <col min="11" max="11" width="21.7109375" bestFit="1" customWidth="1"/>
  </cols>
  <sheetData>
    <row r="2" spans="2:27">
      <c r="E2" s="10" t="s">
        <v>1261</v>
      </c>
      <c r="F2" s="10" t="s">
        <v>1262</v>
      </c>
      <c r="H2" s="10" t="s">
        <v>610</v>
      </c>
      <c r="K2" s="1461" t="s">
        <v>1261</v>
      </c>
      <c r="L2" s="1463" t="s">
        <v>1263</v>
      </c>
      <c r="M2" s="1464"/>
      <c r="N2" s="1464"/>
      <c r="O2" s="1464"/>
      <c r="P2" s="1465"/>
      <c r="Q2" s="1464" t="s">
        <v>560</v>
      </c>
      <c r="R2" s="1464"/>
      <c r="S2" s="1464"/>
      <c r="T2" s="1464"/>
      <c r="U2" s="1464"/>
      <c r="V2" s="1464"/>
      <c r="W2" s="1464"/>
      <c r="X2" s="1464"/>
      <c r="Y2" s="1464"/>
      <c r="Z2" s="1464"/>
      <c r="AA2" s="1465"/>
    </row>
    <row r="3" spans="2:27">
      <c r="E3" t="s">
        <v>1264</v>
      </c>
      <c r="F3" t="s">
        <v>1265</v>
      </c>
      <c r="H3" s="10" t="s">
        <v>564</v>
      </c>
      <c r="K3" s="1462"/>
      <c r="L3" s="62" t="s">
        <v>1266</v>
      </c>
      <c r="M3" s="78" t="s">
        <v>1267</v>
      </c>
      <c r="N3" s="78" t="s">
        <v>1268</v>
      </c>
      <c r="O3" s="78" t="s">
        <v>1269</v>
      </c>
      <c r="P3" s="79" t="s">
        <v>1270</v>
      </c>
      <c r="Q3" s="78" t="s">
        <v>1271</v>
      </c>
      <c r="R3" s="78" t="s">
        <v>1272</v>
      </c>
      <c r="S3" s="78" t="s">
        <v>568</v>
      </c>
      <c r="T3" s="78" t="s">
        <v>1273</v>
      </c>
      <c r="U3" s="78" t="s">
        <v>1274</v>
      </c>
      <c r="V3" s="78" t="s">
        <v>1275</v>
      </c>
      <c r="W3" s="78" t="s">
        <v>1276</v>
      </c>
      <c r="X3" s="78" t="s">
        <v>1277</v>
      </c>
      <c r="Y3" s="78" t="s">
        <v>1278</v>
      </c>
      <c r="Z3" s="78" t="s">
        <v>1279</v>
      </c>
      <c r="AA3" s="79" t="s">
        <v>599</v>
      </c>
    </row>
    <row r="4" spans="2:27">
      <c r="B4" s="63"/>
      <c r="E4" t="s">
        <v>1264</v>
      </c>
      <c r="F4" t="s">
        <v>1280</v>
      </c>
      <c r="H4" s="10" t="s">
        <v>616</v>
      </c>
      <c r="K4" s="80" t="s">
        <v>1264</v>
      </c>
      <c r="L4" s="81" t="s">
        <v>610</v>
      </c>
      <c r="M4" t="s">
        <v>610</v>
      </c>
      <c r="N4" t="s">
        <v>564</v>
      </c>
      <c r="O4" t="s">
        <v>610</v>
      </c>
      <c r="P4" s="82" t="s">
        <v>610</v>
      </c>
      <c r="Q4" t="s">
        <v>564</v>
      </c>
      <c r="R4" t="s">
        <v>564</v>
      </c>
      <c r="S4" t="s">
        <v>610</v>
      </c>
      <c r="T4" t="s">
        <v>610</v>
      </c>
      <c r="U4" t="s">
        <v>616</v>
      </c>
      <c r="V4" t="s">
        <v>610</v>
      </c>
      <c r="W4" t="s">
        <v>610</v>
      </c>
      <c r="X4" t="s">
        <v>610</v>
      </c>
      <c r="Y4" t="s">
        <v>610</v>
      </c>
      <c r="Z4" t="s">
        <v>610</v>
      </c>
      <c r="AA4" s="82" t="s">
        <v>564</v>
      </c>
    </row>
    <row r="5" spans="2:27" ht="14.1">
      <c r="B5" s="75" t="s">
        <v>536</v>
      </c>
      <c r="E5" t="s">
        <v>1264</v>
      </c>
      <c r="F5" t="s">
        <v>1281</v>
      </c>
      <c r="H5" s="10" t="s">
        <v>1282</v>
      </c>
      <c r="K5" s="80" t="s">
        <v>1283</v>
      </c>
      <c r="L5" s="81" t="s">
        <v>610</v>
      </c>
      <c r="M5" t="s">
        <v>610</v>
      </c>
      <c r="N5" t="s">
        <v>564</v>
      </c>
      <c r="O5" t="s">
        <v>564</v>
      </c>
      <c r="P5" s="82" t="s">
        <v>610</v>
      </c>
      <c r="Q5" t="s">
        <v>564</v>
      </c>
      <c r="R5" t="s">
        <v>564</v>
      </c>
      <c r="S5" t="s">
        <v>610</v>
      </c>
      <c r="T5" t="s">
        <v>610</v>
      </c>
      <c r="U5" t="s">
        <v>564</v>
      </c>
      <c r="V5" t="s">
        <v>564</v>
      </c>
      <c r="W5" t="s">
        <v>564</v>
      </c>
      <c r="X5" t="s">
        <v>616</v>
      </c>
      <c r="Y5" t="s">
        <v>610</v>
      </c>
      <c r="Z5" t="s">
        <v>616</v>
      </c>
      <c r="AA5" s="82" t="s">
        <v>610</v>
      </c>
    </row>
    <row r="6" spans="2:27">
      <c r="B6" s="77" t="s">
        <v>1284</v>
      </c>
      <c r="E6" t="s">
        <v>1264</v>
      </c>
      <c r="F6" t="s">
        <v>1285</v>
      </c>
      <c r="K6" s="80" t="s">
        <v>1286</v>
      </c>
      <c r="L6" s="81" t="s">
        <v>616</v>
      </c>
      <c r="M6" t="s">
        <v>1282</v>
      </c>
      <c r="N6" t="s">
        <v>616</v>
      </c>
      <c r="O6" t="s">
        <v>616</v>
      </c>
      <c r="P6" s="82" t="s">
        <v>616</v>
      </c>
      <c r="Q6" t="s">
        <v>564</v>
      </c>
      <c r="R6" t="s">
        <v>616</v>
      </c>
      <c r="S6" t="s">
        <v>616</v>
      </c>
      <c r="T6" t="s">
        <v>610</v>
      </c>
      <c r="U6" t="s">
        <v>564</v>
      </c>
      <c r="V6" t="s">
        <v>564</v>
      </c>
      <c r="W6" t="s">
        <v>610</v>
      </c>
      <c r="X6" t="s">
        <v>616</v>
      </c>
      <c r="Y6" t="s">
        <v>610</v>
      </c>
      <c r="Z6" t="s">
        <v>1282</v>
      </c>
      <c r="AA6" s="82" t="s">
        <v>610</v>
      </c>
    </row>
    <row r="7" spans="2:27">
      <c r="B7" s="77" t="s">
        <v>1287</v>
      </c>
      <c r="E7" t="s">
        <v>1264</v>
      </c>
      <c r="F7" t="s">
        <v>1288</v>
      </c>
      <c r="K7" s="80" t="s">
        <v>1268</v>
      </c>
      <c r="L7" s="81" t="s">
        <v>1282</v>
      </c>
      <c r="M7" t="s">
        <v>1282</v>
      </c>
      <c r="N7" t="s">
        <v>564</v>
      </c>
      <c r="O7" t="s">
        <v>1282</v>
      </c>
      <c r="P7" s="82" t="s">
        <v>616</v>
      </c>
      <c r="Q7" t="s">
        <v>616</v>
      </c>
      <c r="R7" t="s">
        <v>564</v>
      </c>
      <c r="S7" t="s">
        <v>564</v>
      </c>
      <c r="T7" t="s">
        <v>564</v>
      </c>
      <c r="U7" t="s">
        <v>564</v>
      </c>
      <c r="V7" t="s">
        <v>616</v>
      </c>
      <c r="W7" t="s">
        <v>564</v>
      </c>
      <c r="X7" t="s">
        <v>564</v>
      </c>
      <c r="Y7" t="s">
        <v>616</v>
      </c>
      <c r="Z7" t="s">
        <v>616</v>
      </c>
      <c r="AA7" s="82" t="s">
        <v>610</v>
      </c>
    </row>
    <row r="8" spans="2:27">
      <c r="B8" s="77"/>
      <c r="K8" s="80" t="s">
        <v>1289</v>
      </c>
      <c r="L8" s="81" t="s">
        <v>610</v>
      </c>
      <c r="M8" t="s">
        <v>610</v>
      </c>
      <c r="N8" t="s">
        <v>610</v>
      </c>
      <c r="O8" t="s">
        <v>564</v>
      </c>
      <c r="P8" s="82" t="s">
        <v>564</v>
      </c>
      <c r="Q8" t="s">
        <v>610</v>
      </c>
      <c r="R8" t="s">
        <v>564</v>
      </c>
      <c r="S8" t="s">
        <v>564</v>
      </c>
      <c r="T8" t="s">
        <v>616</v>
      </c>
      <c r="U8" t="s">
        <v>564</v>
      </c>
      <c r="V8" t="s">
        <v>610</v>
      </c>
      <c r="W8" t="s">
        <v>610</v>
      </c>
      <c r="X8" t="s">
        <v>564</v>
      </c>
      <c r="Y8" t="s">
        <v>564</v>
      </c>
      <c r="Z8" t="s">
        <v>616</v>
      </c>
      <c r="AA8" s="82" t="s">
        <v>610</v>
      </c>
    </row>
    <row r="9" spans="2:27">
      <c r="B9" s="77" t="s">
        <v>548</v>
      </c>
      <c r="E9" t="s">
        <v>1264</v>
      </c>
      <c r="F9" t="s">
        <v>1290</v>
      </c>
      <c r="K9" s="80" t="s">
        <v>1291</v>
      </c>
      <c r="L9" s="81" t="s">
        <v>610</v>
      </c>
      <c r="M9" t="s">
        <v>610</v>
      </c>
      <c r="N9" t="s">
        <v>610</v>
      </c>
      <c r="O9" t="s">
        <v>610</v>
      </c>
      <c r="P9" s="82" t="s">
        <v>610</v>
      </c>
      <c r="Q9" t="s">
        <v>610</v>
      </c>
      <c r="R9" t="s">
        <v>610</v>
      </c>
      <c r="S9" t="s">
        <v>564</v>
      </c>
      <c r="T9" t="s">
        <v>616</v>
      </c>
      <c r="U9" t="s">
        <v>564</v>
      </c>
      <c r="V9" t="s">
        <v>610</v>
      </c>
      <c r="W9" t="s">
        <v>610</v>
      </c>
      <c r="X9" t="s">
        <v>610</v>
      </c>
      <c r="Y9" t="s">
        <v>610</v>
      </c>
      <c r="Z9" t="s">
        <v>564</v>
      </c>
      <c r="AA9" s="82" t="s">
        <v>610</v>
      </c>
    </row>
    <row r="10" spans="2:27">
      <c r="B10" s="77"/>
      <c r="K10" s="80" t="s">
        <v>1292</v>
      </c>
      <c r="L10" s="81" t="s">
        <v>610</v>
      </c>
      <c r="M10" t="s">
        <v>564</v>
      </c>
      <c r="N10" t="s">
        <v>610</v>
      </c>
      <c r="O10" t="s">
        <v>564</v>
      </c>
      <c r="P10" s="82" t="s">
        <v>616</v>
      </c>
      <c r="Q10" t="s">
        <v>610</v>
      </c>
      <c r="R10" t="s">
        <v>610</v>
      </c>
      <c r="S10" t="s">
        <v>610</v>
      </c>
      <c r="T10" t="s">
        <v>610</v>
      </c>
      <c r="U10" t="s">
        <v>610</v>
      </c>
      <c r="V10" t="s">
        <v>610</v>
      </c>
      <c r="W10" t="s">
        <v>610</v>
      </c>
      <c r="X10" t="s">
        <v>610</v>
      </c>
      <c r="Y10" t="s">
        <v>564</v>
      </c>
      <c r="Z10" t="s">
        <v>610</v>
      </c>
      <c r="AA10" s="82" t="s">
        <v>610</v>
      </c>
    </row>
    <row r="11" spans="2:27">
      <c r="B11" s="77" t="s">
        <v>552</v>
      </c>
      <c r="E11" t="s">
        <v>1264</v>
      </c>
      <c r="F11" t="s">
        <v>1293</v>
      </c>
      <c r="K11" s="80" t="s">
        <v>1294</v>
      </c>
      <c r="L11" s="81" t="s">
        <v>610</v>
      </c>
      <c r="M11" t="s">
        <v>564</v>
      </c>
      <c r="N11" t="s">
        <v>610</v>
      </c>
      <c r="O11" t="s">
        <v>610</v>
      </c>
      <c r="P11" s="82" t="s">
        <v>610</v>
      </c>
      <c r="Q11" t="s">
        <v>610</v>
      </c>
      <c r="R11" t="s">
        <v>610</v>
      </c>
      <c r="S11" t="s">
        <v>564</v>
      </c>
      <c r="T11" t="s">
        <v>610</v>
      </c>
      <c r="U11" t="s">
        <v>616</v>
      </c>
      <c r="V11" t="s">
        <v>610</v>
      </c>
      <c r="W11" t="s">
        <v>610</v>
      </c>
      <c r="X11" t="s">
        <v>610</v>
      </c>
      <c r="Y11" t="s">
        <v>610</v>
      </c>
      <c r="Z11" t="s">
        <v>610</v>
      </c>
      <c r="AA11" s="82" t="s">
        <v>610</v>
      </c>
    </row>
    <row r="12" spans="2:27">
      <c r="B12" s="76" t="s">
        <v>1295</v>
      </c>
      <c r="E12" t="s">
        <v>1264</v>
      </c>
      <c r="F12" t="s">
        <v>1296</v>
      </c>
      <c r="K12" s="80" t="s">
        <v>1297</v>
      </c>
      <c r="L12" s="81" t="s">
        <v>1282</v>
      </c>
      <c r="M12" t="s">
        <v>1282</v>
      </c>
      <c r="N12" t="s">
        <v>1282</v>
      </c>
      <c r="O12" t="s">
        <v>616</v>
      </c>
      <c r="P12" s="82" t="s">
        <v>616</v>
      </c>
      <c r="Q12" t="s">
        <v>610</v>
      </c>
      <c r="R12" t="s">
        <v>564</v>
      </c>
      <c r="S12" t="s">
        <v>616</v>
      </c>
      <c r="T12" t="s">
        <v>1282</v>
      </c>
      <c r="U12" t="s">
        <v>564</v>
      </c>
      <c r="V12" t="s">
        <v>1282</v>
      </c>
      <c r="W12" t="s">
        <v>564</v>
      </c>
      <c r="X12" t="s">
        <v>1282</v>
      </c>
      <c r="Y12" t="s">
        <v>1282</v>
      </c>
      <c r="Z12" t="s">
        <v>1282</v>
      </c>
      <c r="AA12" s="82" t="s">
        <v>616</v>
      </c>
    </row>
    <row r="13" spans="2:27" ht="14.1">
      <c r="B13" s="75" t="s">
        <v>560</v>
      </c>
      <c r="E13" t="s">
        <v>1264</v>
      </c>
      <c r="F13" t="s">
        <v>1298</v>
      </c>
      <c r="K13" s="80" t="s">
        <v>1299</v>
      </c>
      <c r="L13" s="81" t="s">
        <v>564</v>
      </c>
      <c r="M13" t="s">
        <v>610</v>
      </c>
      <c r="N13" t="s">
        <v>616</v>
      </c>
      <c r="O13" t="s">
        <v>610</v>
      </c>
      <c r="P13" s="82" t="s">
        <v>610</v>
      </c>
      <c r="Q13" t="s">
        <v>610</v>
      </c>
      <c r="R13" t="s">
        <v>610</v>
      </c>
      <c r="S13" t="s">
        <v>610</v>
      </c>
      <c r="T13" t="s">
        <v>610</v>
      </c>
      <c r="U13" t="s">
        <v>616</v>
      </c>
      <c r="V13" t="s">
        <v>610</v>
      </c>
      <c r="W13" t="s">
        <v>610</v>
      </c>
      <c r="X13" t="s">
        <v>610</v>
      </c>
      <c r="Y13" t="s">
        <v>610</v>
      </c>
      <c r="Z13" t="s">
        <v>564</v>
      </c>
      <c r="AA13" s="82" t="s">
        <v>1282</v>
      </c>
    </row>
    <row r="14" spans="2:27">
      <c r="B14" s="67" t="s">
        <v>1300</v>
      </c>
      <c r="E14" t="s">
        <v>1264</v>
      </c>
      <c r="F14" t="s">
        <v>1301</v>
      </c>
      <c r="K14" s="80" t="s">
        <v>523</v>
      </c>
      <c r="L14" s="81" t="s">
        <v>1282</v>
      </c>
      <c r="M14" t="s">
        <v>1282</v>
      </c>
      <c r="N14" t="s">
        <v>1282</v>
      </c>
      <c r="O14" t="s">
        <v>1282</v>
      </c>
      <c r="P14" s="82" t="s">
        <v>616</v>
      </c>
      <c r="Q14" t="s">
        <v>616</v>
      </c>
      <c r="R14" t="s">
        <v>616</v>
      </c>
      <c r="S14" t="s">
        <v>564</v>
      </c>
      <c r="T14" t="s">
        <v>616</v>
      </c>
      <c r="U14" t="s">
        <v>610</v>
      </c>
      <c r="V14" t="s">
        <v>1282</v>
      </c>
      <c r="W14" t="s">
        <v>564</v>
      </c>
      <c r="X14" t="s">
        <v>564</v>
      </c>
      <c r="Y14" t="s">
        <v>1282</v>
      </c>
      <c r="Z14" t="s">
        <v>616</v>
      </c>
      <c r="AA14" s="82" t="s">
        <v>564</v>
      </c>
    </row>
    <row r="15" spans="2:27">
      <c r="B15" s="67" t="s">
        <v>1302</v>
      </c>
      <c r="E15" t="s">
        <v>1283</v>
      </c>
      <c r="F15" t="s">
        <v>1303</v>
      </c>
      <c r="K15" s="80" t="s">
        <v>1304</v>
      </c>
      <c r="L15" s="81" t="s">
        <v>610</v>
      </c>
      <c r="M15" t="s">
        <v>610</v>
      </c>
      <c r="N15" t="s">
        <v>564</v>
      </c>
      <c r="O15" t="s">
        <v>610</v>
      </c>
      <c r="P15" s="82" t="s">
        <v>610</v>
      </c>
      <c r="Q15" t="s">
        <v>564</v>
      </c>
      <c r="R15" t="s">
        <v>610</v>
      </c>
      <c r="S15" t="s">
        <v>610</v>
      </c>
      <c r="T15" t="s">
        <v>610</v>
      </c>
      <c r="U15" t="s">
        <v>616</v>
      </c>
      <c r="V15" t="s">
        <v>610</v>
      </c>
      <c r="W15" t="s">
        <v>564</v>
      </c>
      <c r="X15" t="s">
        <v>610</v>
      </c>
      <c r="Y15" t="s">
        <v>564</v>
      </c>
      <c r="Z15" t="s">
        <v>610</v>
      </c>
      <c r="AA15" s="82" t="s">
        <v>610</v>
      </c>
    </row>
    <row r="16" spans="2:27">
      <c r="B16" s="70" t="s">
        <v>1305</v>
      </c>
      <c r="E16" t="s">
        <v>1283</v>
      </c>
      <c r="F16" t="s">
        <v>1306</v>
      </c>
      <c r="K16" s="83" t="s">
        <v>1307</v>
      </c>
      <c r="L16" s="84" t="s">
        <v>1282</v>
      </c>
      <c r="M16" s="85" t="s">
        <v>616</v>
      </c>
      <c r="N16" s="85" t="s">
        <v>616</v>
      </c>
      <c r="O16" s="85" t="s">
        <v>564</v>
      </c>
      <c r="P16" s="86" t="s">
        <v>616</v>
      </c>
      <c r="Q16" s="85" t="s">
        <v>610</v>
      </c>
      <c r="R16" s="85" t="s">
        <v>564</v>
      </c>
      <c r="S16" s="85" t="s">
        <v>564</v>
      </c>
      <c r="T16" s="85" t="s">
        <v>610</v>
      </c>
      <c r="U16" s="85" t="s">
        <v>564</v>
      </c>
      <c r="V16" s="85" t="s">
        <v>564</v>
      </c>
      <c r="W16" s="85" t="s">
        <v>564</v>
      </c>
      <c r="X16" s="85" t="s">
        <v>564</v>
      </c>
      <c r="Y16" s="85" t="s">
        <v>610</v>
      </c>
      <c r="Z16" s="85" t="s">
        <v>564</v>
      </c>
      <c r="AA16" s="86" t="s">
        <v>610</v>
      </c>
    </row>
    <row r="17" spans="2:22">
      <c r="B17" s="70" t="s">
        <v>1308</v>
      </c>
      <c r="E17" t="s">
        <v>1283</v>
      </c>
      <c r="F17" t="s">
        <v>1309</v>
      </c>
    </row>
    <row r="18" spans="2:22" hidden="1">
      <c r="B18" s="67" t="s">
        <v>1310</v>
      </c>
      <c r="E18" t="s">
        <v>1283</v>
      </c>
      <c r="F18" t="s">
        <v>1311</v>
      </c>
    </row>
    <row r="19" spans="2:22" hidden="1">
      <c r="B19" s="67" t="s">
        <v>1312</v>
      </c>
      <c r="E19" t="s">
        <v>1283</v>
      </c>
      <c r="F19" t="s">
        <v>1313</v>
      </c>
      <c r="L19" s="87" t="s">
        <v>1264</v>
      </c>
      <c r="M19" s="88" t="s">
        <v>1283</v>
      </c>
      <c r="N19" s="88" t="s">
        <v>1286</v>
      </c>
      <c r="O19" s="88" t="s">
        <v>1268</v>
      </c>
      <c r="P19" s="88" t="s">
        <v>1291</v>
      </c>
      <c r="Q19" s="88" t="s">
        <v>1294</v>
      </c>
      <c r="R19" s="88" t="s">
        <v>1297</v>
      </c>
      <c r="S19" s="88" t="s">
        <v>1299</v>
      </c>
      <c r="T19" s="88" t="s">
        <v>523</v>
      </c>
      <c r="U19" s="88" t="s">
        <v>1304</v>
      </c>
      <c r="V19" s="89" t="s">
        <v>1307</v>
      </c>
    </row>
    <row r="20" spans="2:22" hidden="1">
      <c r="B20" s="67" t="s">
        <v>579</v>
      </c>
      <c r="E20" t="s">
        <v>1283</v>
      </c>
      <c r="F20" t="s">
        <v>1314</v>
      </c>
      <c r="L20" s="81" t="s">
        <v>1265</v>
      </c>
      <c r="M20" t="s">
        <v>1303</v>
      </c>
      <c r="N20" t="s">
        <v>1315</v>
      </c>
      <c r="O20" t="s">
        <v>1316</v>
      </c>
      <c r="P20" t="s">
        <v>1317</v>
      </c>
      <c r="Q20" t="s">
        <v>1318</v>
      </c>
      <c r="R20" t="s">
        <v>1319</v>
      </c>
      <c r="S20" t="s">
        <v>1320</v>
      </c>
      <c r="T20" t="s">
        <v>1321</v>
      </c>
      <c r="U20" t="s">
        <v>1322</v>
      </c>
      <c r="V20" s="82" t="s">
        <v>1323</v>
      </c>
    </row>
    <row r="21" spans="2:22" hidden="1">
      <c r="B21" s="67" t="s">
        <v>587</v>
      </c>
      <c r="E21" t="s">
        <v>1283</v>
      </c>
      <c r="F21" t="s">
        <v>1324</v>
      </c>
      <c r="L21" s="81" t="s">
        <v>1280</v>
      </c>
      <c r="M21" t="s">
        <v>1306</v>
      </c>
      <c r="N21" t="s">
        <v>1325</v>
      </c>
      <c r="O21" t="s">
        <v>1326</v>
      </c>
      <c r="P21" t="s">
        <v>1327</v>
      </c>
      <c r="Q21" t="s">
        <v>1328</v>
      </c>
      <c r="R21" t="s">
        <v>1329</v>
      </c>
      <c r="S21" t="s">
        <v>1330</v>
      </c>
      <c r="T21" t="s">
        <v>1331</v>
      </c>
      <c r="U21" t="s">
        <v>1332</v>
      </c>
      <c r="V21" s="82" t="s">
        <v>1333</v>
      </c>
    </row>
    <row r="22" spans="2:22" hidden="1">
      <c r="B22" s="67" t="s">
        <v>592</v>
      </c>
      <c r="E22" t="s">
        <v>1283</v>
      </c>
      <c r="F22" t="s">
        <v>1334</v>
      </c>
      <c r="L22" s="81" t="s">
        <v>1281</v>
      </c>
      <c r="M22" t="s">
        <v>1309</v>
      </c>
      <c r="N22" t="s">
        <v>1335</v>
      </c>
      <c r="O22" t="s">
        <v>1336</v>
      </c>
      <c r="P22" t="s">
        <v>1337</v>
      </c>
      <c r="Q22" t="s">
        <v>1338</v>
      </c>
      <c r="R22" t="s">
        <v>1339</v>
      </c>
      <c r="S22" t="s">
        <v>1340</v>
      </c>
      <c r="T22" t="s">
        <v>1341</v>
      </c>
      <c r="U22" t="s">
        <v>1342</v>
      </c>
      <c r="V22" s="82" t="s">
        <v>1343</v>
      </c>
    </row>
    <row r="23" spans="2:22" hidden="1">
      <c r="B23" s="67" t="s">
        <v>598</v>
      </c>
      <c r="E23" t="s">
        <v>1283</v>
      </c>
      <c r="F23" t="s">
        <v>1344</v>
      </c>
      <c r="L23" s="81" t="s">
        <v>1285</v>
      </c>
      <c r="M23" t="s">
        <v>1311</v>
      </c>
      <c r="N23" t="s">
        <v>1345</v>
      </c>
      <c r="O23" t="s">
        <v>1346</v>
      </c>
      <c r="P23" t="s">
        <v>1347</v>
      </c>
      <c r="Q23" t="s">
        <v>1348</v>
      </c>
      <c r="R23" t="s">
        <v>1349</v>
      </c>
      <c r="S23" t="s">
        <v>1350</v>
      </c>
      <c r="T23" t="s">
        <v>1351</v>
      </c>
      <c r="U23" t="s">
        <v>1352</v>
      </c>
      <c r="V23" s="82" t="s">
        <v>1353</v>
      </c>
    </row>
    <row r="24" spans="2:22" hidden="1">
      <c r="B24" s="69" t="s">
        <v>599</v>
      </c>
      <c r="E24" t="s">
        <v>1283</v>
      </c>
      <c r="F24" t="s">
        <v>1354</v>
      </c>
      <c r="L24" s="81" t="s">
        <v>1288</v>
      </c>
      <c r="M24" t="s">
        <v>1313</v>
      </c>
      <c r="N24" t="s">
        <v>1355</v>
      </c>
      <c r="O24" t="s">
        <v>1356</v>
      </c>
      <c r="P24" t="s">
        <v>1357</v>
      </c>
      <c r="Q24" t="s">
        <v>1358</v>
      </c>
      <c r="R24" t="s">
        <v>1359</v>
      </c>
      <c r="S24" t="s">
        <v>1360</v>
      </c>
      <c r="T24" t="s">
        <v>1361</v>
      </c>
      <c r="U24" t="s">
        <v>1362</v>
      </c>
      <c r="V24" s="82" t="s">
        <v>1363</v>
      </c>
    </row>
    <row r="25" spans="2:22" hidden="1">
      <c r="E25" t="s">
        <v>1283</v>
      </c>
      <c r="F25" t="s">
        <v>1364</v>
      </c>
      <c r="L25" s="81" t="s">
        <v>1290</v>
      </c>
      <c r="M25" t="s">
        <v>1314</v>
      </c>
      <c r="N25" t="s">
        <v>1365</v>
      </c>
      <c r="P25" t="s">
        <v>1366</v>
      </c>
      <c r="Q25" t="s">
        <v>1367</v>
      </c>
      <c r="R25" t="s">
        <v>1368</v>
      </c>
      <c r="S25" t="s">
        <v>1369</v>
      </c>
      <c r="T25" t="s">
        <v>1370</v>
      </c>
      <c r="U25" t="s">
        <v>1371</v>
      </c>
      <c r="V25" s="82"/>
    </row>
    <row r="26" spans="2:22" hidden="1">
      <c r="E26" t="s">
        <v>1283</v>
      </c>
      <c r="F26" t="s">
        <v>222</v>
      </c>
      <c r="L26" s="81" t="s">
        <v>1293</v>
      </c>
      <c r="M26" t="s">
        <v>1324</v>
      </c>
      <c r="N26" t="s">
        <v>1372</v>
      </c>
      <c r="P26" t="s">
        <v>1373</v>
      </c>
      <c r="Q26" t="s">
        <v>1374</v>
      </c>
      <c r="R26" t="s">
        <v>1375</v>
      </c>
      <c r="S26" t="s">
        <v>1376</v>
      </c>
      <c r="T26" t="s">
        <v>1377</v>
      </c>
      <c r="U26" t="s">
        <v>1378</v>
      </c>
      <c r="V26" s="82"/>
    </row>
    <row r="27" spans="2:22" hidden="1">
      <c r="E27" t="s">
        <v>1283</v>
      </c>
      <c r="F27" t="s">
        <v>1379</v>
      </c>
      <c r="L27" s="81" t="s">
        <v>1296</v>
      </c>
      <c r="M27" t="s">
        <v>1334</v>
      </c>
      <c r="N27" t="s">
        <v>1380</v>
      </c>
      <c r="P27" t="s">
        <v>1381</v>
      </c>
      <c r="Q27" t="s">
        <v>1382</v>
      </c>
      <c r="R27" t="s">
        <v>1383</v>
      </c>
      <c r="S27" t="s">
        <v>1384</v>
      </c>
      <c r="T27" t="s">
        <v>1385</v>
      </c>
      <c r="U27" t="s">
        <v>1386</v>
      </c>
      <c r="V27" s="82"/>
    </row>
    <row r="28" spans="2:22" hidden="1">
      <c r="E28" t="s">
        <v>1283</v>
      </c>
      <c r="F28" t="s">
        <v>1387</v>
      </c>
      <c r="L28" s="81" t="s">
        <v>1298</v>
      </c>
      <c r="M28" t="s">
        <v>1344</v>
      </c>
      <c r="N28" t="s">
        <v>1388</v>
      </c>
      <c r="P28" t="s">
        <v>1389</v>
      </c>
      <c r="Q28" t="s">
        <v>1390</v>
      </c>
      <c r="R28" t="s">
        <v>1391</v>
      </c>
      <c r="S28" t="s">
        <v>1392</v>
      </c>
      <c r="T28" t="s">
        <v>1393</v>
      </c>
      <c r="V28" s="82"/>
    </row>
    <row r="29" spans="2:22" hidden="1">
      <c r="E29" t="s">
        <v>1283</v>
      </c>
      <c r="F29" t="s">
        <v>1394</v>
      </c>
      <c r="L29" s="84" t="s">
        <v>1301</v>
      </c>
      <c r="M29" s="85" t="s">
        <v>1354</v>
      </c>
      <c r="N29" s="85" t="s">
        <v>1395</v>
      </c>
      <c r="O29" s="85"/>
      <c r="P29" s="85" t="s">
        <v>1396</v>
      </c>
      <c r="Q29" s="85" t="s">
        <v>1397</v>
      </c>
      <c r="R29" s="85" t="s">
        <v>1398</v>
      </c>
      <c r="S29" s="85" t="s">
        <v>1399</v>
      </c>
      <c r="T29" s="85" t="s">
        <v>1400</v>
      </c>
      <c r="U29" s="85"/>
      <c r="V29" s="86"/>
    </row>
    <row r="30" spans="2:22" hidden="1">
      <c r="E30" t="s">
        <v>1283</v>
      </c>
      <c r="F30" t="s">
        <v>1401</v>
      </c>
      <c r="M30" t="s">
        <v>1364</v>
      </c>
      <c r="N30" t="s">
        <v>1402</v>
      </c>
      <c r="P30" t="s">
        <v>1403</v>
      </c>
      <c r="R30" t="s">
        <v>1404</v>
      </c>
      <c r="S30" t="s">
        <v>1405</v>
      </c>
      <c r="T30" t="s">
        <v>1406</v>
      </c>
    </row>
    <row r="31" spans="2:22" hidden="1">
      <c r="E31" t="s">
        <v>1283</v>
      </c>
      <c r="F31" t="s">
        <v>1407</v>
      </c>
      <c r="M31" t="s">
        <v>222</v>
      </c>
      <c r="N31" t="s">
        <v>1408</v>
      </c>
      <c r="P31" t="s">
        <v>1409</v>
      </c>
      <c r="R31" t="s">
        <v>1410</v>
      </c>
      <c r="S31" t="s">
        <v>1411</v>
      </c>
    </row>
    <row r="32" spans="2:22" hidden="1">
      <c r="E32" t="s">
        <v>1283</v>
      </c>
      <c r="F32" t="s">
        <v>1412</v>
      </c>
      <c r="M32" t="s">
        <v>1379</v>
      </c>
      <c r="P32" t="s">
        <v>1413</v>
      </c>
      <c r="R32" t="s">
        <v>1414</v>
      </c>
      <c r="S32" t="s">
        <v>1415</v>
      </c>
    </row>
    <row r="33" spans="5:18" hidden="1">
      <c r="E33" t="s">
        <v>1283</v>
      </c>
      <c r="F33" t="s">
        <v>1416</v>
      </c>
      <c r="M33" t="s">
        <v>1387</v>
      </c>
      <c r="R33" t="s">
        <v>1417</v>
      </c>
    </row>
    <row r="34" spans="5:18" hidden="1">
      <c r="E34" t="s">
        <v>1283</v>
      </c>
      <c r="F34" t="s">
        <v>1418</v>
      </c>
      <c r="M34" t="s">
        <v>1394</v>
      </c>
      <c r="R34" t="s">
        <v>1419</v>
      </c>
    </row>
    <row r="35" spans="5:18" hidden="1">
      <c r="E35" t="s">
        <v>1286</v>
      </c>
      <c r="F35" t="s">
        <v>1315</v>
      </c>
      <c r="M35" t="s">
        <v>1401</v>
      </c>
      <c r="R35" t="s">
        <v>1420</v>
      </c>
    </row>
    <row r="36" spans="5:18" hidden="1">
      <c r="E36" t="s">
        <v>1286</v>
      </c>
      <c r="F36" t="s">
        <v>1325</v>
      </c>
      <c r="M36" t="s">
        <v>1407</v>
      </c>
      <c r="R36" t="s">
        <v>1421</v>
      </c>
    </row>
    <row r="37" spans="5:18" hidden="1">
      <c r="E37" t="s">
        <v>1286</v>
      </c>
      <c r="F37" t="s">
        <v>1335</v>
      </c>
      <c r="M37" t="s">
        <v>1412</v>
      </c>
    </row>
    <row r="38" spans="5:18" hidden="1">
      <c r="E38" t="s">
        <v>1286</v>
      </c>
      <c r="F38" t="s">
        <v>1345</v>
      </c>
      <c r="M38" t="s">
        <v>1416</v>
      </c>
    </row>
    <row r="39" spans="5:18" hidden="1">
      <c r="E39" t="s">
        <v>1286</v>
      </c>
      <c r="F39" t="s">
        <v>1355</v>
      </c>
      <c r="M39" t="s">
        <v>1418</v>
      </c>
    </row>
    <row r="40" spans="5:18" hidden="1">
      <c r="E40" t="s">
        <v>1286</v>
      </c>
      <c r="F40" t="s">
        <v>1365</v>
      </c>
    </row>
    <row r="41" spans="5:18" hidden="1">
      <c r="E41" t="s">
        <v>1286</v>
      </c>
      <c r="F41" t="s">
        <v>1372</v>
      </c>
    </row>
    <row r="42" spans="5:18">
      <c r="E42" t="s">
        <v>1286</v>
      </c>
      <c r="F42" t="s">
        <v>1380</v>
      </c>
    </row>
    <row r="43" spans="5:18">
      <c r="E43" t="s">
        <v>1286</v>
      </c>
      <c r="F43" t="s">
        <v>1388</v>
      </c>
    </row>
    <row r="44" spans="5:18">
      <c r="E44" t="s">
        <v>1286</v>
      </c>
      <c r="F44" t="s">
        <v>1395</v>
      </c>
    </row>
    <row r="45" spans="5:18">
      <c r="E45" t="s">
        <v>1286</v>
      </c>
      <c r="F45" t="s">
        <v>1402</v>
      </c>
    </row>
    <row r="46" spans="5:18">
      <c r="E46" t="s">
        <v>1286</v>
      </c>
      <c r="F46" t="s">
        <v>1408</v>
      </c>
    </row>
    <row r="47" spans="5:18">
      <c r="E47" t="s">
        <v>1268</v>
      </c>
      <c r="F47" t="s">
        <v>1316</v>
      </c>
    </row>
    <row r="48" spans="5:18">
      <c r="E48" t="s">
        <v>1268</v>
      </c>
      <c r="F48" t="s">
        <v>1326</v>
      </c>
    </row>
    <row r="49" spans="5:6">
      <c r="E49" t="s">
        <v>1268</v>
      </c>
      <c r="F49" t="s">
        <v>1336</v>
      </c>
    </row>
    <row r="50" spans="5:6">
      <c r="E50" t="s">
        <v>1268</v>
      </c>
      <c r="F50" t="s">
        <v>1346</v>
      </c>
    </row>
    <row r="51" spans="5:6">
      <c r="E51" t="s">
        <v>1268</v>
      </c>
      <c r="F51" t="s">
        <v>1356</v>
      </c>
    </row>
    <row r="52" spans="5:6">
      <c r="E52" t="s">
        <v>1291</v>
      </c>
      <c r="F52" t="s">
        <v>1317</v>
      </c>
    </row>
    <row r="53" spans="5:6">
      <c r="E53" t="s">
        <v>1291</v>
      </c>
      <c r="F53" t="s">
        <v>1327</v>
      </c>
    </row>
    <row r="54" spans="5:6">
      <c r="E54" t="s">
        <v>1291</v>
      </c>
      <c r="F54" t="s">
        <v>1337</v>
      </c>
    </row>
    <row r="55" spans="5:6">
      <c r="E55" t="s">
        <v>1291</v>
      </c>
      <c r="F55" t="s">
        <v>1347</v>
      </c>
    </row>
    <row r="56" spans="5:6">
      <c r="E56" t="s">
        <v>1291</v>
      </c>
      <c r="F56" t="s">
        <v>1357</v>
      </c>
    </row>
    <row r="57" spans="5:6">
      <c r="E57" t="s">
        <v>1291</v>
      </c>
      <c r="F57" t="s">
        <v>1366</v>
      </c>
    </row>
    <row r="58" spans="5:6">
      <c r="E58" t="s">
        <v>1291</v>
      </c>
      <c r="F58" t="s">
        <v>1373</v>
      </c>
    </row>
    <row r="59" spans="5:6">
      <c r="E59" t="s">
        <v>1291</v>
      </c>
      <c r="F59" t="s">
        <v>1381</v>
      </c>
    </row>
    <row r="60" spans="5:6">
      <c r="E60" t="s">
        <v>1291</v>
      </c>
      <c r="F60" t="s">
        <v>1389</v>
      </c>
    </row>
    <row r="61" spans="5:6">
      <c r="E61" t="s">
        <v>1291</v>
      </c>
      <c r="F61" t="s">
        <v>1396</v>
      </c>
    </row>
    <row r="62" spans="5:6">
      <c r="E62" t="s">
        <v>1291</v>
      </c>
      <c r="F62" t="s">
        <v>1403</v>
      </c>
    </row>
    <row r="63" spans="5:6">
      <c r="E63" t="s">
        <v>1291</v>
      </c>
      <c r="F63" t="s">
        <v>1409</v>
      </c>
    </row>
    <row r="64" spans="5:6">
      <c r="E64" t="s">
        <v>1291</v>
      </c>
      <c r="F64" t="s">
        <v>1413</v>
      </c>
    </row>
    <row r="65" spans="5:6">
      <c r="E65" t="s">
        <v>1294</v>
      </c>
      <c r="F65" t="s">
        <v>1318</v>
      </c>
    </row>
    <row r="66" spans="5:6">
      <c r="E66" t="s">
        <v>1294</v>
      </c>
      <c r="F66" t="s">
        <v>1328</v>
      </c>
    </row>
    <row r="67" spans="5:6">
      <c r="E67" t="s">
        <v>1294</v>
      </c>
      <c r="F67" t="s">
        <v>1338</v>
      </c>
    </row>
    <row r="68" spans="5:6">
      <c r="E68" t="s">
        <v>1294</v>
      </c>
      <c r="F68" t="s">
        <v>1348</v>
      </c>
    </row>
    <row r="69" spans="5:6">
      <c r="E69" t="s">
        <v>1294</v>
      </c>
      <c r="F69" t="s">
        <v>1358</v>
      </c>
    </row>
    <row r="70" spans="5:6">
      <c r="E70" t="s">
        <v>1294</v>
      </c>
      <c r="F70" t="s">
        <v>1367</v>
      </c>
    </row>
    <row r="71" spans="5:6">
      <c r="E71" t="s">
        <v>1294</v>
      </c>
      <c r="F71" t="s">
        <v>1374</v>
      </c>
    </row>
    <row r="72" spans="5:6">
      <c r="E72" t="s">
        <v>1294</v>
      </c>
      <c r="F72" t="s">
        <v>1382</v>
      </c>
    </row>
    <row r="73" spans="5:6">
      <c r="E73" t="s">
        <v>1294</v>
      </c>
      <c r="F73" t="s">
        <v>1390</v>
      </c>
    </row>
    <row r="74" spans="5:6">
      <c r="E74" t="s">
        <v>1294</v>
      </c>
      <c r="F74" t="s">
        <v>1397</v>
      </c>
    </row>
    <row r="75" spans="5:6">
      <c r="E75" t="s">
        <v>1297</v>
      </c>
      <c r="F75" t="s">
        <v>1319</v>
      </c>
    </row>
    <row r="76" spans="5:6">
      <c r="E76" t="s">
        <v>1297</v>
      </c>
      <c r="F76" t="s">
        <v>1329</v>
      </c>
    </row>
    <row r="77" spans="5:6">
      <c r="E77" t="s">
        <v>1297</v>
      </c>
      <c r="F77" t="s">
        <v>1339</v>
      </c>
    </row>
    <row r="78" spans="5:6">
      <c r="E78" t="s">
        <v>1297</v>
      </c>
      <c r="F78" t="s">
        <v>1349</v>
      </c>
    </row>
    <row r="79" spans="5:6">
      <c r="E79" t="s">
        <v>1297</v>
      </c>
      <c r="F79" t="s">
        <v>1359</v>
      </c>
    </row>
    <row r="80" spans="5:6">
      <c r="E80" t="s">
        <v>1297</v>
      </c>
      <c r="F80" t="s">
        <v>1368</v>
      </c>
    </row>
    <row r="81" spans="5:6">
      <c r="E81" t="s">
        <v>1297</v>
      </c>
      <c r="F81" t="s">
        <v>1375</v>
      </c>
    </row>
    <row r="82" spans="5:6">
      <c r="E82" t="s">
        <v>1297</v>
      </c>
      <c r="F82" t="s">
        <v>1383</v>
      </c>
    </row>
    <row r="83" spans="5:6">
      <c r="E83" t="s">
        <v>1297</v>
      </c>
      <c r="F83" t="s">
        <v>1391</v>
      </c>
    </row>
    <row r="84" spans="5:6">
      <c r="E84" t="s">
        <v>1297</v>
      </c>
      <c r="F84" t="s">
        <v>1398</v>
      </c>
    </row>
    <row r="85" spans="5:6">
      <c r="E85" t="s">
        <v>1297</v>
      </c>
      <c r="F85" t="s">
        <v>1404</v>
      </c>
    </row>
    <row r="86" spans="5:6">
      <c r="E86" t="s">
        <v>1297</v>
      </c>
      <c r="F86" t="s">
        <v>1410</v>
      </c>
    </row>
    <row r="87" spans="5:6">
      <c r="E87" t="s">
        <v>1297</v>
      </c>
      <c r="F87" t="s">
        <v>1414</v>
      </c>
    </row>
    <row r="88" spans="5:6">
      <c r="E88" t="s">
        <v>1297</v>
      </c>
      <c r="F88" t="s">
        <v>1417</v>
      </c>
    </row>
    <row r="89" spans="5:6">
      <c r="E89" t="s">
        <v>1297</v>
      </c>
      <c r="F89" t="s">
        <v>1419</v>
      </c>
    </row>
    <row r="90" spans="5:6">
      <c r="E90" t="s">
        <v>1297</v>
      </c>
      <c r="F90" t="s">
        <v>1420</v>
      </c>
    </row>
    <row r="91" spans="5:6">
      <c r="E91" t="s">
        <v>1297</v>
      </c>
      <c r="F91" t="s">
        <v>1421</v>
      </c>
    </row>
    <row r="92" spans="5:6">
      <c r="E92" t="s">
        <v>1299</v>
      </c>
      <c r="F92" t="s">
        <v>1320</v>
      </c>
    </row>
    <row r="93" spans="5:6">
      <c r="E93" t="s">
        <v>1299</v>
      </c>
      <c r="F93" t="s">
        <v>1330</v>
      </c>
    </row>
    <row r="94" spans="5:6">
      <c r="E94" t="s">
        <v>1299</v>
      </c>
      <c r="F94" t="s">
        <v>1340</v>
      </c>
    </row>
    <row r="95" spans="5:6">
      <c r="E95" t="s">
        <v>1299</v>
      </c>
      <c r="F95" t="s">
        <v>1350</v>
      </c>
    </row>
    <row r="96" spans="5:6">
      <c r="E96" t="s">
        <v>1299</v>
      </c>
      <c r="F96" t="s">
        <v>1360</v>
      </c>
    </row>
    <row r="97" spans="5:6">
      <c r="E97" t="s">
        <v>1299</v>
      </c>
      <c r="F97" t="s">
        <v>1369</v>
      </c>
    </row>
    <row r="98" spans="5:6">
      <c r="E98" t="s">
        <v>1299</v>
      </c>
      <c r="F98" t="s">
        <v>1376</v>
      </c>
    </row>
    <row r="99" spans="5:6">
      <c r="E99" t="s">
        <v>1299</v>
      </c>
      <c r="F99" t="s">
        <v>1384</v>
      </c>
    </row>
    <row r="100" spans="5:6">
      <c r="E100" t="s">
        <v>1299</v>
      </c>
      <c r="F100" t="s">
        <v>1392</v>
      </c>
    </row>
    <row r="101" spans="5:6">
      <c r="E101" t="s">
        <v>1299</v>
      </c>
      <c r="F101" t="s">
        <v>1399</v>
      </c>
    </row>
    <row r="102" spans="5:6">
      <c r="E102" t="s">
        <v>1299</v>
      </c>
      <c r="F102" t="s">
        <v>1405</v>
      </c>
    </row>
    <row r="103" spans="5:6">
      <c r="E103" t="s">
        <v>1299</v>
      </c>
      <c r="F103" t="s">
        <v>1411</v>
      </c>
    </row>
    <row r="104" spans="5:6">
      <c r="E104" t="s">
        <v>1299</v>
      </c>
      <c r="F104" t="s">
        <v>1415</v>
      </c>
    </row>
    <row r="105" spans="5:6">
      <c r="E105" t="s">
        <v>523</v>
      </c>
      <c r="F105" t="s">
        <v>1321</v>
      </c>
    </row>
    <row r="106" spans="5:6">
      <c r="E106" t="s">
        <v>523</v>
      </c>
      <c r="F106" t="s">
        <v>1331</v>
      </c>
    </row>
    <row r="107" spans="5:6">
      <c r="E107" t="s">
        <v>523</v>
      </c>
      <c r="F107" t="s">
        <v>1341</v>
      </c>
    </row>
    <row r="108" spans="5:6">
      <c r="E108" t="s">
        <v>523</v>
      </c>
      <c r="F108" t="s">
        <v>1351</v>
      </c>
    </row>
    <row r="109" spans="5:6">
      <c r="E109" t="s">
        <v>523</v>
      </c>
      <c r="F109" t="s">
        <v>1361</v>
      </c>
    </row>
    <row r="110" spans="5:6">
      <c r="E110" t="s">
        <v>523</v>
      </c>
      <c r="F110" t="s">
        <v>1370</v>
      </c>
    </row>
    <row r="111" spans="5:6">
      <c r="E111" t="s">
        <v>523</v>
      </c>
      <c r="F111" t="s">
        <v>1377</v>
      </c>
    </row>
    <row r="112" spans="5:6">
      <c r="E112" t="s">
        <v>523</v>
      </c>
      <c r="F112" t="s">
        <v>1385</v>
      </c>
    </row>
    <row r="113" spans="5:6">
      <c r="E113" t="s">
        <v>523</v>
      </c>
      <c r="F113" t="s">
        <v>1393</v>
      </c>
    </row>
    <row r="114" spans="5:6">
      <c r="E114" t="s">
        <v>523</v>
      </c>
      <c r="F114" t="s">
        <v>1400</v>
      </c>
    </row>
    <row r="115" spans="5:6">
      <c r="E115" t="s">
        <v>523</v>
      </c>
      <c r="F115" t="s">
        <v>1406</v>
      </c>
    </row>
    <row r="116" spans="5:6">
      <c r="E116" t="s">
        <v>1304</v>
      </c>
      <c r="F116" t="s">
        <v>1322</v>
      </c>
    </row>
    <row r="117" spans="5:6">
      <c r="E117" t="s">
        <v>1304</v>
      </c>
      <c r="F117" t="s">
        <v>1332</v>
      </c>
    </row>
    <row r="118" spans="5:6">
      <c r="E118" t="s">
        <v>1304</v>
      </c>
      <c r="F118" t="s">
        <v>1342</v>
      </c>
    </row>
    <row r="119" spans="5:6">
      <c r="E119" t="s">
        <v>1304</v>
      </c>
      <c r="F119" t="s">
        <v>1352</v>
      </c>
    </row>
    <row r="120" spans="5:6">
      <c r="E120" t="s">
        <v>1304</v>
      </c>
      <c r="F120" t="s">
        <v>1362</v>
      </c>
    </row>
    <row r="121" spans="5:6">
      <c r="E121" t="s">
        <v>1304</v>
      </c>
      <c r="F121" t="s">
        <v>1371</v>
      </c>
    </row>
    <row r="122" spans="5:6">
      <c r="E122" t="s">
        <v>1304</v>
      </c>
      <c r="F122" t="s">
        <v>1378</v>
      </c>
    </row>
    <row r="123" spans="5:6">
      <c r="E123" t="s">
        <v>1304</v>
      </c>
      <c r="F123" t="s">
        <v>1386</v>
      </c>
    </row>
    <row r="124" spans="5:6">
      <c r="E124" t="s">
        <v>1307</v>
      </c>
      <c r="F124" t="s">
        <v>1323</v>
      </c>
    </row>
    <row r="125" spans="5:6">
      <c r="E125" t="s">
        <v>1307</v>
      </c>
      <c r="F125" t="s">
        <v>1333</v>
      </c>
    </row>
    <row r="126" spans="5:6">
      <c r="E126" t="s">
        <v>1307</v>
      </c>
      <c r="F126" t="s">
        <v>1343</v>
      </c>
    </row>
    <row r="127" spans="5:6">
      <c r="E127" t="s">
        <v>1307</v>
      </c>
      <c r="F127" t="s">
        <v>1353</v>
      </c>
    </row>
    <row r="128" spans="5:6">
      <c r="E128" t="s">
        <v>1307</v>
      </c>
      <c r="F128" t="s">
        <v>1363</v>
      </c>
    </row>
  </sheetData>
  <mergeCells count="3">
    <mergeCell ref="K2:K3"/>
    <mergeCell ref="L2:P2"/>
    <mergeCell ref="Q2:AA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21"/>
  <sheetViews>
    <sheetView zoomScaleNormal="100" workbookViewId="0">
      <pane ySplit="5" topLeftCell="A48" activePane="bottomLeft" state="frozen"/>
      <selection pane="bottomLeft" activeCell="B13" sqref="B13"/>
    </sheetView>
  </sheetViews>
  <sheetFormatPr defaultColWidth="10.28515625" defaultRowHeight="14.1"/>
  <cols>
    <col min="1" max="1" width="40.28515625" style="19" bestFit="1" customWidth="1"/>
    <col min="2" max="2" width="14.140625" style="19" customWidth="1"/>
    <col min="3" max="5" width="13.42578125" style="19" customWidth="1"/>
    <col min="6" max="6" width="13.140625" style="19" customWidth="1"/>
    <col min="7" max="9" width="13.7109375" style="19" customWidth="1"/>
    <col min="10" max="10" width="14.140625" style="19" customWidth="1"/>
    <col min="11" max="11" width="15.140625" style="21" customWidth="1"/>
    <col min="12" max="12" width="17" style="21" hidden="1" customWidth="1"/>
    <col min="13" max="13" width="14.140625" style="19" hidden="1" customWidth="1"/>
    <col min="14" max="14" width="21.42578125" style="19" bestFit="1" customWidth="1"/>
    <col min="15" max="15" width="32.140625" style="19" customWidth="1"/>
    <col min="16" max="16" width="42.7109375" style="19" bestFit="1" customWidth="1"/>
    <col min="17" max="23" width="0" style="19" hidden="1" customWidth="1"/>
    <col min="24" max="24" width="15.28515625" style="19" bestFit="1" customWidth="1"/>
    <col min="25" max="25" width="17.42578125" style="19" bestFit="1" customWidth="1"/>
    <col min="26" max="33" width="0" style="19" hidden="1" customWidth="1"/>
    <col min="34" max="34" width="30.140625" style="19" customWidth="1"/>
    <col min="35" max="35" width="17.28515625" style="19" customWidth="1"/>
    <col min="36" max="36" width="17" style="19" customWidth="1"/>
    <col min="37" max="37" width="15.7109375" style="19" customWidth="1"/>
    <col min="38" max="38" width="16.28515625" style="19" customWidth="1"/>
    <col min="39" max="39" width="15.7109375" style="19" customWidth="1"/>
    <col min="40" max="40" width="17.42578125" style="19" customWidth="1"/>
    <col min="41" max="41" width="14.140625" style="19" customWidth="1"/>
    <col min="42" max="16384" width="10.28515625" style="19"/>
  </cols>
  <sheetData>
    <row r="1" spans="1:44">
      <c r="C1" s="45"/>
      <c r="D1" s="45"/>
      <c r="E1" s="45"/>
      <c r="F1" s="45"/>
      <c r="G1" s="45"/>
      <c r="H1" s="45"/>
      <c r="I1" s="45"/>
      <c r="J1" s="45"/>
      <c r="K1" s="45"/>
      <c r="L1" s="45"/>
      <c r="M1" s="45"/>
      <c r="N1"/>
      <c r="O1"/>
    </row>
    <row r="2" spans="1:44">
      <c r="G2" s="1467" t="s">
        <v>1422</v>
      </c>
      <c r="H2" s="1467"/>
      <c r="I2" s="1467"/>
      <c r="J2" s="1467"/>
      <c r="K2" s="22"/>
      <c r="L2" s="22"/>
      <c r="M2" s="22"/>
      <c r="N2" s="22"/>
      <c r="O2" s="22"/>
    </row>
    <row r="3" spans="1:44">
      <c r="G3" s="19" t="s">
        <v>1423</v>
      </c>
      <c r="H3" s="19" t="e" vm="1">
        <v>#VALUE!</v>
      </c>
      <c r="M3"/>
      <c r="N3"/>
      <c r="O3"/>
    </row>
    <row r="4" spans="1:44">
      <c r="D4" s="1467" t="s">
        <v>1424</v>
      </c>
      <c r="E4" s="1467"/>
      <c r="F4" s="1467"/>
      <c r="G4" s="1467"/>
      <c r="H4" s="1467"/>
      <c r="I4" s="1467"/>
      <c r="J4" s="1467"/>
      <c r="K4" s="1467"/>
      <c r="L4" s="1467"/>
      <c r="M4" s="1467"/>
      <c r="N4"/>
      <c r="O4"/>
    </row>
    <row r="5" spans="1:44">
      <c r="A5" s="45" t="s">
        <v>1425</v>
      </c>
      <c r="B5" s="45">
        <f>OP!J21</f>
        <v>2023</v>
      </c>
      <c r="C5" s="284">
        <f>B5-1</f>
        <v>2022</v>
      </c>
      <c r="D5" s="284">
        <f t="shared" ref="D5:M5" si="0">C5-1</f>
        <v>2021</v>
      </c>
      <c r="E5" s="284">
        <f t="shared" si="0"/>
        <v>2020</v>
      </c>
      <c r="F5" s="284">
        <f t="shared" si="0"/>
        <v>2019</v>
      </c>
      <c r="G5" s="284">
        <f t="shared" si="0"/>
        <v>2018</v>
      </c>
      <c r="H5" s="284">
        <f t="shared" si="0"/>
        <v>2017</v>
      </c>
      <c r="I5" s="284">
        <f t="shared" si="0"/>
        <v>2016</v>
      </c>
      <c r="J5" s="284">
        <f t="shared" si="0"/>
        <v>2015</v>
      </c>
      <c r="K5" s="284">
        <f t="shared" si="0"/>
        <v>2014</v>
      </c>
      <c r="L5" s="284">
        <f t="shared" si="0"/>
        <v>2013</v>
      </c>
      <c r="M5" s="284">
        <f t="shared" si="0"/>
        <v>2012</v>
      </c>
      <c r="N5"/>
      <c r="O5"/>
      <c r="Q5" s="9" t="s">
        <v>1426</v>
      </c>
      <c r="R5" s="1468" t="s">
        <v>1427</v>
      </c>
      <c r="S5" s="1468"/>
      <c r="T5" s="19" t="s">
        <v>1428</v>
      </c>
      <c r="Z5" s="45">
        <v>2016</v>
      </c>
      <c r="AA5" s="45">
        <v>2015</v>
      </c>
      <c r="AB5" s="45">
        <v>2014</v>
      </c>
      <c r="AC5" s="45">
        <v>2013</v>
      </c>
      <c r="AD5" s="45">
        <v>2012</v>
      </c>
      <c r="AE5" s="45">
        <v>2011</v>
      </c>
      <c r="AF5" s="45">
        <v>2010</v>
      </c>
      <c r="AG5" s="45">
        <v>2009</v>
      </c>
    </row>
    <row r="6" spans="1:44">
      <c r="A6" s="23" t="s">
        <v>135</v>
      </c>
      <c r="B6" s="683">
        <v>4064</v>
      </c>
      <c r="C6" s="683">
        <v>1189.5999999999999</v>
      </c>
      <c r="D6" s="683">
        <v>175.8</v>
      </c>
      <c r="E6" s="683">
        <v>84.1</v>
      </c>
      <c r="F6" s="683">
        <v>42.8</v>
      </c>
      <c r="G6" s="683">
        <v>10.199999999999999</v>
      </c>
      <c r="H6" s="683">
        <v>0</v>
      </c>
      <c r="I6" s="683">
        <v>0</v>
      </c>
      <c r="J6" s="683">
        <v>0.1</v>
      </c>
      <c r="K6" s="683">
        <v>0.3</v>
      </c>
      <c r="L6" s="251">
        <v>4884</v>
      </c>
      <c r="M6" s="251"/>
      <c r="N6" s="25" t="s">
        <v>1429</v>
      </c>
      <c r="O6" t="s">
        <v>843</v>
      </c>
      <c r="P6"/>
      <c r="Q6" s="19" t="s">
        <v>1430</v>
      </c>
      <c r="R6" s="19" t="s">
        <v>1430</v>
      </c>
      <c r="X6" s="26"/>
      <c r="Y6" s="26"/>
      <c r="Z6" s="24">
        <v>38537</v>
      </c>
      <c r="AA6" s="24">
        <v>47011</v>
      </c>
      <c r="AB6" s="24">
        <v>55184</v>
      </c>
      <c r="AC6" s="24">
        <v>55656</v>
      </c>
      <c r="AD6" s="24">
        <v>65875</v>
      </c>
      <c r="AE6" s="24">
        <v>60138</v>
      </c>
      <c r="AF6" s="24">
        <v>42588</v>
      </c>
      <c r="AG6" s="24">
        <v>32396</v>
      </c>
    </row>
    <row r="7" spans="1:44">
      <c r="A7" s="23" t="s">
        <v>1219</v>
      </c>
      <c r="B7" s="683">
        <v>3287.8</v>
      </c>
      <c r="C7" s="683">
        <v>811.2</v>
      </c>
      <c r="D7" s="683">
        <v>20.100000000000001</v>
      </c>
      <c r="E7" s="683">
        <v>-27.9</v>
      </c>
      <c r="F7" s="683">
        <v>6.2</v>
      </c>
      <c r="G7" s="683">
        <v>4</v>
      </c>
      <c r="H7" s="683">
        <v>0</v>
      </c>
      <c r="I7" s="683">
        <v>0</v>
      </c>
      <c r="J7" s="683">
        <v>0</v>
      </c>
      <c r="K7" s="683">
        <v>0</v>
      </c>
      <c r="L7" s="251">
        <v>1681</v>
      </c>
      <c r="M7" s="251"/>
      <c r="N7" s="25" t="s">
        <v>1429</v>
      </c>
      <c r="O7" t="str">
        <f>+A7</f>
        <v>Gross Profit</v>
      </c>
      <c r="P7"/>
      <c r="Q7" s="19" t="s">
        <v>1430</v>
      </c>
      <c r="R7" s="19" t="s">
        <v>1431</v>
      </c>
      <c r="Z7" s="28">
        <f>Z6-28044</f>
        <v>10493</v>
      </c>
      <c r="AA7" s="28">
        <f>AA6-33546</f>
        <v>13465</v>
      </c>
      <c r="AB7" s="28">
        <f>AB6-40718</f>
        <v>14466</v>
      </c>
      <c r="AC7" s="28">
        <f>AC6-40727</f>
        <v>14929</v>
      </c>
      <c r="AD7" s="29">
        <f>+AD6-47055</f>
        <v>18820</v>
      </c>
      <c r="AE7" s="29">
        <f>+AE6-43578</f>
        <v>16560</v>
      </c>
      <c r="AF7" s="29">
        <f>+AF6-30367</f>
        <v>12221</v>
      </c>
      <c r="AG7" s="29">
        <f>+AG6-23886</f>
        <v>8510</v>
      </c>
    </row>
    <row r="8" spans="1:44">
      <c r="A8" s="23" t="s">
        <v>312</v>
      </c>
      <c r="B8" s="683">
        <v>3211.9</v>
      </c>
      <c r="C8" s="683">
        <v>731.9</v>
      </c>
      <c r="D8" s="683">
        <v>-35</v>
      </c>
      <c r="E8" s="683">
        <v>-71.599999999999994</v>
      </c>
      <c r="F8" s="683">
        <v>-18.5</v>
      </c>
      <c r="G8" s="683">
        <v>-16.899999999999999</v>
      </c>
      <c r="H8" s="683">
        <v>-28</v>
      </c>
      <c r="I8" s="683">
        <v>-53.2</v>
      </c>
      <c r="J8" s="683">
        <v>-5.2</v>
      </c>
      <c r="K8" s="683">
        <v>-3</v>
      </c>
      <c r="L8" s="285">
        <v>718</v>
      </c>
      <c r="M8" s="285"/>
      <c r="N8" s="25" t="s">
        <v>1429</v>
      </c>
      <c r="O8" t="s">
        <v>312</v>
      </c>
      <c r="P8"/>
      <c r="Q8" s="19" t="s">
        <v>1430</v>
      </c>
      <c r="R8" s="30" t="s">
        <v>1432</v>
      </c>
      <c r="Z8" s="28">
        <f>Z7-4383</f>
        <v>6110</v>
      </c>
      <c r="AA8" s="28">
        <f>AA7-4951</f>
        <v>8514</v>
      </c>
      <c r="AB8" s="28">
        <f>AB7-6529</f>
        <v>7937</v>
      </c>
      <c r="AC8" s="28">
        <f>AC7-5547</f>
        <v>9382</v>
      </c>
      <c r="AD8" s="29">
        <f>AD7-5919-2466-797-580-485</f>
        <v>8573</v>
      </c>
      <c r="AE8" s="29">
        <f>+AE7-5203-2297-826-1081</f>
        <v>7153</v>
      </c>
      <c r="AF8" s="29">
        <f>+AF7-4248-1905-914-1191</f>
        <v>3963</v>
      </c>
      <c r="AG8" s="29">
        <f>+AG7-3645-1421-1045-1822</f>
        <v>577</v>
      </c>
    </row>
    <row r="9" spans="1:44">
      <c r="A9" s="23" t="s">
        <v>1223</v>
      </c>
      <c r="B9" s="683">
        <f t="shared" ref="B9:K9" si="1">B105+B106+B107</f>
        <v>114.69999999999963</v>
      </c>
      <c r="C9" s="683">
        <f t="shared" si="1"/>
        <v>5.5999999999998629</v>
      </c>
      <c r="D9" s="683">
        <f t="shared" si="1"/>
        <v>-1.2999999999999989</v>
      </c>
      <c r="E9" s="683">
        <f t="shared" si="1"/>
        <v>-5.2000000000000082</v>
      </c>
      <c r="F9" s="683">
        <f t="shared" si="1"/>
        <v>-6.5</v>
      </c>
      <c r="G9" s="683">
        <f t="shared" si="1"/>
        <v>-4</v>
      </c>
      <c r="H9" s="683">
        <f t="shared" si="1"/>
        <v>-0.10000000000000142</v>
      </c>
      <c r="I9" s="683">
        <f t="shared" si="1"/>
        <v>0</v>
      </c>
      <c r="J9" s="683">
        <f t="shared" si="1"/>
        <v>-0.19999999999999965</v>
      </c>
      <c r="K9" s="683">
        <f t="shared" si="1"/>
        <v>0</v>
      </c>
      <c r="L9" s="251">
        <v>0</v>
      </c>
      <c r="M9" s="251"/>
      <c r="N9" s="25" t="s">
        <v>1429</v>
      </c>
      <c r="O9" t="s">
        <v>1433</v>
      </c>
      <c r="P9"/>
      <c r="Q9" s="19" t="s">
        <v>1430</v>
      </c>
      <c r="R9" s="19" t="s">
        <v>1434</v>
      </c>
      <c r="S9" s="19" t="s">
        <v>1435</v>
      </c>
      <c r="T9" s="19" t="s">
        <v>1436</v>
      </c>
      <c r="U9" s="19" t="s">
        <v>1437</v>
      </c>
      <c r="V9" s="19" t="s">
        <v>1438</v>
      </c>
      <c r="Z9" s="28">
        <f>1853+596+595+1904+6+8</f>
        <v>4962</v>
      </c>
      <c r="AA9" s="28">
        <f>2119+587+2023+11</f>
        <v>4740</v>
      </c>
      <c r="AB9" s="28">
        <f>2380+624+1619-8+16</f>
        <v>4631</v>
      </c>
      <c r="AC9" s="28">
        <f>2046+727+981+6+14</f>
        <v>3774</v>
      </c>
      <c r="AD9" s="29">
        <f>-14+41</f>
        <v>27</v>
      </c>
      <c r="AE9" s="28">
        <v>53</v>
      </c>
      <c r="AF9" s="28">
        <f>58+24</f>
        <v>82</v>
      </c>
      <c r="AG9" s="28">
        <f>12-68</f>
        <v>-56</v>
      </c>
    </row>
    <row r="10" spans="1:44">
      <c r="A10" s="23" t="s">
        <v>313</v>
      </c>
      <c r="B10" s="683">
        <f t="shared" ref="B10:K10" si="2">SUM(B97:B98)</f>
        <v>44.900000000000006</v>
      </c>
      <c r="C10" s="683">
        <f t="shared" si="2"/>
        <v>-12.5</v>
      </c>
      <c r="D10" s="683">
        <f t="shared" si="2"/>
        <v>-15.100000000000001</v>
      </c>
      <c r="E10" s="683">
        <f t="shared" si="2"/>
        <v>-22.5</v>
      </c>
      <c r="F10" s="683">
        <f t="shared" si="2"/>
        <v>-3.9</v>
      </c>
      <c r="G10" s="683">
        <f t="shared" si="2"/>
        <v>1.5000000000000002</v>
      </c>
      <c r="H10" s="683">
        <f t="shared" si="2"/>
        <v>2.1</v>
      </c>
      <c r="I10" s="683">
        <f t="shared" si="2"/>
        <v>-2.1999999999999997</v>
      </c>
      <c r="J10" s="683">
        <f t="shared" si="2"/>
        <v>-0.2</v>
      </c>
      <c r="K10" s="683">
        <f t="shared" si="2"/>
        <v>-0.2</v>
      </c>
      <c r="L10" s="251">
        <v>-67</v>
      </c>
      <c r="M10" s="251"/>
      <c r="N10" s="25" t="s">
        <v>1429</v>
      </c>
      <c r="O10" t="s">
        <v>1439</v>
      </c>
      <c r="P10"/>
      <c r="Q10" s="19" t="s">
        <v>1430</v>
      </c>
      <c r="R10" s="19" t="s">
        <v>1440</v>
      </c>
      <c r="Z10" s="28">
        <f>505+518</f>
        <v>1023</v>
      </c>
      <c r="AA10" s="28">
        <f>507-161</f>
        <v>346</v>
      </c>
      <c r="AB10" s="28">
        <f>484-322</f>
        <v>162</v>
      </c>
      <c r="AC10" s="28">
        <f>465+35</f>
        <v>500</v>
      </c>
      <c r="AD10" s="29">
        <f>467-130</f>
        <v>337</v>
      </c>
      <c r="AE10" s="28">
        <f>396+32</f>
        <v>428</v>
      </c>
      <c r="AF10" s="28">
        <f>343-130</f>
        <v>213</v>
      </c>
      <c r="AG10" s="28">
        <f>389-381</f>
        <v>8</v>
      </c>
    </row>
    <row r="11" spans="1:44">
      <c r="A11" s="23" t="s">
        <v>314</v>
      </c>
      <c r="B11" s="683">
        <v>-980.4</v>
      </c>
      <c r="C11" s="683">
        <v>-163.19999999999999</v>
      </c>
      <c r="D11" s="683">
        <v>0</v>
      </c>
      <c r="E11" s="683">
        <v>0</v>
      </c>
      <c r="F11" s="683">
        <v>0</v>
      </c>
      <c r="G11" s="683">
        <v>0</v>
      </c>
      <c r="H11" s="683">
        <v>0</v>
      </c>
      <c r="I11" s="683">
        <v>-0.2</v>
      </c>
      <c r="J11" s="683">
        <v>0.1</v>
      </c>
      <c r="K11" s="683">
        <v>0</v>
      </c>
      <c r="L11" s="251">
        <v>82</v>
      </c>
      <c r="M11" s="251"/>
      <c r="N11" s="25" t="s">
        <v>1429</v>
      </c>
      <c r="O11" t="s">
        <v>314</v>
      </c>
      <c r="P11" s="705"/>
      <c r="Q11" s="19" t="s">
        <v>1430</v>
      </c>
      <c r="R11" s="19" t="s">
        <v>1441</v>
      </c>
      <c r="Z11" s="24">
        <v>192</v>
      </c>
      <c r="AA11" s="24">
        <v>916</v>
      </c>
      <c r="AB11" s="24">
        <v>692</v>
      </c>
      <c r="AC11" s="24">
        <v>1319</v>
      </c>
      <c r="AD11" s="27">
        <f>2528</f>
        <v>2528</v>
      </c>
      <c r="AE11" s="24">
        <f>1720</f>
        <v>1720</v>
      </c>
      <c r="AF11" s="24">
        <f>968</f>
        <v>968</v>
      </c>
      <c r="AG11" s="24">
        <f>-270</f>
        <v>-270</v>
      </c>
    </row>
    <row r="12" spans="1:44">
      <c r="A12" s="23" t="s">
        <v>75</v>
      </c>
      <c r="B12" s="683">
        <v>2391.1</v>
      </c>
      <c r="C12" s="683">
        <v>561.79999999999995</v>
      </c>
      <c r="D12" s="683">
        <v>-51.4</v>
      </c>
      <c r="E12" s="683">
        <v>-99.3</v>
      </c>
      <c r="F12" s="683">
        <v>-28.9</v>
      </c>
      <c r="G12" s="683">
        <v>-19.399999999999999</v>
      </c>
      <c r="H12" s="683">
        <v>-26</v>
      </c>
      <c r="I12" s="683">
        <v>-55.6</v>
      </c>
      <c r="J12" s="683">
        <v>-5.5</v>
      </c>
      <c r="K12" s="683">
        <v>-3.2</v>
      </c>
      <c r="L12" s="251">
        <v>569</v>
      </c>
      <c r="M12" s="251"/>
      <c r="N12" s="25" t="s">
        <v>1429</v>
      </c>
      <c r="O12" t="s">
        <v>75</v>
      </c>
      <c r="P12"/>
      <c r="Q12" s="19" t="s">
        <v>1442</v>
      </c>
      <c r="R12" s="19" t="s">
        <v>1443</v>
      </c>
      <c r="Z12" s="24">
        <v>-67</v>
      </c>
      <c r="AA12" s="24">
        <v>2512</v>
      </c>
      <c r="AB12" s="24">
        <v>2452</v>
      </c>
      <c r="AC12" s="24">
        <v>3789</v>
      </c>
      <c r="AD12" s="24">
        <v>5681</v>
      </c>
      <c r="AE12" s="24">
        <f>4928+24</f>
        <v>4952</v>
      </c>
      <c r="AF12" s="24">
        <v>2700</v>
      </c>
      <c r="AG12" s="24">
        <v>895</v>
      </c>
    </row>
    <row r="13" spans="1:44">
      <c r="B13" s="286">
        <f t="shared" ref="B13:L13" si="3">SUM(B8:B11)</f>
        <v>2391.1</v>
      </c>
      <c r="C13" s="286">
        <f t="shared" si="3"/>
        <v>561.79999999999995</v>
      </c>
      <c r="D13" s="286">
        <f t="shared" si="3"/>
        <v>-51.4</v>
      </c>
      <c r="E13" s="286">
        <f t="shared" si="3"/>
        <v>-99.3</v>
      </c>
      <c r="F13" s="286">
        <f t="shared" si="3"/>
        <v>-28.9</v>
      </c>
      <c r="G13" s="286">
        <f t="shared" si="3"/>
        <v>-19.399999999999999</v>
      </c>
      <c r="H13" s="286">
        <f t="shared" si="3"/>
        <v>-26</v>
      </c>
      <c r="I13" s="286">
        <f t="shared" si="3"/>
        <v>-55.600000000000009</v>
      </c>
      <c r="J13" s="286">
        <f t="shared" si="3"/>
        <v>-5.5</v>
      </c>
      <c r="K13" s="286">
        <f t="shared" si="3"/>
        <v>-3.2</v>
      </c>
      <c r="L13" s="286">
        <f t="shared" si="3"/>
        <v>733</v>
      </c>
      <c r="M13" s="286">
        <f t="shared" ref="M13" si="4">SUM(M8:M11)</f>
        <v>0</v>
      </c>
      <c r="N13"/>
      <c r="O13"/>
      <c r="P13"/>
      <c r="Z13" s="21">
        <f t="shared" ref="Z13:AG13" si="5">Z8-Z10-Z9-Z11</f>
        <v>-67</v>
      </c>
      <c r="AA13" s="21">
        <f t="shared" si="5"/>
        <v>2512</v>
      </c>
      <c r="AB13" s="21">
        <f t="shared" si="5"/>
        <v>2452</v>
      </c>
      <c r="AC13" s="21">
        <f t="shared" si="5"/>
        <v>3789</v>
      </c>
      <c r="AD13" s="21">
        <f t="shared" si="5"/>
        <v>5681</v>
      </c>
      <c r="AE13" s="21">
        <f t="shared" si="5"/>
        <v>4952</v>
      </c>
      <c r="AF13" s="21">
        <f t="shared" si="5"/>
        <v>2700</v>
      </c>
      <c r="AG13" s="21">
        <f t="shared" si="5"/>
        <v>895</v>
      </c>
    </row>
    <row r="14" spans="1:44">
      <c r="A14" s="45" t="s">
        <v>1444</v>
      </c>
      <c r="B14" s="287">
        <f t="shared" ref="B14:L14" si="6">B12-B13</f>
        <v>0</v>
      </c>
      <c r="C14" s="287">
        <f t="shared" si="6"/>
        <v>0</v>
      </c>
      <c r="D14" s="287">
        <f t="shared" si="6"/>
        <v>0</v>
      </c>
      <c r="E14" s="287">
        <f t="shared" si="6"/>
        <v>0</v>
      </c>
      <c r="F14" s="287">
        <f t="shared" si="6"/>
        <v>0</v>
      </c>
      <c r="G14" s="287">
        <f t="shared" si="6"/>
        <v>0</v>
      </c>
      <c r="H14" s="287">
        <f t="shared" si="6"/>
        <v>0</v>
      </c>
      <c r="I14" s="287">
        <f t="shared" si="6"/>
        <v>0</v>
      </c>
      <c r="J14" s="287">
        <f t="shared" si="6"/>
        <v>0</v>
      </c>
      <c r="K14" s="287">
        <f t="shared" si="6"/>
        <v>0</v>
      </c>
      <c r="L14" s="287">
        <f t="shared" si="6"/>
        <v>-164</v>
      </c>
      <c r="M14" s="287">
        <f t="shared" ref="M14" si="7">M12-M13</f>
        <v>0</v>
      </c>
      <c r="N14"/>
      <c r="O14"/>
      <c r="P14"/>
      <c r="Q14"/>
      <c r="R14"/>
      <c r="S14"/>
      <c r="T14"/>
      <c r="U14"/>
      <c r="V14"/>
      <c r="W14"/>
      <c r="X14"/>
      <c r="Y14"/>
      <c r="Z14"/>
      <c r="AA14"/>
      <c r="AB14"/>
      <c r="AC14"/>
      <c r="AD14"/>
      <c r="AE14"/>
      <c r="AF14"/>
      <c r="AG14"/>
      <c r="AH14"/>
      <c r="AI14"/>
      <c r="AJ14"/>
      <c r="AK14"/>
      <c r="AL14"/>
      <c r="AM14"/>
      <c r="AN14"/>
      <c r="AO14"/>
      <c r="AP14"/>
      <c r="AQ14"/>
      <c r="AR14"/>
    </row>
    <row r="15" spans="1:44">
      <c r="A15"/>
      <c r="B15" s="290"/>
      <c r="C15" s="290"/>
      <c r="D15" s="290"/>
      <c r="E15" s="290"/>
      <c r="F15" s="290"/>
      <c r="G15" s="290"/>
      <c r="H15" s="290"/>
      <c r="I15" s="290"/>
      <c r="J15" s="290"/>
      <c r="K15" s="290"/>
      <c r="L15" s="290"/>
      <c r="M15" s="290"/>
      <c r="N15"/>
      <c r="O15"/>
      <c r="P15"/>
      <c r="Q15"/>
      <c r="R15"/>
      <c r="S15"/>
      <c r="T15"/>
      <c r="U15"/>
      <c r="V15"/>
      <c r="W15"/>
      <c r="X15"/>
      <c r="Y15"/>
      <c r="Z15"/>
      <c r="AA15"/>
      <c r="AB15"/>
      <c r="AC15"/>
      <c r="AD15"/>
      <c r="AE15"/>
      <c r="AF15"/>
      <c r="AG15"/>
      <c r="AH15"/>
      <c r="AI15"/>
      <c r="AJ15"/>
      <c r="AK15"/>
      <c r="AL15"/>
      <c r="AM15"/>
      <c r="AN15"/>
      <c r="AO15"/>
      <c r="AP15"/>
      <c r="AQ15"/>
      <c r="AR15"/>
    </row>
    <row r="16" spans="1:44">
      <c r="A16" s="23" t="s">
        <v>1445</v>
      </c>
      <c r="B16" s="683">
        <v>2992.2</v>
      </c>
      <c r="C16" s="683">
        <v>2960</v>
      </c>
      <c r="D16" s="683">
        <v>2760.4</v>
      </c>
      <c r="E16" s="683">
        <v>2280.3000000000002</v>
      </c>
      <c r="F16" s="683">
        <v>1901.9</v>
      </c>
      <c r="G16" s="683">
        <v>1747.8</v>
      </c>
      <c r="H16" s="683">
        <v>1319.8</v>
      </c>
      <c r="I16" s="683">
        <v>883.4</v>
      </c>
      <c r="J16" s="683">
        <v>632.5</v>
      </c>
      <c r="K16" s="683">
        <v>298.7</v>
      </c>
      <c r="L16" s="288">
        <v>1443</v>
      </c>
      <c r="M16" s="288"/>
      <c r="N16"/>
      <c r="O16"/>
      <c r="P16"/>
      <c r="Q16"/>
      <c r="R16"/>
      <c r="S16"/>
      <c r="T16"/>
      <c r="U16"/>
      <c r="V16"/>
      <c r="W16"/>
      <c r="X16"/>
      <c r="Y16"/>
      <c r="Z16"/>
      <c r="AA16"/>
      <c r="AB16"/>
      <c r="AC16"/>
      <c r="AD16"/>
      <c r="AE16"/>
      <c r="AF16"/>
      <c r="AG16"/>
      <c r="AH16"/>
      <c r="AI16"/>
      <c r="AJ16"/>
      <c r="AK16"/>
      <c r="AL16"/>
      <c r="AM16"/>
      <c r="AN16"/>
      <c r="AO16"/>
      <c r="AP16"/>
      <c r="AQ16"/>
      <c r="AR16"/>
    </row>
    <row r="17" spans="1:152">
      <c r="A17" s="23" t="s">
        <v>1446</v>
      </c>
      <c r="B17" s="683">
        <v>3029.5</v>
      </c>
      <c r="C17" s="683">
        <v>3041.1</v>
      </c>
      <c r="D17" s="683">
        <v>2760.4</v>
      </c>
      <c r="E17" s="683">
        <v>2280.3000000000002</v>
      </c>
      <c r="F17" s="683">
        <v>1901.9</v>
      </c>
      <c r="G17" s="683">
        <v>1747.8</v>
      </c>
      <c r="H17" s="683">
        <v>1319.8</v>
      </c>
      <c r="I17" s="683">
        <v>883.4</v>
      </c>
      <c r="J17" s="683">
        <v>632.5</v>
      </c>
      <c r="K17" s="683">
        <v>298.7</v>
      </c>
      <c r="L17" s="288">
        <v>1447</v>
      </c>
      <c r="M17" s="288"/>
      <c r="N17"/>
      <c r="O17"/>
      <c r="P17"/>
      <c r="Q17"/>
      <c r="R17"/>
      <c r="S17"/>
      <c r="T17"/>
      <c r="U17"/>
      <c r="V17"/>
      <c r="W17"/>
      <c r="X17"/>
      <c r="Y17"/>
      <c r="Z17"/>
      <c r="AA17"/>
      <c r="AB17"/>
      <c r="AC17"/>
      <c r="AD17"/>
      <c r="AE17"/>
      <c r="AF17"/>
      <c r="AG17"/>
      <c r="AH17"/>
      <c r="AI17"/>
      <c r="AJ17"/>
      <c r="AK17"/>
      <c r="AL17"/>
      <c r="AM17"/>
      <c r="AN17"/>
      <c r="AO17"/>
      <c r="AP17"/>
      <c r="AQ17"/>
      <c r="AR17"/>
    </row>
    <row r="18" spans="1:152" customFormat="1" ht="12.95">
      <c r="B18" s="290"/>
      <c r="C18" s="290"/>
      <c r="D18" s="290"/>
      <c r="E18" s="290"/>
      <c r="F18" s="290"/>
      <c r="G18" s="290"/>
      <c r="H18" s="290"/>
      <c r="I18" s="290"/>
      <c r="J18" s="290"/>
      <c r="K18" s="290"/>
      <c r="L18" s="290"/>
      <c r="M18" s="290"/>
    </row>
    <row r="19" spans="1:152">
      <c r="A19" s="23" t="s">
        <v>1447</v>
      </c>
      <c r="B19" s="288">
        <v>1.865</v>
      </c>
      <c r="C19" s="288">
        <v>1.1879999999999999</v>
      </c>
      <c r="D19" s="288">
        <v>0</v>
      </c>
      <c r="E19" s="288">
        <v>0</v>
      </c>
      <c r="F19" s="288">
        <v>0</v>
      </c>
      <c r="G19" s="288">
        <v>0</v>
      </c>
      <c r="H19" s="288">
        <v>0</v>
      </c>
      <c r="I19" s="288">
        <v>0</v>
      </c>
      <c r="J19" s="288">
        <v>0</v>
      </c>
      <c r="K19" s="288">
        <v>-6.8072999999999995E-2</v>
      </c>
      <c r="L19" s="251" t="str">
        <f t="shared" ref="L19" si="8">L76</f>
        <v>--</v>
      </c>
      <c r="M19" s="251"/>
      <c r="N19"/>
      <c r="O19"/>
      <c r="P19"/>
      <c r="Q19"/>
      <c r="R19"/>
      <c r="S19"/>
      <c r="T19"/>
      <c r="U19"/>
      <c r="V19"/>
      <c r="W19"/>
      <c r="X19"/>
      <c r="Y19"/>
      <c r="Z19"/>
      <c r="AA19"/>
      <c r="AB19"/>
      <c r="AC19"/>
      <c r="AD19"/>
      <c r="AE19"/>
      <c r="AF19"/>
      <c r="AG19"/>
      <c r="AH19"/>
      <c r="AI19"/>
      <c r="AJ19"/>
      <c r="AK19"/>
      <c r="AL19"/>
      <c r="AM19"/>
      <c r="AN19"/>
      <c r="AO19"/>
      <c r="AP19"/>
      <c r="AQ19"/>
      <c r="AR19"/>
    </row>
    <row r="20" spans="1:152">
      <c r="A20" s="762" t="s">
        <v>1448</v>
      </c>
      <c r="B20" s="288">
        <v>2387.3710000000001</v>
      </c>
      <c r="C20" s="288">
        <v>563.01300000000003</v>
      </c>
      <c r="D20" s="288">
        <v>-51.448</v>
      </c>
      <c r="E20" s="288">
        <v>-99.262</v>
      </c>
      <c r="F20" s="288">
        <v>-28.916</v>
      </c>
      <c r="G20" s="288">
        <v>-19.414999999999999</v>
      </c>
      <c r="H20" s="288">
        <v>-25.954000000000001</v>
      </c>
      <c r="I20" s="761">
        <v>-55.606999999999999</v>
      </c>
      <c r="J20" s="288">
        <v>-6.62</v>
      </c>
      <c r="K20" s="288">
        <v>-3.2553809999999999</v>
      </c>
      <c r="L20" s="251"/>
      <c r="M20" s="251"/>
      <c r="N20"/>
      <c r="O20" t="s">
        <v>1449</v>
      </c>
      <c r="P20"/>
      <c r="Q20"/>
      <c r="R20"/>
      <c r="S20"/>
      <c r="T20"/>
      <c r="U20"/>
      <c r="V20"/>
      <c r="W20"/>
      <c r="X20"/>
      <c r="Y20"/>
      <c r="Z20"/>
      <c r="AA20"/>
      <c r="AB20"/>
      <c r="AC20"/>
      <c r="AD20"/>
      <c r="AE20"/>
      <c r="AF20"/>
      <c r="AG20"/>
      <c r="AH20"/>
      <c r="AI20"/>
      <c r="AJ20"/>
      <c r="AK20"/>
      <c r="AL20"/>
      <c r="AM20"/>
      <c r="AN20"/>
      <c r="AO20"/>
      <c r="AP20"/>
      <c r="AQ20"/>
      <c r="AR20"/>
    </row>
    <row r="21" spans="1:152" customFormat="1" ht="12.95">
      <c r="B21" s="290"/>
      <c r="C21" s="290"/>
      <c r="D21" s="290"/>
      <c r="E21" s="290"/>
      <c r="F21" s="290"/>
      <c r="G21" s="290"/>
      <c r="H21" s="290"/>
      <c r="I21" s="290"/>
      <c r="J21" s="290"/>
      <c r="K21" s="290"/>
      <c r="L21" s="290"/>
      <c r="M21" s="290"/>
    </row>
    <row r="22" spans="1:152">
      <c r="A22" s="19" t="s">
        <v>1224</v>
      </c>
      <c r="B22" s="286">
        <f>B23-C23</f>
        <v>-852.89999999999975</v>
      </c>
      <c r="C22" s="286">
        <f t="shared" ref="C22:K22" si="9">C23-D23</f>
        <v>201.00000000000011</v>
      </c>
      <c r="D22" s="286">
        <f t="shared" si="9"/>
        <v>-86.499999999999986</v>
      </c>
      <c r="E22" s="286">
        <f>E23-F23</f>
        <v>-15.40000000000002</v>
      </c>
      <c r="F22" s="286">
        <f t="shared" si="9"/>
        <v>35.000000000000014</v>
      </c>
      <c r="G22" s="286">
        <f t="shared" si="9"/>
        <v>-145.10000000000002</v>
      </c>
      <c r="H22" s="286">
        <f t="shared" si="9"/>
        <v>123.50000000000003</v>
      </c>
      <c r="I22" s="286">
        <f t="shared" si="9"/>
        <v>4.3000000000000007</v>
      </c>
      <c r="J22" s="286">
        <f>J23-K23</f>
        <v>1.1999999999999997</v>
      </c>
      <c r="K22" s="286">
        <f t="shared" si="9"/>
        <v>-9.9999999999999867E-2</v>
      </c>
      <c r="L22" s="286" t="e">
        <f>L23-#REF!</f>
        <v>#REF!</v>
      </c>
      <c r="M22" s="286">
        <f>M23-N23</f>
        <v>0</v>
      </c>
      <c r="N22" s="31" t="s">
        <v>1450</v>
      </c>
      <c r="O22" t="s">
        <v>1451</v>
      </c>
      <c r="P22"/>
      <c r="Q22"/>
      <c r="R22"/>
      <c r="S22"/>
      <c r="T22"/>
      <c r="U22"/>
      <c r="V22"/>
      <c r="W22"/>
      <c r="X22"/>
      <c r="Y22"/>
      <c r="Z22"/>
      <c r="AA22"/>
      <c r="AB22"/>
      <c r="AC22"/>
      <c r="AD22"/>
      <c r="AE22"/>
      <c r="AF22"/>
      <c r="AG22"/>
      <c r="AH22"/>
      <c r="AI22"/>
      <c r="AJ22"/>
      <c r="AK22"/>
      <c r="AL22"/>
      <c r="AM22"/>
      <c r="AN22"/>
      <c r="AO22"/>
      <c r="AP22"/>
      <c r="AQ22"/>
      <c r="AR22"/>
    </row>
    <row r="23" spans="1:152">
      <c r="A23" s="23" t="s">
        <v>1452</v>
      </c>
      <c r="B23" s="251">
        <f>B27-B42-B28</f>
        <v>-736.89999999999964</v>
      </c>
      <c r="C23" s="251">
        <f t="shared" ref="C23" si="10">C27-C42-C28</f>
        <v>116.00000000000011</v>
      </c>
      <c r="D23" s="251">
        <f t="shared" ref="D23:L23" si="11">D27-D42-D28</f>
        <v>-85</v>
      </c>
      <c r="E23" s="251">
        <f t="shared" si="11"/>
        <v>1.4999999999999858</v>
      </c>
      <c r="F23" s="251">
        <f t="shared" si="11"/>
        <v>16.900000000000006</v>
      </c>
      <c r="G23" s="251">
        <f t="shared" si="11"/>
        <v>-18.100000000000009</v>
      </c>
      <c r="H23" s="251">
        <f t="shared" si="11"/>
        <v>127.00000000000003</v>
      </c>
      <c r="I23" s="251">
        <f t="shared" si="11"/>
        <v>3.5</v>
      </c>
      <c r="J23" s="251">
        <f t="shared" si="11"/>
        <v>-0.80000000000000027</v>
      </c>
      <c r="K23" s="251">
        <f t="shared" si="11"/>
        <v>-2</v>
      </c>
      <c r="L23" s="251">
        <f t="shared" si="11"/>
        <v>-1.9000000000000001</v>
      </c>
      <c r="M23" s="251">
        <f t="shared" ref="M23" si="12">M27-M42-M28</f>
        <v>0</v>
      </c>
      <c r="N23" s="31"/>
      <c r="O23"/>
      <c r="P23"/>
      <c r="Q23"/>
      <c r="R23"/>
      <c r="S23"/>
      <c r="T23"/>
      <c r="U23"/>
      <c r="V23"/>
      <c r="W23"/>
      <c r="X23"/>
      <c r="Y23"/>
      <c r="Z23"/>
      <c r="AA23"/>
      <c r="AB23"/>
      <c r="AC23"/>
      <c r="AD23"/>
      <c r="AE23"/>
      <c r="AF23"/>
      <c r="AG23"/>
      <c r="AH23"/>
      <c r="AI23"/>
      <c r="AJ23"/>
      <c r="AK23"/>
      <c r="AL23"/>
      <c r="AM23"/>
      <c r="AN23"/>
      <c r="AO23"/>
      <c r="AP23"/>
      <c r="AQ23"/>
      <c r="AR23"/>
    </row>
    <row r="24" spans="1:152">
      <c r="A24" s="7">
        <v>2625</v>
      </c>
      <c r="B24" s="291">
        <v>2625</v>
      </c>
      <c r="C24" s="291">
        <v>2625</v>
      </c>
      <c r="D24" s="291">
        <v>2625</v>
      </c>
      <c r="E24" s="291">
        <v>2625</v>
      </c>
      <c r="F24" s="291">
        <v>2625</v>
      </c>
      <c r="G24" s="291">
        <v>2625</v>
      </c>
      <c r="H24" s="291">
        <v>2625</v>
      </c>
      <c r="I24" s="291">
        <v>2625</v>
      </c>
      <c r="J24" s="291">
        <v>2625</v>
      </c>
      <c r="K24" s="291">
        <v>2625</v>
      </c>
      <c r="L24" s="291">
        <v>2625</v>
      </c>
      <c r="M24" s="291">
        <v>2625</v>
      </c>
      <c r="N24" s="7">
        <v>2625</v>
      </c>
      <c r="O24"/>
      <c r="P24"/>
      <c r="Q24"/>
      <c r="R24"/>
      <c r="S24"/>
      <c r="T24"/>
      <c r="U24"/>
      <c r="V24"/>
      <c r="W24"/>
      <c r="X24"/>
      <c r="Y24"/>
      <c r="Z24"/>
      <c r="AA24"/>
      <c r="AB24"/>
      <c r="AC24"/>
      <c r="AD24"/>
      <c r="AE24"/>
      <c r="AF24"/>
      <c r="AG24"/>
      <c r="AH24"/>
      <c r="AI24"/>
      <c r="AJ24"/>
      <c r="AK24"/>
      <c r="AL24"/>
      <c r="AM24"/>
      <c r="AN24"/>
      <c r="AO24"/>
      <c r="AP24"/>
      <c r="AQ24"/>
      <c r="AR24"/>
    </row>
    <row r="25" spans="1:152">
      <c r="A25" s="45" t="s">
        <v>669</v>
      </c>
      <c r="B25" s="291">
        <v>2625</v>
      </c>
      <c r="C25" s="291">
        <v>2625</v>
      </c>
      <c r="D25" s="291">
        <v>2625</v>
      </c>
      <c r="E25" s="291">
        <v>2625</v>
      </c>
      <c r="F25" s="291">
        <v>2625</v>
      </c>
      <c r="G25" s="291">
        <v>2625</v>
      </c>
      <c r="H25" s="291">
        <v>2625</v>
      </c>
      <c r="I25" s="291">
        <v>2625</v>
      </c>
      <c r="J25" s="291">
        <v>2625</v>
      </c>
      <c r="K25" s="291">
        <v>2625</v>
      </c>
      <c r="L25" s="291">
        <v>2625</v>
      </c>
      <c r="M25" s="291">
        <v>2625</v>
      </c>
      <c r="N25" s="7">
        <v>2625</v>
      </c>
      <c r="O25"/>
      <c r="P25"/>
      <c r="Q25"/>
      <c r="R25"/>
      <c r="S25"/>
      <c r="T25"/>
      <c r="U25"/>
      <c r="V25"/>
      <c r="W25"/>
      <c r="X25"/>
      <c r="Y25"/>
      <c r="Z25"/>
      <c r="AA25"/>
      <c r="AB25"/>
      <c r="AC25"/>
      <c r="AD25"/>
      <c r="AE25"/>
      <c r="AF25"/>
      <c r="AG25"/>
      <c r="AH25"/>
      <c r="AI25"/>
      <c r="AJ25"/>
      <c r="AK25"/>
      <c r="AL25"/>
      <c r="AM25"/>
      <c r="AN25"/>
      <c r="AO25"/>
      <c r="AP25"/>
      <c r="AQ25"/>
      <c r="AR25"/>
    </row>
    <row r="26" spans="1:152" ht="15">
      <c r="A26" s="94" t="s">
        <v>1453</v>
      </c>
      <c r="B26" s="286"/>
      <c r="C26" s="286"/>
      <c r="D26" s="286"/>
      <c r="E26" s="286"/>
      <c r="F26" s="286"/>
      <c r="G26" s="286"/>
      <c r="H26" s="286"/>
      <c r="I26" s="286"/>
      <c r="J26" s="286"/>
      <c r="K26" s="286"/>
      <c r="L26" s="698">
        <v>4.4000000000000004</v>
      </c>
      <c r="M26" s="334"/>
      <c r="N26" s="7">
        <v>1922</v>
      </c>
      <c r="O26">
        <v>2625</v>
      </c>
      <c r="P26"/>
      <c r="Q26"/>
      <c r="R26"/>
      <c r="S26"/>
      <c r="T26"/>
      <c r="U26"/>
      <c r="V26"/>
      <c r="W26"/>
      <c r="X26"/>
      <c r="Y26"/>
      <c r="Z26"/>
      <c r="AA26"/>
      <c r="AB26"/>
      <c r="AC26"/>
      <c r="AD26"/>
      <c r="AE26"/>
      <c r="AF26"/>
      <c r="AG26"/>
      <c r="AH26"/>
      <c r="AI26"/>
      <c r="AJ26"/>
      <c r="AK26"/>
      <c r="AL26"/>
      <c r="AM26"/>
      <c r="AN26"/>
      <c r="AO26"/>
      <c r="AP26"/>
      <c r="AQ26"/>
      <c r="AR26"/>
    </row>
    <row r="27" spans="1:152" ht="15">
      <c r="A27" s="9" t="s">
        <v>1454</v>
      </c>
      <c r="B27" s="718">
        <v>3567.9</v>
      </c>
      <c r="C27" s="718">
        <v>960.2</v>
      </c>
      <c r="D27" s="718">
        <v>164</v>
      </c>
      <c r="E27" s="718">
        <v>113.6</v>
      </c>
      <c r="F27" s="718">
        <v>125.9</v>
      </c>
      <c r="G27" s="718">
        <v>152.6</v>
      </c>
      <c r="H27" s="718">
        <v>225.8</v>
      </c>
      <c r="I27" s="718">
        <v>101.6</v>
      </c>
      <c r="J27" s="718">
        <v>5.8</v>
      </c>
      <c r="K27" s="718">
        <v>1.4</v>
      </c>
      <c r="L27" s="698">
        <v>1.3</v>
      </c>
      <c r="M27" s="250"/>
      <c r="N27" s="7"/>
      <c r="O27"/>
      <c r="P27"/>
      <c r="Q27"/>
      <c r="R27"/>
      <c r="S27"/>
      <c r="T27"/>
      <c r="U27"/>
      <c r="V27"/>
      <c r="W27"/>
      <c r="X27"/>
      <c r="Y27"/>
      <c r="Z27"/>
      <c r="AA27"/>
      <c r="AB27"/>
      <c r="AC27"/>
      <c r="AD27"/>
      <c r="AE27"/>
      <c r="AF27"/>
      <c r="AG27"/>
      <c r="AH27"/>
      <c r="AI27"/>
      <c r="AJ27"/>
      <c r="AK27"/>
      <c r="AL27"/>
      <c r="AM27"/>
      <c r="AN27"/>
      <c r="AO27"/>
      <c r="AP27"/>
      <c r="AQ27"/>
      <c r="AR27"/>
    </row>
    <row r="28" spans="1:152" ht="15">
      <c r="A28" s="91" t="s">
        <v>317</v>
      </c>
      <c r="B28" s="683">
        <v>3010.7</v>
      </c>
      <c r="C28" s="683">
        <v>506.9</v>
      </c>
      <c r="D28" s="683">
        <v>79</v>
      </c>
      <c r="E28" s="683">
        <v>36.700000000000003</v>
      </c>
      <c r="F28" s="683">
        <v>50</v>
      </c>
      <c r="G28" s="683">
        <v>119.9</v>
      </c>
      <c r="H28" s="683">
        <v>87.1</v>
      </c>
      <c r="I28" s="683">
        <v>94</v>
      </c>
      <c r="J28" s="683">
        <v>3.2</v>
      </c>
      <c r="K28" s="683">
        <v>1.1000000000000001</v>
      </c>
      <c r="L28" s="696">
        <v>1</v>
      </c>
      <c r="M28" s="251"/>
      <c r="N28" s="34" t="s">
        <v>1455</v>
      </c>
      <c r="O28" t="s">
        <v>317</v>
      </c>
      <c r="P28"/>
      <c r="Q28"/>
      <c r="R28"/>
      <c r="S28"/>
      <c r="T28"/>
      <c r="U28"/>
      <c r="V28"/>
      <c r="W28"/>
      <c r="X28"/>
      <c r="Y28"/>
      <c r="Z28"/>
      <c r="AA28"/>
      <c r="AB28"/>
      <c r="AC28"/>
      <c r="AD28"/>
      <c r="AE28"/>
      <c r="AF28"/>
      <c r="AG28"/>
      <c r="AH28"/>
      <c r="AI28"/>
      <c r="AJ28"/>
      <c r="AK28"/>
      <c r="AL28"/>
      <c r="AM28"/>
      <c r="AN28"/>
      <c r="AO28"/>
      <c r="AP28"/>
      <c r="AQ28"/>
      <c r="AR28"/>
    </row>
    <row r="29" spans="1:152" ht="15">
      <c r="A29" s="92" t="s">
        <v>1234</v>
      </c>
      <c r="B29" s="683">
        <v>82.1</v>
      </c>
      <c r="C29" s="683">
        <v>288.5</v>
      </c>
      <c r="D29" s="683">
        <v>20.8</v>
      </c>
      <c r="E29" s="683">
        <v>1.1000000000000001</v>
      </c>
      <c r="F29" s="683">
        <v>3.2</v>
      </c>
      <c r="G29" s="683">
        <v>6.2</v>
      </c>
      <c r="H29" s="683" t="s">
        <v>301</v>
      </c>
      <c r="I29" s="683">
        <v>0</v>
      </c>
      <c r="J29" s="683" t="s">
        <v>301</v>
      </c>
      <c r="K29" s="683" t="s">
        <v>301</v>
      </c>
      <c r="L29" s="697" t="s">
        <v>301</v>
      </c>
      <c r="M29" s="251"/>
      <c r="N29" s="34" t="s">
        <v>1455</v>
      </c>
      <c r="O29" t="s">
        <v>1234</v>
      </c>
      <c r="P29"/>
      <c r="Q29"/>
      <c r="R29"/>
      <c r="S29"/>
      <c r="T29"/>
      <c r="U29"/>
      <c r="V29"/>
      <c r="W29"/>
      <c r="X29"/>
      <c r="Y29"/>
      <c r="Z29"/>
      <c r="AA29"/>
      <c r="AB29"/>
      <c r="AC29"/>
      <c r="AD29"/>
      <c r="AE29"/>
      <c r="AF29"/>
      <c r="AG29"/>
      <c r="AH29"/>
      <c r="AI29"/>
      <c r="AJ29"/>
      <c r="AK29"/>
      <c r="AL29"/>
      <c r="AM29"/>
      <c r="AN29"/>
      <c r="AO29"/>
      <c r="AP29"/>
      <c r="AQ29"/>
      <c r="AR29"/>
    </row>
    <row r="30" spans="1:152" ht="15">
      <c r="A30" s="91" t="s">
        <v>319</v>
      </c>
      <c r="B30" s="683">
        <v>97.3</v>
      </c>
      <c r="C30" s="683">
        <v>69.3</v>
      </c>
      <c r="D30" s="683">
        <v>38.6</v>
      </c>
      <c r="E30" s="683">
        <v>23.3</v>
      </c>
      <c r="F30" s="683">
        <v>51.2</v>
      </c>
      <c r="G30" s="683">
        <v>7.5</v>
      </c>
      <c r="H30" s="683">
        <v>0</v>
      </c>
      <c r="I30" s="683">
        <v>0</v>
      </c>
      <c r="J30" s="683" t="s">
        <v>301</v>
      </c>
      <c r="K30" s="683" t="s">
        <v>301</v>
      </c>
      <c r="L30" s="697" t="s">
        <v>301</v>
      </c>
      <c r="M30" s="251"/>
      <c r="N30" s="34" t="s">
        <v>1455</v>
      </c>
      <c r="O30" t="s">
        <v>319</v>
      </c>
      <c r="P30"/>
      <c r="Q30"/>
      <c r="R30"/>
      <c r="S30"/>
      <c r="T30"/>
      <c r="U30"/>
      <c r="V30"/>
      <c r="W30"/>
      <c r="X30"/>
      <c r="Y30"/>
      <c r="Z30"/>
      <c r="AA30"/>
      <c r="AB30"/>
      <c r="AC30"/>
      <c r="AD30"/>
      <c r="AE30"/>
      <c r="AF30"/>
      <c r="AG30"/>
      <c r="AH30"/>
      <c r="AI30"/>
      <c r="AJ30"/>
      <c r="AK30"/>
      <c r="AL30"/>
      <c r="AM30"/>
      <c r="AN30"/>
      <c r="AO30"/>
      <c r="AP30"/>
      <c r="AQ30"/>
      <c r="AR30"/>
    </row>
    <row r="31" spans="1:152" s="20" customFormat="1" ht="15">
      <c r="A31" s="91" t="s">
        <v>1456</v>
      </c>
      <c r="B31" s="683">
        <f>B27-SUM(B28:B30)</f>
        <v>377.80000000000018</v>
      </c>
      <c r="C31" s="683">
        <f t="shared" ref="C31:K31" si="13">C27-SUM(C28:C30)</f>
        <v>95.500000000000114</v>
      </c>
      <c r="D31" s="683">
        <f t="shared" si="13"/>
        <v>25.599999999999994</v>
      </c>
      <c r="E31" s="683">
        <f t="shared" si="13"/>
        <v>52.499999999999986</v>
      </c>
      <c r="F31" s="683">
        <f t="shared" si="13"/>
        <v>21.5</v>
      </c>
      <c r="G31" s="683">
        <f t="shared" si="13"/>
        <v>18.999999999999972</v>
      </c>
      <c r="H31" s="683">
        <f t="shared" si="13"/>
        <v>138.70000000000002</v>
      </c>
      <c r="I31" s="683">
        <f t="shared" si="13"/>
        <v>7.5999999999999943</v>
      </c>
      <c r="J31" s="683">
        <f t="shared" si="13"/>
        <v>2.5999999999999996</v>
      </c>
      <c r="K31" s="683">
        <f t="shared" si="13"/>
        <v>0.29999999999999982</v>
      </c>
      <c r="L31" s="697">
        <v>0</v>
      </c>
      <c r="M31" s="251">
        <f t="shared" ref="M31" si="14">M27-SUM(M28:M30)</f>
        <v>0</v>
      </c>
      <c r="N31" s="34" t="s">
        <v>1455</v>
      </c>
      <c r="O31" t="s">
        <v>319</v>
      </c>
      <c r="P31"/>
      <c r="Q31"/>
      <c r="R31"/>
      <c r="S31"/>
      <c r="T31"/>
      <c r="U31"/>
      <c r="V31"/>
      <c r="W31"/>
      <c r="X31"/>
      <c r="Y31"/>
      <c r="Z31"/>
      <c r="AA31"/>
      <c r="AB31"/>
      <c r="AC31"/>
      <c r="AD31"/>
      <c r="AE31"/>
      <c r="AF31"/>
      <c r="AG31"/>
      <c r="AH31"/>
      <c r="AI31"/>
      <c r="AJ31"/>
      <c r="AK31"/>
      <c r="AL31"/>
      <c r="AM31"/>
      <c r="AN31"/>
      <c r="AO31"/>
      <c r="AP31"/>
      <c r="AQ31"/>
      <c r="AR31"/>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row>
    <row r="32" spans="1:152" s="20" customFormat="1">
      <c r="A32" s="9" t="s">
        <v>1457</v>
      </c>
      <c r="B32" s="287">
        <f t="shared" ref="B32:K32" si="15">B38-B27</f>
        <v>1630.9</v>
      </c>
      <c r="C32" s="287">
        <f t="shared" si="15"/>
        <v>1018.2</v>
      </c>
      <c r="D32" s="287">
        <f t="shared" si="15"/>
        <v>785.7</v>
      </c>
      <c r="E32" s="287">
        <f t="shared" si="15"/>
        <v>488.9</v>
      </c>
      <c r="F32" s="287">
        <f t="shared" si="15"/>
        <v>456.4</v>
      </c>
      <c r="G32" s="287">
        <f t="shared" si="15"/>
        <v>379.4</v>
      </c>
      <c r="H32" s="287">
        <f t="shared" si="15"/>
        <v>110.69999999999999</v>
      </c>
      <c r="I32" s="287">
        <f t="shared" si="15"/>
        <v>1.1000000000000085</v>
      </c>
      <c r="J32" s="287">
        <f t="shared" si="15"/>
        <v>3.1000000000000005</v>
      </c>
      <c r="K32" s="287">
        <f t="shared" si="15"/>
        <v>3.3000000000000003</v>
      </c>
      <c r="L32" s="250">
        <f t="shared" ref="L32" si="16">L38-L27</f>
        <v>8941.7000000000007</v>
      </c>
      <c r="M32" s="250">
        <f t="shared" ref="M32" si="17">M38-M27</f>
        <v>0</v>
      </c>
      <c r="N32" s="34"/>
      <c r="O32"/>
      <c r="P32"/>
      <c r="Q32"/>
      <c r="R32"/>
      <c r="S32"/>
      <c r="T32"/>
      <c r="U32"/>
      <c r="V32"/>
      <c r="W32"/>
      <c r="X32"/>
      <c r="Y32"/>
      <c r="Z32"/>
      <c r="AA32"/>
      <c r="AB32"/>
      <c r="AC32"/>
      <c r="AD32"/>
      <c r="AE32"/>
      <c r="AF32"/>
      <c r="AG32"/>
      <c r="AH32"/>
      <c r="AI32"/>
      <c r="AJ32"/>
      <c r="AK32"/>
      <c r="AL32"/>
      <c r="AM32"/>
      <c r="AN32"/>
      <c r="AO32"/>
      <c r="AP32"/>
      <c r="AQ32"/>
      <c r="AR32"/>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row>
    <row r="33" spans="1:44" ht="15">
      <c r="A33" s="93" t="s">
        <v>1235</v>
      </c>
      <c r="B33" s="683">
        <v>1384.5</v>
      </c>
      <c r="C33" s="683">
        <v>938.7</v>
      </c>
      <c r="D33" s="683">
        <v>785.7</v>
      </c>
      <c r="E33" s="683">
        <v>488.8</v>
      </c>
      <c r="F33" s="683">
        <v>440.3</v>
      </c>
      <c r="G33" s="683">
        <v>379.3</v>
      </c>
      <c r="H33" s="683">
        <v>110.7</v>
      </c>
      <c r="I33" s="683">
        <v>1.1000000000000001</v>
      </c>
      <c r="J33" s="683">
        <v>1.9</v>
      </c>
      <c r="K33" s="683">
        <v>3.1</v>
      </c>
      <c r="L33" s="701">
        <v>2.9</v>
      </c>
      <c r="M33" s="251"/>
      <c r="N33" s="34"/>
      <c r="O33"/>
      <c r="P33"/>
      <c r="Q33"/>
      <c r="R33"/>
      <c r="S33"/>
      <c r="T33"/>
      <c r="U33"/>
      <c r="V33"/>
      <c r="W33"/>
      <c r="X33"/>
      <c r="Y33"/>
      <c r="Z33"/>
      <c r="AA33"/>
      <c r="AB33"/>
      <c r="AC33"/>
      <c r="AD33"/>
      <c r="AE33"/>
      <c r="AF33"/>
      <c r="AG33"/>
      <c r="AH33"/>
      <c r="AI33"/>
      <c r="AJ33"/>
      <c r="AK33"/>
      <c r="AL33"/>
      <c r="AM33"/>
      <c r="AN33"/>
      <c r="AO33"/>
      <c r="AP33"/>
      <c r="AQ33"/>
      <c r="AR33"/>
    </row>
    <row r="34" spans="1:44">
      <c r="A34" s="93" t="s">
        <v>1458</v>
      </c>
      <c r="B34" s="683"/>
      <c r="C34" s="683"/>
      <c r="D34" s="683"/>
      <c r="E34" s="683"/>
      <c r="F34" s="683"/>
      <c r="G34" s="683"/>
      <c r="H34" s="683"/>
      <c r="I34" s="683"/>
      <c r="J34" s="683"/>
      <c r="K34" s="683"/>
      <c r="L34" s="251">
        <v>410</v>
      </c>
      <c r="M34" s="251"/>
      <c r="N34" s="34"/>
      <c r="O34"/>
      <c r="P34"/>
      <c r="Z34" s="24"/>
      <c r="AA34" s="24"/>
      <c r="AB34" s="24"/>
      <c r="AC34" s="24"/>
      <c r="AD34" s="24"/>
      <c r="AE34" s="24"/>
      <c r="AF34" s="24"/>
      <c r="AG34" s="24"/>
    </row>
    <row r="35" spans="1:44" ht="15">
      <c r="A35" s="93" t="s">
        <v>1459</v>
      </c>
      <c r="B35" s="683">
        <v>217.2</v>
      </c>
      <c r="C35" s="683">
        <v>79.5</v>
      </c>
      <c r="D35" s="683" t="s">
        <v>301</v>
      </c>
      <c r="E35" s="683" t="s">
        <v>301</v>
      </c>
      <c r="F35" s="683" t="s">
        <v>301</v>
      </c>
      <c r="G35" s="683">
        <v>0</v>
      </c>
      <c r="H35" s="683">
        <v>0</v>
      </c>
      <c r="I35" s="683">
        <v>0</v>
      </c>
      <c r="J35" s="683">
        <v>1.2</v>
      </c>
      <c r="K35" s="683">
        <v>0.2</v>
      </c>
      <c r="L35" s="702" t="s">
        <v>301</v>
      </c>
      <c r="M35" s="251"/>
      <c r="N35" s="34"/>
      <c r="O35"/>
      <c r="P35"/>
      <c r="Z35" s="24"/>
      <c r="AA35" s="24"/>
      <c r="AB35" s="24"/>
      <c r="AC35" s="24"/>
      <c r="AD35" s="24"/>
      <c r="AE35" s="24"/>
      <c r="AF35" s="24"/>
      <c r="AG35" s="24"/>
    </row>
    <row r="36" spans="1:44">
      <c r="A36" s="93" t="s">
        <v>1460</v>
      </c>
      <c r="B36" s="683">
        <f>B32-SUM(B33:B35)</f>
        <v>29.200000000000045</v>
      </c>
      <c r="C36" s="683">
        <f t="shared" ref="C36" si="18">C32-SUM(C33:C35)</f>
        <v>0</v>
      </c>
      <c r="D36" s="683">
        <f t="shared" ref="D36" si="19">D32-SUM(D33:D35)</f>
        <v>0</v>
      </c>
      <c r="E36" s="683">
        <f t="shared" ref="E36" si="20">E32-SUM(E33:E35)</f>
        <v>9.9999999999965894E-2</v>
      </c>
      <c r="F36" s="683">
        <f>F32-SUM(F33:F35)</f>
        <v>16.099999999999966</v>
      </c>
      <c r="G36" s="683">
        <f t="shared" ref="G36" si="21">G32-SUM(G33:G35)</f>
        <v>9.9999999999965894E-2</v>
      </c>
      <c r="H36" s="683">
        <f t="shared" ref="H36" si="22">H32-SUM(H33:H35)</f>
        <v>0</v>
      </c>
      <c r="I36" s="683">
        <f t="shared" ref="I36" si="23">I32-SUM(I33:I35)</f>
        <v>8.4376949871511897E-15</v>
      </c>
      <c r="J36" s="683">
        <f t="shared" ref="J36" si="24">J32-SUM(J33:J35)</f>
        <v>0</v>
      </c>
      <c r="K36" s="683">
        <f t="shared" ref="K36" si="25">K32-SUM(K33:K35)</f>
        <v>0</v>
      </c>
      <c r="L36" s="251">
        <f t="shared" ref="L36" si="26">L32-SUM(L33:L35)</f>
        <v>8528.8000000000011</v>
      </c>
      <c r="M36" s="251">
        <f t="shared" ref="M36" si="27">M32-SUM(M33:M35)</f>
        <v>0</v>
      </c>
      <c r="N36" s="34" t="s">
        <v>1455</v>
      </c>
      <c r="O36" t="s">
        <v>1235</v>
      </c>
      <c r="P36"/>
      <c r="Z36" s="24"/>
      <c r="AA36" s="24"/>
      <c r="AB36" s="24"/>
      <c r="AC36" s="24"/>
      <c r="AD36" s="24"/>
      <c r="AE36" s="24"/>
      <c r="AF36" s="24"/>
      <c r="AG36" s="24"/>
    </row>
    <row r="37" spans="1:44">
      <c r="A37" s="19" t="s">
        <v>1236</v>
      </c>
      <c r="B37" s="719">
        <f>B31+B36</f>
        <v>407.00000000000023</v>
      </c>
      <c r="C37" s="719">
        <f t="shared" ref="C37:L37" si="28">C31+C36</f>
        <v>95.500000000000114</v>
      </c>
      <c r="D37" s="719">
        <f t="shared" si="28"/>
        <v>25.599999999999994</v>
      </c>
      <c r="E37" s="719">
        <f t="shared" si="28"/>
        <v>52.599999999999952</v>
      </c>
      <c r="F37" s="719">
        <f t="shared" si="28"/>
        <v>37.599999999999966</v>
      </c>
      <c r="G37" s="719">
        <f t="shared" si="28"/>
        <v>19.099999999999937</v>
      </c>
      <c r="H37" s="719">
        <f t="shared" si="28"/>
        <v>138.70000000000002</v>
      </c>
      <c r="I37" s="719">
        <f t="shared" si="28"/>
        <v>7.6000000000000032</v>
      </c>
      <c r="J37" s="719">
        <f t="shared" si="28"/>
        <v>2.5999999999999996</v>
      </c>
      <c r="K37" s="719">
        <f t="shared" si="28"/>
        <v>0.29999999999999982</v>
      </c>
      <c r="L37" s="509">
        <f t="shared" si="28"/>
        <v>8528.8000000000011</v>
      </c>
      <c r="M37" s="286">
        <f t="shared" ref="M37" si="29">M31+M36</f>
        <v>0</v>
      </c>
      <c r="N37" s="34" t="s">
        <v>1455</v>
      </c>
      <c r="O37"/>
      <c r="P37"/>
      <c r="Z37" s="24"/>
      <c r="AA37" s="24"/>
      <c r="AB37" s="24"/>
      <c r="AC37" s="24"/>
      <c r="AD37" s="24"/>
      <c r="AE37" s="24"/>
      <c r="AF37" s="24"/>
      <c r="AG37" s="24"/>
    </row>
    <row r="38" spans="1:44">
      <c r="A38" s="9" t="s">
        <v>52</v>
      </c>
      <c r="B38" s="287">
        <v>5198.8</v>
      </c>
      <c r="C38" s="287">
        <v>1978.4</v>
      </c>
      <c r="D38" s="287">
        <v>949.7</v>
      </c>
      <c r="E38" s="287">
        <v>602.5</v>
      </c>
      <c r="F38" s="287">
        <v>582.29999999999995</v>
      </c>
      <c r="G38" s="287">
        <v>532</v>
      </c>
      <c r="H38" s="287">
        <v>336.5</v>
      </c>
      <c r="I38" s="287">
        <v>102.7</v>
      </c>
      <c r="J38" s="287">
        <v>8.9</v>
      </c>
      <c r="K38" s="287">
        <v>4.7</v>
      </c>
      <c r="L38" s="250">
        <v>8943</v>
      </c>
      <c r="M38" s="250"/>
      <c r="N38" s="34" t="s">
        <v>1455</v>
      </c>
      <c r="O38" t="s">
        <v>52</v>
      </c>
      <c r="P38"/>
      <c r="Q38" s="19" t="s">
        <v>1461</v>
      </c>
      <c r="R38" s="19" t="s">
        <v>1462</v>
      </c>
      <c r="Z38" s="24">
        <v>15322</v>
      </c>
      <c r="AA38" s="24">
        <v>16090</v>
      </c>
      <c r="AB38" s="24">
        <f>16577</f>
        <v>16577</v>
      </c>
      <c r="AC38" s="24">
        <v>17075</v>
      </c>
      <c r="AD38" s="24">
        <v>16461</v>
      </c>
      <c r="AE38" s="24">
        <v>14395</v>
      </c>
      <c r="AF38" s="24">
        <v>12539</v>
      </c>
      <c r="AG38" s="24">
        <v>12386</v>
      </c>
    </row>
    <row r="39" spans="1:44">
      <c r="B39" s="718"/>
      <c r="C39" s="718"/>
      <c r="D39" s="718"/>
      <c r="E39" s="718"/>
      <c r="F39" s="718"/>
      <c r="G39" s="718"/>
      <c r="H39" s="718"/>
      <c r="I39" s="718"/>
      <c r="J39" s="718"/>
      <c r="K39" s="718"/>
      <c r="L39" s="286"/>
      <c r="M39" s="286"/>
      <c r="N39" s="34" t="s">
        <v>1455</v>
      </c>
      <c r="O39"/>
      <c r="P39"/>
      <c r="Z39" s="21">
        <f t="shared" ref="Z39:AG39" si="30">Z40-SUM(Z30:Z38)</f>
        <v>59382</v>
      </c>
      <c r="AA39" s="21">
        <f t="shared" si="30"/>
        <v>62252</v>
      </c>
      <c r="AB39" s="21">
        <f t="shared" si="30"/>
        <v>68104</v>
      </c>
      <c r="AC39" s="21">
        <f t="shared" si="30"/>
        <v>67821</v>
      </c>
      <c r="AD39" s="21">
        <f t="shared" si="30"/>
        <v>72895</v>
      </c>
      <c r="AE39" s="21">
        <f t="shared" si="30"/>
        <v>67051</v>
      </c>
      <c r="AF39" s="21">
        <f t="shared" si="30"/>
        <v>51481</v>
      </c>
      <c r="AG39" s="21">
        <f t="shared" si="30"/>
        <v>47652</v>
      </c>
    </row>
    <row r="40" spans="1:44">
      <c r="B40" s="718"/>
      <c r="C40" s="718"/>
      <c r="D40" s="718"/>
      <c r="E40" s="718"/>
      <c r="F40" s="718"/>
      <c r="G40" s="718"/>
      <c r="H40" s="718"/>
      <c r="I40" s="718"/>
      <c r="J40" s="718"/>
      <c r="K40" s="718"/>
      <c r="L40" s="286"/>
      <c r="M40" s="286"/>
      <c r="N40" s="34" t="s">
        <v>1455</v>
      </c>
      <c r="O40"/>
      <c r="P40"/>
      <c r="Q40" s="19" t="s">
        <v>1461</v>
      </c>
      <c r="R40" s="19" t="s">
        <v>1463</v>
      </c>
      <c r="Z40" s="35">
        <v>74704</v>
      </c>
      <c r="AA40" s="35">
        <v>78342</v>
      </c>
      <c r="AB40" s="35">
        <v>84681</v>
      </c>
      <c r="AC40" s="35">
        <v>84896</v>
      </c>
      <c r="AD40" s="35">
        <v>89356</v>
      </c>
      <c r="AE40" s="35">
        <v>81446</v>
      </c>
      <c r="AF40" s="35">
        <v>64020</v>
      </c>
      <c r="AG40" s="35">
        <v>60038</v>
      </c>
    </row>
    <row r="41" spans="1:44" ht="15" thickBot="1">
      <c r="A41" s="94" t="s">
        <v>1464</v>
      </c>
      <c r="B41" s="720"/>
      <c r="C41" s="720"/>
      <c r="D41" s="720"/>
      <c r="E41" s="720"/>
      <c r="F41" s="720"/>
      <c r="G41" s="720"/>
      <c r="H41" s="720"/>
      <c r="I41" s="720"/>
      <c r="J41" s="720"/>
      <c r="K41" s="720"/>
      <c r="M41" s="250"/>
      <c r="N41" s="34" t="s">
        <v>1455</v>
      </c>
      <c r="O41"/>
      <c r="P41"/>
      <c r="Z41" s="26"/>
      <c r="AA41" s="26"/>
      <c r="AB41" s="26"/>
      <c r="AC41" s="26"/>
      <c r="AD41" s="26"/>
      <c r="AE41" s="26"/>
      <c r="AF41" s="26"/>
      <c r="AG41" s="26"/>
    </row>
    <row r="42" spans="1:44" ht="15.95" thickBot="1">
      <c r="A42" s="9" t="s">
        <v>323</v>
      </c>
      <c r="B42" s="287">
        <v>1294.0999999999999</v>
      </c>
      <c r="C42" s="287">
        <v>337.3</v>
      </c>
      <c r="D42" s="287">
        <v>170</v>
      </c>
      <c r="E42" s="287">
        <v>75.400000000000006</v>
      </c>
      <c r="F42" s="287">
        <v>59</v>
      </c>
      <c r="G42" s="287">
        <v>50.8</v>
      </c>
      <c r="H42" s="287">
        <v>11.7</v>
      </c>
      <c r="I42" s="287">
        <v>4.0999999999999996</v>
      </c>
      <c r="J42" s="287">
        <v>3.4</v>
      </c>
      <c r="K42" s="287">
        <v>2.2999999999999998</v>
      </c>
      <c r="L42" s="698">
        <v>2.2000000000000002</v>
      </c>
      <c r="M42" s="250"/>
      <c r="N42" s="34" t="s">
        <v>1455</v>
      </c>
      <c r="O42" t="s">
        <v>323</v>
      </c>
      <c r="P42"/>
      <c r="Z42" s="26"/>
      <c r="AA42" s="26"/>
      <c r="AB42" s="26"/>
      <c r="AC42" s="26"/>
      <c r="AD42" s="26"/>
      <c r="AE42" s="26"/>
      <c r="AF42" s="26"/>
      <c r="AG42" s="26"/>
    </row>
    <row r="43" spans="1:44" ht="15.95" thickBot="1">
      <c r="A43" s="91" t="s">
        <v>1465</v>
      </c>
      <c r="B43" s="683">
        <f t="shared" ref="B43:K43" si="31">B109+B110+B111+B112</f>
        <v>953.8</v>
      </c>
      <c r="C43" s="683">
        <f t="shared" si="31"/>
        <v>134.9</v>
      </c>
      <c r="D43" s="683">
        <f t="shared" si="31"/>
        <v>15.6</v>
      </c>
      <c r="E43" s="683">
        <f t="shared" si="31"/>
        <v>12</v>
      </c>
      <c r="F43" s="683">
        <f t="shared" si="31"/>
        <v>23.1</v>
      </c>
      <c r="G43" s="683">
        <f t="shared" si="31"/>
        <v>9.3000000000000007</v>
      </c>
      <c r="H43" s="683">
        <f t="shared" si="31"/>
        <v>3.9</v>
      </c>
      <c r="I43" s="683">
        <f t="shared" si="31"/>
        <v>2.2000000000000002</v>
      </c>
      <c r="J43" s="683">
        <f t="shared" si="31"/>
        <v>0.7</v>
      </c>
      <c r="K43" s="683">
        <f t="shared" si="31"/>
        <v>0.2</v>
      </c>
      <c r="L43" s="698" t="s">
        <v>301</v>
      </c>
      <c r="M43" s="251"/>
      <c r="N43" s="34"/>
      <c r="O43"/>
      <c r="P43"/>
      <c r="Z43" s="33"/>
      <c r="AA43" s="33"/>
      <c r="AB43" s="33"/>
      <c r="AC43" s="33"/>
      <c r="AD43" s="33"/>
      <c r="AE43" s="32"/>
      <c r="AF43" s="32"/>
      <c r="AG43" s="32"/>
    </row>
    <row r="44" spans="1:44" s="9" customFormat="1" ht="15">
      <c r="A44" s="23" t="s">
        <v>1238</v>
      </c>
      <c r="B44" s="683">
        <v>0</v>
      </c>
      <c r="C44" s="683">
        <v>0</v>
      </c>
      <c r="D44" s="683">
        <v>0</v>
      </c>
      <c r="E44" s="683">
        <v>0</v>
      </c>
      <c r="F44" s="683">
        <v>0</v>
      </c>
      <c r="G44" s="683">
        <v>0</v>
      </c>
      <c r="H44" s="683">
        <v>0</v>
      </c>
      <c r="I44" s="683">
        <v>0</v>
      </c>
      <c r="J44" s="683">
        <v>2.6</v>
      </c>
      <c r="K44" s="683">
        <v>1.4</v>
      </c>
      <c r="L44" s="698">
        <v>1.3</v>
      </c>
      <c r="M44" s="251"/>
      <c r="N44" s="34" t="s">
        <v>1455</v>
      </c>
      <c r="O44" t="s">
        <v>1466</v>
      </c>
      <c r="P44"/>
      <c r="Q44" s="19" t="s">
        <v>1461</v>
      </c>
      <c r="R44" s="9" t="s">
        <v>1467</v>
      </c>
      <c r="Z44" s="35">
        <v>26132</v>
      </c>
      <c r="AA44" s="35">
        <v>26242</v>
      </c>
      <c r="AB44" s="35">
        <v>27877</v>
      </c>
      <c r="AC44" s="35">
        <v>27297</v>
      </c>
      <c r="AD44" s="35">
        <v>29415</v>
      </c>
      <c r="AE44" s="35">
        <f>93+3895+8161+3386+2410+2691+298+1967+558+5102</f>
        <v>28561</v>
      </c>
      <c r="AF44" s="35">
        <f>204+3852+5856+2880+1670+1831+281+1521+495+3430</f>
        <v>22020</v>
      </c>
      <c r="AG44" s="35">
        <f>433+3650+2993+3351+797+1217+262+888+302+5399</f>
        <v>19292</v>
      </c>
      <c r="AO44" s="19"/>
    </row>
    <row r="45" spans="1:44" s="9" customFormat="1">
      <c r="A45" s="23" t="s">
        <v>1239</v>
      </c>
      <c r="B45" s="683">
        <v>124.3</v>
      </c>
      <c r="C45" s="683">
        <v>55.8</v>
      </c>
      <c r="D45" s="683">
        <v>13.3</v>
      </c>
      <c r="E45" s="683">
        <v>53.3</v>
      </c>
      <c r="F45" s="683">
        <v>8.9</v>
      </c>
      <c r="G45" s="683">
        <v>0.2</v>
      </c>
      <c r="H45" s="683">
        <v>0.1</v>
      </c>
      <c r="I45" s="683">
        <v>0.1</v>
      </c>
      <c r="J45" s="683" t="s">
        <v>301</v>
      </c>
      <c r="K45" s="683" t="s">
        <v>301</v>
      </c>
      <c r="L45" s="251"/>
      <c r="M45" s="251"/>
      <c r="N45" s="34"/>
      <c r="O45"/>
      <c r="P45"/>
      <c r="Q45" s="19"/>
      <c r="Z45" s="35"/>
      <c r="AA45" s="35"/>
      <c r="AB45" s="35"/>
      <c r="AC45" s="35"/>
      <c r="AD45" s="35"/>
      <c r="AE45" s="35"/>
      <c r="AF45" s="35"/>
      <c r="AG45" s="35"/>
      <c r="AO45" s="19"/>
    </row>
    <row r="46" spans="1:44">
      <c r="A46" s="91" t="s">
        <v>1240</v>
      </c>
      <c r="B46" s="683">
        <f>B42-SUM(B43:B45)</f>
        <v>216</v>
      </c>
      <c r="C46" s="683">
        <f t="shared" ref="C46" si="32">C42-SUM(C43:C45)</f>
        <v>146.60000000000002</v>
      </c>
      <c r="D46" s="683">
        <f t="shared" ref="D46:L46" si="33">D42-SUM(D43:D45)</f>
        <v>141.1</v>
      </c>
      <c r="E46" s="683">
        <f t="shared" si="33"/>
        <v>10.100000000000009</v>
      </c>
      <c r="F46" s="683">
        <f t="shared" si="33"/>
        <v>27</v>
      </c>
      <c r="G46" s="683">
        <f t="shared" si="33"/>
        <v>41.3</v>
      </c>
      <c r="H46" s="683">
        <f t="shared" si="33"/>
        <v>7.6999999999999993</v>
      </c>
      <c r="I46" s="683">
        <f t="shared" si="33"/>
        <v>1.7999999999999994</v>
      </c>
      <c r="J46" s="683">
        <f t="shared" si="33"/>
        <v>0.10000000000000009</v>
      </c>
      <c r="K46" s="683">
        <f t="shared" si="33"/>
        <v>0.7</v>
      </c>
      <c r="L46" s="251">
        <f t="shared" si="33"/>
        <v>0.90000000000000013</v>
      </c>
      <c r="M46" s="251">
        <f t="shared" ref="M46" si="34">M42-SUM(M43:M45)</f>
        <v>0</v>
      </c>
      <c r="N46" s="34" t="s">
        <v>1455</v>
      </c>
      <c r="O46"/>
      <c r="P46"/>
      <c r="R46" s="19" t="s">
        <v>1468</v>
      </c>
      <c r="Z46" s="28">
        <v>7303</v>
      </c>
      <c r="AA46" s="28">
        <v>6967</v>
      </c>
      <c r="AB46" s="28">
        <v>4708</v>
      </c>
      <c r="AC46" s="28">
        <v>3679</v>
      </c>
      <c r="AD46" s="28">
        <v>5287</v>
      </c>
      <c r="AE46" s="28">
        <v>5660</v>
      </c>
      <c r="AF46" s="28">
        <v>3925</v>
      </c>
      <c r="AG46" s="28">
        <v>5701</v>
      </c>
    </row>
    <row r="47" spans="1:44" ht="15" thickBot="1">
      <c r="A47" s="9" t="s">
        <v>1241</v>
      </c>
      <c r="B47" s="287">
        <f>B51-B42</f>
        <v>514.70000000000005</v>
      </c>
      <c r="C47" s="287">
        <f t="shared" ref="C47:L47" si="35">C51-C42</f>
        <v>349.09999999999997</v>
      </c>
      <c r="D47" s="287">
        <f t="shared" si="35"/>
        <v>205.5</v>
      </c>
      <c r="E47" s="287">
        <f t="shared" si="35"/>
        <v>140.1</v>
      </c>
      <c r="F47" s="287">
        <f t="shared" si="35"/>
        <v>146.6</v>
      </c>
      <c r="G47" s="287">
        <f t="shared" si="35"/>
        <v>137.89999999999998</v>
      </c>
      <c r="H47" s="287">
        <f t="shared" si="35"/>
        <v>124.60000000000001</v>
      </c>
      <c r="I47" s="287">
        <f t="shared" si="35"/>
        <v>0.20000000000000018</v>
      </c>
      <c r="J47" s="287">
        <f t="shared" si="35"/>
        <v>0</v>
      </c>
      <c r="K47" s="287">
        <f t="shared" si="35"/>
        <v>0</v>
      </c>
      <c r="L47" s="250">
        <f t="shared" si="35"/>
        <v>0</v>
      </c>
      <c r="M47" s="250">
        <f t="shared" ref="M47" si="36">M51-M42</f>
        <v>0</v>
      </c>
      <c r="N47" s="34" t="s">
        <v>1455</v>
      </c>
      <c r="O47" t="s">
        <v>1469</v>
      </c>
      <c r="P47"/>
      <c r="Z47" s="28"/>
      <c r="AA47" s="28"/>
      <c r="AB47" s="28"/>
      <c r="AC47" s="28"/>
      <c r="AD47" s="28"/>
      <c r="AE47" s="28"/>
      <c r="AF47" s="28"/>
      <c r="AG47" s="28"/>
    </row>
    <row r="48" spans="1:44" ht="15">
      <c r="A48" s="23" t="s">
        <v>1242</v>
      </c>
      <c r="B48" s="683">
        <v>272.5</v>
      </c>
      <c r="C48" s="683">
        <v>204.2</v>
      </c>
      <c r="D48" s="683">
        <v>141.19999999999999</v>
      </c>
      <c r="E48" s="683">
        <v>97.8</v>
      </c>
      <c r="F48" s="683">
        <v>130.1</v>
      </c>
      <c r="G48" s="683">
        <v>130.5</v>
      </c>
      <c r="H48" s="683">
        <v>124.3</v>
      </c>
      <c r="I48" s="683" t="s">
        <v>301</v>
      </c>
      <c r="J48" s="683" t="s">
        <v>301</v>
      </c>
      <c r="K48" s="683" t="s">
        <v>301</v>
      </c>
      <c r="L48" s="696" t="s">
        <v>301</v>
      </c>
      <c r="M48" s="251"/>
      <c r="N48" s="34" t="s">
        <v>1455</v>
      </c>
      <c r="O48" t="s">
        <v>1470</v>
      </c>
      <c r="P48"/>
      <c r="Z48" s="21">
        <f t="shared" ref="Z48:AG48" si="37">Z44-Z46</f>
        <v>18829</v>
      </c>
      <c r="AA48" s="21">
        <f t="shared" si="37"/>
        <v>19275</v>
      </c>
      <c r="AB48" s="21">
        <f t="shared" si="37"/>
        <v>23169</v>
      </c>
      <c r="AC48" s="21">
        <f t="shared" si="37"/>
        <v>23618</v>
      </c>
      <c r="AD48" s="21">
        <f t="shared" si="37"/>
        <v>24128</v>
      </c>
      <c r="AE48" s="21">
        <f t="shared" si="37"/>
        <v>22901</v>
      </c>
      <c r="AF48" s="21">
        <f t="shared" si="37"/>
        <v>18095</v>
      </c>
      <c r="AG48" s="21">
        <f t="shared" si="37"/>
        <v>13591</v>
      </c>
    </row>
    <row r="49" spans="1:41" s="9" customFormat="1">
      <c r="A49" s="23" t="s">
        <v>1243</v>
      </c>
      <c r="B49" s="683">
        <v>75.2</v>
      </c>
      <c r="C49" s="683">
        <v>32</v>
      </c>
      <c r="D49" s="683">
        <v>12.4</v>
      </c>
      <c r="E49" s="683">
        <v>25.3</v>
      </c>
      <c r="F49" s="683">
        <v>0</v>
      </c>
      <c r="G49" s="683">
        <v>0.5</v>
      </c>
      <c r="H49" s="683">
        <v>0</v>
      </c>
      <c r="I49" s="683">
        <v>0.2</v>
      </c>
      <c r="J49" s="683" t="s">
        <v>301</v>
      </c>
      <c r="K49" s="683" t="s">
        <v>301</v>
      </c>
      <c r="L49" s="251"/>
      <c r="M49" s="251"/>
      <c r="N49" s="34"/>
      <c r="O49"/>
      <c r="P49"/>
      <c r="Q49" s="19" t="s">
        <v>1461</v>
      </c>
      <c r="R49" s="9" t="s">
        <v>1471</v>
      </c>
      <c r="Z49" s="35">
        <f>61491-Z44</f>
        <v>35359</v>
      </c>
      <c r="AA49" s="35">
        <f>63457-AA44</f>
        <v>37215</v>
      </c>
      <c r="AB49" s="35">
        <f>67855-AB44</f>
        <v>39978</v>
      </c>
      <c r="AC49" s="35">
        <v>36721</v>
      </c>
      <c r="AD49" s="35">
        <v>41973</v>
      </c>
      <c r="AE49" s="35">
        <f>8415+16529+10956+3583</f>
        <v>39483</v>
      </c>
      <c r="AF49" s="35">
        <f>4505+15932+7584+2654</f>
        <v>30675</v>
      </c>
      <c r="AG49" s="35">
        <f>5652+16195+7420+2179</f>
        <v>31446</v>
      </c>
      <c r="AO49" s="19"/>
    </row>
    <row r="50" spans="1:41" ht="15" thickBot="1">
      <c r="A50" s="91" t="s">
        <v>1244</v>
      </c>
      <c r="B50" s="683">
        <f>B47-SUM(B48:B49)</f>
        <v>167.00000000000006</v>
      </c>
      <c r="C50" s="683">
        <f t="shared" ref="C50" si="38">C47-SUM(C48:C49)</f>
        <v>112.89999999999998</v>
      </c>
      <c r="D50" s="683">
        <f t="shared" ref="D50:L50" si="39">D47-SUM(D48:D49)</f>
        <v>51.900000000000006</v>
      </c>
      <c r="E50" s="683">
        <f t="shared" si="39"/>
        <v>17</v>
      </c>
      <c r="F50" s="683">
        <f t="shared" si="39"/>
        <v>16.5</v>
      </c>
      <c r="G50" s="683">
        <f t="shared" si="39"/>
        <v>6.8999999999999773</v>
      </c>
      <c r="H50" s="683">
        <f t="shared" si="39"/>
        <v>0.30000000000001137</v>
      </c>
      <c r="I50" s="683">
        <f t="shared" si="39"/>
        <v>0</v>
      </c>
      <c r="J50" s="683">
        <f t="shared" si="39"/>
        <v>0</v>
      </c>
      <c r="K50" s="683">
        <f t="shared" si="39"/>
        <v>0</v>
      </c>
      <c r="L50" s="251">
        <f t="shared" si="39"/>
        <v>0</v>
      </c>
      <c r="M50" s="251">
        <f t="shared" ref="M50" si="40">M47-SUM(M48:M49)</f>
        <v>0</v>
      </c>
      <c r="N50" s="34" t="s">
        <v>1455</v>
      </c>
      <c r="O50" t="s">
        <v>1472</v>
      </c>
      <c r="P50"/>
      <c r="R50" s="19" t="s">
        <v>1473</v>
      </c>
      <c r="Z50" s="24">
        <v>22818</v>
      </c>
      <c r="AA50" s="24">
        <v>25169</v>
      </c>
      <c r="AB50" s="24">
        <v>27784</v>
      </c>
      <c r="AC50" s="24">
        <v>26719</v>
      </c>
      <c r="AD50" s="24">
        <v>27752</v>
      </c>
      <c r="AE50" s="24">
        <v>24944</v>
      </c>
      <c r="AF50" s="24">
        <v>20437</v>
      </c>
      <c r="AG50" s="24">
        <v>21847</v>
      </c>
    </row>
    <row r="51" spans="1:41" ht="15">
      <c r="A51" s="9" t="s">
        <v>58</v>
      </c>
      <c r="B51" s="287">
        <v>1808.8</v>
      </c>
      <c r="C51" s="287">
        <v>686.4</v>
      </c>
      <c r="D51" s="287">
        <v>375.5</v>
      </c>
      <c r="E51" s="287">
        <v>215.5</v>
      </c>
      <c r="F51" s="287">
        <v>205.6</v>
      </c>
      <c r="G51" s="287">
        <v>188.7</v>
      </c>
      <c r="H51" s="287">
        <v>136.30000000000001</v>
      </c>
      <c r="I51" s="287">
        <v>4.3</v>
      </c>
      <c r="J51" s="287">
        <v>3.4</v>
      </c>
      <c r="K51" s="287">
        <v>2.2999999999999998</v>
      </c>
      <c r="L51" s="698">
        <v>2.2000000000000002</v>
      </c>
      <c r="M51" s="250"/>
      <c r="N51" s="34" t="s">
        <v>1455</v>
      </c>
      <c r="O51" t="s">
        <v>58</v>
      </c>
      <c r="P51"/>
      <c r="Z51" s="24"/>
      <c r="AA51" s="24"/>
      <c r="AB51" s="24"/>
      <c r="AC51" s="24"/>
      <c r="AD51" s="24"/>
      <c r="AE51" s="24"/>
      <c r="AF51" s="24"/>
      <c r="AG51" s="24"/>
    </row>
    <row r="52" spans="1:41">
      <c r="B52" s="287"/>
      <c r="C52" s="287"/>
      <c r="D52" s="287"/>
      <c r="E52" s="287"/>
      <c r="F52" s="287"/>
      <c r="G52" s="287"/>
      <c r="H52" s="287"/>
      <c r="I52" s="287"/>
      <c r="J52" s="287"/>
      <c r="K52" s="287"/>
      <c r="L52" s="250"/>
      <c r="M52" s="286"/>
      <c r="N52" s="34" t="s">
        <v>1455</v>
      </c>
      <c r="O52"/>
      <c r="P52"/>
      <c r="Z52" s="21">
        <f t="shared" ref="Z52:AG52" si="41">Z49-Z50</f>
        <v>12541</v>
      </c>
      <c r="AA52" s="21">
        <f t="shared" si="41"/>
        <v>12046</v>
      </c>
      <c r="AB52" s="21">
        <f t="shared" si="41"/>
        <v>12194</v>
      </c>
      <c r="AC52" s="21">
        <f t="shared" si="41"/>
        <v>10002</v>
      </c>
      <c r="AD52" s="21">
        <f t="shared" si="41"/>
        <v>14221</v>
      </c>
      <c r="AE52" s="21">
        <f t="shared" si="41"/>
        <v>14539</v>
      </c>
      <c r="AF52" s="21">
        <f t="shared" si="41"/>
        <v>10238</v>
      </c>
      <c r="AG52" s="21">
        <f t="shared" si="41"/>
        <v>9599</v>
      </c>
    </row>
    <row r="53" spans="1:41" s="9" customFormat="1">
      <c r="A53" s="19"/>
      <c r="B53" s="718"/>
      <c r="C53" s="718"/>
      <c r="D53" s="718"/>
      <c r="E53" s="718"/>
      <c r="F53" s="718"/>
      <c r="G53" s="718"/>
      <c r="H53" s="718"/>
      <c r="I53" s="718"/>
      <c r="J53" s="718"/>
      <c r="K53" s="718"/>
      <c r="L53" s="286"/>
      <c r="M53" s="286"/>
      <c r="N53" s="34" t="s">
        <v>1455</v>
      </c>
      <c r="O53"/>
      <c r="P53"/>
      <c r="Z53" s="32">
        <f>+Z49+Z44</f>
        <v>61491</v>
      </c>
      <c r="AA53" s="32">
        <f>+AA49+AA44</f>
        <v>63457</v>
      </c>
      <c r="AB53" s="32">
        <f>+AB49+AB44</f>
        <v>67855</v>
      </c>
      <c r="AC53" s="32">
        <f>AC44+AC49</f>
        <v>64018</v>
      </c>
      <c r="AD53" s="32">
        <f>AD49+AD44</f>
        <v>71388</v>
      </c>
      <c r="AE53" s="32">
        <f>AE49+AE44</f>
        <v>68044</v>
      </c>
      <c r="AF53" s="32">
        <f>AF49+AF44</f>
        <v>52695</v>
      </c>
      <c r="AG53" s="32">
        <f>AG49+AG44</f>
        <v>50738</v>
      </c>
      <c r="AO53" s="19"/>
    </row>
    <row r="54" spans="1:41">
      <c r="A54" s="36" t="s">
        <v>1246</v>
      </c>
      <c r="B54" s="721">
        <v>0</v>
      </c>
      <c r="C54" s="721">
        <v>0</v>
      </c>
      <c r="D54" s="721">
        <v>0</v>
      </c>
      <c r="E54" s="721">
        <v>0</v>
      </c>
      <c r="F54" s="721">
        <v>0</v>
      </c>
      <c r="G54" s="721">
        <v>0</v>
      </c>
      <c r="H54" s="721">
        <v>0</v>
      </c>
      <c r="I54" s="721">
        <v>0</v>
      </c>
      <c r="J54" s="721">
        <v>0</v>
      </c>
      <c r="K54" s="721">
        <v>0</v>
      </c>
      <c r="L54" s="289">
        <v>0</v>
      </c>
      <c r="M54" s="289">
        <v>0</v>
      </c>
      <c r="N54" s="34" t="s">
        <v>1455</v>
      </c>
      <c r="O54" t="s">
        <v>1246</v>
      </c>
      <c r="P54"/>
    </row>
    <row r="55" spans="1:41">
      <c r="B55" s="718"/>
      <c r="C55" s="718"/>
      <c r="D55" s="718"/>
      <c r="E55" s="718"/>
      <c r="F55" s="718"/>
      <c r="G55" s="718"/>
      <c r="H55" s="718"/>
      <c r="I55" s="718"/>
      <c r="J55" s="718"/>
      <c r="K55" s="718"/>
      <c r="L55" s="286"/>
      <c r="M55" s="286"/>
      <c r="N55" s="34" t="s">
        <v>1455</v>
      </c>
      <c r="O55"/>
      <c r="P55"/>
    </row>
    <row r="56" spans="1:41" s="9" customFormat="1">
      <c r="A56" s="9" t="s">
        <v>1247</v>
      </c>
      <c r="B56" s="287">
        <f t="shared" ref="B56:K56" si="42">B38-B51-B54</f>
        <v>3390</v>
      </c>
      <c r="C56" s="287">
        <f t="shared" si="42"/>
        <v>1292</v>
      </c>
      <c r="D56" s="287">
        <f t="shared" si="42"/>
        <v>574.20000000000005</v>
      </c>
      <c r="E56" s="287">
        <f t="shared" si="42"/>
        <v>387</v>
      </c>
      <c r="F56" s="287">
        <f t="shared" si="42"/>
        <v>376.69999999999993</v>
      </c>
      <c r="G56" s="287">
        <f t="shared" si="42"/>
        <v>343.3</v>
      </c>
      <c r="H56" s="287">
        <f t="shared" si="42"/>
        <v>200.2</v>
      </c>
      <c r="I56" s="287">
        <f t="shared" si="42"/>
        <v>98.4</v>
      </c>
      <c r="J56" s="287">
        <f t="shared" si="42"/>
        <v>5.5</v>
      </c>
      <c r="K56" s="287">
        <f t="shared" si="42"/>
        <v>2.4000000000000004</v>
      </c>
      <c r="L56" s="250">
        <f t="shared" ref="L56" si="43">L38-L51-L54</f>
        <v>8940.7999999999993</v>
      </c>
      <c r="M56" s="250">
        <f t="shared" ref="M56" si="44">M38-M51-M54</f>
        <v>0</v>
      </c>
      <c r="N56" s="34" t="s">
        <v>1455</v>
      </c>
      <c r="O56"/>
      <c r="P56"/>
      <c r="Q56" s="19" t="s">
        <v>1461</v>
      </c>
      <c r="R56" s="9" t="s">
        <v>1474</v>
      </c>
      <c r="AO56" s="19"/>
    </row>
    <row r="57" spans="1:41">
      <c r="A57" s="9"/>
      <c r="B57" s="287"/>
      <c r="C57" s="287"/>
      <c r="D57" s="287"/>
      <c r="E57" s="287"/>
      <c r="F57" s="287"/>
      <c r="G57" s="287"/>
      <c r="H57" s="287"/>
      <c r="I57" s="287"/>
      <c r="J57" s="287"/>
      <c r="K57" s="287"/>
      <c r="L57" s="250"/>
      <c r="M57" s="250"/>
      <c r="N57" s="34"/>
      <c r="O57"/>
      <c r="P57"/>
    </row>
    <row r="58" spans="1:41">
      <c r="A58" s="45" t="s">
        <v>1475</v>
      </c>
      <c r="B58" s="287"/>
      <c r="C58" s="287"/>
      <c r="D58" s="287"/>
      <c r="E58" s="287"/>
      <c r="F58" s="287"/>
      <c r="G58" s="287"/>
      <c r="H58" s="287"/>
      <c r="I58" s="287"/>
      <c r="J58" s="287"/>
      <c r="K58" s="287"/>
      <c r="L58" s="250"/>
      <c r="M58" s="250"/>
      <c r="N58" s="34"/>
      <c r="O58"/>
      <c r="P58"/>
    </row>
    <row r="59" spans="1:41" ht="15">
      <c r="A59" s="9" t="s">
        <v>141</v>
      </c>
      <c r="B59" s="287">
        <v>3456.7</v>
      </c>
      <c r="C59" s="287">
        <v>647.6</v>
      </c>
      <c r="D59" s="287">
        <v>18.8</v>
      </c>
      <c r="E59" s="287">
        <v>-19</v>
      </c>
      <c r="F59" s="287">
        <v>-10.4</v>
      </c>
      <c r="G59" s="287">
        <v>-9</v>
      </c>
      <c r="H59" s="287">
        <v>-16.3</v>
      </c>
      <c r="I59" s="287">
        <v>-14.6</v>
      </c>
      <c r="J59" s="287">
        <v>-1.5</v>
      </c>
      <c r="K59" s="287">
        <v>-0.9</v>
      </c>
      <c r="L59" s="700">
        <v>-0.8</v>
      </c>
      <c r="M59" s="250"/>
      <c r="N59" s="34"/>
      <c r="O59"/>
      <c r="P59"/>
    </row>
    <row r="60" spans="1:41">
      <c r="A60" s="23" t="s">
        <v>75</v>
      </c>
      <c r="B60" s="683">
        <f>B12</f>
        <v>2391.1</v>
      </c>
      <c r="C60" s="683">
        <f t="shared" ref="C60:K60" si="45">C12</f>
        <v>561.79999999999995</v>
      </c>
      <c r="D60" s="683">
        <f t="shared" si="45"/>
        <v>-51.4</v>
      </c>
      <c r="E60" s="683">
        <f t="shared" si="45"/>
        <v>-99.3</v>
      </c>
      <c r="F60" s="683">
        <f t="shared" si="45"/>
        <v>-28.9</v>
      </c>
      <c r="G60" s="683">
        <f t="shared" si="45"/>
        <v>-19.399999999999999</v>
      </c>
      <c r="H60" s="683">
        <f t="shared" si="45"/>
        <v>-26</v>
      </c>
      <c r="I60" s="683">
        <f t="shared" si="45"/>
        <v>-55.6</v>
      </c>
      <c r="J60" s="683">
        <f t="shared" si="45"/>
        <v>-5.5</v>
      </c>
      <c r="K60" s="683">
        <f t="shared" si="45"/>
        <v>-3.2</v>
      </c>
      <c r="L60" s="251">
        <f t="shared" ref="L60" si="46">L12</f>
        <v>569</v>
      </c>
      <c r="M60" s="251">
        <f t="shared" ref="M60" si="47">M12</f>
        <v>0</v>
      </c>
      <c r="N60" s="34"/>
      <c r="O60"/>
      <c r="P60"/>
    </row>
    <row r="61" spans="1:41" ht="15" thickBot="1">
      <c r="A61" s="91" t="s">
        <v>67</v>
      </c>
      <c r="B61" s="683">
        <v>1.5</v>
      </c>
      <c r="C61" s="683">
        <v>0.7</v>
      </c>
      <c r="D61" s="683">
        <v>0.5</v>
      </c>
      <c r="E61" s="683">
        <v>0.6</v>
      </c>
      <c r="F61" s="683">
        <v>0.2</v>
      </c>
      <c r="G61" s="683">
        <v>0.2</v>
      </c>
      <c r="H61" s="683">
        <v>0.1</v>
      </c>
      <c r="I61" s="683">
        <v>0.1</v>
      </c>
      <c r="J61" s="683">
        <v>0</v>
      </c>
      <c r="K61" s="683">
        <v>0</v>
      </c>
      <c r="L61" s="251">
        <v>329.6</v>
      </c>
      <c r="M61" s="251"/>
      <c r="N61" s="34"/>
      <c r="O61"/>
      <c r="P61"/>
    </row>
    <row r="62" spans="1:41" ht="15">
      <c r="A62" s="91" t="s">
        <v>1476</v>
      </c>
      <c r="B62" s="683">
        <v>41.8</v>
      </c>
      <c r="C62" s="683">
        <v>-9.6</v>
      </c>
      <c r="D62" s="683">
        <v>-5.2</v>
      </c>
      <c r="E62" s="683">
        <v>-5.8</v>
      </c>
      <c r="F62" s="683">
        <v>-4</v>
      </c>
      <c r="G62" s="683">
        <v>-2</v>
      </c>
      <c r="H62" s="683">
        <v>-8.3000000000000007</v>
      </c>
      <c r="I62" s="683">
        <v>-9.6</v>
      </c>
      <c r="J62" s="683">
        <v>0</v>
      </c>
      <c r="K62" s="683">
        <v>0</v>
      </c>
      <c r="L62" s="701">
        <v>0</v>
      </c>
      <c r="M62" s="251"/>
      <c r="N62" s="34"/>
      <c r="O62"/>
      <c r="P62"/>
    </row>
    <row r="63" spans="1:41">
      <c r="A63" s="91" t="s">
        <v>1477</v>
      </c>
      <c r="B63" s="683">
        <f>B59-B60-B61-B62</f>
        <v>1022.3</v>
      </c>
      <c r="C63" s="683">
        <f t="shared" ref="C63" si="48">C59-C60-C61-C62</f>
        <v>94.70000000000006</v>
      </c>
      <c r="D63" s="683">
        <f t="shared" ref="D63" si="49">D59-D60-D61-D62</f>
        <v>74.900000000000006</v>
      </c>
      <c r="E63" s="683">
        <f t="shared" ref="E63:L63" si="50">E59-E60-E61-E62</f>
        <v>85.5</v>
      </c>
      <c r="F63" s="683">
        <f t="shared" si="50"/>
        <v>22.3</v>
      </c>
      <c r="G63" s="683">
        <f t="shared" si="50"/>
        <v>12.2</v>
      </c>
      <c r="H63" s="683">
        <f t="shared" si="50"/>
        <v>17.899999999999999</v>
      </c>
      <c r="I63" s="683">
        <f t="shared" si="50"/>
        <v>50.5</v>
      </c>
      <c r="J63" s="683">
        <f t="shared" si="50"/>
        <v>4</v>
      </c>
      <c r="K63" s="683">
        <f>K59-K60-K61-K62</f>
        <v>2.3000000000000003</v>
      </c>
      <c r="L63" s="251">
        <f t="shared" si="50"/>
        <v>-899.4</v>
      </c>
      <c r="M63" s="251">
        <f t="shared" ref="M63" si="51">M59-M60-M61-M62</f>
        <v>0</v>
      </c>
      <c r="N63" s="34"/>
      <c r="O63"/>
      <c r="P63"/>
    </row>
    <row r="64" spans="1:41" ht="15">
      <c r="A64" s="9" t="s">
        <v>142</v>
      </c>
      <c r="B64" s="287">
        <v>-408</v>
      </c>
      <c r="C64" s="287">
        <v>-204.5</v>
      </c>
      <c r="D64" s="287">
        <v>-230.8</v>
      </c>
      <c r="E64" s="287">
        <v>-22.6</v>
      </c>
      <c r="F64" s="287">
        <v>-94.4</v>
      </c>
      <c r="G64" s="287">
        <v>-214.5</v>
      </c>
      <c r="H64" s="287">
        <v>-52.7</v>
      </c>
      <c r="I64" s="287">
        <v>-7.6</v>
      </c>
      <c r="J64" s="287">
        <v>-3.2</v>
      </c>
      <c r="K64" s="287">
        <v>-1.6</v>
      </c>
      <c r="L64" s="700">
        <v>-1.5</v>
      </c>
      <c r="M64" s="250"/>
      <c r="N64" s="34"/>
      <c r="O64"/>
      <c r="P64"/>
    </row>
    <row r="65" spans="1:50" ht="15">
      <c r="A65" s="91" t="s">
        <v>143</v>
      </c>
      <c r="B65" s="683">
        <v>-385.5</v>
      </c>
      <c r="C65" s="683">
        <v>-128.30000000000001</v>
      </c>
      <c r="D65" s="683">
        <v>-20.5</v>
      </c>
      <c r="E65" s="683">
        <v>-22.6</v>
      </c>
      <c r="F65" s="683">
        <v>-178.3</v>
      </c>
      <c r="G65" s="683">
        <v>-219.1</v>
      </c>
      <c r="H65" s="683">
        <v>-52.8</v>
      </c>
      <c r="I65" s="683">
        <v>-4.5999999999999996</v>
      </c>
      <c r="J65" s="683">
        <v>-0.6</v>
      </c>
      <c r="K65" s="683">
        <v>-1.6</v>
      </c>
      <c r="L65" s="706">
        <v>-1.5</v>
      </c>
      <c r="M65" s="251"/>
      <c r="N65" s="34"/>
      <c r="O65"/>
      <c r="P65"/>
    </row>
    <row r="66" spans="1:50" ht="15">
      <c r="A66" s="91" t="s">
        <v>144</v>
      </c>
      <c r="B66" s="683">
        <f t="shared" ref="B66:K66" si="52">SUM(B114:B116)</f>
        <v>-22.4</v>
      </c>
      <c r="C66" s="683">
        <f t="shared" si="52"/>
        <v>-76.2</v>
      </c>
      <c r="D66" s="683">
        <f t="shared" si="52"/>
        <v>-210.3</v>
      </c>
      <c r="E66" s="683">
        <f t="shared" si="52"/>
        <v>0</v>
      </c>
      <c r="F66" s="683">
        <f t="shared" si="52"/>
        <v>0</v>
      </c>
      <c r="G66" s="683">
        <f t="shared" si="52"/>
        <v>4.3</v>
      </c>
      <c r="H66" s="683">
        <f t="shared" si="52"/>
        <v>0</v>
      </c>
      <c r="I66" s="683">
        <f t="shared" si="52"/>
        <v>-2</v>
      </c>
      <c r="J66" s="683">
        <f t="shared" si="52"/>
        <v>-1</v>
      </c>
      <c r="K66" s="683">
        <f t="shared" si="52"/>
        <v>0</v>
      </c>
      <c r="L66" s="19">
        <f t="shared" ref="L66" si="53">L64-L65</f>
        <v>0</v>
      </c>
      <c r="M66" s="251"/>
      <c r="N66" s="34"/>
      <c r="O66"/>
      <c r="P66"/>
      <c r="Y66" s="706"/>
      <c r="Z66" s="706">
        <v>-55.2</v>
      </c>
      <c r="AA66" s="706">
        <v>-156.9</v>
      </c>
      <c r="AB66" s="701">
        <v>0</v>
      </c>
      <c r="AC66" s="701">
        <v>59.9</v>
      </c>
      <c r="AH66" s="708" t="s">
        <v>1478</v>
      </c>
      <c r="AI66" s="706">
        <v>-15.1</v>
      </c>
      <c r="AJ66" s="706">
        <v>-55.2</v>
      </c>
      <c r="AK66" s="706">
        <v>-156.9</v>
      </c>
      <c r="AL66" s="701">
        <v>0</v>
      </c>
      <c r="AM66" s="701">
        <v>59.9</v>
      </c>
      <c r="AN66" s="701">
        <v>3.6</v>
      </c>
      <c r="AO66" s="701">
        <v>0.1</v>
      </c>
      <c r="AP66" s="706">
        <v>-2.2000000000000002</v>
      </c>
      <c r="AQ66" s="706">
        <v>-2.2000000000000002</v>
      </c>
      <c r="AR66" s="706">
        <v>-2.2000000000000002</v>
      </c>
      <c r="AS66" s="701">
        <v>0</v>
      </c>
      <c r="AT66" s="701"/>
      <c r="AU66" s="701"/>
      <c r="AV66" s="702"/>
      <c r="AW66" s="702"/>
      <c r="AX66" s="701"/>
    </row>
    <row r="67" spans="1:50" ht="15">
      <c r="A67" s="91" t="s">
        <v>1479</v>
      </c>
      <c r="B67" s="683">
        <f>B64-B65-B66</f>
        <v>-0.10000000000000142</v>
      </c>
      <c r="C67" s="683">
        <f>C64-C65-C66</f>
        <v>0</v>
      </c>
      <c r="D67" s="683">
        <f>D64-D65-D66</f>
        <v>0</v>
      </c>
      <c r="E67" s="683">
        <f>E64-E65-E66</f>
        <v>0</v>
      </c>
      <c r="F67" s="683">
        <f t="shared" ref="F67" si="54">F64-F65-F66</f>
        <v>83.9</v>
      </c>
      <c r="G67" s="683">
        <f t="shared" ref="G67:L67" si="55">G64-G65-G66</f>
        <v>0.29999999999999449</v>
      </c>
      <c r="H67" s="683">
        <f t="shared" si="55"/>
        <v>9.9999999999994316E-2</v>
      </c>
      <c r="I67" s="683">
        <f t="shared" si="55"/>
        <v>-1</v>
      </c>
      <c r="J67" s="683">
        <f t="shared" si="55"/>
        <v>-1.6</v>
      </c>
      <c r="K67" s="683">
        <f t="shared" si="55"/>
        <v>0</v>
      </c>
      <c r="L67" s="251">
        <f t="shared" si="55"/>
        <v>0</v>
      </c>
      <c r="M67" s="251">
        <f t="shared" ref="M67" si="56">M64-M65-M66</f>
        <v>0</v>
      </c>
      <c r="N67" s="34"/>
      <c r="O67"/>
      <c r="P67"/>
      <c r="AH67" s="709" t="s">
        <v>1480</v>
      </c>
      <c r="AI67" s="704">
        <v>0</v>
      </c>
      <c r="AJ67" s="704">
        <v>0</v>
      </c>
      <c r="AK67" s="704">
        <v>0</v>
      </c>
      <c r="AL67" s="704">
        <v>0</v>
      </c>
      <c r="AM67" s="704">
        <v>0</v>
      </c>
      <c r="AN67" s="704">
        <v>0</v>
      </c>
      <c r="AO67" s="703">
        <v>0</v>
      </c>
      <c r="AP67" s="710">
        <v>-0.7</v>
      </c>
      <c r="AQ67" s="710">
        <v>-1.4</v>
      </c>
      <c r="AR67" s="710">
        <v>-1.4</v>
      </c>
      <c r="AS67" s="703">
        <v>0</v>
      </c>
      <c r="AT67" s="703"/>
      <c r="AU67" s="703"/>
      <c r="AV67" s="704"/>
      <c r="AW67" s="704"/>
      <c r="AX67" s="704" t="s">
        <v>301</v>
      </c>
    </row>
    <row r="68" spans="1:50" ht="15">
      <c r="A68" s="9" t="s">
        <v>145</v>
      </c>
      <c r="B68" s="287">
        <v>-315.10000000000002</v>
      </c>
      <c r="C68" s="287">
        <v>45.5</v>
      </c>
      <c r="D68" s="287">
        <v>232.7</v>
      </c>
      <c r="E68" s="287">
        <v>65.8</v>
      </c>
      <c r="F68" s="287">
        <v>49</v>
      </c>
      <c r="G68" s="287">
        <v>256</v>
      </c>
      <c r="H68" s="287">
        <v>56.1</v>
      </c>
      <c r="I68" s="287">
        <v>119</v>
      </c>
      <c r="J68" s="287">
        <v>6.8</v>
      </c>
      <c r="K68" s="287">
        <v>3.4</v>
      </c>
      <c r="L68" s="699">
        <v>3.1</v>
      </c>
      <c r="M68" s="250"/>
      <c r="N68" s="34"/>
      <c r="O68"/>
      <c r="P68"/>
      <c r="AH68" s="19" t="s">
        <v>1481</v>
      </c>
      <c r="AI68" s="19">
        <f>AI66-AI67</f>
        <v>-15.1</v>
      </c>
      <c r="AJ68" s="19">
        <f t="shared" ref="AJ68:AS68" si="57">AJ66-AJ67</f>
        <v>-55.2</v>
      </c>
      <c r="AK68" s="19">
        <f t="shared" si="57"/>
        <v>-156.9</v>
      </c>
      <c r="AL68" s="19">
        <f t="shared" si="57"/>
        <v>0</v>
      </c>
      <c r="AM68" s="19">
        <f t="shared" si="57"/>
        <v>59.9</v>
      </c>
      <c r="AN68" s="19">
        <f t="shared" si="57"/>
        <v>3.6</v>
      </c>
      <c r="AO68" s="19">
        <f t="shared" si="57"/>
        <v>0.1</v>
      </c>
      <c r="AP68" s="19">
        <f t="shared" si="57"/>
        <v>-1.5000000000000002</v>
      </c>
      <c r="AQ68" s="19">
        <f t="shared" si="57"/>
        <v>-0.80000000000000027</v>
      </c>
      <c r="AR68" s="19">
        <f t="shared" si="57"/>
        <v>-0.80000000000000027</v>
      </c>
      <c r="AS68" s="19">
        <f t="shared" si="57"/>
        <v>0</v>
      </c>
    </row>
    <row r="69" spans="1:50" ht="15">
      <c r="A69" s="91" t="s">
        <v>1482</v>
      </c>
      <c r="B69" s="683">
        <v>277.2</v>
      </c>
      <c r="C69" s="683">
        <v>107.3</v>
      </c>
      <c r="D69" s="683">
        <v>155.80000000000001</v>
      </c>
      <c r="E69" s="683"/>
      <c r="F69" s="683"/>
      <c r="G69" s="683">
        <v>0</v>
      </c>
      <c r="H69" s="683">
        <v>132.30000000000001</v>
      </c>
      <c r="I69" s="683">
        <v>4</v>
      </c>
      <c r="J69" s="683">
        <v>1.7</v>
      </c>
      <c r="K69" s="683">
        <v>1.5</v>
      </c>
      <c r="L69" s="703">
        <v>1.4</v>
      </c>
      <c r="M69" s="251"/>
      <c r="N69" s="34"/>
      <c r="O69"/>
      <c r="P69"/>
    </row>
    <row r="70" spans="1:50" ht="15">
      <c r="A70" s="91" t="s">
        <v>1483</v>
      </c>
      <c r="B70" s="683">
        <v>-225.9</v>
      </c>
      <c r="C70" s="683">
        <v>-49.8</v>
      </c>
      <c r="D70" s="683">
        <v>-149.6</v>
      </c>
      <c r="E70" s="683">
        <v>-19.100000000000001</v>
      </c>
      <c r="F70" s="683">
        <v>-4.8</v>
      </c>
      <c r="G70" s="683">
        <v>0</v>
      </c>
      <c r="H70" s="683">
        <v>0</v>
      </c>
      <c r="I70" s="683">
        <v>0</v>
      </c>
      <c r="J70" s="683">
        <v>0</v>
      </c>
      <c r="K70" s="683">
        <v>0</v>
      </c>
      <c r="L70" s="703">
        <v>0</v>
      </c>
      <c r="M70" s="251"/>
      <c r="N70" s="34"/>
      <c r="O70"/>
      <c r="P70"/>
    </row>
    <row r="71" spans="1:50">
      <c r="A71" s="91" t="s">
        <v>1484</v>
      </c>
      <c r="B71" s="683">
        <v>0</v>
      </c>
      <c r="C71" s="683">
        <v>0</v>
      </c>
      <c r="D71" s="683">
        <v>0</v>
      </c>
      <c r="E71" s="683">
        <v>0</v>
      </c>
      <c r="F71" s="683">
        <v>0</v>
      </c>
      <c r="G71" s="683">
        <v>0</v>
      </c>
      <c r="H71" s="683">
        <v>0</v>
      </c>
      <c r="I71" s="683">
        <v>0</v>
      </c>
      <c r="J71" s="683">
        <v>0</v>
      </c>
      <c r="K71" s="683">
        <v>0</v>
      </c>
      <c r="L71" s="251"/>
      <c r="M71" s="251"/>
      <c r="N71" s="34"/>
      <c r="O71"/>
      <c r="P71"/>
    </row>
    <row r="72" spans="1:50">
      <c r="A72" s="91" t="s">
        <v>1485</v>
      </c>
      <c r="B72" s="683">
        <v>-54.631</v>
      </c>
      <c r="C72" s="683">
        <v>-26.864000000000001</v>
      </c>
      <c r="D72" s="683">
        <v>-20.047999999999998</v>
      </c>
      <c r="E72" s="683">
        <v>-17.89</v>
      </c>
      <c r="F72" s="683"/>
      <c r="G72" s="683"/>
      <c r="H72" s="683"/>
      <c r="I72" s="683"/>
      <c r="J72" s="683"/>
      <c r="K72" s="683"/>
      <c r="L72" s="251"/>
      <c r="M72" s="251"/>
      <c r="N72" s="34"/>
      <c r="O72"/>
      <c r="P72"/>
    </row>
    <row r="73" spans="1:50" ht="15.95" thickBot="1">
      <c r="A73" s="91" t="s">
        <v>146</v>
      </c>
      <c r="B73" s="683">
        <v>-329.8</v>
      </c>
      <c r="C73" s="683">
        <v>0</v>
      </c>
      <c r="D73" s="683">
        <v>0</v>
      </c>
      <c r="E73" s="683">
        <v>0</v>
      </c>
      <c r="F73" s="683">
        <v>0</v>
      </c>
      <c r="G73" s="683">
        <v>0</v>
      </c>
      <c r="H73" s="683">
        <v>0</v>
      </c>
      <c r="I73" s="683">
        <v>0</v>
      </c>
      <c r="J73" s="683">
        <v>0</v>
      </c>
      <c r="K73" s="683">
        <v>0</v>
      </c>
      <c r="L73" s="702" t="s">
        <v>301</v>
      </c>
      <c r="M73" s="251"/>
      <c r="N73" s="31" t="s">
        <v>1486</v>
      </c>
      <c r="O73" t="s">
        <v>1487</v>
      </c>
      <c r="P73"/>
    </row>
    <row r="74" spans="1:50" ht="15">
      <c r="A74" s="91" t="s">
        <v>1228</v>
      </c>
      <c r="B74" s="683">
        <v>1.2</v>
      </c>
      <c r="C74" s="683">
        <v>3.6</v>
      </c>
      <c r="D74" s="683">
        <v>239.7</v>
      </c>
      <c r="E74" s="683">
        <v>111.5</v>
      </c>
      <c r="F74" s="683">
        <v>60.7</v>
      </c>
      <c r="G74" s="683">
        <v>156.4</v>
      </c>
      <c r="H74" s="683">
        <v>68.400000000000006</v>
      </c>
      <c r="I74" s="683">
        <v>122.7</v>
      </c>
      <c r="J74" s="683">
        <v>5.2</v>
      </c>
      <c r="K74" s="683">
        <v>1.2</v>
      </c>
      <c r="L74" s="701">
        <v>1.1000000000000001</v>
      </c>
      <c r="M74" s="251"/>
      <c r="N74" s="31" t="s">
        <v>1486</v>
      </c>
      <c r="O74" t="str">
        <f>+A74</f>
        <v>Share buyback</v>
      </c>
      <c r="P74"/>
    </row>
    <row r="75" spans="1:50" ht="15" thickBot="1">
      <c r="A75" s="91" t="s">
        <v>1479</v>
      </c>
      <c r="B75" s="683">
        <f>B68-B69-B70-B71-B72-B73-B74</f>
        <v>16.831000000000007</v>
      </c>
      <c r="C75" s="683">
        <f t="shared" ref="C75" si="58">C68-C69-C70-C71-C72-C73-C74</f>
        <v>11.264000000000001</v>
      </c>
      <c r="D75" s="683">
        <f t="shared" ref="D75:L75" si="59">D68-D69-D70-D71-D72-D73-D74</f>
        <v>6.8479999999999848</v>
      </c>
      <c r="E75" s="683">
        <f t="shared" si="59"/>
        <v>-8.7099999999999937</v>
      </c>
      <c r="F75" s="683">
        <f>F68-F69-F70-F71-F72-F73-F74</f>
        <v>-6.9000000000000057</v>
      </c>
      <c r="G75" s="683">
        <f t="shared" si="59"/>
        <v>99.6</v>
      </c>
      <c r="H75" s="683">
        <f t="shared" si="59"/>
        <v>-144.60000000000002</v>
      </c>
      <c r="I75" s="683">
        <f t="shared" si="59"/>
        <v>-7.7000000000000028</v>
      </c>
      <c r="J75" s="683">
        <f t="shared" si="59"/>
        <v>-0.10000000000000053</v>
      </c>
      <c r="K75" s="683">
        <f t="shared" si="59"/>
        <v>0.7</v>
      </c>
      <c r="L75" s="251" t="e">
        <f t="shared" si="59"/>
        <v>#VALUE!</v>
      </c>
      <c r="M75" s="251">
        <f t="shared" ref="M75" si="60">M68-M69-M70-M71-M72-M73-M74</f>
        <v>0</v>
      </c>
      <c r="N75" s="34"/>
      <c r="O75"/>
      <c r="P75"/>
    </row>
    <row r="76" spans="1:50" ht="15">
      <c r="A76" s="9" t="s">
        <v>149</v>
      </c>
      <c r="B76" s="287">
        <v>13.2</v>
      </c>
      <c r="C76" s="287">
        <v>3.4</v>
      </c>
      <c r="D76" s="287">
        <v>-7.2</v>
      </c>
      <c r="E76" s="287">
        <v>-1.6</v>
      </c>
      <c r="F76" s="287">
        <v>-0.5</v>
      </c>
      <c r="G76" s="287">
        <v>0.2</v>
      </c>
      <c r="H76" s="287">
        <v>0</v>
      </c>
      <c r="I76" s="287">
        <v>0</v>
      </c>
      <c r="J76" s="287">
        <v>0</v>
      </c>
      <c r="K76" s="287">
        <v>0</v>
      </c>
      <c r="L76" s="707" t="s">
        <v>301</v>
      </c>
      <c r="M76" s="250"/>
      <c r="N76" s="34"/>
      <c r="O76"/>
      <c r="P76"/>
    </row>
    <row r="77" spans="1:50">
      <c r="A77" s="9" t="s">
        <v>1248</v>
      </c>
      <c r="B77" s="287">
        <f t="shared" ref="B77:L77" si="61">B59+B64+B68+B76</f>
        <v>2746.7999999999997</v>
      </c>
      <c r="C77" s="287">
        <f t="shared" si="61"/>
        <v>492</v>
      </c>
      <c r="D77" s="287">
        <f t="shared" si="61"/>
        <v>13.499999999999989</v>
      </c>
      <c r="E77" s="287">
        <f t="shared" si="61"/>
        <v>22.599999999999994</v>
      </c>
      <c r="F77" s="287">
        <f t="shared" si="61"/>
        <v>-56.300000000000011</v>
      </c>
      <c r="G77" s="287">
        <f t="shared" si="61"/>
        <v>32.700000000000003</v>
      </c>
      <c r="H77" s="287">
        <f t="shared" si="61"/>
        <v>-12.899999999999999</v>
      </c>
      <c r="I77" s="287">
        <f t="shared" si="61"/>
        <v>96.8</v>
      </c>
      <c r="J77" s="287">
        <f t="shared" si="61"/>
        <v>2.0999999999999996</v>
      </c>
      <c r="K77" s="287">
        <f t="shared" si="61"/>
        <v>0.89999999999999991</v>
      </c>
      <c r="L77" s="250" t="e">
        <f t="shared" si="61"/>
        <v>#VALUE!</v>
      </c>
      <c r="M77" s="250">
        <f t="shared" ref="M77" si="62">M59+M64+M68+M76</f>
        <v>0</v>
      </c>
      <c r="N77" s="34"/>
      <c r="O77"/>
      <c r="P77"/>
    </row>
    <row r="78" spans="1:50">
      <c r="B78" s="720"/>
      <c r="C78" s="720"/>
      <c r="D78" s="720"/>
      <c r="E78" s="720"/>
      <c r="F78" s="720"/>
      <c r="G78" s="720"/>
      <c r="H78" s="720"/>
      <c r="I78" s="720"/>
      <c r="J78" s="720"/>
      <c r="K78" s="38"/>
      <c r="M78" s="21"/>
      <c r="N78"/>
      <c r="O78" t="s">
        <v>1488</v>
      </c>
      <c r="P78"/>
    </row>
    <row r="79" spans="1:50">
      <c r="A79" s="45" t="s">
        <v>1489</v>
      </c>
      <c r="B79" s="722"/>
      <c r="C79" s="722"/>
      <c r="E79" s="1469" t="s">
        <v>1256</v>
      </c>
      <c r="F79" s="1469"/>
      <c r="G79" s="1469"/>
      <c r="H79" s="1469" t="s">
        <v>1490</v>
      </c>
      <c r="I79" s="1469"/>
      <c r="J79" s="722" t="s">
        <v>1257</v>
      </c>
      <c r="K79" s="722" t="s">
        <v>1258</v>
      </c>
      <c r="L79" s="45" t="s">
        <v>1259</v>
      </c>
      <c r="M79" s="32"/>
      <c r="N79"/>
      <c r="O79"/>
      <c r="P79"/>
    </row>
    <row r="80" spans="1:50">
      <c r="A80" s="23" t="s">
        <v>1491</v>
      </c>
      <c r="B80" s="723" cm="1">
        <f t="array" ref="B80">_FV('Inputs (AUD)'!H3,"Employees")</f>
        <v>768</v>
      </c>
      <c r="C80" s="724" t="s">
        <v>1492</v>
      </c>
      <c r="E80" s="1466"/>
      <c r="F80" s="1466"/>
      <c r="G80" s="1466"/>
      <c r="H80" s="1466"/>
      <c r="I80" s="1466"/>
      <c r="J80" s="723"/>
      <c r="K80" s="723"/>
      <c r="L80" s="59"/>
      <c r="M80" s="21"/>
      <c r="N80" s="37" t="s">
        <v>1493</v>
      </c>
      <c r="O80"/>
      <c r="P80"/>
    </row>
    <row r="81" spans="1:24">
      <c r="A81" s="23" t="s">
        <v>1494</v>
      </c>
      <c r="B81" s="723" cm="1">
        <f t="array" ref="B81">_FV(H3,"Shares outstanding",TRUE)/1000</f>
        <v>3009468</v>
      </c>
      <c r="C81" s="724" t="s">
        <v>1495</v>
      </c>
      <c r="E81" s="1466"/>
      <c r="F81" s="1466"/>
      <c r="G81" s="1466"/>
      <c r="H81" s="1466"/>
      <c r="I81" s="1466"/>
      <c r="J81" s="723"/>
      <c r="K81" s="723"/>
      <c r="L81" s="59"/>
      <c r="M81" s="21"/>
      <c r="N81" s="37" t="s">
        <v>1493</v>
      </c>
      <c r="O81"/>
      <c r="P81"/>
    </row>
    <row r="82" spans="1:24">
      <c r="A82" s="23" t="s">
        <v>56</v>
      </c>
      <c r="B82" s="760">
        <f>1-B83</f>
        <v>0.90369999999999995</v>
      </c>
      <c r="C82" s="724" t="s">
        <v>1495</v>
      </c>
      <c r="E82" s="1466"/>
      <c r="F82" s="1466"/>
      <c r="G82" s="1466"/>
      <c r="H82" s="1466"/>
      <c r="I82" s="1466"/>
      <c r="J82" s="723"/>
      <c r="K82" s="723"/>
      <c r="L82" s="59"/>
      <c r="M82" s="60"/>
      <c r="N82" s="37" t="s">
        <v>1493</v>
      </c>
      <c r="O82"/>
      <c r="P82"/>
    </row>
    <row r="83" spans="1:24">
      <c r="A83" s="23" t="s">
        <v>60</v>
      </c>
      <c r="B83" s="760">
        <v>9.6299999999999997E-2</v>
      </c>
      <c r="C83" s="724" t="s">
        <v>1495</v>
      </c>
      <c r="E83" s="1466"/>
      <c r="F83" s="1466"/>
      <c r="G83" s="1466"/>
      <c r="H83" s="1466"/>
      <c r="I83" s="1466"/>
      <c r="J83" s="723"/>
      <c r="K83" s="723"/>
      <c r="L83" s="59"/>
      <c r="M83" s="60"/>
      <c r="N83" s="37" t="s">
        <v>1493</v>
      </c>
      <c r="O83"/>
      <c r="P83"/>
    </row>
    <row r="84" spans="1:24">
      <c r="A84" s="23" t="s">
        <v>1252</v>
      </c>
      <c r="B84" s="723" t="s">
        <v>1496</v>
      </c>
      <c r="C84" s="724" t="s">
        <v>1492</v>
      </c>
      <c r="E84" s="1466"/>
      <c r="F84" s="1466"/>
      <c r="G84" s="1466"/>
      <c r="H84" s="1466"/>
      <c r="I84" s="1466"/>
      <c r="J84" s="723"/>
      <c r="K84" s="723"/>
      <c r="L84" s="59"/>
      <c r="M84" s="21"/>
      <c r="N84" s="37" t="s">
        <v>1493</v>
      </c>
      <c r="O84"/>
      <c r="P84"/>
    </row>
    <row r="85" spans="1:24">
      <c r="A85" s="23" t="s">
        <v>1497</v>
      </c>
      <c r="B85" s="763">
        <v>6.9099999999999995E-2</v>
      </c>
      <c r="C85" s="724" t="s">
        <v>1495</v>
      </c>
      <c r="E85" s="1466"/>
      <c r="F85" s="1466"/>
      <c r="G85" s="1466"/>
      <c r="H85" s="1466"/>
      <c r="I85" s="1466"/>
      <c r="J85" s="723"/>
      <c r="K85" s="723"/>
      <c r="L85" s="59"/>
      <c r="M85" s="21"/>
      <c r="N85" s="37" t="s">
        <v>1493</v>
      </c>
      <c r="O85"/>
    </row>
    <row r="86" spans="1:24">
      <c r="A86" s="23" t="s">
        <v>1254</v>
      </c>
      <c r="B86" s="723" cm="1">
        <f t="array" ref="B86">_FV(H3,"Volume")</f>
        <v>24266361</v>
      </c>
      <c r="C86" s="724" t="s">
        <v>1498</v>
      </c>
      <c r="E86" s="1466"/>
      <c r="F86" s="1466"/>
      <c r="G86" s="1466"/>
      <c r="H86" s="1466"/>
      <c r="I86" s="1466"/>
      <c r="J86" s="723"/>
      <c r="K86" s="723"/>
      <c r="L86" s="59"/>
      <c r="M86" s="21"/>
      <c r="N86" s="37" t="s">
        <v>1493</v>
      </c>
    </row>
    <row r="87" spans="1:24">
      <c r="B87" s="725">
        <f>B5</f>
        <v>2023</v>
      </c>
      <c r="C87" s="725">
        <f>C5</f>
        <v>2022</v>
      </c>
      <c r="D87" s="725">
        <f>D5</f>
        <v>2021</v>
      </c>
      <c r="F87" s="720"/>
      <c r="G87" s="720"/>
      <c r="H87" s="38"/>
      <c r="I87" s="38"/>
      <c r="J87" s="38"/>
      <c r="K87" s="38"/>
      <c r="L87" s="38"/>
      <c r="M87" s="38"/>
      <c r="N87"/>
    </row>
    <row r="88" spans="1:24">
      <c r="A88" s="23" t="s">
        <v>1255</v>
      </c>
      <c r="B88" s="723" t="s">
        <v>88</v>
      </c>
      <c r="C88" s="723" t="s">
        <v>88</v>
      </c>
      <c r="D88" s="723" t="s">
        <v>88</v>
      </c>
      <c r="E88" s="724" t="s">
        <v>1498</v>
      </c>
      <c r="G88" s="720"/>
      <c r="H88" s="804"/>
      <c r="I88" s="720"/>
      <c r="J88" s="720"/>
      <c r="K88" s="720"/>
      <c r="L88" s="19"/>
      <c r="N88"/>
      <c r="O88"/>
      <c r="P88"/>
      <c r="Q88"/>
      <c r="R88"/>
      <c r="S88"/>
      <c r="T88"/>
      <c r="U88"/>
      <c r="V88"/>
      <c r="W88"/>
      <c r="X88"/>
    </row>
    <row r="89" spans="1:24">
      <c r="A89" s="23" t="s">
        <v>81</v>
      </c>
      <c r="B89" s="756">
        <v>0.8</v>
      </c>
      <c r="C89" s="757">
        <v>0.19</v>
      </c>
      <c r="D89" s="757">
        <v>-0.02</v>
      </c>
      <c r="E89" s="724" t="s">
        <v>1498</v>
      </c>
      <c r="G89" s="720"/>
      <c r="H89" s="720"/>
      <c r="I89" s="720"/>
      <c r="J89" s="720"/>
      <c r="K89" s="720"/>
      <c r="L89" s="19"/>
      <c r="N89"/>
      <c r="O89"/>
      <c r="P89"/>
      <c r="Q89"/>
      <c r="R89"/>
      <c r="S89"/>
      <c r="T89"/>
      <c r="U89"/>
      <c r="V89"/>
      <c r="W89"/>
      <c r="X89"/>
    </row>
    <row r="90" spans="1:24" ht="15" thickBot="1">
      <c r="B90" s="720"/>
      <c r="C90" s="720"/>
      <c r="D90" s="720"/>
      <c r="E90" s="720"/>
      <c r="F90" s="720"/>
      <c r="G90" s="720"/>
      <c r="H90" s="720"/>
      <c r="I90" s="720"/>
      <c r="J90" s="720"/>
      <c r="K90" s="38"/>
      <c r="M90"/>
      <c r="N90"/>
      <c r="O90"/>
      <c r="P90"/>
      <c r="Q90"/>
      <c r="R90"/>
      <c r="S90"/>
      <c r="T90"/>
      <c r="U90"/>
      <c r="V90"/>
      <c r="W90"/>
      <c r="X90"/>
    </row>
    <row r="91" spans="1:24" ht="15">
      <c r="A91" s="91" t="s">
        <v>704</v>
      </c>
      <c r="B91" s="92">
        <v>0</v>
      </c>
      <c r="C91" s="92">
        <v>0</v>
      </c>
      <c r="D91" s="92">
        <v>0</v>
      </c>
      <c r="E91" s="92">
        <v>0</v>
      </c>
      <c r="F91" s="92">
        <v>0</v>
      </c>
      <c r="G91" s="92">
        <v>0</v>
      </c>
      <c r="H91" s="92">
        <v>0</v>
      </c>
      <c r="I91" s="92">
        <v>0</v>
      </c>
      <c r="J91" s="92">
        <v>0</v>
      </c>
      <c r="K91" s="92">
        <v>0</v>
      </c>
      <c r="L91" s="555">
        <v>47</v>
      </c>
      <c r="M91" s="555">
        <v>47</v>
      </c>
      <c r="N91"/>
      <c r="O91"/>
      <c r="P91"/>
      <c r="Q91"/>
      <c r="R91"/>
      <c r="S91"/>
      <c r="T91"/>
      <c r="U91"/>
      <c r="V91"/>
      <c r="W91"/>
      <c r="X91"/>
    </row>
    <row r="92" spans="1:24" ht="15" thickBot="1">
      <c r="B92" s="720"/>
      <c r="C92" s="720"/>
      <c r="D92" s="720"/>
      <c r="E92" s="720"/>
      <c r="F92" s="720"/>
      <c r="G92" s="720"/>
      <c r="H92" s="720"/>
      <c r="I92" s="720"/>
      <c r="J92" s="720"/>
      <c r="K92" s="38"/>
      <c r="N92"/>
      <c r="O92"/>
      <c r="P92"/>
      <c r="Q92"/>
      <c r="R92"/>
      <c r="S92"/>
      <c r="T92"/>
      <c r="U92"/>
      <c r="V92"/>
      <c r="W92"/>
      <c r="X92"/>
    </row>
    <row r="93" spans="1:24" ht="15">
      <c r="A93" s="91" t="s">
        <v>1499</v>
      </c>
      <c r="B93" s="683">
        <v>-163.80000000000001</v>
      </c>
      <c r="C93" s="683">
        <v>-74.3</v>
      </c>
      <c r="D93" s="683">
        <v>0</v>
      </c>
      <c r="E93" s="683">
        <v>0</v>
      </c>
      <c r="F93" s="683">
        <v>0</v>
      </c>
      <c r="G93" s="683">
        <v>0</v>
      </c>
      <c r="H93" s="683">
        <v>0</v>
      </c>
      <c r="I93" s="683">
        <v>-12.2</v>
      </c>
      <c r="J93" s="683">
        <v>0</v>
      </c>
      <c r="K93" s="683">
        <v>0</v>
      </c>
      <c r="L93" s="704" t="s">
        <v>301</v>
      </c>
      <c r="M93" s="554">
        <v>-1334</v>
      </c>
      <c r="N93"/>
      <c r="O93"/>
      <c r="P93"/>
      <c r="Q93"/>
      <c r="R93"/>
      <c r="S93"/>
      <c r="T93"/>
      <c r="U93"/>
      <c r="V93"/>
      <c r="W93"/>
      <c r="X93"/>
    </row>
    <row r="94" spans="1:24" ht="15" thickBot="1">
      <c r="B94" s="720"/>
      <c r="C94" s="720"/>
      <c r="D94" s="720"/>
      <c r="E94" s="720"/>
      <c r="F94" s="720"/>
      <c r="G94" s="720"/>
      <c r="H94" s="720"/>
      <c r="I94" s="720"/>
      <c r="J94" s="720"/>
      <c r="K94" s="38"/>
      <c r="N94"/>
      <c r="O94"/>
      <c r="P94"/>
      <c r="Q94"/>
      <c r="R94"/>
      <c r="S94"/>
      <c r="T94"/>
      <c r="U94"/>
      <c r="V94"/>
      <c r="W94"/>
      <c r="X94"/>
    </row>
    <row r="95" spans="1:24" ht="15">
      <c r="A95" s="91" t="s">
        <v>1500</v>
      </c>
      <c r="B95" s="683">
        <v>1539.3</v>
      </c>
      <c r="C95" s="683">
        <v>1003.7</v>
      </c>
      <c r="D95" s="683">
        <v>0</v>
      </c>
      <c r="E95" s="683">
        <v>0</v>
      </c>
      <c r="F95" s="683">
        <v>0</v>
      </c>
      <c r="G95" s="683">
        <v>0</v>
      </c>
      <c r="H95" s="683">
        <v>0</v>
      </c>
      <c r="I95" s="683">
        <v>13</v>
      </c>
      <c r="J95" s="683">
        <v>0</v>
      </c>
      <c r="K95" s="683">
        <v>0</v>
      </c>
      <c r="L95" s="702" t="s">
        <v>301</v>
      </c>
      <c r="M95" s="555">
        <v>6259</v>
      </c>
      <c r="N95"/>
      <c r="O95"/>
      <c r="P95"/>
      <c r="Q95"/>
      <c r="R95"/>
      <c r="S95"/>
      <c r="T95"/>
      <c r="U95"/>
      <c r="V95"/>
      <c r="W95"/>
      <c r="X95"/>
    </row>
    <row r="96" spans="1:24">
      <c r="B96" s="720"/>
      <c r="C96" s="720"/>
      <c r="D96" s="720"/>
      <c r="E96" s="720"/>
      <c r="F96" s="720"/>
      <c r="G96" s="720"/>
      <c r="H96" s="720"/>
      <c r="I96" s="720"/>
      <c r="J96" s="720"/>
      <c r="K96" s="38"/>
      <c r="N96"/>
      <c r="O96"/>
      <c r="P96"/>
      <c r="Q96"/>
      <c r="R96"/>
      <c r="S96"/>
      <c r="T96"/>
      <c r="U96"/>
      <c r="V96"/>
      <c r="W96"/>
      <c r="X96"/>
    </row>
    <row r="97" spans="1:16">
      <c r="A97" s="91" t="s">
        <v>1501</v>
      </c>
      <c r="B97" s="683">
        <v>-29</v>
      </c>
      <c r="C97" s="683">
        <v>-13.2</v>
      </c>
      <c r="D97" s="683">
        <v>-15.3</v>
      </c>
      <c r="E97" s="683">
        <v>-23.4</v>
      </c>
      <c r="F97" s="683">
        <v>-5.5</v>
      </c>
      <c r="G97" s="683">
        <v>-1.2</v>
      </c>
      <c r="H97" s="683">
        <v>-0.1</v>
      </c>
      <c r="I97" s="683">
        <v>-2.2999999999999998</v>
      </c>
      <c r="J97" s="683">
        <v>-0.2</v>
      </c>
      <c r="K97" s="683">
        <v>-0.2</v>
      </c>
      <c r="L97" s="21">
        <v>-99</v>
      </c>
      <c r="M97" s="19">
        <v>-109</v>
      </c>
      <c r="N97"/>
      <c r="O97"/>
      <c r="P97"/>
    </row>
    <row r="98" spans="1:16">
      <c r="A98" s="91" t="s">
        <v>1502</v>
      </c>
      <c r="B98" s="683">
        <v>73.900000000000006</v>
      </c>
      <c r="C98" s="683">
        <v>0.7</v>
      </c>
      <c r="D98" s="683">
        <v>0.2</v>
      </c>
      <c r="E98" s="683">
        <v>0.9</v>
      </c>
      <c r="F98" s="683">
        <v>1.6</v>
      </c>
      <c r="G98" s="683">
        <v>2.7</v>
      </c>
      <c r="H98" s="683">
        <v>2.2000000000000002</v>
      </c>
      <c r="I98" s="683">
        <v>0.1</v>
      </c>
      <c r="J98" s="683" t="s">
        <v>301</v>
      </c>
      <c r="K98" s="683" t="s">
        <v>301</v>
      </c>
      <c r="L98" s="21">
        <v>27</v>
      </c>
      <c r="M98" s="19">
        <v>44</v>
      </c>
    </row>
    <row r="99" spans="1:16">
      <c r="B99" s="720"/>
      <c r="C99" s="720"/>
      <c r="D99" s="720"/>
      <c r="E99" s="720"/>
      <c r="F99" s="720"/>
      <c r="G99" s="720"/>
      <c r="H99" s="720"/>
      <c r="I99" s="720"/>
      <c r="J99" s="720"/>
      <c r="K99" s="38"/>
    </row>
    <row r="100" spans="1:16">
      <c r="A100" s="91" t="s">
        <v>311</v>
      </c>
      <c r="B100" s="683">
        <f t="shared" ref="B100:L100" si="63">B6-B7</f>
        <v>776.19999999999982</v>
      </c>
      <c r="C100" s="683">
        <f t="shared" si="63"/>
        <v>378.39999999999986</v>
      </c>
      <c r="D100" s="683">
        <f t="shared" si="63"/>
        <v>155.70000000000002</v>
      </c>
      <c r="E100" s="683">
        <f t="shared" si="63"/>
        <v>112</v>
      </c>
      <c r="F100" s="683">
        <f t="shared" si="63"/>
        <v>36.599999999999994</v>
      </c>
      <c r="G100" s="683">
        <f t="shared" si="63"/>
        <v>6.1999999999999993</v>
      </c>
      <c r="H100" s="683">
        <f t="shared" si="63"/>
        <v>0</v>
      </c>
      <c r="I100" s="683">
        <f t="shared" si="63"/>
        <v>0</v>
      </c>
      <c r="J100" s="683">
        <f t="shared" si="63"/>
        <v>0.1</v>
      </c>
      <c r="K100" s="683">
        <f t="shared" si="63"/>
        <v>0.3</v>
      </c>
      <c r="L100" s="26">
        <f t="shared" si="63"/>
        <v>3203</v>
      </c>
      <c r="M100" s="26">
        <f t="shared" ref="M100" si="64">M6-M7</f>
        <v>0</v>
      </c>
    </row>
    <row r="101" spans="1:16">
      <c r="A101" s="91" t="s">
        <v>1503</v>
      </c>
      <c r="B101" s="683">
        <f t="shared" ref="B101:L101" si="65">B100/B6</f>
        <v>0.19099409448818894</v>
      </c>
      <c r="C101" s="683">
        <f t="shared" si="65"/>
        <v>0.31809011432414247</v>
      </c>
      <c r="D101" s="683">
        <f t="shared" si="65"/>
        <v>0.88566552901023898</v>
      </c>
      <c r="E101" s="683">
        <f t="shared" si="65"/>
        <v>1.3317479191438764</v>
      </c>
      <c r="F101" s="683">
        <f t="shared" si="65"/>
        <v>0.85514018691588778</v>
      </c>
      <c r="G101" s="683">
        <f t="shared" si="65"/>
        <v>0.60784313725490191</v>
      </c>
      <c r="H101" s="683" t="e">
        <f t="shared" si="65"/>
        <v>#DIV/0!</v>
      </c>
      <c r="I101" s="683" t="e">
        <f t="shared" si="65"/>
        <v>#DIV/0!</v>
      </c>
      <c r="J101" s="683">
        <f t="shared" si="65"/>
        <v>1</v>
      </c>
      <c r="K101" s="683">
        <f t="shared" si="65"/>
        <v>1</v>
      </c>
      <c r="L101" s="648">
        <f t="shared" si="65"/>
        <v>0.65581490581490587</v>
      </c>
      <c r="M101" s="648" t="e">
        <f t="shared" ref="M101" si="66">M100/M6</f>
        <v>#DIV/0!</v>
      </c>
    </row>
    <row r="102" spans="1:16">
      <c r="B102" s="648"/>
      <c r="C102" s="648"/>
      <c r="D102" s="648"/>
      <c r="E102" s="648"/>
      <c r="F102" s="648"/>
      <c r="G102" s="648"/>
      <c r="H102" s="648"/>
      <c r="I102" s="648"/>
      <c r="J102" s="648"/>
      <c r="K102" s="648"/>
    </row>
    <row r="103" spans="1:16">
      <c r="A103" s="91" t="s">
        <v>1504</v>
      </c>
      <c r="B103" s="683">
        <v>12.8</v>
      </c>
      <c r="C103" s="683">
        <v>0</v>
      </c>
      <c r="D103" s="683">
        <v>0</v>
      </c>
      <c r="E103" s="683">
        <v>0</v>
      </c>
      <c r="F103" s="683">
        <v>0</v>
      </c>
      <c r="G103" s="683">
        <v>0</v>
      </c>
      <c r="H103" s="683">
        <v>0</v>
      </c>
      <c r="I103" s="683">
        <v>0</v>
      </c>
      <c r="J103" s="683">
        <v>0</v>
      </c>
      <c r="K103" s="683">
        <v>0</v>
      </c>
    </row>
    <row r="105" spans="1:16">
      <c r="A105" s="91" t="s">
        <v>1505</v>
      </c>
      <c r="B105" s="91">
        <v>116.6</v>
      </c>
      <c r="C105" s="91">
        <v>7.3</v>
      </c>
      <c r="D105" s="91">
        <v>2.8</v>
      </c>
      <c r="E105" s="91">
        <v>-4.8</v>
      </c>
      <c r="F105" s="91">
        <v>-6.5</v>
      </c>
      <c r="G105" s="91">
        <v>-8</v>
      </c>
      <c r="H105" s="91">
        <v>0</v>
      </c>
      <c r="I105" s="91">
        <v>0</v>
      </c>
      <c r="J105" s="91">
        <v>-0.1</v>
      </c>
      <c r="K105" s="91">
        <v>0</v>
      </c>
    </row>
    <row r="106" spans="1:16">
      <c r="A106" s="91" t="s">
        <v>1506</v>
      </c>
      <c r="B106" s="91">
        <v>-1.8</v>
      </c>
      <c r="C106" s="91">
        <v>-1.6</v>
      </c>
      <c r="D106" s="91">
        <v>-4.2</v>
      </c>
      <c r="E106" s="91">
        <v>-0.3</v>
      </c>
      <c r="F106" s="91">
        <v>0</v>
      </c>
      <c r="G106" s="91">
        <v>4</v>
      </c>
      <c r="H106" s="91">
        <v>0</v>
      </c>
      <c r="I106" s="91">
        <v>0</v>
      </c>
      <c r="J106" s="91">
        <v>0</v>
      </c>
      <c r="K106" s="91">
        <v>0</v>
      </c>
    </row>
    <row r="107" spans="1:16">
      <c r="A107" s="91" t="s">
        <v>1507</v>
      </c>
      <c r="B107" s="91">
        <v>-0.1000000000003638</v>
      </c>
      <c r="C107" s="91">
        <v>-0.10000000000013642</v>
      </c>
      <c r="D107" s="91">
        <v>0.10000000000000142</v>
      </c>
      <c r="E107" s="91">
        <v>-0.10000000000000853</v>
      </c>
      <c r="F107" s="91">
        <v>0</v>
      </c>
      <c r="G107" s="91">
        <v>0</v>
      </c>
      <c r="H107" s="91">
        <v>-0.10000000000000142</v>
      </c>
      <c r="I107" s="91">
        <v>0</v>
      </c>
      <c r="J107" s="91">
        <v>-9.9999999999999645E-2</v>
      </c>
      <c r="K107" s="91">
        <v>0</v>
      </c>
    </row>
    <row r="109" spans="1:16">
      <c r="A109" s="91" t="s">
        <v>1508</v>
      </c>
      <c r="B109" s="91">
        <v>29.6</v>
      </c>
      <c r="C109" s="91">
        <v>44.7</v>
      </c>
      <c r="D109" s="91">
        <v>14.7</v>
      </c>
      <c r="E109" s="91">
        <v>11.9</v>
      </c>
      <c r="F109" s="91">
        <v>23.1</v>
      </c>
      <c r="G109" s="91">
        <v>8.3000000000000007</v>
      </c>
      <c r="H109" s="91">
        <v>3.9</v>
      </c>
      <c r="I109" s="91">
        <v>2.1</v>
      </c>
      <c r="J109" s="91">
        <v>0</v>
      </c>
      <c r="K109" s="91">
        <v>0</v>
      </c>
    </row>
    <row r="110" spans="1:16">
      <c r="A110" s="91" t="s">
        <v>1509</v>
      </c>
      <c r="B110" s="91">
        <v>0</v>
      </c>
      <c r="C110" s="91">
        <v>0</v>
      </c>
      <c r="D110" s="91">
        <v>0</v>
      </c>
      <c r="E110" s="91">
        <v>0</v>
      </c>
      <c r="F110" s="91">
        <v>0</v>
      </c>
      <c r="G110" s="91">
        <v>0</v>
      </c>
      <c r="H110" s="91">
        <v>0</v>
      </c>
      <c r="I110" s="91">
        <v>0</v>
      </c>
      <c r="J110" s="91">
        <v>0.7</v>
      </c>
      <c r="K110" s="91">
        <v>0.2</v>
      </c>
    </row>
    <row r="111" spans="1:16">
      <c r="A111" s="91" t="s">
        <v>1510</v>
      </c>
      <c r="B111" s="91">
        <v>773.3</v>
      </c>
      <c r="C111" s="91">
        <v>90.1</v>
      </c>
      <c r="D111" s="91">
        <v>0</v>
      </c>
      <c r="E111" s="91">
        <v>0</v>
      </c>
      <c r="F111" s="91">
        <v>0</v>
      </c>
      <c r="G111" s="91">
        <v>0</v>
      </c>
      <c r="H111" s="91">
        <v>0</v>
      </c>
      <c r="I111" s="91">
        <v>0</v>
      </c>
      <c r="J111" s="91">
        <v>0</v>
      </c>
      <c r="K111" s="91">
        <v>0</v>
      </c>
    </row>
    <row r="112" spans="1:16">
      <c r="A112" s="91" t="s">
        <v>1511</v>
      </c>
      <c r="B112" s="91">
        <v>150.9</v>
      </c>
      <c r="C112" s="91">
        <v>0.1</v>
      </c>
      <c r="D112" s="91">
        <v>0.9</v>
      </c>
      <c r="E112" s="91">
        <v>0.1</v>
      </c>
      <c r="F112" s="91">
        <v>0</v>
      </c>
      <c r="G112" s="91">
        <v>1</v>
      </c>
      <c r="H112" s="91">
        <v>0</v>
      </c>
      <c r="I112" s="91">
        <v>0.1</v>
      </c>
      <c r="J112" s="91">
        <v>0</v>
      </c>
      <c r="K112" s="91">
        <v>0</v>
      </c>
    </row>
    <row r="114" spans="1:14">
      <c r="A114" s="91" t="s">
        <v>1512</v>
      </c>
      <c r="B114" s="91">
        <v>0</v>
      </c>
      <c r="C114" s="91">
        <v>0</v>
      </c>
      <c r="D114" s="91">
        <v>-210.3</v>
      </c>
      <c r="E114" s="91">
        <v>0</v>
      </c>
      <c r="F114" s="91">
        <v>0</v>
      </c>
      <c r="G114" s="91">
        <v>0</v>
      </c>
      <c r="H114" s="91">
        <v>0</v>
      </c>
      <c r="I114" s="91">
        <v>0</v>
      </c>
      <c r="J114" s="91">
        <v>-1</v>
      </c>
      <c r="K114" s="91">
        <v>0</v>
      </c>
    </row>
    <row r="115" spans="1:14">
      <c r="A115" s="91" t="s">
        <v>1513</v>
      </c>
      <c r="B115" s="91">
        <v>0</v>
      </c>
      <c r="C115" s="91">
        <v>0</v>
      </c>
      <c r="D115" s="91">
        <v>0</v>
      </c>
      <c r="E115" s="91">
        <v>0</v>
      </c>
      <c r="F115" s="91">
        <v>0</v>
      </c>
      <c r="G115" s="91">
        <v>4.3</v>
      </c>
      <c r="H115" s="91">
        <v>0</v>
      </c>
      <c r="I115" s="91">
        <v>0</v>
      </c>
      <c r="J115" s="91">
        <v>0</v>
      </c>
      <c r="K115" s="91">
        <v>0</v>
      </c>
    </row>
    <row r="116" spans="1:14">
      <c r="A116" s="91" t="s">
        <v>1514</v>
      </c>
      <c r="B116" s="91">
        <v>-22.4</v>
      </c>
      <c r="C116" s="91">
        <v>-76.2</v>
      </c>
      <c r="D116" s="91">
        <v>0</v>
      </c>
      <c r="E116" s="91">
        <v>0</v>
      </c>
      <c r="F116" s="91">
        <v>0</v>
      </c>
      <c r="G116" s="91">
        <v>0</v>
      </c>
      <c r="H116" s="91">
        <v>0</v>
      </c>
      <c r="I116" s="91">
        <v>-2</v>
      </c>
      <c r="J116" s="91">
        <v>0</v>
      </c>
      <c r="K116" s="91">
        <v>0</v>
      </c>
    </row>
    <row r="119" spans="1:14">
      <c r="B119" s="664"/>
      <c r="C119" s="664"/>
      <c r="D119" s="664"/>
      <c r="E119" s="664"/>
      <c r="F119" s="664"/>
      <c r="G119" s="664"/>
      <c r="H119" s="664"/>
      <c r="I119" s="664"/>
      <c r="J119" s="664"/>
      <c r="K119" s="664"/>
      <c r="L119" s="664"/>
      <c r="M119" s="664"/>
      <c r="N119" s="665"/>
    </row>
    <row r="121" spans="1:14">
      <c r="N121" s="665"/>
    </row>
  </sheetData>
  <mergeCells count="19">
    <mergeCell ref="G2:J2"/>
    <mergeCell ref="D4:M4"/>
    <mergeCell ref="R5:S5"/>
    <mergeCell ref="E79:G79"/>
    <mergeCell ref="H79:I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0a55209b67e2c3a7f46b591ce13950e9">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49ccb1ab76a2e6c178c18d1b3ea34b2"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96446577-B9AF-40B8-927F-F41942545A6A}"/>
</file>

<file path=customXml/itemProps4.xml><?xml version="1.0" encoding="utf-8"?>
<ds:datastoreItem xmlns:ds="http://schemas.openxmlformats.org/officeDocument/2006/customXml" ds:itemID="{AEB0D540-97AE-4F3D-A7EA-B9910EB3DB29}"/>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VITOR MANUEL SILVA PEREIRA</cp:lastModifiedBy>
  <cp:revision/>
  <dcterms:created xsi:type="dcterms:W3CDTF">2000-04-19T14:51:26Z</dcterms:created>
  <dcterms:modified xsi:type="dcterms:W3CDTF">2024-04-01T20:12:54Z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