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6.xml" ContentType="application/vnd.openxmlformats-officedocument.spreadsheetml.comments+xml"/>
  <Override PartName="/xl/drawings/drawing6.xml" ContentType="application/vnd.openxmlformats-officedocument.drawing+xml"/>
  <Override PartName="/xl/tables/table1.xml" ContentType="application/vnd.openxmlformats-officedocument.spreadsheetml.table+xml"/>
  <Override PartName="/xl/comments7.xml" ContentType="application/vnd.openxmlformats-officedocument.spreadsheetml.comments+xml"/>
  <Override PartName="/xl/threadedComments/threadedComment6.xml" ContentType="application/vnd.ms-excel.threadedcomments+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Pre-restructuring OPs/Transportation- TL Afonso Simões/Pilbara Minerals Limited (PLS)/"/>
    </mc:Choice>
  </mc:AlternateContent>
  <xr:revisionPtr revIDLastSave="2355" documentId="8_{DBF37D0B-946F-AF47-8E74-728CA31A8E9A}" xr6:coauthVersionLast="47" xr6:coauthVersionMax="47" xr10:uidLastSave="{DF004147-A9FB-4CA2-A9FE-BA874A749405}"/>
  <bookViews>
    <workbookView xWindow="11424" yWindow="0" windowWidth="11712" windowHeight="12336" tabRatio="644" activeTab="8" xr2:uid="{00000000-000D-0000-FFFF-FFFF00000000}"/>
  </bookViews>
  <sheets>
    <sheet name="OP" sheetId="1" r:id="rId1"/>
    <sheet name="Acuerdo" sheetId="11" state="hidden" r:id="rId2"/>
    <sheet name="Segments" sheetId="3" r:id="rId3"/>
    <sheet name="Peers" sheetId="10" r:id="rId4"/>
    <sheet name="Peers (TTM)" sheetId="24" r:id="rId5"/>
    <sheet name="Peers (NTM)" sheetId="25" r:id="rId6"/>
    <sheet name="SARD" sheetId="23" r:id="rId7"/>
    <sheet name="ESG" sheetId="19" r:id="rId8"/>
    <sheet name="DCF" sheetId="4" r:id="rId9"/>
    <sheet name="Assumptions" sheetId="22" r:id="rId10"/>
    <sheet name="Fin. Data" sheetId="16" r:id="rId11"/>
    <sheet name="Sector Impact" sheetId="18" state="hidden" r:id="rId12"/>
    <sheet name="Inputs (AUD)" sheetId="17" r:id="rId13"/>
  </sheets>
  <externalReferences>
    <externalReference r:id="rId14"/>
    <externalReference r:id="rId15"/>
  </externalReferences>
  <definedNames>
    <definedName name="_xlnm._FilterDatabase" localSheetId="9" hidden="1">Assumptions!$B$36:$C$1674</definedName>
    <definedName name="_xlnm.Print_Area" localSheetId="0">OP!$A$1:$M$84</definedName>
    <definedName name="_xlnm.Print_Area" localSheetId="2">Segments!#REF!</definedName>
    <definedName name="Sectors" localSheetId="9">'[1]Sector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17" l="1"/>
  <c r="F41" i="4"/>
  <c r="E41" i="4"/>
  <c r="E58" i="25"/>
  <c r="E11" i="25" s="1"/>
  <c r="F58" i="25"/>
  <c r="G58" i="25"/>
  <c r="G13" i="25" s="1"/>
  <c r="D58" i="25"/>
  <c r="D13" i="25" s="1"/>
  <c r="E25" i="25"/>
  <c r="G53" i="25"/>
  <c r="F53" i="25"/>
  <c r="E53" i="25"/>
  <c r="D53" i="25"/>
  <c r="C53" i="25"/>
  <c r="G52" i="25"/>
  <c r="F52" i="25"/>
  <c r="E52" i="25"/>
  <c r="D52" i="25"/>
  <c r="C52" i="25"/>
  <c r="H51" i="25"/>
  <c r="E49" i="25" a="1"/>
  <c r="E49" i="25" s="1"/>
  <c r="D49" i="25" a="1"/>
  <c r="D49" i="25" s="1"/>
  <c r="H46" i="25"/>
  <c r="I46" i="25" s="1"/>
  <c r="G42" i="25"/>
  <c r="F42" i="25"/>
  <c r="E42" i="25"/>
  <c r="D42" i="25"/>
  <c r="H41" i="25"/>
  <c r="H35" i="25"/>
  <c r="G34" i="25"/>
  <c r="F34" i="25"/>
  <c r="E34" i="25"/>
  <c r="D34" i="25"/>
  <c r="C34" i="25"/>
  <c r="G33" i="25"/>
  <c r="F33" i="25"/>
  <c r="D33" i="25"/>
  <c r="C33" i="25"/>
  <c r="G32" i="25"/>
  <c r="F32" i="25"/>
  <c r="E32" i="25"/>
  <c r="D32" i="25"/>
  <c r="C32" i="25"/>
  <c r="G31" i="25"/>
  <c r="F31" i="25"/>
  <c r="E31" i="25"/>
  <c r="D31" i="25"/>
  <c r="C31" i="25"/>
  <c r="H31" i="25" s="1"/>
  <c r="I31" i="25" s="1"/>
  <c r="G30" i="25"/>
  <c r="F30" i="25"/>
  <c r="E30" i="25"/>
  <c r="D30" i="25"/>
  <c r="C30" i="25"/>
  <c r="H29" i="25"/>
  <c r="G28" i="25"/>
  <c r="F28" i="25"/>
  <c r="E28" i="25"/>
  <c r="D28" i="25"/>
  <c r="C28" i="25"/>
  <c r="H28" i="25" s="1"/>
  <c r="I28" i="25" s="1"/>
  <c r="G27" i="25"/>
  <c r="F27" i="25"/>
  <c r="E27" i="25"/>
  <c r="D27" i="25"/>
  <c r="C27" i="25"/>
  <c r="G25" i="25"/>
  <c r="F25" i="25"/>
  <c r="D25" i="25"/>
  <c r="C25" i="25"/>
  <c r="G24" i="25"/>
  <c r="F24" i="25"/>
  <c r="E24" i="25"/>
  <c r="D24" i="25"/>
  <c r="C24" i="25"/>
  <c r="G23" i="25"/>
  <c r="F23" i="25"/>
  <c r="E23" i="25"/>
  <c r="D23" i="25"/>
  <c r="C23" i="25"/>
  <c r="G22" i="25"/>
  <c r="F22" i="25"/>
  <c r="E22" i="25"/>
  <c r="D22" i="25"/>
  <c r="C22" i="25"/>
  <c r="G21" i="25"/>
  <c r="F21" i="25"/>
  <c r="E21" i="25"/>
  <c r="D21" i="25"/>
  <c r="C21" i="25"/>
  <c r="G20" i="25"/>
  <c r="F20" i="25"/>
  <c r="E20" i="25"/>
  <c r="D20" i="25"/>
  <c r="C20" i="25"/>
  <c r="H19" i="25"/>
  <c r="G18" i="25"/>
  <c r="F18" i="25"/>
  <c r="E18" i="25"/>
  <c r="D18" i="25"/>
  <c r="C18" i="25"/>
  <c r="G17" i="25"/>
  <c r="F17" i="25"/>
  <c r="E17" i="25"/>
  <c r="D17" i="25"/>
  <c r="C17" i="25"/>
  <c r="G16" i="25"/>
  <c r="F16" i="25"/>
  <c r="D16" i="25"/>
  <c r="C16" i="25"/>
  <c r="G15" i="25"/>
  <c r="F15" i="25"/>
  <c r="E15" i="25"/>
  <c r="D15" i="25"/>
  <c r="C15" i="25"/>
  <c r="G14" i="25"/>
  <c r="F14" i="25"/>
  <c r="E14" i="25"/>
  <c r="D14" i="25"/>
  <c r="C14" i="25"/>
  <c r="F13" i="25"/>
  <c r="H12" i="25"/>
  <c r="G11" i="25"/>
  <c r="F11" i="25"/>
  <c r="D11" i="25"/>
  <c r="C11" i="25"/>
  <c r="H9" i="25"/>
  <c r="G8" i="25"/>
  <c r="G10" i="25" s="1" a="1"/>
  <c r="G10" i="25" s="1"/>
  <c r="F8" i="25"/>
  <c r="F56" i="25" s="1"/>
  <c r="E8" i="25"/>
  <c r="E56" i="25" s="1"/>
  <c r="D8" i="25"/>
  <c r="D56" i="25" s="1"/>
  <c r="G6" i="25" a="1"/>
  <c r="G6" i="25" s="1"/>
  <c r="D6" i="25" a="1"/>
  <c r="D6" i="25" s="1"/>
  <c r="I5" i="25" a="1"/>
  <c r="I5" i="25" s="1"/>
  <c r="H5" i="25"/>
  <c r="I4" i="25" a="1"/>
  <c r="I4" i="25" s="1"/>
  <c r="I3" i="25" a="1"/>
  <c r="I3" i="25" s="1"/>
  <c r="I2" i="25" a="1"/>
  <c r="I2" i="25" s="1"/>
  <c r="F65" i="10"/>
  <c r="G83" i="24"/>
  <c r="F83" i="24"/>
  <c r="E83" i="24"/>
  <c r="D83" i="24"/>
  <c r="C28" i="24"/>
  <c r="G65" i="24"/>
  <c r="G26" i="24" s="1"/>
  <c r="F26" i="24"/>
  <c r="E65" i="24"/>
  <c r="E26" i="24" s="1"/>
  <c r="G54" i="24"/>
  <c r="F54" i="24"/>
  <c r="E54" i="24"/>
  <c r="D54" i="24"/>
  <c r="G53" i="24"/>
  <c r="F53" i="24"/>
  <c r="E53" i="24"/>
  <c r="D53" i="24"/>
  <c r="C53" i="24"/>
  <c r="H52" i="24"/>
  <c r="E50" i="24" a="1"/>
  <c r="E50" i="24" s="1"/>
  <c r="D50" i="24" a="1"/>
  <c r="D50" i="24" s="1"/>
  <c r="H47" i="24"/>
  <c r="I47" i="24" s="1"/>
  <c r="G43" i="24"/>
  <c r="F43" i="24"/>
  <c r="E43" i="24"/>
  <c r="D43" i="24"/>
  <c r="H42" i="24"/>
  <c r="H36" i="24"/>
  <c r="G35" i="24"/>
  <c r="F35" i="24"/>
  <c r="E35" i="24"/>
  <c r="D35" i="24"/>
  <c r="G34" i="24"/>
  <c r="F34" i="24"/>
  <c r="E34" i="24"/>
  <c r="D34" i="24"/>
  <c r="G33" i="24"/>
  <c r="F33" i="24"/>
  <c r="E33" i="24"/>
  <c r="D33" i="24"/>
  <c r="G32" i="24"/>
  <c r="F32" i="24"/>
  <c r="E32" i="24"/>
  <c r="D32" i="24"/>
  <c r="G31" i="24"/>
  <c r="F31" i="24"/>
  <c r="E31" i="24"/>
  <c r="D31" i="24"/>
  <c r="H30" i="24"/>
  <c r="G29" i="24"/>
  <c r="F29" i="24"/>
  <c r="E29" i="24"/>
  <c r="D29" i="24"/>
  <c r="G28" i="24"/>
  <c r="F28" i="24"/>
  <c r="E28" i="24"/>
  <c r="D28" i="24"/>
  <c r="D26" i="24"/>
  <c r="G25" i="24"/>
  <c r="F25" i="24"/>
  <c r="E25" i="24"/>
  <c r="D25" i="24"/>
  <c r="G24" i="24"/>
  <c r="F24" i="24"/>
  <c r="E24" i="24"/>
  <c r="D24" i="24"/>
  <c r="G23" i="24"/>
  <c r="F23" i="24"/>
  <c r="E23" i="24"/>
  <c r="D23" i="24"/>
  <c r="G22" i="24"/>
  <c r="F22" i="24"/>
  <c r="E22" i="24"/>
  <c r="D22" i="24"/>
  <c r="G21" i="24"/>
  <c r="F21" i="24"/>
  <c r="E21" i="24"/>
  <c r="D21" i="24"/>
  <c r="H20" i="24"/>
  <c r="G19" i="24"/>
  <c r="F19" i="24"/>
  <c r="E19" i="24"/>
  <c r="D19" i="24"/>
  <c r="G18" i="24"/>
  <c r="F18" i="24"/>
  <c r="E18" i="24"/>
  <c r="D18" i="24"/>
  <c r="G17" i="24"/>
  <c r="F17" i="24"/>
  <c r="E17" i="24"/>
  <c r="D17" i="24"/>
  <c r="G16" i="24"/>
  <c r="F16" i="24"/>
  <c r="E16" i="24"/>
  <c r="D16" i="24"/>
  <c r="G15" i="24"/>
  <c r="F15" i="24"/>
  <c r="E15" i="24"/>
  <c r="D15" i="24"/>
  <c r="G14" i="24"/>
  <c r="F14" i="24"/>
  <c r="E14" i="24"/>
  <c r="D14" i="24"/>
  <c r="G13" i="24"/>
  <c r="F13" i="24"/>
  <c r="E13" i="24"/>
  <c r="D13" i="24"/>
  <c r="H12" i="24"/>
  <c r="G11" i="24"/>
  <c r="F11" i="24"/>
  <c r="E11" i="24"/>
  <c r="D11" i="24"/>
  <c r="H9" i="24"/>
  <c r="G8" i="24"/>
  <c r="G49" i="24" s="1" a="1"/>
  <c r="G49" i="24" s="1"/>
  <c r="F8" i="24"/>
  <c r="F10" i="24" s="1" a="1"/>
  <c r="F10" i="24" s="1"/>
  <c r="E8" i="24"/>
  <c r="E49" i="24" s="1" a="1"/>
  <c r="E49" i="24" s="1"/>
  <c r="E48" i="24" s="1"/>
  <c r="D8" i="24"/>
  <c r="D49" i="24" s="1" a="1"/>
  <c r="D49" i="24" s="1"/>
  <c r="D48" i="24" s="1"/>
  <c r="G6" i="24" a="1"/>
  <c r="G6" i="24" s="1"/>
  <c r="D6" i="24" a="1"/>
  <c r="D6" i="24" s="1"/>
  <c r="I5" i="24" a="1"/>
  <c r="I5" i="24" s="1"/>
  <c r="H5" i="24"/>
  <c r="I4" i="24" a="1"/>
  <c r="I4" i="24" s="1"/>
  <c r="I3" i="24" a="1"/>
  <c r="I3" i="24" s="1"/>
  <c r="I2" i="24" a="1"/>
  <c r="I2" i="24" s="1"/>
  <c r="E16" i="10"/>
  <c r="F16" i="10"/>
  <c r="G16" i="10"/>
  <c r="D16" i="10"/>
  <c r="F111" i="22"/>
  <c r="J26" i="19"/>
  <c r="M11" i="19"/>
  <c r="N11" i="19"/>
  <c r="O11" i="19"/>
  <c r="P11" i="19"/>
  <c r="E19" i="10"/>
  <c r="C77" i="10"/>
  <c r="C73" i="10"/>
  <c r="E83" i="10"/>
  <c r="F83" i="10"/>
  <c r="G83" i="10"/>
  <c r="D83" i="10"/>
  <c r="D17" i="10"/>
  <c r="H5" i="10"/>
  <c r="I14" i="23"/>
  <c r="A129" i="4"/>
  <c r="O80" i="4"/>
  <c r="V135" i="22"/>
  <c r="W135" i="22" s="1"/>
  <c r="X135" i="22" s="1"/>
  <c r="Y135" i="22" s="1"/>
  <c r="Z135" i="22" s="1"/>
  <c r="AA135" i="22" s="1"/>
  <c r="S138" i="22"/>
  <c r="T138" i="22"/>
  <c r="U138" i="22"/>
  <c r="V138" i="22"/>
  <c r="D139" i="22"/>
  <c r="E139" i="22"/>
  <c r="F139" i="22"/>
  <c r="G139" i="22"/>
  <c r="H139" i="22"/>
  <c r="I139" i="22"/>
  <c r="J139" i="22"/>
  <c r="K139" i="22"/>
  <c r="L139" i="22"/>
  <c r="M139" i="22"/>
  <c r="N139" i="22"/>
  <c r="O139" i="22"/>
  <c r="D50" i="10" a="1"/>
  <c r="D50" i="10" s="1"/>
  <c r="AE7" i="4"/>
  <c r="AD7" i="4" s="1"/>
  <c r="AC7" i="4" s="1"/>
  <c r="AB7" i="4" s="1"/>
  <c r="AA7" i="4" s="1"/>
  <c r="Z7" i="4" s="1"/>
  <c r="Y7" i="4" s="1"/>
  <c r="X7" i="4" s="1"/>
  <c r="W7" i="4" s="1"/>
  <c r="V7" i="4" s="1"/>
  <c r="U7" i="4" s="1"/>
  <c r="T7" i="4" s="1"/>
  <c r="S7" i="4" s="1"/>
  <c r="R7" i="4" s="1"/>
  <c r="Q7" i="4" s="1"/>
  <c r="P7" i="4" s="1"/>
  <c r="O7" i="4" s="1"/>
  <c r="N7" i="4" s="1"/>
  <c r="M7" i="4" s="1"/>
  <c r="L7" i="4" s="1"/>
  <c r="K12" i="1"/>
  <c r="I12" i="1"/>
  <c r="J12" i="1"/>
  <c r="H12" i="1"/>
  <c r="H18" i="25" l="1"/>
  <c r="I18" i="25" s="1"/>
  <c r="H20" i="25"/>
  <c r="I20" i="25" s="1"/>
  <c r="H30" i="25"/>
  <c r="I30" i="25" s="1"/>
  <c r="H27" i="25"/>
  <c r="I27" i="25" s="1"/>
  <c r="E33" i="25"/>
  <c r="E16" i="25"/>
  <c r="H16" i="25" s="1"/>
  <c r="I16" i="25" s="1"/>
  <c r="E13" i="25"/>
  <c r="H52" i="25"/>
  <c r="I52" i="25" s="1"/>
  <c r="H14" i="25"/>
  <c r="I14" i="25" s="1"/>
  <c r="D10" i="25" a="1"/>
  <c r="D10" i="25" s="1"/>
  <c r="D40" i="25" s="1"/>
  <c r="D48" i="25" a="1"/>
  <c r="D48" i="25" s="1"/>
  <c r="D47" i="25" s="1"/>
  <c r="H24" i="25"/>
  <c r="I24" i="25" s="1"/>
  <c r="H34" i="25"/>
  <c r="I34" i="25" s="1"/>
  <c r="H17" i="25"/>
  <c r="I17" i="25" s="1"/>
  <c r="G56" i="25"/>
  <c r="G48" i="25" a="1"/>
  <c r="G48" i="25" s="1"/>
  <c r="G47" i="25" s="1"/>
  <c r="H25" i="25"/>
  <c r="I25" i="25" s="1"/>
  <c r="H15" i="25"/>
  <c r="I15" i="25" s="1"/>
  <c r="H53" i="25"/>
  <c r="I53" i="25" s="1"/>
  <c r="H23" i="25"/>
  <c r="I23" i="25" s="1"/>
  <c r="G40" i="25"/>
  <c r="G38" i="25"/>
  <c r="G36" i="25"/>
  <c r="G37" i="25"/>
  <c r="G39" i="25"/>
  <c r="F10" i="25" a="1"/>
  <c r="F10" i="25" s="1"/>
  <c r="E48" i="25" a="1"/>
  <c r="E48" i="25" s="1"/>
  <c r="E47" i="25" s="1"/>
  <c r="H11" i="25"/>
  <c r="I11" i="25" s="1"/>
  <c r="H22" i="25"/>
  <c r="I22" i="25" s="1"/>
  <c r="H33" i="25"/>
  <c r="I33" i="25" s="1"/>
  <c r="E10" i="25" a="1"/>
  <c r="E10" i="25" s="1"/>
  <c r="H21" i="25"/>
  <c r="I21" i="25" s="1"/>
  <c r="H32" i="25"/>
  <c r="I32" i="25" s="1"/>
  <c r="F48" i="25" a="1"/>
  <c r="F48" i="25" s="1"/>
  <c r="F57" i="24"/>
  <c r="F49" i="24" a="1"/>
  <c r="F49" i="24" s="1"/>
  <c r="F48" i="24" s="1"/>
  <c r="D10" i="24" a="1"/>
  <c r="D10" i="24" s="1"/>
  <c r="D41" i="24" s="1"/>
  <c r="G57" i="24"/>
  <c r="G10" i="24" a="1"/>
  <c r="G10" i="24" s="1"/>
  <c r="G41" i="24" s="1"/>
  <c r="D51" i="24"/>
  <c r="D57" i="24"/>
  <c r="E57" i="24"/>
  <c r="H28" i="24"/>
  <c r="I28" i="24" s="1"/>
  <c r="E51" i="24"/>
  <c r="F41" i="24"/>
  <c r="F37" i="24"/>
  <c r="F39" i="24"/>
  <c r="F40" i="24"/>
  <c r="F38" i="24"/>
  <c r="G48" i="24"/>
  <c r="G51" i="24"/>
  <c r="H53" i="24"/>
  <c r="I53" i="24" s="1"/>
  <c r="E10" i="24" a="1"/>
  <c r="E10" i="24" s="1"/>
  <c r="AB135" i="22"/>
  <c r="AC135" i="22" s="1"/>
  <c r="AD135" i="22" s="1"/>
  <c r="AE135" i="22" s="1"/>
  <c r="AF135" i="22" s="1"/>
  <c r="AG135" i="22" s="1"/>
  <c r="AH135" i="22" s="1"/>
  <c r="AI135" i="22" s="1"/>
  <c r="AJ135" i="22" s="1"/>
  <c r="AK135" i="22" s="1"/>
  <c r="AL135" i="22" s="1"/>
  <c r="D18" i="3"/>
  <c r="D8" i="3" s="1"/>
  <c r="D4" i="3"/>
  <c r="N90" i="22"/>
  <c r="O90" i="22"/>
  <c r="P90" i="22"/>
  <c r="Q90" i="22"/>
  <c r="R90" i="22"/>
  <c r="S90" i="22"/>
  <c r="T90" i="22"/>
  <c r="U90" i="22"/>
  <c r="V90" i="22"/>
  <c r="W90" i="22"/>
  <c r="X90" i="22"/>
  <c r="Y90" i="22"/>
  <c r="Z90" i="22"/>
  <c r="AA90" i="22"/>
  <c r="AB90" i="22"/>
  <c r="AC90" i="22"/>
  <c r="AD90" i="22"/>
  <c r="AE90" i="22"/>
  <c r="AF90" i="22"/>
  <c r="AG90" i="22"/>
  <c r="AH90" i="22"/>
  <c r="F90" i="22"/>
  <c r="G90" i="22"/>
  <c r="H90" i="22"/>
  <c r="I90" i="22"/>
  <c r="L90" i="22"/>
  <c r="M90" i="22"/>
  <c r="E90" i="22"/>
  <c r="E89" i="22"/>
  <c r="E88" i="22"/>
  <c r="R143" i="22"/>
  <c r="Q143" i="22"/>
  <c r="N143" i="22"/>
  <c r="O143" i="22"/>
  <c r="P143" i="22"/>
  <c r="K143" i="22"/>
  <c r="L143" i="22"/>
  <c r="M143" i="22"/>
  <c r="J143" i="22"/>
  <c r="G143" i="22"/>
  <c r="D143" i="22"/>
  <c r="E143" i="22"/>
  <c r="F143" i="22"/>
  <c r="H143" i="22"/>
  <c r="I143" i="22"/>
  <c r="C143" i="22"/>
  <c r="B143" i="22"/>
  <c r="D39" i="25" l="1"/>
  <c r="D36" i="25"/>
  <c r="D38" i="25"/>
  <c r="D37" i="25"/>
  <c r="D50" i="25"/>
  <c r="G50" i="25"/>
  <c r="E50" i="25"/>
  <c r="E38" i="25"/>
  <c r="E39" i="25"/>
  <c r="E36" i="25"/>
  <c r="E37" i="25"/>
  <c r="E40" i="25"/>
  <c r="F39" i="25"/>
  <c r="F40" i="25"/>
  <c r="F36" i="25"/>
  <c r="F37" i="25"/>
  <c r="F38" i="25"/>
  <c r="F50" i="25"/>
  <c r="F47" i="25"/>
  <c r="D38" i="24"/>
  <c r="D40" i="24"/>
  <c r="D37" i="24"/>
  <c r="G37" i="24"/>
  <c r="D39" i="24"/>
  <c r="G39" i="24"/>
  <c r="F51" i="24"/>
  <c r="G38" i="24"/>
  <c r="G40" i="24"/>
  <c r="E39" i="24"/>
  <c r="E40" i="24"/>
  <c r="E41" i="24"/>
  <c r="E37" i="24"/>
  <c r="E38" i="24"/>
  <c r="E144" i="22"/>
  <c r="O144" i="22"/>
  <c r="F144" i="22"/>
  <c r="P144" i="22"/>
  <c r="L144" i="22"/>
  <c r="R144" i="22"/>
  <c r="D144" i="22"/>
  <c r="J144" i="22"/>
  <c r="M144" i="22"/>
  <c r="K144" i="22"/>
  <c r="G144" i="22"/>
  <c r="I144" i="22"/>
  <c r="N144" i="22"/>
  <c r="C144" i="22"/>
  <c r="H144" i="22"/>
  <c r="Q144" i="22"/>
  <c r="B160" i="22"/>
  <c r="B159" i="22"/>
  <c r="B116" i="4"/>
  <c r="F88" i="22"/>
  <c r="G88" i="22"/>
  <c r="H88" i="22"/>
  <c r="I88" i="22"/>
  <c r="L88" i="22"/>
  <c r="M88" i="22"/>
  <c r="N88" i="22"/>
  <c r="O88" i="22"/>
  <c r="P88" i="22"/>
  <c r="Q88" i="22"/>
  <c r="R88" i="22"/>
  <c r="S88" i="22"/>
  <c r="T88" i="22"/>
  <c r="U88" i="22"/>
  <c r="V88" i="22"/>
  <c r="W88" i="22"/>
  <c r="X88" i="22"/>
  <c r="Y88" i="22"/>
  <c r="Z88" i="22"/>
  <c r="AA88" i="22"/>
  <c r="AB88" i="22"/>
  <c r="AC88" i="22"/>
  <c r="AD88" i="22"/>
  <c r="AE88" i="22"/>
  <c r="AF88" i="22"/>
  <c r="AG88" i="22"/>
  <c r="AH88" i="22"/>
  <c r="F89" i="22"/>
  <c r="G89" i="22"/>
  <c r="H89" i="22"/>
  <c r="I89" i="22"/>
  <c r="J89" i="22"/>
  <c r="K89" i="22"/>
  <c r="L89" i="22"/>
  <c r="M89" i="22"/>
  <c r="N89" i="22"/>
  <c r="O89" i="22"/>
  <c r="P89" i="22"/>
  <c r="Q89" i="22"/>
  <c r="R89" i="22"/>
  <c r="S89" i="22"/>
  <c r="T89" i="22"/>
  <c r="U89" i="22"/>
  <c r="V89" i="22"/>
  <c r="W89" i="22"/>
  <c r="X89" i="22"/>
  <c r="Y89" i="22"/>
  <c r="Z89" i="22"/>
  <c r="AA89" i="22"/>
  <c r="AB89" i="22"/>
  <c r="AC89" i="22"/>
  <c r="AD89" i="22"/>
  <c r="AE89" i="22"/>
  <c r="AF89" i="22"/>
  <c r="AG89" i="22"/>
  <c r="AH89"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AH80" i="22"/>
  <c r="AG80" i="22"/>
  <c r="AF80" i="22"/>
  <c r="AE80" i="22"/>
  <c r="AD80" i="22"/>
  <c r="AC80" i="22"/>
  <c r="AB80" i="22"/>
  <c r="AA80" i="22"/>
  <c r="Z80" i="22"/>
  <c r="Y80" i="22"/>
  <c r="X80" i="22"/>
  <c r="W80" i="22"/>
  <c r="V80" i="22"/>
  <c r="U80" i="22"/>
  <c r="T80" i="22"/>
  <c r="S80" i="22"/>
  <c r="R80" i="22"/>
  <c r="Q80" i="22"/>
  <c r="P80" i="22"/>
  <c r="O80" i="22"/>
  <c r="N80" i="22"/>
  <c r="M80" i="22"/>
  <c r="I80" i="22"/>
  <c r="H80" i="22"/>
  <c r="G80" i="22"/>
  <c r="F80" i="22"/>
  <c r="E80" i="22"/>
  <c r="T139" i="22"/>
  <c r="V139" i="22"/>
  <c r="W138" i="22"/>
  <c r="W139" i="22" s="1"/>
  <c r="X138" i="22"/>
  <c r="Y138" i="22"/>
  <c r="Z138" i="22"/>
  <c r="Q138" i="22"/>
  <c r="R138" i="22"/>
  <c r="S139" i="22" s="1"/>
  <c r="P138" i="22"/>
  <c r="B135" i="22"/>
  <c r="D133" i="22" s="1"/>
  <c r="B130" i="22"/>
  <c r="C129" i="22" s="1"/>
  <c r="B140" i="22"/>
  <c r="B5" i="16"/>
  <c r="R140" i="22"/>
  <c r="S140" i="22"/>
  <c r="T140" i="22"/>
  <c r="U140" i="22" s="1"/>
  <c r="V140" i="22" s="1"/>
  <c r="W140" i="22" s="1"/>
  <c r="X140" i="22" s="1"/>
  <c r="Y140" i="22" s="1"/>
  <c r="Z140" i="22" s="1"/>
  <c r="P140" i="22"/>
  <c r="Q140" i="22"/>
  <c r="F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E84" i="22"/>
  <c r="K127" i="22"/>
  <c r="J127" i="22"/>
  <c r="I127" i="22"/>
  <c r="H127" i="22"/>
  <c r="G127" i="22"/>
  <c r="F127" i="22"/>
  <c r="E127" i="22"/>
  <c r="O140" i="22"/>
  <c r="O149" i="22" l="1"/>
  <c r="Y139" i="22"/>
  <c r="AP135" i="22"/>
  <c r="AO140" i="22"/>
  <c r="AA138" i="22"/>
  <c r="Z139" i="22"/>
  <c r="X139" i="22"/>
  <c r="U139" i="22"/>
  <c r="R139" i="22"/>
  <c r="P139" i="22"/>
  <c r="Q139" i="22"/>
  <c r="U141" i="22"/>
  <c r="T142" i="22"/>
  <c r="S141" i="22"/>
  <c r="S143" i="22" s="1"/>
  <c r="T141" i="22"/>
  <c r="P141" i="22"/>
  <c r="Q142" i="22"/>
  <c r="R142" i="22"/>
  <c r="P142" i="22"/>
  <c r="Q141" i="22"/>
  <c r="S142" i="22"/>
  <c r="R141" i="22"/>
  <c r="D140" i="22"/>
  <c r="E140" i="22"/>
  <c r="F140" i="22"/>
  <c r="G140" i="22"/>
  <c r="H140" i="22"/>
  <c r="I140" i="22"/>
  <c r="J140" i="22"/>
  <c r="K140" i="22"/>
  <c r="L140" i="22"/>
  <c r="M140" i="22"/>
  <c r="N140" i="22"/>
  <c r="O142" i="22" s="1"/>
  <c r="C140" i="22"/>
  <c r="J97" i="22"/>
  <c r="F95" i="22"/>
  <c r="G95" i="22"/>
  <c r="H95" i="22"/>
  <c r="I95" i="22"/>
  <c r="J95" i="22"/>
  <c r="K95" i="22"/>
  <c r="L95" i="22"/>
  <c r="G97" i="22"/>
  <c r="H97" i="22"/>
  <c r="I97" i="22"/>
  <c r="K97" i="22"/>
  <c r="L97" i="22"/>
  <c r="F99" i="22"/>
  <c r="F124" i="22" s="1"/>
  <c r="G99" i="22"/>
  <c r="G124" i="22" s="1"/>
  <c r="H99" i="22"/>
  <c r="H124" i="22" s="1"/>
  <c r="I99" i="22"/>
  <c r="I124" i="22" s="1"/>
  <c r="J99" i="22"/>
  <c r="J124" i="22" s="1"/>
  <c r="K99" i="22"/>
  <c r="K124" i="22" s="1"/>
  <c r="L99" i="22"/>
  <c r="E95" i="22"/>
  <c r="L93" i="22"/>
  <c r="K93" i="22"/>
  <c r="J93" i="22"/>
  <c r="I93" i="22"/>
  <c r="H93" i="22"/>
  <c r="G93" i="22"/>
  <c r="F93" i="22"/>
  <c r="E97" i="22"/>
  <c r="E98" i="22" s="1"/>
  <c r="E99" i="22"/>
  <c r="E100" i="22" s="1"/>
  <c r="E93" i="22"/>
  <c r="C112" i="22"/>
  <c r="E113" i="22"/>
  <c r="D110" i="22"/>
  <c r="E110" i="22"/>
  <c r="F110" i="22"/>
  <c r="D111" i="22"/>
  <c r="E111" i="22"/>
  <c r="D112" i="22"/>
  <c r="E112" i="22"/>
  <c r="F112" i="22"/>
  <c r="D113" i="22"/>
  <c r="F113" i="22"/>
  <c r="D114" i="22"/>
  <c r="E114" i="22"/>
  <c r="F114" i="22"/>
  <c r="D115" i="22"/>
  <c r="E115" i="22"/>
  <c r="F115" i="22"/>
  <c r="D116" i="22"/>
  <c r="C116" i="22"/>
  <c r="C115" i="22"/>
  <c r="C114" i="22"/>
  <c r="C113" i="22"/>
  <c r="C111" i="22"/>
  <c r="C110" i="22"/>
  <c r="K79" i="22"/>
  <c r="K90" i="22" s="1"/>
  <c r="J79" i="22"/>
  <c r="J90" i="22" s="1"/>
  <c r="AI77" i="22"/>
  <c r="AI81" i="22"/>
  <c r="AI75" i="22"/>
  <c r="F82" i="22"/>
  <c r="G82" i="22"/>
  <c r="H82" i="22"/>
  <c r="I82" i="22"/>
  <c r="J82" i="22"/>
  <c r="K82" i="22"/>
  <c r="L82" i="22"/>
  <c r="M82" i="22"/>
  <c r="N82" i="22"/>
  <c r="O82" i="22"/>
  <c r="P82" i="22"/>
  <c r="Q82" i="22"/>
  <c r="R82" i="22"/>
  <c r="S82" i="22"/>
  <c r="T82" i="22"/>
  <c r="U82" i="22"/>
  <c r="V82" i="22"/>
  <c r="W82" i="22"/>
  <c r="X82" i="22"/>
  <c r="Y82" i="22"/>
  <c r="Z82" i="22"/>
  <c r="AA82" i="22"/>
  <c r="AB82" i="22"/>
  <c r="AC82" i="22"/>
  <c r="AD82" i="22"/>
  <c r="AE82" i="22"/>
  <c r="AF82" i="22"/>
  <c r="AG82" i="22"/>
  <c r="AH82" i="22"/>
  <c r="E82" i="22"/>
  <c r="B7" i="16"/>
  <c r="AB70" i="22"/>
  <c r="AB71" i="22"/>
  <c r="AB72" i="22"/>
  <c r="AB69" i="22"/>
  <c r="C33" i="24" l="1"/>
  <c r="H33" i="24" s="1"/>
  <c r="I33" i="24" s="1"/>
  <c r="C11" i="24"/>
  <c r="H11" i="24" s="1"/>
  <c r="I11" i="24" s="1"/>
  <c r="C54" i="24"/>
  <c r="H54" i="24" s="1"/>
  <c r="I54" i="24" s="1"/>
  <c r="C13" i="24"/>
  <c r="H13" i="24" s="1"/>
  <c r="I13" i="24" s="1"/>
  <c r="C14" i="24"/>
  <c r="H14" i="24" s="1"/>
  <c r="I14" i="24" s="1"/>
  <c r="T143" i="22"/>
  <c r="U143" i="22" s="1"/>
  <c r="U144" i="22" s="1"/>
  <c r="I106" i="22"/>
  <c r="AQ135" i="22"/>
  <c r="AP140" i="22"/>
  <c r="AB138" i="22"/>
  <c r="AA139" i="22"/>
  <c r="U142" i="22"/>
  <c r="S144" i="22"/>
  <c r="G106" i="22"/>
  <c r="H106" i="22"/>
  <c r="N99" i="22"/>
  <c r="N100" i="22" s="1"/>
  <c r="J106" i="22"/>
  <c r="K106" i="22"/>
  <c r="L106" i="22"/>
  <c r="M106" i="22" s="1"/>
  <c r="N106" i="22" s="1"/>
  <c r="O106" i="22" s="1"/>
  <c r="P106" i="22" s="1"/>
  <c r="Q106" i="22" s="1"/>
  <c r="R106" i="22" s="1"/>
  <c r="S106" i="22" s="1"/>
  <c r="T106" i="22" s="1"/>
  <c r="U106" i="22" s="1"/>
  <c r="V106" i="22" s="1"/>
  <c r="W106" i="22" s="1"/>
  <c r="X106" i="22" s="1"/>
  <c r="Y106" i="22" s="1"/>
  <c r="Z106" i="22" s="1"/>
  <c r="AA106" i="22" s="1"/>
  <c r="AB106" i="22" s="1"/>
  <c r="AC106" i="22" s="1"/>
  <c r="AD106" i="22" s="1"/>
  <c r="AE106" i="22" s="1"/>
  <c r="AF106" i="22" s="1"/>
  <c r="AG106" i="22" s="1"/>
  <c r="AH106" i="22" s="1"/>
  <c r="AI106" i="22" s="1"/>
  <c r="AJ106" i="22" s="1"/>
  <c r="AK106" i="22" s="1"/>
  <c r="AL106" i="22" s="1"/>
  <c r="L105" i="22"/>
  <c r="M105" i="22" s="1"/>
  <c r="L104" i="22"/>
  <c r="M104" i="22" s="1"/>
  <c r="E94" i="22"/>
  <c r="E106" i="22"/>
  <c r="E104" i="22"/>
  <c r="J80" i="22"/>
  <c r="J88" i="22"/>
  <c r="E96" i="22"/>
  <c r="K80" i="22"/>
  <c r="K88" i="22"/>
  <c r="L80" i="22"/>
  <c r="D141" i="22"/>
  <c r="K141" i="22"/>
  <c r="K142" i="22"/>
  <c r="I141" i="22"/>
  <c r="I142" i="22"/>
  <c r="H142" i="22"/>
  <c r="H141" i="22"/>
  <c r="L142" i="22"/>
  <c r="L141" i="22"/>
  <c r="J142" i="22"/>
  <c r="J141" i="22"/>
  <c r="G141" i="22"/>
  <c r="G142" i="22"/>
  <c r="F141" i="22"/>
  <c r="F142" i="22"/>
  <c r="E141" i="22"/>
  <c r="E142" i="22"/>
  <c r="M141" i="22"/>
  <c r="M142" i="22"/>
  <c r="N142" i="22"/>
  <c r="N141" i="22"/>
  <c r="O141" i="22"/>
  <c r="M158" i="22"/>
  <c r="H105" i="22"/>
  <c r="J104" i="22"/>
  <c r="I105" i="22"/>
  <c r="I104" i="22"/>
  <c r="H104" i="22"/>
  <c r="J105" i="22"/>
  <c r="G105" i="22"/>
  <c r="F105" i="22"/>
  <c r="G104" i="22"/>
  <c r="K104" i="22"/>
  <c r="K105" i="22"/>
  <c r="E105" i="22"/>
  <c r="H98" i="22"/>
  <c r="J100" i="22"/>
  <c r="K96" i="22"/>
  <c r="H100" i="22"/>
  <c r="G96" i="22"/>
  <c r="I96" i="22"/>
  <c r="G100" i="22"/>
  <c r="H96" i="22"/>
  <c r="J98" i="22"/>
  <c r="I100" i="22"/>
  <c r="J96" i="22"/>
  <c r="K100" i="22"/>
  <c r="L96" i="22"/>
  <c r="L98" i="22"/>
  <c r="F96" i="22"/>
  <c r="K98" i="22"/>
  <c r="J94" i="22"/>
  <c r="I98" i="22"/>
  <c r="L100" i="22"/>
  <c r="F100" i="22"/>
  <c r="G94" i="22"/>
  <c r="L94" i="22"/>
  <c r="K94" i="22"/>
  <c r="F94" i="22"/>
  <c r="H94" i="22"/>
  <c r="I94" i="22"/>
  <c r="M95" i="22"/>
  <c r="F97" i="22"/>
  <c r="M99" i="22"/>
  <c r="M93" i="22"/>
  <c r="AI79" i="22"/>
  <c r="AR135" i="22" l="1"/>
  <c r="AS135" i="22" s="1"/>
  <c r="AT135" i="22" s="1"/>
  <c r="AU135" i="22" s="1"/>
  <c r="AV135" i="22" s="1"/>
  <c r="AW135" i="22" s="1"/>
  <c r="AX135" i="22" s="1"/>
  <c r="AY135" i="22" s="1"/>
  <c r="AZ135" i="22" s="1"/>
  <c r="BA135" i="22" s="1"/>
  <c r="BB135" i="22" s="1"/>
  <c r="BC135" i="22" s="1"/>
  <c r="BD135" i="22" s="1"/>
  <c r="BE135" i="22" s="1"/>
  <c r="BF135" i="22" s="1"/>
  <c r="BG135" i="22" s="1"/>
  <c r="BH135" i="22" s="1"/>
  <c r="BI135" i="22" s="1"/>
  <c r="BJ135" i="22" s="1"/>
  <c r="BK135" i="22" s="1"/>
  <c r="BL135" i="22" s="1"/>
  <c r="BM135" i="22" s="1"/>
  <c r="BN135" i="22" s="1"/>
  <c r="BO135" i="22" s="1"/>
  <c r="BP135" i="22" s="1"/>
  <c r="BQ135" i="22" s="1"/>
  <c r="AQ140" i="22"/>
  <c r="AC138" i="22"/>
  <c r="AB139" i="22"/>
  <c r="T144" i="22"/>
  <c r="V141" i="22"/>
  <c r="O148" i="22" s="1"/>
  <c r="C126" i="4" s="1"/>
  <c r="V142" i="22"/>
  <c r="N105" i="22"/>
  <c r="N93" i="22"/>
  <c r="N97" i="22" s="1"/>
  <c r="N95" i="22" s="1"/>
  <c r="N104" i="22" s="1"/>
  <c r="F104" i="22"/>
  <c r="F106" i="22"/>
  <c r="M100" i="22"/>
  <c r="M96" i="22"/>
  <c r="M94" i="22"/>
  <c r="M97" i="22"/>
  <c r="M98" i="22" s="1"/>
  <c r="G98" i="22"/>
  <c r="F98" i="22"/>
  <c r="C73" i="16"/>
  <c r="E53" i="10"/>
  <c r="D53" i="10"/>
  <c r="AR140" i="22" l="1"/>
  <c r="AS140" i="22" s="1"/>
  <c r="AT140" i="22" s="1"/>
  <c r="AU140" i="22" s="1"/>
  <c r="AV140" i="22" s="1"/>
  <c r="AW140" i="22" s="1"/>
  <c r="AX140" i="22" s="1"/>
  <c r="BR135" i="22"/>
  <c r="BS135" i="22" s="1"/>
  <c r="BT135" i="22" s="1"/>
  <c r="BU135" i="22" s="1"/>
  <c r="BV135" i="22" s="1"/>
  <c r="BW135" i="22" s="1"/>
  <c r="BX135" i="22" s="1"/>
  <c r="BY135" i="22" s="1"/>
  <c r="BZ135" i="22" s="1"/>
  <c r="CA135" i="22" s="1"/>
  <c r="CB135" i="22" s="1"/>
  <c r="CC135" i="22" s="1"/>
  <c r="CD135" i="22" s="1"/>
  <c r="CE135" i="22" s="1"/>
  <c r="CF135" i="22" s="1"/>
  <c r="CG135" i="22" s="1"/>
  <c r="CH135" i="22" s="1"/>
  <c r="CI135" i="22" s="1"/>
  <c r="CJ135" i="22" s="1"/>
  <c r="CK135" i="22" s="1"/>
  <c r="CL135" i="22" s="1"/>
  <c r="CM135" i="22" s="1"/>
  <c r="CN135" i="22" s="1"/>
  <c r="CO135" i="22" s="1"/>
  <c r="CP135" i="22" s="1"/>
  <c r="CQ135" i="22" s="1"/>
  <c r="CR135" i="22" s="1"/>
  <c r="CS135" i="22" s="1"/>
  <c r="CT135" i="22" s="1"/>
  <c r="CU135" i="22" s="1"/>
  <c r="CV135" i="22" s="1"/>
  <c r="CW135" i="22" s="1"/>
  <c r="CX135" i="22" s="1"/>
  <c r="CY135" i="22" s="1"/>
  <c r="CZ135" i="22" s="1"/>
  <c r="DA135" i="22" s="1"/>
  <c r="DB135" i="22" s="1"/>
  <c r="DC135" i="22" s="1"/>
  <c r="DD135" i="22" s="1"/>
  <c r="DE135" i="22" s="1"/>
  <c r="DF135" i="22" s="1"/>
  <c r="DG135" i="22" s="1"/>
  <c r="DH135" i="22" s="1"/>
  <c r="DI135" i="22" s="1"/>
  <c r="DJ135" i="22" s="1"/>
  <c r="DK135" i="22" s="1"/>
  <c r="DL135" i="22" s="1"/>
  <c r="DM135" i="22" s="1"/>
  <c r="DN135" i="22" s="1"/>
  <c r="DO135" i="22" s="1"/>
  <c r="DP135" i="22" s="1"/>
  <c r="DQ135" i="22" s="1"/>
  <c r="DR135" i="22" s="1"/>
  <c r="V143" i="22"/>
  <c r="V144" i="22" s="1"/>
  <c r="AD138" i="22"/>
  <c r="AC139" i="22"/>
  <c r="C125" i="4"/>
  <c r="C127" i="4"/>
  <c r="W141" i="22"/>
  <c r="W142" i="22"/>
  <c r="O105" i="22"/>
  <c r="M109" i="1"/>
  <c r="F32" i="1"/>
  <c r="F30" i="1"/>
  <c r="F31" i="1"/>
  <c r="O150" i="22" l="1"/>
  <c r="W143" i="22"/>
  <c r="AE138" i="22"/>
  <c r="AD139" i="22"/>
  <c r="X142" i="22"/>
  <c r="X141" i="22"/>
  <c r="P105" i="22"/>
  <c r="N94" i="22"/>
  <c r="L50" i="22"/>
  <c r="L51" i="22"/>
  <c r="L52" i="22"/>
  <c r="J50" i="22"/>
  <c r="J51" i="22"/>
  <c r="J52" i="22"/>
  <c r="J53" i="22"/>
  <c r="J54" i="22"/>
  <c r="J55" i="22"/>
  <c r="J56" i="22"/>
  <c r="J57" i="22"/>
  <c r="J58" i="22"/>
  <c r="J59" i="22"/>
  <c r="J60" i="22"/>
  <c r="J61" i="22"/>
  <c r="J62" i="22"/>
  <c r="J63" i="22"/>
  <c r="J64" i="22"/>
  <c r="M6" i="3"/>
  <c r="N6" i="3"/>
  <c r="O6" i="3"/>
  <c r="P6" i="3"/>
  <c r="I19" i="3"/>
  <c r="I9" i="3" s="1"/>
  <c r="P9" i="3" s="1"/>
  <c r="H19" i="3"/>
  <c r="H9" i="3" s="1"/>
  <c r="G19" i="3"/>
  <c r="G9" i="3" s="1"/>
  <c r="G18" i="3"/>
  <c r="G8" i="3" s="1"/>
  <c r="D19" i="3"/>
  <c r="F18" i="3"/>
  <c r="E18" i="3"/>
  <c r="H16" i="3"/>
  <c r="O16" i="3" s="1"/>
  <c r="G16" i="3"/>
  <c r="F16" i="3"/>
  <c r="F17" i="3" s="1"/>
  <c r="E16" i="3"/>
  <c r="I15" i="3"/>
  <c r="H15" i="3"/>
  <c r="G15" i="3"/>
  <c r="F15" i="3"/>
  <c r="E15" i="3"/>
  <c r="D16" i="3"/>
  <c r="D15" i="3"/>
  <c r="P16" i="3"/>
  <c r="P17" i="3"/>
  <c r="O18" i="3"/>
  <c r="P18" i="3"/>
  <c r="L19" i="3"/>
  <c r="I7" i="3"/>
  <c r="H8" i="3"/>
  <c r="I8" i="3"/>
  <c r="P8" i="3" s="1"/>
  <c r="E9" i="3"/>
  <c r="F9" i="3"/>
  <c r="C8" i="3"/>
  <c r="F25" i="1" s="1"/>
  <c r="C9" i="3"/>
  <c r="F26" i="1" s="1"/>
  <c r="C7" i="3"/>
  <c r="F24" i="1" s="1"/>
  <c r="G53" i="10"/>
  <c r="F53" i="10"/>
  <c r="C53" i="10"/>
  <c r="D67" i="4"/>
  <c r="W44" i="23"/>
  <c r="W45" i="23"/>
  <c r="W46" i="23"/>
  <c r="W58" i="23"/>
  <c r="W59" i="23"/>
  <c r="W61" i="23"/>
  <c r="W63" i="23"/>
  <c r="AN9" i="23"/>
  <c r="AM9" i="23"/>
  <c r="AL9" i="23"/>
  <c r="AK9" i="23"/>
  <c r="AJ9" i="23"/>
  <c r="I31" i="23"/>
  <c r="C23" i="22"/>
  <c r="D54" i="10"/>
  <c r="E54" i="10"/>
  <c r="F54" i="10"/>
  <c r="G54" i="10"/>
  <c r="E50" i="10" a="1"/>
  <c r="E50" i="10" s="1"/>
  <c r="E14" i="10"/>
  <c r="E35" i="10"/>
  <c r="D35" i="10"/>
  <c r="E28" i="10"/>
  <c r="H47" i="10"/>
  <c r="I47" i="10" s="1"/>
  <c r="G43" i="10"/>
  <c r="F43" i="10"/>
  <c r="E43" i="10"/>
  <c r="D43" i="10"/>
  <c r="D32" i="10"/>
  <c r="E32" i="10"/>
  <c r="F32" i="10"/>
  <c r="G32" i="10"/>
  <c r="D31" i="10"/>
  <c r="E31" i="10"/>
  <c r="F31" i="10"/>
  <c r="G31" i="10"/>
  <c r="D15" i="10"/>
  <c r="E15" i="10"/>
  <c r="F15" i="10"/>
  <c r="G15" i="10"/>
  <c r="F75" i="17"/>
  <c r="M83" i="1"/>
  <c r="D23" i="10"/>
  <c r="D21" i="10"/>
  <c r="G65" i="10"/>
  <c r="G26" i="10" s="1"/>
  <c r="F26" i="10"/>
  <c r="E65" i="10"/>
  <c r="E26" i="10" s="1"/>
  <c r="M21" i="1"/>
  <c r="C42" i="25" s="1"/>
  <c r="H42" i="25" s="1"/>
  <c r="I42" i="25" s="1"/>
  <c r="C87" i="16"/>
  <c r="D87" i="16"/>
  <c r="B87" i="16"/>
  <c r="D88" i="16"/>
  <c r="C88" i="16"/>
  <c r="B88" i="16"/>
  <c r="F38" i="4"/>
  <c r="G10" i="4" s="1"/>
  <c r="I21" i="23"/>
  <c r="I22" i="23"/>
  <c r="I23" i="23"/>
  <c r="I24" i="23"/>
  <c r="I25" i="23"/>
  <c r="I26" i="23"/>
  <c r="I27" i="23"/>
  <c r="I28" i="23"/>
  <c r="I29" i="23"/>
  <c r="I30"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19" i="23"/>
  <c r="I20" i="23"/>
  <c r="I18" i="23"/>
  <c r="O9" i="19"/>
  <c r="P9" i="19"/>
  <c r="O8" i="19"/>
  <c r="P8" i="19"/>
  <c r="O7" i="19"/>
  <c r="P7" i="19"/>
  <c r="O6" i="19"/>
  <c r="P6" i="19"/>
  <c r="Q6" i="19"/>
  <c r="Q4" i="19"/>
  <c r="G8" i="10"/>
  <c r="P4" i="19" s="1"/>
  <c r="I3" i="10" a="1"/>
  <c r="I3" i="10" s="1"/>
  <c r="I4" i="10" a="1"/>
  <c r="I4" i="10" s="1"/>
  <c r="I5" i="10" a="1"/>
  <c r="I5" i="10" s="1"/>
  <c r="G6" i="10" a="1"/>
  <c r="G6" i="10" s="1"/>
  <c r="I2" i="10" a="1"/>
  <c r="I2" i="10" s="1"/>
  <c r="G35" i="10"/>
  <c r="G34" i="10"/>
  <c r="G33" i="10"/>
  <c r="G29" i="10"/>
  <c r="G28" i="10"/>
  <c r="G25" i="10"/>
  <c r="G24" i="10"/>
  <c r="G23" i="10"/>
  <c r="G22" i="10"/>
  <c r="G21" i="10"/>
  <c r="G19" i="10"/>
  <c r="G18" i="10"/>
  <c r="G17" i="10"/>
  <c r="G14" i="10"/>
  <c r="G13" i="10"/>
  <c r="G11" i="10"/>
  <c r="D6" i="10" a="1"/>
  <c r="D6" i="10" s="1"/>
  <c r="D11" i="10"/>
  <c r="I4" i="23"/>
  <c r="I5" i="23"/>
  <c r="I6" i="23"/>
  <c r="I7" i="23"/>
  <c r="I8" i="23"/>
  <c r="I9" i="23"/>
  <c r="I10" i="23"/>
  <c r="I11" i="23"/>
  <c r="I12" i="23"/>
  <c r="I13" i="23"/>
  <c r="I15" i="23"/>
  <c r="I16" i="23"/>
  <c r="I17" i="23"/>
  <c r="I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3" i="23"/>
  <c r="F3" i="23"/>
  <c r="G3" i="23"/>
  <c r="J3" i="23"/>
  <c r="F4" i="23"/>
  <c r="G4" i="23"/>
  <c r="J4" i="23"/>
  <c r="F5" i="23"/>
  <c r="G5" i="23"/>
  <c r="J5" i="23"/>
  <c r="F6" i="23"/>
  <c r="G6" i="23"/>
  <c r="J6" i="23"/>
  <c r="F7" i="23"/>
  <c r="G7" i="23"/>
  <c r="J7" i="23"/>
  <c r="F8" i="23"/>
  <c r="G8" i="23"/>
  <c r="J8" i="23"/>
  <c r="F9" i="23"/>
  <c r="G9" i="23"/>
  <c r="J9" i="23"/>
  <c r="F10" i="23"/>
  <c r="G10" i="23"/>
  <c r="J10" i="23"/>
  <c r="F11" i="23"/>
  <c r="G11" i="23"/>
  <c r="J11" i="23"/>
  <c r="F12" i="23"/>
  <c r="G12" i="23"/>
  <c r="J12" i="23"/>
  <c r="F13" i="23"/>
  <c r="G13" i="23"/>
  <c r="J13" i="23"/>
  <c r="F14" i="23"/>
  <c r="G14" i="23"/>
  <c r="J14" i="23"/>
  <c r="F15" i="23"/>
  <c r="G15" i="23"/>
  <c r="J15" i="23"/>
  <c r="F16" i="23"/>
  <c r="G16" i="23"/>
  <c r="J16" i="23"/>
  <c r="F17" i="23"/>
  <c r="G17" i="23"/>
  <c r="J17" i="23"/>
  <c r="F18" i="23"/>
  <c r="G18" i="23"/>
  <c r="J18" i="23"/>
  <c r="F19" i="23"/>
  <c r="G19" i="23"/>
  <c r="J19" i="23"/>
  <c r="F20" i="23"/>
  <c r="G20" i="23"/>
  <c r="J20" i="23"/>
  <c r="F21" i="23"/>
  <c r="G21" i="23"/>
  <c r="J21" i="23"/>
  <c r="F22" i="23"/>
  <c r="G22" i="23"/>
  <c r="J22" i="23"/>
  <c r="F23" i="23"/>
  <c r="G23" i="23"/>
  <c r="J23" i="23"/>
  <c r="F24" i="23"/>
  <c r="G24" i="23"/>
  <c r="J24" i="23"/>
  <c r="F25" i="23"/>
  <c r="G25" i="23"/>
  <c r="J25" i="23"/>
  <c r="F26" i="23"/>
  <c r="G26" i="23"/>
  <c r="J26" i="23"/>
  <c r="F27" i="23"/>
  <c r="G27" i="23"/>
  <c r="J27" i="23"/>
  <c r="F28" i="23"/>
  <c r="G28" i="23"/>
  <c r="J28" i="23"/>
  <c r="F29" i="23"/>
  <c r="G29" i="23"/>
  <c r="J29" i="23"/>
  <c r="F30" i="23"/>
  <c r="G30" i="23"/>
  <c r="J30" i="23"/>
  <c r="F31" i="23"/>
  <c r="G31" i="23"/>
  <c r="J31" i="23"/>
  <c r="F32" i="23"/>
  <c r="G32" i="23"/>
  <c r="J32" i="23"/>
  <c r="F33" i="23"/>
  <c r="G33" i="23"/>
  <c r="J33" i="23"/>
  <c r="F34" i="23"/>
  <c r="G34" i="23"/>
  <c r="J34" i="23"/>
  <c r="F35" i="23"/>
  <c r="G35" i="23"/>
  <c r="J35" i="23"/>
  <c r="F36" i="23"/>
  <c r="G36" i="23"/>
  <c r="J36" i="23"/>
  <c r="F37" i="23"/>
  <c r="G37" i="23"/>
  <c r="J37" i="23"/>
  <c r="F38" i="23"/>
  <c r="G38" i="23"/>
  <c r="J38" i="23"/>
  <c r="F39" i="23"/>
  <c r="G39" i="23"/>
  <c r="J39" i="23"/>
  <c r="F40" i="23"/>
  <c r="G40" i="23"/>
  <c r="J40" i="23"/>
  <c r="F41" i="23"/>
  <c r="G41" i="23"/>
  <c r="J41" i="23"/>
  <c r="F42" i="23"/>
  <c r="G42" i="23"/>
  <c r="J42" i="23"/>
  <c r="F43" i="23"/>
  <c r="G43" i="23"/>
  <c r="J43" i="23"/>
  <c r="F44" i="23"/>
  <c r="G44" i="23"/>
  <c r="J44" i="23"/>
  <c r="F45" i="23"/>
  <c r="G45" i="23"/>
  <c r="J45" i="23"/>
  <c r="F46" i="23"/>
  <c r="G46" i="23"/>
  <c r="J46" i="23"/>
  <c r="F47" i="23"/>
  <c r="G47" i="23"/>
  <c r="J47" i="23"/>
  <c r="F48" i="23"/>
  <c r="G48" i="23"/>
  <c r="J48" i="23"/>
  <c r="F49" i="23"/>
  <c r="G49" i="23"/>
  <c r="J49" i="23"/>
  <c r="F50" i="23"/>
  <c r="G50" i="23"/>
  <c r="J50" i="23"/>
  <c r="F51" i="23"/>
  <c r="G51" i="23"/>
  <c r="J51" i="23"/>
  <c r="F52" i="23"/>
  <c r="G52" i="23"/>
  <c r="J52" i="23"/>
  <c r="F53" i="23"/>
  <c r="G53" i="23"/>
  <c r="J53" i="23"/>
  <c r="F54" i="23"/>
  <c r="G54" i="23"/>
  <c r="J54" i="23"/>
  <c r="F55" i="23"/>
  <c r="G55" i="23"/>
  <c r="J55" i="23"/>
  <c r="F56" i="23"/>
  <c r="G56" i="23"/>
  <c r="J56" i="23"/>
  <c r="F57" i="23"/>
  <c r="G57" i="23"/>
  <c r="J57" i="23"/>
  <c r="F58" i="23"/>
  <c r="G58" i="23"/>
  <c r="J58" i="23"/>
  <c r="F59" i="23"/>
  <c r="G59" i="23"/>
  <c r="J59" i="23"/>
  <c r="F60" i="23"/>
  <c r="G60" i="23"/>
  <c r="J60" i="23"/>
  <c r="F61" i="23"/>
  <c r="G61" i="23"/>
  <c r="J61" i="23"/>
  <c r="F62" i="23"/>
  <c r="G62" i="23"/>
  <c r="J62" i="23"/>
  <c r="F63" i="23"/>
  <c r="G63" i="23"/>
  <c r="J63" i="23"/>
  <c r="F64" i="23"/>
  <c r="G64" i="23"/>
  <c r="J64" i="23"/>
  <c r="I9" i="22"/>
  <c r="D19" i="4"/>
  <c r="E19" i="4"/>
  <c r="F19" i="4"/>
  <c r="B86" i="17" a="1"/>
  <c r="B86" i="17" s="1"/>
  <c r="B84" i="16" s="1"/>
  <c r="C66" i="17"/>
  <c r="C70" i="16" s="1"/>
  <c r="D66" i="17"/>
  <c r="D70" i="16" s="1"/>
  <c r="E66" i="17"/>
  <c r="E67" i="17" s="1"/>
  <c r="F66" i="17"/>
  <c r="F70" i="16" s="1"/>
  <c r="G66" i="17"/>
  <c r="G67" i="17" s="1"/>
  <c r="H66" i="17"/>
  <c r="H70" i="16" s="1"/>
  <c r="I66" i="17"/>
  <c r="I70" i="16" s="1"/>
  <c r="J66" i="17"/>
  <c r="J67" i="17" s="1"/>
  <c r="K66" i="17"/>
  <c r="K67" i="17" s="1"/>
  <c r="B66" i="17"/>
  <c r="B70" i="16" s="1"/>
  <c r="C60" i="17"/>
  <c r="C63" i="17" s="1"/>
  <c r="D60" i="17"/>
  <c r="D63" i="17" s="1"/>
  <c r="E60" i="17"/>
  <c r="E63" i="17" s="1"/>
  <c r="F60" i="17"/>
  <c r="F63" i="17" s="1"/>
  <c r="G60" i="17"/>
  <c r="G63" i="17" s="1"/>
  <c r="H60" i="17"/>
  <c r="H63" i="17" s="1"/>
  <c r="I60" i="17"/>
  <c r="I63" i="17" s="1"/>
  <c r="J60" i="17"/>
  <c r="J63" i="17" s="1"/>
  <c r="K60" i="17"/>
  <c r="K63" i="17" s="1"/>
  <c r="B60" i="17"/>
  <c r="B63" i="17" s="1"/>
  <c r="C43" i="17"/>
  <c r="D43" i="17"/>
  <c r="E43" i="17"/>
  <c r="F43" i="17"/>
  <c r="F46" i="17" s="1"/>
  <c r="F51" i="16" s="1"/>
  <c r="G43" i="17"/>
  <c r="G46" i="17" s="1"/>
  <c r="G51" i="16" s="1"/>
  <c r="H43" i="17"/>
  <c r="I43" i="17"/>
  <c r="J43" i="17"/>
  <c r="J46" i="17" s="1"/>
  <c r="J51" i="16" s="1"/>
  <c r="K43" i="17"/>
  <c r="K46" i="17" s="1"/>
  <c r="K51" i="16" s="1"/>
  <c r="B43" i="17"/>
  <c r="C9" i="17"/>
  <c r="D9" i="17"/>
  <c r="D15" i="16" s="1"/>
  <c r="D14" i="4" s="1"/>
  <c r="E9" i="17"/>
  <c r="F9" i="17"/>
  <c r="F15" i="16" s="1"/>
  <c r="G9" i="17"/>
  <c r="H9" i="17"/>
  <c r="H15" i="16" s="1"/>
  <c r="I9" i="17"/>
  <c r="I15" i="16" s="1"/>
  <c r="J9" i="17"/>
  <c r="K9" i="17"/>
  <c r="B9" i="17"/>
  <c r="B15" i="16" s="1"/>
  <c r="D53" i="4"/>
  <c r="L66" i="17"/>
  <c r="L67" i="17" s="1"/>
  <c r="AJ68" i="17"/>
  <c r="AK68" i="17"/>
  <c r="AL68" i="17"/>
  <c r="AM68" i="17"/>
  <c r="AN68" i="17"/>
  <c r="AO68" i="17"/>
  <c r="AP68" i="17"/>
  <c r="AQ68" i="17"/>
  <c r="AR68" i="17"/>
  <c r="AS68" i="17"/>
  <c r="AI68" i="17"/>
  <c r="C31" i="17"/>
  <c r="D31" i="17"/>
  <c r="E31" i="17"/>
  <c r="F31" i="17"/>
  <c r="G31" i="17"/>
  <c r="H31" i="17"/>
  <c r="I31" i="17"/>
  <c r="J31" i="17"/>
  <c r="K31" i="17"/>
  <c r="B31" i="17"/>
  <c r="B32" i="17"/>
  <c r="B36" i="17" s="1"/>
  <c r="D39" i="3"/>
  <c r="AD1" i="23"/>
  <c r="E58" i="4"/>
  <c r="D58" i="4"/>
  <c r="D59" i="4"/>
  <c r="B100" i="17"/>
  <c r="B101" i="17" s="1"/>
  <c r="C100" i="17"/>
  <c r="C101" i="17" s="1"/>
  <c r="D100" i="17"/>
  <c r="D101" i="17" s="1"/>
  <c r="E100" i="17"/>
  <c r="E101" i="17" s="1"/>
  <c r="F100" i="17"/>
  <c r="F101" i="17" s="1"/>
  <c r="G100" i="17"/>
  <c r="G101" i="17" s="1"/>
  <c r="H100" i="17"/>
  <c r="H101" i="17" s="1"/>
  <c r="I100" i="17"/>
  <c r="I101" i="17" s="1"/>
  <c r="J100" i="17"/>
  <c r="J101" i="17" s="1"/>
  <c r="K100" i="17"/>
  <c r="K101" i="17" s="1"/>
  <c r="B10" i="17"/>
  <c r="B14" i="16" s="1"/>
  <c r="C10" i="17"/>
  <c r="D10" i="17"/>
  <c r="E10" i="17"/>
  <c r="F10" i="17"/>
  <c r="G10" i="17"/>
  <c r="G14" i="16" s="1"/>
  <c r="H10" i="17"/>
  <c r="I10" i="17"/>
  <c r="J10" i="17"/>
  <c r="K10" i="17"/>
  <c r="B23" i="17"/>
  <c r="C23" i="17"/>
  <c r="D23" i="17"/>
  <c r="E23" i="17"/>
  <c r="F23" i="17"/>
  <c r="G23" i="17"/>
  <c r="H23" i="17"/>
  <c r="I23" i="17"/>
  <c r="J23" i="17"/>
  <c r="K23" i="17"/>
  <c r="C32" i="17"/>
  <c r="C36" i="17" s="1"/>
  <c r="D32" i="17"/>
  <c r="D36" i="17" s="1"/>
  <c r="E32" i="17"/>
  <c r="E36" i="17" s="1"/>
  <c r="F32" i="17"/>
  <c r="F36" i="17" s="1"/>
  <c r="G32" i="17"/>
  <c r="G36" i="17" s="1"/>
  <c r="H32" i="17"/>
  <c r="H36" i="17" s="1"/>
  <c r="I32" i="17"/>
  <c r="I36" i="17" s="1"/>
  <c r="J32" i="17"/>
  <c r="J36" i="17" s="1"/>
  <c r="K32" i="17"/>
  <c r="K36" i="17" s="1"/>
  <c r="D25" i="10"/>
  <c r="F25" i="10"/>
  <c r="F20" i="4"/>
  <c r="F11" i="4" s="1"/>
  <c r="E20" i="4"/>
  <c r="E11" i="4" s="1"/>
  <c r="D20" i="4"/>
  <c r="D11" i="4" s="1"/>
  <c r="E53" i="4"/>
  <c r="E62" i="4"/>
  <c r="E67" i="4"/>
  <c r="L100" i="17"/>
  <c r="L101" i="17" s="1"/>
  <c r="M100" i="17"/>
  <c r="M101" i="17" s="1"/>
  <c r="Q17" i="22"/>
  <c r="Q24" i="22"/>
  <c r="Q30" i="22"/>
  <c r="Q10" i="22"/>
  <c r="H16" i="22"/>
  <c r="I16" i="22"/>
  <c r="J16" i="22"/>
  <c r="K16" i="22"/>
  <c r="L16" i="22"/>
  <c r="H22" i="22"/>
  <c r="I22" i="22"/>
  <c r="J22" i="22"/>
  <c r="K22" i="22"/>
  <c r="L22" i="22"/>
  <c r="H23" i="22"/>
  <c r="I23" i="22"/>
  <c r="J23" i="22"/>
  <c r="K23" i="22"/>
  <c r="L23" i="22"/>
  <c r="P17" i="22"/>
  <c r="P24" i="22"/>
  <c r="P30" i="22"/>
  <c r="N17" i="22"/>
  <c r="N24" i="22"/>
  <c r="N30" i="22"/>
  <c r="H9" i="22"/>
  <c r="J9" i="22"/>
  <c r="K9" i="22"/>
  <c r="L9" i="22"/>
  <c r="H8" i="22"/>
  <c r="I8" i="22"/>
  <c r="J8" i="22"/>
  <c r="K8" i="22"/>
  <c r="L8" i="22"/>
  <c r="D18" i="10"/>
  <c r="D24" i="10"/>
  <c r="F24" i="10"/>
  <c r="F23" i="10"/>
  <c r="D22" i="10"/>
  <c r="E60" i="4"/>
  <c r="D28" i="4"/>
  <c r="E55" i="4"/>
  <c r="C16" i="22"/>
  <c r="D62" i="4"/>
  <c r="D66" i="4"/>
  <c r="E56" i="4"/>
  <c r="D60" i="4"/>
  <c r="D16" i="22"/>
  <c r="E16" i="22"/>
  <c r="F16" i="22"/>
  <c r="D23" i="22"/>
  <c r="E23" i="22"/>
  <c r="F23" i="22"/>
  <c r="G23" i="22"/>
  <c r="E63" i="4"/>
  <c r="D63" i="4"/>
  <c r="E54" i="4"/>
  <c r="D54" i="4"/>
  <c r="D9" i="22"/>
  <c r="E9" i="22"/>
  <c r="F9" i="22"/>
  <c r="G9" i="22"/>
  <c r="C9" i="22"/>
  <c r="D8" i="22"/>
  <c r="M51" i="22" s="1"/>
  <c r="E8" i="22"/>
  <c r="M50" i="22" s="1"/>
  <c r="F8" i="22"/>
  <c r="M49" i="22" s="1"/>
  <c r="G8" i="22"/>
  <c r="C8" i="22"/>
  <c r="M52" i="22" s="1"/>
  <c r="E38" i="4"/>
  <c r="D38" i="4"/>
  <c r="D40" i="4"/>
  <c r="F29" i="1"/>
  <c r="M6" i="19"/>
  <c r="N6" i="19"/>
  <c r="M8" i="19"/>
  <c r="N8" i="19"/>
  <c r="Q8" i="19"/>
  <c r="M9" i="19"/>
  <c r="N9" i="19"/>
  <c r="Q9" i="19"/>
  <c r="M7" i="19"/>
  <c r="N7" i="19"/>
  <c r="Q7" i="19"/>
  <c r="D22" i="22"/>
  <c r="E22" i="22"/>
  <c r="F22" i="22"/>
  <c r="G22" i="22"/>
  <c r="C22" i="22"/>
  <c r="C21" i="22"/>
  <c r="P21" i="22" s="1"/>
  <c r="D55" i="4"/>
  <c r="F40" i="4"/>
  <c r="E40" i="4"/>
  <c r="D41" i="4"/>
  <c r="F50" i="4"/>
  <c r="J41" i="1" s="1"/>
  <c r="D19" i="10"/>
  <c r="F19" i="10"/>
  <c r="Y60" i="23"/>
  <c r="Y62" i="23"/>
  <c r="E2" i="1"/>
  <c r="E25" i="10"/>
  <c r="E28" i="4"/>
  <c r="F28" i="4"/>
  <c r="D27" i="4"/>
  <c r="E27" i="4"/>
  <c r="F27" i="4"/>
  <c r="D21" i="4"/>
  <c r="E21" i="4"/>
  <c r="F21" i="4"/>
  <c r="D6" i="4"/>
  <c r="E6" i="4"/>
  <c r="F6" i="4"/>
  <c r="E23" i="10"/>
  <c r="E24" i="10"/>
  <c r="D56" i="4"/>
  <c r="E59" i="4"/>
  <c r="D61" i="4"/>
  <c r="E61" i="4"/>
  <c r="D4" i="4"/>
  <c r="E4" i="4"/>
  <c r="G4" i="4"/>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F4" i="4"/>
  <c r="C7" i="22"/>
  <c r="D7" i="22" s="1"/>
  <c r="E7" i="22" s="1"/>
  <c r="C15" i="22"/>
  <c r="B81" i="17" a="1"/>
  <c r="B81" i="17" s="1"/>
  <c r="B80" i="17" a="1"/>
  <c r="B80" i="17" s="1"/>
  <c r="B5" i="17"/>
  <c r="B87" i="17" s="1"/>
  <c r="B75" i="17"/>
  <c r="F31" i="4" s="1"/>
  <c r="B77" i="17"/>
  <c r="B56" i="17"/>
  <c r="B47" i="17"/>
  <c r="B50" i="17" s="1"/>
  <c r="B55" i="16" s="1"/>
  <c r="C77" i="17"/>
  <c r="F55" i="1" s="1"/>
  <c r="B4" i="16"/>
  <c r="C4" i="16" s="1"/>
  <c r="D4" i="16" s="1"/>
  <c r="E4" i="16" s="1"/>
  <c r="F4" i="16" s="1"/>
  <c r="G4" i="16" s="1"/>
  <c r="H4" i="16" s="1"/>
  <c r="I4" i="16" s="1"/>
  <c r="J4" i="16" s="1"/>
  <c r="K4" i="16" s="1"/>
  <c r="L4" i="16" s="1"/>
  <c r="M4" i="16" s="1"/>
  <c r="L19" i="17"/>
  <c r="E18" i="10"/>
  <c r="E17" i="10"/>
  <c r="D13" i="10"/>
  <c r="D8" i="10"/>
  <c r="E13" i="10"/>
  <c r="M24" i="1"/>
  <c r="M22" i="1"/>
  <c r="L109" i="1"/>
  <c r="J109" i="1"/>
  <c r="I109" i="1"/>
  <c r="G109" i="1"/>
  <c r="H52" i="10"/>
  <c r="F8" i="10"/>
  <c r="O4" i="19" s="1"/>
  <c r="E8" i="10"/>
  <c r="L60" i="17"/>
  <c r="L63" i="17" s="1"/>
  <c r="M60" i="17"/>
  <c r="M63" i="17" s="1"/>
  <c r="M67" i="17"/>
  <c r="F47" i="17"/>
  <c r="G47" i="17"/>
  <c r="G50" i="17" s="1"/>
  <c r="G55" i="16" s="1"/>
  <c r="H47" i="17"/>
  <c r="I47" i="17"/>
  <c r="I52" i="16" s="1"/>
  <c r="J47" i="17"/>
  <c r="J52" i="16" s="1"/>
  <c r="K47" i="17"/>
  <c r="K52" i="16" s="1"/>
  <c r="L47" i="17"/>
  <c r="L50" i="17" s="1"/>
  <c r="L55" i="16" s="1"/>
  <c r="M47" i="17"/>
  <c r="E47" i="17"/>
  <c r="L32" i="17"/>
  <c r="M32" i="17"/>
  <c r="F23" i="1"/>
  <c r="AE12" i="23"/>
  <c r="C75" i="17"/>
  <c r="E31" i="4" s="1"/>
  <c r="C56" i="17"/>
  <c r="C64" i="16" s="1"/>
  <c r="C47" i="17"/>
  <c r="C50" i="17" s="1"/>
  <c r="S4" i="19"/>
  <c r="R4" i="19"/>
  <c r="D26" i="10"/>
  <c r="D77" i="17"/>
  <c r="F54" i="1" s="1"/>
  <c r="E77" i="17"/>
  <c r="F53" i="1" s="1"/>
  <c r="F77" i="17"/>
  <c r="F52" i="1" s="1"/>
  <c r="G77" i="17"/>
  <c r="F51" i="1" s="1"/>
  <c r="H77" i="17"/>
  <c r="F50" i="1" s="1"/>
  <c r="I77" i="17"/>
  <c r="F49" i="1" s="1"/>
  <c r="J77" i="17"/>
  <c r="F48" i="1" s="1"/>
  <c r="K77" i="17"/>
  <c r="F47" i="1" s="1"/>
  <c r="L77" i="17"/>
  <c r="L75" i="16" s="1"/>
  <c r="M77" i="17"/>
  <c r="M75" i="16" s="1"/>
  <c r="R9" i="19"/>
  <c r="R8" i="19"/>
  <c r="R7" i="19"/>
  <c r="R6" i="19"/>
  <c r="L23" i="17"/>
  <c r="L22" i="17" s="1"/>
  <c r="L18" i="16" s="1"/>
  <c r="M23" i="17"/>
  <c r="L75" i="17"/>
  <c r="M75" i="17"/>
  <c r="K75" i="17"/>
  <c r="F28" i="1"/>
  <c r="F22" i="1"/>
  <c r="G75" i="17"/>
  <c r="H75" i="17"/>
  <c r="I75" i="17"/>
  <c r="J75" i="17"/>
  <c r="E75" i="17"/>
  <c r="D75" i="17"/>
  <c r="D31" i="4" s="1"/>
  <c r="C8" i="19"/>
  <c r="S6" i="19"/>
  <c r="S7" i="19"/>
  <c r="S8" i="19"/>
  <c r="S9" i="19"/>
  <c r="C6" i="19"/>
  <c r="E11" i="10"/>
  <c r="F11" i="10"/>
  <c r="F13" i="10"/>
  <c r="D14" i="10"/>
  <c r="F14" i="10"/>
  <c r="F17" i="10"/>
  <c r="F18" i="10"/>
  <c r="E21" i="10"/>
  <c r="F21" i="10"/>
  <c r="E22" i="10"/>
  <c r="F22" i="10"/>
  <c r="D28" i="10"/>
  <c r="F28" i="10"/>
  <c r="D29" i="10"/>
  <c r="E29" i="10"/>
  <c r="F29" i="10"/>
  <c r="D33" i="10"/>
  <c r="E33" i="10"/>
  <c r="F33" i="10"/>
  <c r="D34" i="10"/>
  <c r="E34" i="10"/>
  <c r="F34" i="10"/>
  <c r="F35" i="10"/>
  <c r="H9" i="10"/>
  <c r="H42" i="10"/>
  <c r="B12" i="3"/>
  <c r="K14" i="3"/>
  <c r="L14" i="3" s="1"/>
  <c r="M14" i="3" s="1"/>
  <c r="N14" i="3" s="1"/>
  <c r="O14" i="3" s="1"/>
  <c r="P14" i="3" s="1"/>
  <c r="K4" i="3"/>
  <c r="L4" i="3" s="1"/>
  <c r="M4" i="3" s="1"/>
  <c r="N4" i="3" s="1"/>
  <c r="O4" i="3" s="1"/>
  <c r="P4" i="3" s="1"/>
  <c r="D14" i="3"/>
  <c r="E14" i="3" s="1"/>
  <c r="F14" i="3" s="1"/>
  <c r="G14" i="3" s="1"/>
  <c r="H14" i="3" s="1"/>
  <c r="I14" i="3" s="1"/>
  <c r="E4" i="3"/>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B73" i="16"/>
  <c r="M72" i="16"/>
  <c r="L72" i="16"/>
  <c r="K72" i="16"/>
  <c r="J72" i="16"/>
  <c r="I72" i="16"/>
  <c r="H72" i="16"/>
  <c r="G72" i="16"/>
  <c r="F72" i="16"/>
  <c r="E72" i="16"/>
  <c r="D72" i="16"/>
  <c r="C72" i="16"/>
  <c r="B72" i="16"/>
  <c r="M70" i="16"/>
  <c r="M69" i="16"/>
  <c r="L69" i="16"/>
  <c r="K69" i="16"/>
  <c r="J69" i="16"/>
  <c r="I69" i="16"/>
  <c r="H69" i="16"/>
  <c r="G69" i="16"/>
  <c r="F69" i="16"/>
  <c r="E69" i="16"/>
  <c r="D69" i="16"/>
  <c r="C69" i="16"/>
  <c r="B69" i="16"/>
  <c r="B23" i="16"/>
  <c r="M62" i="16"/>
  <c r="L62" i="16"/>
  <c r="K62" i="16"/>
  <c r="J62" i="16"/>
  <c r="I62" i="16"/>
  <c r="H62" i="16"/>
  <c r="G62" i="16"/>
  <c r="F62" i="16"/>
  <c r="E62" i="16"/>
  <c r="D62" i="16"/>
  <c r="C62" i="16"/>
  <c r="B62" i="16"/>
  <c r="M84" i="16"/>
  <c r="L84" i="16"/>
  <c r="K84" i="16"/>
  <c r="J84" i="16"/>
  <c r="I84" i="16"/>
  <c r="H84" i="16"/>
  <c r="G84" i="16"/>
  <c r="F84" i="16"/>
  <c r="E84" i="16"/>
  <c r="D84" i="16"/>
  <c r="C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H52" i="16"/>
  <c r="G52" i="16"/>
  <c r="F52" i="16"/>
  <c r="E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M42" i="16"/>
  <c r="L42" i="16"/>
  <c r="K42" i="16"/>
  <c r="J42" i="16"/>
  <c r="I42" i="16"/>
  <c r="H42" i="16"/>
  <c r="G42" i="16"/>
  <c r="F42" i="16"/>
  <c r="E42" i="16"/>
  <c r="D42" i="16"/>
  <c r="C42" i="16"/>
  <c r="B42" i="16"/>
  <c r="M41" i="16"/>
  <c r="L41" i="16"/>
  <c r="K41" i="16"/>
  <c r="J41" i="16"/>
  <c r="I41" i="16"/>
  <c r="H41" i="16"/>
  <c r="G41" i="16"/>
  <c r="F41" i="16"/>
  <c r="E41" i="16"/>
  <c r="D41" i="16"/>
  <c r="C41" i="16"/>
  <c r="B41" i="16"/>
  <c r="M40" i="16"/>
  <c r="L40" i="16"/>
  <c r="K40" i="16"/>
  <c r="J40" i="16"/>
  <c r="I40" i="16"/>
  <c r="H40" i="16"/>
  <c r="G40" i="16"/>
  <c r="F40" i="16"/>
  <c r="E40" i="16"/>
  <c r="D40" i="16"/>
  <c r="C40" i="16"/>
  <c r="B40" i="16"/>
  <c r="M39" i="16"/>
  <c r="M26" i="16" s="1"/>
  <c r="L39" i="16"/>
  <c r="K39" i="16"/>
  <c r="J39" i="16"/>
  <c r="I39" i="16"/>
  <c r="H39" i="16"/>
  <c r="G39" i="16"/>
  <c r="F39" i="16"/>
  <c r="E39" i="16"/>
  <c r="D39" i="16"/>
  <c r="D43" i="4" s="1"/>
  <c r="C39" i="16"/>
  <c r="B39" i="16"/>
  <c r="M33" i="16"/>
  <c r="L33" i="16"/>
  <c r="I33" i="16"/>
  <c r="H33" i="16"/>
  <c r="F33" i="16"/>
  <c r="E33" i="16"/>
  <c r="D33" i="16"/>
  <c r="D24" i="4" s="1"/>
  <c r="M32" i="16"/>
  <c r="L32" i="16"/>
  <c r="K32" i="16"/>
  <c r="J32" i="16"/>
  <c r="I32" i="16"/>
  <c r="H32" i="16"/>
  <c r="G32" i="16"/>
  <c r="F32" i="16"/>
  <c r="E32" i="16"/>
  <c r="D32" i="16"/>
  <c r="C32" i="16"/>
  <c r="E23" i="4" s="1"/>
  <c r="B32" i="16"/>
  <c r="M28" i="16"/>
  <c r="L28" i="16"/>
  <c r="K28" i="16"/>
  <c r="J28" i="16"/>
  <c r="I28" i="16"/>
  <c r="H28" i="16"/>
  <c r="G28" i="16"/>
  <c r="F28" i="16"/>
  <c r="E28" i="16"/>
  <c r="D28" i="16"/>
  <c r="D29" i="4" s="1"/>
  <c r="C28" i="16"/>
  <c r="B28" i="16"/>
  <c r="M27" i="16"/>
  <c r="L27" i="16"/>
  <c r="K27" i="16"/>
  <c r="J27" i="16"/>
  <c r="I27" i="16"/>
  <c r="H27" i="16"/>
  <c r="G27" i="16"/>
  <c r="F27" i="16"/>
  <c r="E27" i="16"/>
  <c r="D27" i="16"/>
  <c r="C27" i="16"/>
  <c r="B27" i="16"/>
  <c r="M23" i="16"/>
  <c r="L23" i="16"/>
  <c r="K23" i="16"/>
  <c r="J23" i="16"/>
  <c r="I23" i="16"/>
  <c r="H23" i="16"/>
  <c r="G23" i="16"/>
  <c r="F23" i="16"/>
  <c r="E23" i="16"/>
  <c r="D23" i="16"/>
  <c r="D17" i="4" s="1"/>
  <c r="C23" i="16"/>
  <c r="E17" i="4" s="1"/>
  <c r="M21" i="16"/>
  <c r="L21" i="16"/>
  <c r="K21" i="16"/>
  <c r="J21" i="16"/>
  <c r="I21" i="16"/>
  <c r="H21" i="16"/>
  <c r="G21" i="16"/>
  <c r="F21" i="16"/>
  <c r="E21" i="16"/>
  <c r="D21" i="16"/>
  <c r="D16" i="4" s="1"/>
  <c r="C21" i="16"/>
  <c r="E16" i="4" s="1"/>
  <c r="B21" i="16"/>
  <c r="M17" i="16"/>
  <c r="L17" i="16"/>
  <c r="K17" i="16"/>
  <c r="J17" i="16"/>
  <c r="I17" i="16"/>
  <c r="H17" i="16"/>
  <c r="G17" i="16"/>
  <c r="F17" i="16"/>
  <c r="E17" i="16"/>
  <c r="D17" i="16"/>
  <c r="D9" i="4" s="1"/>
  <c r="C17" i="16"/>
  <c r="E9" i="4" s="1"/>
  <c r="B17" i="16"/>
  <c r="M15" i="16"/>
  <c r="L15" i="16"/>
  <c r="K15" i="16"/>
  <c r="J15" i="16"/>
  <c r="G15" i="16"/>
  <c r="E15" i="16"/>
  <c r="C15" i="16"/>
  <c r="E14" i="4" s="1"/>
  <c r="M14" i="16"/>
  <c r="L14" i="16"/>
  <c r="K14" i="16"/>
  <c r="J14" i="16"/>
  <c r="I14" i="16"/>
  <c r="H14" i="16"/>
  <c r="F14" i="16"/>
  <c r="E14" i="16"/>
  <c r="D14" i="16"/>
  <c r="D13" i="4" s="1"/>
  <c r="C14" i="16"/>
  <c r="E13" i="4" s="1"/>
  <c r="C11" i="16"/>
  <c r="D11" i="16"/>
  <c r="E11" i="16"/>
  <c r="F11" i="16"/>
  <c r="G11" i="16"/>
  <c r="H11" i="16"/>
  <c r="I11" i="16"/>
  <c r="J11" i="16"/>
  <c r="K11" i="16"/>
  <c r="L11" i="16"/>
  <c r="M11" i="16"/>
  <c r="B11" i="16"/>
  <c r="C7" i="16"/>
  <c r="D7" i="16"/>
  <c r="E7" i="16"/>
  <c r="F7" i="16"/>
  <c r="G7" i="16"/>
  <c r="H7" i="16"/>
  <c r="I7" i="16"/>
  <c r="J7" i="16"/>
  <c r="K7" i="16"/>
  <c r="L7" i="16"/>
  <c r="M7" i="16"/>
  <c r="M5" i="16"/>
  <c r="L5" i="16"/>
  <c r="K5" i="16"/>
  <c r="J5" i="16"/>
  <c r="I5" i="16"/>
  <c r="H5" i="16"/>
  <c r="G5" i="16"/>
  <c r="F5" i="16"/>
  <c r="E5" i="16"/>
  <c r="D5" i="16"/>
  <c r="C5" i="16"/>
  <c r="M13" i="17"/>
  <c r="M14" i="17" s="1"/>
  <c r="L13" i="17"/>
  <c r="L14" i="17" s="1"/>
  <c r="K13" i="17"/>
  <c r="K14" i="17" s="1"/>
  <c r="H13" i="17"/>
  <c r="H14" i="17" s="1"/>
  <c r="F13" i="17"/>
  <c r="F14" i="17" s="1"/>
  <c r="D68" i="16"/>
  <c r="E68" i="16"/>
  <c r="F68" i="16"/>
  <c r="G68" i="16"/>
  <c r="H68" i="16"/>
  <c r="I68" i="16"/>
  <c r="K68" i="16"/>
  <c r="M71" i="16"/>
  <c r="L71" i="16"/>
  <c r="K71" i="16"/>
  <c r="J71" i="16"/>
  <c r="I71" i="16"/>
  <c r="H71" i="16"/>
  <c r="G71" i="16"/>
  <c r="F71" i="16"/>
  <c r="E71" i="16"/>
  <c r="D71" i="16"/>
  <c r="C71" i="16"/>
  <c r="B71" i="16"/>
  <c r="B67" i="16"/>
  <c r="K75" i="16"/>
  <c r="J75" i="16"/>
  <c r="I75" i="16"/>
  <c r="H75" i="16"/>
  <c r="M67" i="16"/>
  <c r="J67" i="16"/>
  <c r="I67" i="16"/>
  <c r="H67" i="16"/>
  <c r="G67" i="16"/>
  <c r="F67" i="16"/>
  <c r="E67" i="16"/>
  <c r="D67" i="16"/>
  <c r="C67" i="16"/>
  <c r="M31" i="17"/>
  <c r="C44" i="16"/>
  <c r="B56" i="16"/>
  <c r="E50" i="17"/>
  <c r="E55" i="16" s="1"/>
  <c r="F50" i="17"/>
  <c r="F55" i="16" s="1"/>
  <c r="H50" i="17"/>
  <c r="H55" i="16" s="1"/>
  <c r="I50" i="17"/>
  <c r="I55" i="16" s="1"/>
  <c r="J50" i="17"/>
  <c r="J55" i="16" s="1"/>
  <c r="M50" i="17"/>
  <c r="M55" i="16" s="1"/>
  <c r="D46" i="17"/>
  <c r="D51" i="16" s="1"/>
  <c r="E46" i="17"/>
  <c r="E51" i="16" s="1"/>
  <c r="H46" i="17"/>
  <c r="H51" i="16" s="1"/>
  <c r="I46" i="17"/>
  <c r="I51" i="16" s="1"/>
  <c r="L46" i="17"/>
  <c r="L51" i="16" s="1"/>
  <c r="M46" i="17"/>
  <c r="M51" i="16" s="1"/>
  <c r="AB38" i="17"/>
  <c r="AB39" i="17" s="1"/>
  <c r="B2" i="3"/>
  <c r="C5" i="17"/>
  <c r="D5" i="17" s="1"/>
  <c r="L47" i="1"/>
  <c r="M47" i="1" s="1"/>
  <c r="B55" i="1"/>
  <c r="B54" i="1" s="1"/>
  <c r="B53" i="1" s="1"/>
  <c r="B52" i="1" s="1"/>
  <c r="B51" i="1" s="1"/>
  <c r="B50" i="1" s="1"/>
  <c r="B49" i="1" s="1"/>
  <c r="B48" i="1" s="1"/>
  <c r="B47" i="1" s="1"/>
  <c r="H30" i="10"/>
  <c r="C12" i="19"/>
  <c r="C13" i="19"/>
  <c r="C14" i="19"/>
  <c r="C15" i="19"/>
  <c r="C16" i="19"/>
  <c r="C17" i="19"/>
  <c r="C18" i="19"/>
  <c r="C19" i="19"/>
  <c r="C20" i="19"/>
  <c r="C21" i="19"/>
  <c r="C22" i="19"/>
  <c r="C7" i="19"/>
  <c r="C9" i="19"/>
  <c r="C10" i="19"/>
  <c r="H12" i="10"/>
  <c r="M22" i="17"/>
  <c r="M18" i="16" s="1"/>
  <c r="AD53" i="17"/>
  <c r="AC53" i="17"/>
  <c r="AD52" i="17"/>
  <c r="AC52" i="17"/>
  <c r="AG49" i="17"/>
  <c r="AG52" i="17" s="1"/>
  <c r="AF49" i="17"/>
  <c r="AE49" i="17"/>
  <c r="AE52" i="17" s="1"/>
  <c r="AB49" i="17"/>
  <c r="AB53" i="17" s="1"/>
  <c r="AA49" i="17"/>
  <c r="AA52" i="17" s="1"/>
  <c r="Z49" i="17"/>
  <c r="Z52" i="17" s="1"/>
  <c r="F56" i="17"/>
  <c r="F64" i="16" s="1"/>
  <c r="AD48" i="17"/>
  <c r="AC48" i="17"/>
  <c r="AB48" i="17"/>
  <c r="AA48" i="17"/>
  <c r="Z48" i="17"/>
  <c r="AG44" i="17"/>
  <c r="AG48" i="17" s="1"/>
  <c r="AF44" i="17"/>
  <c r="AF48" i="17" s="1"/>
  <c r="AE44" i="17"/>
  <c r="AG39" i="17"/>
  <c r="AF39" i="17"/>
  <c r="AE39" i="17"/>
  <c r="AD39" i="17"/>
  <c r="AC39" i="17"/>
  <c r="AA39" i="17"/>
  <c r="Z39" i="17"/>
  <c r="O74" i="17"/>
  <c r="AE12" i="17"/>
  <c r="AG11" i="17"/>
  <c r="AF11" i="17"/>
  <c r="AE11" i="17"/>
  <c r="AD11"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O7" i="17"/>
  <c r="A2" i="16"/>
  <c r="A1" i="16"/>
  <c r="D56" i="16"/>
  <c r="G56" i="16"/>
  <c r="J56" i="16"/>
  <c r="E56" i="16"/>
  <c r="B80" i="16"/>
  <c r="B64" i="16"/>
  <c r="H56" i="16"/>
  <c r="B82" i="16"/>
  <c r="B81" i="16"/>
  <c r="L56" i="16"/>
  <c r="M56" i="16"/>
  <c r="F56" i="16"/>
  <c r="I56" i="16"/>
  <c r="H20" i="10"/>
  <c r="H36" i="10"/>
  <c r="K56" i="17"/>
  <c r="K64" i="16" s="1"/>
  <c r="M44" i="16"/>
  <c r="M36" i="17"/>
  <c r="I44" i="16"/>
  <c r="E44" i="16"/>
  <c r="L36" i="17"/>
  <c r="L37" i="17" s="1"/>
  <c r="L43" i="16" s="1"/>
  <c r="I56" i="17"/>
  <c r="I64" i="16" s="1"/>
  <c r="L44" i="16"/>
  <c r="H56" i="17"/>
  <c r="H64" i="16" s="1"/>
  <c r="J44" i="16"/>
  <c r="M56" i="17"/>
  <c r="M64" i="16" s="1"/>
  <c r="G56" i="17"/>
  <c r="G64" i="16" s="1"/>
  <c r="K44" i="16"/>
  <c r="F44" i="16"/>
  <c r="G44" i="16"/>
  <c r="H44" i="16"/>
  <c r="J56" i="17"/>
  <c r="J64" i="16" s="1"/>
  <c r="E56" i="17"/>
  <c r="E64" i="16" s="1"/>
  <c r="D56" i="17"/>
  <c r="D64" i="16" s="1"/>
  <c r="C56" i="16"/>
  <c r="D47" i="17"/>
  <c r="D50" i="17" s="1"/>
  <c r="D55" i="16" s="1"/>
  <c r="D44" i="16"/>
  <c r="C55" i="16"/>
  <c r="C52" i="16"/>
  <c r="B68" i="16"/>
  <c r="B75" i="16"/>
  <c r="C68" i="16"/>
  <c r="D67" i="17"/>
  <c r="D25" i="4" s="1"/>
  <c r="L56" i="17"/>
  <c r="L64" i="16" s="1"/>
  <c r="K56" i="16"/>
  <c r="K67" i="16"/>
  <c r="L67" i="16"/>
  <c r="J68" i="16"/>
  <c r="L68" i="16"/>
  <c r="M68" i="16"/>
  <c r="C8" i="25" l="1"/>
  <c r="C10" i="25" s="1" a="1"/>
  <c r="C10" i="25" s="1"/>
  <c r="B8" i="25" a="1"/>
  <c r="B8" i="25" s="1"/>
  <c r="C56" i="25"/>
  <c r="P6" i="1" a="1"/>
  <c r="P6" i="1" s="1"/>
  <c r="L2" i="1" a="1"/>
  <c r="L2" i="1" s="1"/>
  <c r="G33" i="16"/>
  <c r="H26" i="22" s="1"/>
  <c r="K50" i="17"/>
  <c r="K55" i="16" s="1"/>
  <c r="F75" i="16"/>
  <c r="L52" i="16"/>
  <c r="G13" i="17"/>
  <c r="G14" i="17" s="1"/>
  <c r="I97" i="16"/>
  <c r="K97" i="16"/>
  <c r="L27" i="22"/>
  <c r="G75" i="16"/>
  <c r="C43" i="10"/>
  <c r="H43" i="10" s="1"/>
  <c r="I43" i="10" s="1"/>
  <c r="C43" i="24"/>
  <c r="H43" i="24" s="1"/>
  <c r="I43" i="24" s="1"/>
  <c r="C64" i="10"/>
  <c r="C15" i="24"/>
  <c r="H15" i="24" s="1"/>
  <c r="I15" i="24" s="1"/>
  <c r="C71" i="10"/>
  <c r="C32" i="24"/>
  <c r="C74" i="10"/>
  <c r="C34" i="24"/>
  <c r="H34" i="24" s="1"/>
  <c r="I34" i="24" s="1"/>
  <c r="B8" i="24" a="1"/>
  <c r="B8" i="24" s="1"/>
  <c r="C57" i="24"/>
  <c r="C8" i="24"/>
  <c r="C10" i="24" s="1" a="1"/>
  <c r="C10" i="24" s="1"/>
  <c r="C18" i="24"/>
  <c r="H18" i="24" s="1"/>
  <c r="I18" i="24" s="1"/>
  <c r="C83" i="24"/>
  <c r="C17" i="24"/>
  <c r="C72" i="10"/>
  <c r="C31" i="24"/>
  <c r="C75" i="10"/>
  <c r="C35" i="24"/>
  <c r="H35" i="24" s="1"/>
  <c r="I35" i="24" s="1"/>
  <c r="J97" i="16"/>
  <c r="C97" i="16"/>
  <c r="D97" i="16"/>
  <c r="L97" i="16"/>
  <c r="E97" i="16"/>
  <c r="M6" i="16"/>
  <c r="M97" i="16"/>
  <c r="G123" i="22"/>
  <c r="F97" i="16"/>
  <c r="G97" i="16"/>
  <c r="B97" i="16"/>
  <c r="E10" i="10" a="1"/>
  <c r="E10" i="10" s="1"/>
  <c r="E41" i="10" s="1"/>
  <c r="F13" i="4"/>
  <c r="F23" i="4"/>
  <c r="F16" i="4"/>
  <c r="C67" i="10"/>
  <c r="C83" i="10" s="1"/>
  <c r="F9" i="4"/>
  <c r="E123" i="22"/>
  <c r="H97" i="16"/>
  <c r="F29" i="4"/>
  <c r="K12" i="16"/>
  <c r="K27" i="22"/>
  <c r="E27" i="22"/>
  <c r="F27" i="22"/>
  <c r="G27" i="22"/>
  <c r="H27" i="22"/>
  <c r="J13" i="17"/>
  <c r="J14" i="17" s="1"/>
  <c r="E13" i="17"/>
  <c r="E14" i="17" s="1"/>
  <c r="E30" i="4"/>
  <c r="D27" i="22"/>
  <c r="J27" i="22"/>
  <c r="I27" i="22"/>
  <c r="C27" i="22"/>
  <c r="C75" i="16"/>
  <c r="D13" i="17"/>
  <c r="D14" i="17" s="1"/>
  <c r="D75" i="16"/>
  <c r="E75" i="16"/>
  <c r="J33" i="16"/>
  <c r="J34" i="16" s="1"/>
  <c r="C33" i="16"/>
  <c r="M52" i="1" s="1"/>
  <c r="K33" i="16"/>
  <c r="L26" i="22" s="1"/>
  <c r="B52" i="16"/>
  <c r="B46" i="17"/>
  <c r="B51" i="16" s="1"/>
  <c r="C76" i="10"/>
  <c r="D10" i="10" a="1"/>
  <c r="D10" i="10" s="1"/>
  <c r="D41" i="10" s="1"/>
  <c r="D49" i="10" a="1"/>
  <c r="D49" i="10" s="1"/>
  <c r="D48" i="10" s="1"/>
  <c r="X143" i="22"/>
  <c r="W144" i="22"/>
  <c r="AF138" i="22"/>
  <c r="AE139" i="22"/>
  <c r="E5" i="3"/>
  <c r="P19" i="3"/>
  <c r="D5" i="3"/>
  <c r="D6" i="3"/>
  <c r="Y141" i="22"/>
  <c r="Y142" i="22"/>
  <c r="O151" i="22"/>
  <c r="C131" i="4" s="1"/>
  <c r="C136" i="4" s="1"/>
  <c r="B8" i="10" a="1"/>
  <c r="B8" i="10" s="1"/>
  <c r="B18" i="1" a="1"/>
  <c r="B18" i="1" s="1"/>
  <c r="Q105" i="22"/>
  <c r="N96" i="22"/>
  <c r="N98" i="22"/>
  <c r="H45" i="4"/>
  <c r="O45" i="4"/>
  <c r="J45" i="4"/>
  <c r="F46" i="4"/>
  <c r="Y45" i="4"/>
  <c r="V47" i="4"/>
  <c r="L45" i="4"/>
  <c r="R45" i="4"/>
  <c r="Y47" i="4"/>
  <c r="S47" i="4"/>
  <c r="Q45" i="4"/>
  <c r="AE46" i="4"/>
  <c r="AC46" i="4"/>
  <c r="K45" i="4"/>
  <c r="F45" i="4"/>
  <c r="L46" i="4"/>
  <c r="O46" i="4"/>
  <c r="J47" i="4"/>
  <c r="AC47" i="4"/>
  <c r="K46" i="4"/>
  <c r="AC45" i="4"/>
  <c r="AD46" i="4"/>
  <c r="AD45" i="4"/>
  <c r="U47" i="4"/>
  <c r="X47" i="4"/>
  <c r="U45" i="4"/>
  <c r="Z46" i="4"/>
  <c r="V45" i="4"/>
  <c r="Q47" i="4"/>
  <c r="H47" i="4"/>
  <c r="P46" i="4"/>
  <c r="J46" i="4"/>
  <c r="N45" i="4"/>
  <c r="P45" i="4"/>
  <c r="Z45" i="4"/>
  <c r="H46" i="4"/>
  <c r="W47" i="4"/>
  <c r="H18" i="22"/>
  <c r="F123" i="22"/>
  <c r="C59" i="10"/>
  <c r="H123" i="22"/>
  <c r="E18" i="22"/>
  <c r="I123" i="22"/>
  <c r="D18" i="22"/>
  <c r="J123" i="22"/>
  <c r="C18" i="22"/>
  <c r="K123" i="22"/>
  <c r="J18" i="22"/>
  <c r="D123" i="22"/>
  <c r="K18" i="22"/>
  <c r="C123" i="22"/>
  <c r="L9" i="16"/>
  <c r="L10" i="16" s="1"/>
  <c r="E5" i="4"/>
  <c r="D22" i="4"/>
  <c r="N47" i="4"/>
  <c r="I47" i="4"/>
  <c r="AF47" i="4"/>
  <c r="Z47" i="4"/>
  <c r="M47" i="4"/>
  <c r="AE47" i="4"/>
  <c r="B91" i="16"/>
  <c r="F5" i="4"/>
  <c r="T45" i="4"/>
  <c r="AB47" i="4"/>
  <c r="R47" i="4"/>
  <c r="AE45" i="4"/>
  <c r="AA47" i="4"/>
  <c r="C26" i="16"/>
  <c r="C29" i="16" s="1"/>
  <c r="J26" i="16"/>
  <c r="J29" i="16" s="1"/>
  <c r="M16" i="3"/>
  <c r="M19" i="3"/>
  <c r="N16" i="3"/>
  <c r="C28" i="10"/>
  <c r="H28" i="10" s="1"/>
  <c r="I28" i="10" s="1"/>
  <c r="G70" i="16"/>
  <c r="I37" i="17"/>
  <c r="I43" i="16" s="1"/>
  <c r="I13" i="17"/>
  <c r="I14" i="17" s="1"/>
  <c r="C46" i="17"/>
  <c r="C51" i="16" s="1"/>
  <c r="AB52" i="17"/>
  <c r="F67" i="17"/>
  <c r="K93" i="16"/>
  <c r="E70" i="16"/>
  <c r="AB13" i="17"/>
  <c r="H17" i="3"/>
  <c r="O17" i="3" s="1"/>
  <c r="F8" i="16"/>
  <c r="Q51" i="1"/>
  <c r="H37" i="17"/>
  <c r="H43" i="16" s="1"/>
  <c r="L16" i="16"/>
  <c r="D16" i="16"/>
  <c r="D8" i="4" s="1"/>
  <c r="D7" i="4" s="1"/>
  <c r="J93" i="16"/>
  <c r="K9" i="16"/>
  <c r="K10" i="16" s="1"/>
  <c r="D26" i="16"/>
  <c r="D29" i="16" s="1"/>
  <c r="L26" i="16"/>
  <c r="L29" i="16" s="1"/>
  <c r="L18" i="3"/>
  <c r="E22" i="17"/>
  <c r="E18" i="16" s="1"/>
  <c r="Y46" i="4"/>
  <c r="I45" i="4"/>
  <c r="AF45" i="4"/>
  <c r="AA46" i="4"/>
  <c r="T47" i="4"/>
  <c r="U46" i="4"/>
  <c r="M45" i="4"/>
  <c r="AA45" i="4"/>
  <c r="V46" i="4"/>
  <c r="O47" i="4"/>
  <c r="Q46" i="4"/>
  <c r="AB46" i="4"/>
  <c r="AB45" i="4"/>
  <c r="W46" i="4"/>
  <c r="P47" i="4"/>
  <c r="M46" i="4"/>
  <c r="AF46" i="4"/>
  <c r="W45" i="4"/>
  <c r="R46" i="4"/>
  <c r="K47" i="4"/>
  <c r="B33" i="16"/>
  <c r="I46" i="4"/>
  <c r="T46" i="4"/>
  <c r="X45" i="4"/>
  <c r="S46" i="4"/>
  <c r="L47" i="4"/>
  <c r="AD47" i="4"/>
  <c r="X46" i="4"/>
  <c r="S45" i="4"/>
  <c r="N46" i="4"/>
  <c r="F47" i="4"/>
  <c r="B67" i="17"/>
  <c r="F25" i="4" s="1"/>
  <c r="G9" i="4"/>
  <c r="G41" i="4" s="1"/>
  <c r="Q50" i="1"/>
  <c r="J70" i="16"/>
  <c r="Q23" i="22"/>
  <c r="C22" i="17"/>
  <c r="C18" i="16" s="1"/>
  <c r="L63" i="23"/>
  <c r="M60" i="23"/>
  <c r="J37" i="17"/>
  <c r="J43" i="16" s="1"/>
  <c r="D91" i="16"/>
  <c r="J8" i="16"/>
  <c r="AE13" i="17"/>
  <c r="AF53" i="17"/>
  <c r="U34" i="16"/>
  <c r="Q53" i="1"/>
  <c r="Q16" i="22"/>
  <c r="K37" i="17"/>
  <c r="K43" i="16" s="1"/>
  <c r="F37" i="17"/>
  <c r="F43" i="16" s="1"/>
  <c r="N18" i="3"/>
  <c r="L15" i="3"/>
  <c r="O53" i="23"/>
  <c r="E22" i="4"/>
  <c r="M37" i="17"/>
  <c r="M43" i="16" s="1"/>
  <c r="AA53" i="17"/>
  <c r="Z13" i="17"/>
  <c r="F26" i="16"/>
  <c r="F29" i="16" s="1"/>
  <c r="J29" i="22"/>
  <c r="N21" i="22"/>
  <c r="K44" i="23"/>
  <c r="F5" i="3"/>
  <c r="L16" i="3"/>
  <c r="Q21" i="22"/>
  <c r="N21" i="23"/>
  <c r="H67" i="17"/>
  <c r="Q54" i="1"/>
  <c r="B22" i="17"/>
  <c r="B18" i="16" s="1"/>
  <c r="K32" i="23"/>
  <c r="M32" i="23"/>
  <c r="K18" i="3"/>
  <c r="G39" i="4"/>
  <c r="G38" i="4"/>
  <c r="H10" i="4" s="1"/>
  <c r="Q8" i="22"/>
  <c r="E8" i="3"/>
  <c r="K8" i="3" s="1"/>
  <c r="K22" i="17"/>
  <c r="K18" i="16" s="1"/>
  <c r="F22" i="4"/>
  <c r="K42" i="23"/>
  <c r="K34" i="23"/>
  <c r="N23" i="23"/>
  <c r="C67" i="17"/>
  <c r="E25" i="4" s="1"/>
  <c r="L52" i="23"/>
  <c r="K31" i="23"/>
  <c r="O9" i="23"/>
  <c r="L61" i="23"/>
  <c r="L70" i="16"/>
  <c r="G37" i="17"/>
  <c r="G43" i="16" s="1"/>
  <c r="I22" i="17"/>
  <c r="I18" i="16" s="1"/>
  <c r="C37" i="17"/>
  <c r="C43" i="16" s="1"/>
  <c r="C13" i="17"/>
  <c r="C14" i="17" s="1"/>
  <c r="L33" i="23"/>
  <c r="L59" i="23"/>
  <c r="O19" i="23"/>
  <c r="K38" i="23"/>
  <c r="M61" i="23"/>
  <c r="M29" i="23"/>
  <c r="M47" i="23"/>
  <c r="N12" i="23"/>
  <c r="N43" i="23"/>
  <c r="E17" i="3"/>
  <c r="E7" i="3" s="1"/>
  <c r="M15" i="3"/>
  <c r="F93" i="16"/>
  <c r="AC13" i="17"/>
  <c r="G28" i="22"/>
  <c r="AD13" i="17"/>
  <c r="G16" i="16"/>
  <c r="F28" i="22"/>
  <c r="K33" i="23"/>
  <c r="L40" i="23"/>
  <c r="O48" i="23"/>
  <c r="M57" i="23"/>
  <c r="O16" i="22"/>
  <c r="E37" i="17"/>
  <c r="E43" i="16" s="1"/>
  <c r="P9" i="22"/>
  <c r="B37" i="17"/>
  <c r="B43" i="16" s="1"/>
  <c r="E26" i="1" s="1"/>
  <c r="Q55" i="1"/>
  <c r="F58" i="1"/>
  <c r="F59" i="1"/>
  <c r="P22" i="22"/>
  <c r="M25" i="23"/>
  <c r="K11" i="23"/>
  <c r="N30" i="23"/>
  <c r="L47" i="23"/>
  <c r="K10" i="23"/>
  <c r="L54" i="23"/>
  <c r="O22" i="23"/>
  <c r="M55" i="23"/>
  <c r="M39" i="23"/>
  <c r="M30" i="23"/>
  <c r="N54" i="23"/>
  <c r="N56" i="23"/>
  <c r="K70" i="16"/>
  <c r="I67" i="17"/>
  <c r="O23" i="22"/>
  <c r="J22" i="17"/>
  <c r="J18" i="16" s="1"/>
  <c r="B13" i="17"/>
  <c r="B14" i="17" s="1"/>
  <c r="N49" i="23"/>
  <c r="H22" i="17"/>
  <c r="H18" i="16" s="1"/>
  <c r="O15" i="23"/>
  <c r="O42" i="23"/>
  <c r="N18" i="23"/>
  <c r="O59" i="23"/>
  <c r="K57" i="23"/>
  <c r="K49" i="23"/>
  <c r="L46" i="23"/>
  <c r="L38" i="23"/>
  <c r="O35" i="23"/>
  <c r="O27" i="23"/>
  <c r="K25" i="23"/>
  <c r="K17" i="23"/>
  <c r="L14" i="23"/>
  <c r="L6" i="23"/>
  <c r="O49" i="23"/>
  <c r="M44" i="23"/>
  <c r="M36" i="23"/>
  <c r="M12" i="23"/>
  <c r="M14" i="23"/>
  <c r="D35" i="16"/>
  <c r="D36" i="16" s="1"/>
  <c r="L34" i="16"/>
  <c r="I58" i="16"/>
  <c r="I59" i="16" s="1"/>
  <c r="E35" i="16"/>
  <c r="E36" i="16" s="1"/>
  <c r="M34" i="16"/>
  <c r="J58" i="16"/>
  <c r="J60" i="16" s="1"/>
  <c r="AE53" i="17"/>
  <c r="M8" i="16"/>
  <c r="D37" i="17"/>
  <c r="D43" i="16" s="1"/>
  <c r="G22" i="17"/>
  <c r="G18" i="16" s="1"/>
  <c r="L34" i="23"/>
  <c r="N3" i="23"/>
  <c r="AA13" i="17"/>
  <c r="L35" i="16"/>
  <c r="L36" i="16" s="1"/>
  <c r="D34" i="16"/>
  <c r="AF13" i="17"/>
  <c r="J16" i="16"/>
  <c r="M35" i="16"/>
  <c r="M36" i="16" s="1"/>
  <c r="E34" i="16"/>
  <c r="AF52" i="17"/>
  <c r="K19" i="16"/>
  <c r="K20" i="16" s="1"/>
  <c r="Q52" i="1"/>
  <c r="P16" i="22"/>
  <c r="O47" i="23"/>
  <c r="N9" i="23"/>
  <c r="N34" i="23"/>
  <c r="M43" i="23"/>
  <c r="N4" i="23"/>
  <c r="K16" i="3"/>
  <c r="G5" i="3"/>
  <c r="P23" i="22"/>
  <c r="D22" i="17"/>
  <c r="D18" i="16" s="1"/>
  <c r="M26" i="23"/>
  <c r="N35" i="23"/>
  <c r="K6" i="23"/>
  <c r="K15" i="3"/>
  <c r="N8" i="23"/>
  <c r="M50" i="23"/>
  <c r="O63" i="23"/>
  <c r="K61" i="23"/>
  <c r="L58" i="23"/>
  <c r="O55" i="23"/>
  <c r="K37" i="23"/>
  <c r="L26" i="23"/>
  <c r="K40" i="23"/>
  <c r="K20" i="23"/>
  <c r="M64" i="23"/>
  <c r="M40" i="23"/>
  <c r="M8" i="23"/>
  <c r="N15" i="23"/>
  <c r="N33" i="23"/>
  <c r="N24" i="23"/>
  <c r="G9" i="16"/>
  <c r="G10" i="16" s="1"/>
  <c r="G22" i="16"/>
  <c r="Z53" i="17"/>
  <c r="AE48" i="17"/>
  <c r="F9" i="16"/>
  <c r="F10" i="16" s="1"/>
  <c r="G35" i="16"/>
  <c r="G36" i="16" s="1"/>
  <c r="E26" i="16"/>
  <c r="E29" i="16" s="1"/>
  <c r="K58" i="16"/>
  <c r="K60" i="16" s="1"/>
  <c r="C91" i="16"/>
  <c r="F24" i="16"/>
  <c r="G18" i="22"/>
  <c r="H28" i="22"/>
  <c r="F29" i="22"/>
  <c r="D52" i="16"/>
  <c r="AG53" i="17"/>
  <c r="AG13" i="17"/>
  <c r="G93" i="16"/>
  <c r="M16" i="16"/>
  <c r="E16" i="16"/>
  <c r="E6" i="16"/>
  <c r="C87" i="17"/>
  <c r="F18" i="22"/>
  <c r="I35" i="16"/>
  <c r="I36" i="16" s="1"/>
  <c r="E93" i="16"/>
  <c r="F56" i="1"/>
  <c r="O22" i="22"/>
  <c r="Q22" i="22"/>
  <c r="N23" i="22"/>
  <c r="I5" i="3"/>
  <c r="P5" i="3" s="1"/>
  <c r="P15" i="3"/>
  <c r="I20" i="3"/>
  <c r="K19" i="3"/>
  <c r="D9" i="3"/>
  <c r="K9" i="3" s="1"/>
  <c r="G8" i="16"/>
  <c r="K16" i="16"/>
  <c r="K29" i="22"/>
  <c r="N22" i="22"/>
  <c r="P8" i="22"/>
  <c r="N9" i="22"/>
  <c r="S9" i="22" s="1"/>
  <c r="O9" i="22"/>
  <c r="Q9" i="22"/>
  <c r="F22" i="17"/>
  <c r="F18" i="16" s="1"/>
  <c r="N8" i="22"/>
  <c r="S8" i="22" s="1"/>
  <c r="N16" i="22"/>
  <c r="O8" i="22"/>
  <c r="T8" i="22" s="1"/>
  <c r="M49" i="23"/>
  <c r="L53" i="23"/>
  <c r="M58" i="23"/>
  <c r="O61" i="23"/>
  <c r="N38" i="23"/>
  <c r="L3" i="23"/>
  <c r="L57" i="23"/>
  <c r="L22" i="23"/>
  <c r="M53" i="23"/>
  <c r="O54" i="23"/>
  <c r="O33" i="23"/>
  <c r="H5" i="3"/>
  <c r="N15" i="3"/>
  <c r="O15" i="3"/>
  <c r="F8" i="3"/>
  <c r="M8" i="3" s="1"/>
  <c r="M18" i="3"/>
  <c r="O10" i="23"/>
  <c r="K64" i="23"/>
  <c r="K19" i="23"/>
  <c r="N60" i="23"/>
  <c r="O16" i="23"/>
  <c r="N11" i="23"/>
  <c r="K41" i="23"/>
  <c r="K12" i="23"/>
  <c r="L7" i="23"/>
  <c r="K55" i="23"/>
  <c r="K62" i="23"/>
  <c r="O56" i="23"/>
  <c r="K54" i="23"/>
  <c r="L51" i="23"/>
  <c r="L43" i="23"/>
  <c r="O40" i="23"/>
  <c r="L35" i="23"/>
  <c r="O32" i="23"/>
  <c r="K30" i="23"/>
  <c r="K22" i="23"/>
  <c r="L19" i="23"/>
  <c r="K14" i="23"/>
  <c r="L11" i="23"/>
  <c r="O8" i="23"/>
  <c r="L28" i="23"/>
  <c r="M59" i="23"/>
  <c r="M51" i="23"/>
  <c r="M27" i="23"/>
  <c r="M19" i="23"/>
  <c r="N46" i="23"/>
  <c r="K5" i="23"/>
  <c r="O18" i="23"/>
  <c r="O4" i="23"/>
  <c r="O21" i="23"/>
  <c r="N10" i="23"/>
  <c r="N62" i="23"/>
  <c r="O24" i="23"/>
  <c r="M28" i="23"/>
  <c r="O43" i="23"/>
  <c r="M22" i="23"/>
  <c r="K13" i="23"/>
  <c r="L62" i="23"/>
  <c r="L21" i="23"/>
  <c r="L32" i="23"/>
  <c r="N26" i="23"/>
  <c r="N53" i="23"/>
  <c r="L27" i="23"/>
  <c r="M52" i="23"/>
  <c r="K53" i="23"/>
  <c r="L50" i="23"/>
  <c r="K45" i="23"/>
  <c r="L42" i="23"/>
  <c r="O39" i="23"/>
  <c r="O31" i="23"/>
  <c r="K29" i="23"/>
  <c r="O23" i="23"/>
  <c r="K21" i="23"/>
  <c r="L18" i="23"/>
  <c r="L10" i="23"/>
  <c r="O7" i="23"/>
  <c r="K7" i="23"/>
  <c r="K59" i="23"/>
  <c r="K16" i="23"/>
  <c r="K47" i="23"/>
  <c r="K60" i="23"/>
  <c r="K36" i="23"/>
  <c r="K35" i="23"/>
  <c r="K56" i="23"/>
  <c r="K63" i="23"/>
  <c r="K23" i="23"/>
  <c r="K52" i="23"/>
  <c r="K9" i="23"/>
  <c r="K51" i="23"/>
  <c r="K8" i="23"/>
  <c r="K39" i="23"/>
  <c r="K28" i="23"/>
  <c r="K27" i="23"/>
  <c r="K48" i="23"/>
  <c r="K15" i="23"/>
  <c r="K4" i="23"/>
  <c r="K3" i="23"/>
  <c r="K24" i="23"/>
  <c r="M56" i="23"/>
  <c r="M48" i="23"/>
  <c r="M24" i="23"/>
  <c r="M16" i="23"/>
  <c r="N7" i="23"/>
  <c r="N19" i="23"/>
  <c r="N57" i="23"/>
  <c r="N41" i="23"/>
  <c r="N31" i="23"/>
  <c r="K43" i="23"/>
  <c r="M11" i="23"/>
  <c r="K46" i="23"/>
  <c r="O11" i="23"/>
  <c r="L41" i="23"/>
  <c r="L12" i="23"/>
  <c r="O60" i="23"/>
  <c r="K58" i="23"/>
  <c r="L55" i="23"/>
  <c r="O52" i="23"/>
  <c r="K50" i="23"/>
  <c r="O44" i="23"/>
  <c r="L39" i="23"/>
  <c r="O36" i="23"/>
  <c r="L31" i="23"/>
  <c r="O28" i="23"/>
  <c r="K26" i="23"/>
  <c r="L23" i="23"/>
  <c r="O20" i="23"/>
  <c r="K18" i="23"/>
  <c r="L15" i="23"/>
  <c r="O12" i="23"/>
  <c r="L44" i="23"/>
  <c r="L8" i="23"/>
  <c r="L29" i="23"/>
  <c r="O37" i="23"/>
  <c r="O58" i="23"/>
  <c r="O41" i="23"/>
  <c r="O30" i="23"/>
  <c r="O51" i="23"/>
  <c r="O29" i="23"/>
  <c r="O50" i="23"/>
  <c r="O64" i="23"/>
  <c r="O26" i="23"/>
  <c r="M63" i="23"/>
  <c r="M31" i="23"/>
  <c r="M23" i="23"/>
  <c r="M15" i="23"/>
  <c r="M42" i="23"/>
  <c r="M41" i="23"/>
  <c r="M7" i="23"/>
  <c r="M33" i="23"/>
  <c r="M62" i="23"/>
  <c r="M54" i="23"/>
  <c r="M21" i="23"/>
  <c r="M20" i="23"/>
  <c r="M35" i="23"/>
  <c r="M18" i="23"/>
  <c r="M17" i="23"/>
  <c r="M10" i="23"/>
  <c r="M9" i="23"/>
  <c r="M3" i="23"/>
  <c r="N14" i="23"/>
  <c r="N6" i="23"/>
  <c r="N13" i="23"/>
  <c r="N37" i="23"/>
  <c r="N20" i="23"/>
  <c r="N61" i="23"/>
  <c r="N64" i="23"/>
  <c r="N48" i="23"/>
  <c r="N40" i="23"/>
  <c r="N32" i="23"/>
  <c r="N16" i="23"/>
  <c r="L45" i="23"/>
  <c r="L64" i="23"/>
  <c r="N17" i="23"/>
  <c r="L24" i="23"/>
  <c r="O45" i="23"/>
  <c r="N27" i="23"/>
  <c r="N52" i="23"/>
  <c r="N22" i="23"/>
  <c r="N47" i="23"/>
  <c r="N63" i="23"/>
  <c r="N25" i="23"/>
  <c r="M4" i="23"/>
  <c r="O3" i="23"/>
  <c r="M5" i="23"/>
  <c r="L25" i="23"/>
  <c r="O46" i="23"/>
  <c r="M38" i="23"/>
  <c r="L36" i="23"/>
  <c r="O57" i="23"/>
  <c r="O19" i="3"/>
  <c r="L5" i="23"/>
  <c r="O5" i="23"/>
  <c r="L48" i="23"/>
  <c r="O62" i="23"/>
  <c r="N44" i="23"/>
  <c r="N55" i="23"/>
  <c r="N39" i="23"/>
  <c r="N28" i="23"/>
  <c r="M13" i="23"/>
  <c r="O6" i="23"/>
  <c r="L49" i="23"/>
  <c r="M46" i="23"/>
  <c r="O17" i="23"/>
  <c r="L60" i="23"/>
  <c r="N19" i="3"/>
  <c r="L30" i="23"/>
  <c r="L9" i="23"/>
  <c r="N5" i="23"/>
  <c r="L20" i="23"/>
  <c r="L13" i="23"/>
  <c r="O34" i="23"/>
  <c r="M34" i="23"/>
  <c r="O13" i="23"/>
  <c r="L56" i="23"/>
  <c r="N45" i="23"/>
  <c r="N50" i="23"/>
  <c r="N58" i="23"/>
  <c r="N29" i="23"/>
  <c r="M37" i="23"/>
  <c r="O14" i="23"/>
  <c r="M6" i="23"/>
  <c r="L4" i="23"/>
  <c r="O25" i="23"/>
  <c r="G17" i="3"/>
  <c r="G20" i="3" s="1"/>
  <c r="L37" i="23"/>
  <c r="L16" i="23"/>
  <c r="N36" i="23"/>
  <c r="N42" i="23"/>
  <c r="N51" i="23"/>
  <c r="N59" i="23"/>
  <c r="M45" i="23"/>
  <c r="L17" i="23"/>
  <c r="O38" i="23"/>
  <c r="H53" i="10"/>
  <c r="I53" i="10" s="1"/>
  <c r="C8" i="16"/>
  <c r="C93" i="16"/>
  <c r="C58" i="16"/>
  <c r="E44" i="4" s="1"/>
  <c r="D19" i="22"/>
  <c r="E29" i="4"/>
  <c r="C22" i="16"/>
  <c r="I9" i="16"/>
  <c r="I10" i="16" s="1"/>
  <c r="W34" i="16"/>
  <c r="I12" i="16"/>
  <c r="J25" i="22"/>
  <c r="M12" i="16"/>
  <c r="M13" i="16" s="1"/>
  <c r="D29" i="22"/>
  <c r="D19" i="16"/>
  <c r="D20" i="16" s="1"/>
  <c r="I22" i="16"/>
  <c r="C60" i="10"/>
  <c r="E26" i="22"/>
  <c r="D58" i="16"/>
  <c r="D44" i="4" s="1"/>
  <c r="C9" i="16"/>
  <c r="C10" i="16" s="1"/>
  <c r="D12" i="16"/>
  <c r="C24" i="16"/>
  <c r="E25" i="22"/>
  <c r="E8" i="16"/>
  <c r="D23" i="4"/>
  <c r="D26" i="4" s="1"/>
  <c r="D25" i="22"/>
  <c r="G12" i="16"/>
  <c r="I6" i="16"/>
  <c r="I8" i="16"/>
  <c r="F12" i="16"/>
  <c r="G19" i="16"/>
  <c r="G20" i="16" s="1"/>
  <c r="J19" i="22"/>
  <c r="E22" i="16"/>
  <c r="H19" i="22"/>
  <c r="M22" i="16"/>
  <c r="D24" i="16"/>
  <c r="I24" i="16"/>
  <c r="I93" i="16"/>
  <c r="K28" i="22"/>
  <c r="K35" i="16"/>
  <c r="K36" i="16" s="1"/>
  <c r="J26" i="22"/>
  <c r="X34" i="16"/>
  <c r="Y34" i="16"/>
  <c r="E29" i="22"/>
  <c r="E58" i="16"/>
  <c r="S38" i="16" s="1"/>
  <c r="F58" i="16"/>
  <c r="T38" i="16" s="1"/>
  <c r="H29" i="22"/>
  <c r="L58" i="16"/>
  <c r="L59" i="16" s="1"/>
  <c r="M58" i="16"/>
  <c r="M59" i="16" s="1"/>
  <c r="Q49" i="1"/>
  <c r="B35" i="16"/>
  <c r="B36" i="16" s="1"/>
  <c r="C78" i="10"/>
  <c r="O9" i="3"/>
  <c r="N9" i="3"/>
  <c r="L9" i="3"/>
  <c r="M9" i="3"/>
  <c r="P7" i="3"/>
  <c r="N8" i="3"/>
  <c r="O8" i="3"/>
  <c r="F7" i="3"/>
  <c r="J22" i="16"/>
  <c r="F19" i="22"/>
  <c r="L19" i="16"/>
  <c r="L20" i="16" s="1"/>
  <c r="L12" i="16"/>
  <c r="J6" i="16"/>
  <c r="M9" i="16"/>
  <c r="M10" i="16" s="1"/>
  <c r="K26" i="16"/>
  <c r="K29" i="16" s="1"/>
  <c r="D30" i="4"/>
  <c r="J9" i="16"/>
  <c r="J10" i="16" s="1"/>
  <c r="D6" i="16"/>
  <c r="D5" i="4" s="1"/>
  <c r="F35" i="16"/>
  <c r="F36" i="16" s="1"/>
  <c r="L6" i="16"/>
  <c r="D22" i="16"/>
  <c r="G58" i="16"/>
  <c r="G29" i="22"/>
  <c r="J19" i="16"/>
  <c r="J20" i="16" s="1"/>
  <c r="K19" i="22"/>
  <c r="F6" i="16"/>
  <c r="E9" i="16"/>
  <c r="E10" i="16" s="1"/>
  <c r="J35" i="16"/>
  <c r="J36" i="16" s="1"/>
  <c r="M19" i="16"/>
  <c r="M20" i="16" s="1"/>
  <c r="E12" i="16"/>
  <c r="J12" i="16"/>
  <c r="L8" i="16"/>
  <c r="L28" i="22"/>
  <c r="D8" i="16"/>
  <c r="G19" i="22"/>
  <c r="J28" i="22"/>
  <c r="C19" i="16"/>
  <c r="C6" i="16"/>
  <c r="G25" i="22"/>
  <c r="F34" i="16"/>
  <c r="D9" i="16"/>
  <c r="D10" i="16" s="1"/>
  <c r="E5" i="17"/>
  <c r="D87" i="17"/>
  <c r="L24" i="16"/>
  <c r="K8" i="16"/>
  <c r="F26" i="22"/>
  <c r="E19" i="22"/>
  <c r="L18" i="22"/>
  <c r="C12" i="16"/>
  <c r="C16" i="16"/>
  <c r="E8" i="4" s="1"/>
  <c r="D28" i="22"/>
  <c r="M29" i="16"/>
  <c r="L22" i="16"/>
  <c r="F25" i="22"/>
  <c r="H25" i="22"/>
  <c r="D93" i="16"/>
  <c r="E28" i="22"/>
  <c r="F19" i="16"/>
  <c r="I34" i="16"/>
  <c r="F16" i="16"/>
  <c r="K22" i="16"/>
  <c r="E24" i="16"/>
  <c r="J24" i="16"/>
  <c r="K25" i="22"/>
  <c r="I19" i="16"/>
  <c r="I20" i="16" s="1"/>
  <c r="M24" i="16"/>
  <c r="M25" i="16" s="1"/>
  <c r="F7" i="22"/>
  <c r="E15" i="22"/>
  <c r="I16" i="16"/>
  <c r="L19" i="22"/>
  <c r="G24" i="16"/>
  <c r="C35" i="16"/>
  <c r="C36" i="16" s="1"/>
  <c r="L25" i="22"/>
  <c r="G26" i="22"/>
  <c r="I26" i="16"/>
  <c r="I29" i="16" s="1"/>
  <c r="E19" i="16"/>
  <c r="F22" i="16"/>
  <c r="K24" i="16"/>
  <c r="L29" i="22"/>
  <c r="D15" i="22"/>
  <c r="G26" i="16"/>
  <c r="G29" i="16" s="1"/>
  <c r="H9" i="16"/>
  <c r="H10" i="16" s="1"/>
  <c r="D17" i="3"/>
  <c r="E6" i="3"/>
  <c r="F20" i="3"/>
  <c r="P34" i="16"/>
  <c r="B6" i="16"/>
  <c r="L48" i="1"/>
  <c r="C21" i="1" a="1"/>
  <c r="C21" i="1" s="1"/>
  <c r="G57" i="10"/>
  <c r="G10" i="10" a="1"/>
  <c r="G10" i="10" s="1"/>
  <c r="G49" i="10" a="1"/>
  <c r="G49" i="10" s="1"/>
  <c r="G48" i="10" s="1"/>
  <c r="C66" i="10"/>
  <c r="H19" i="16"/>
  <c r="C65" i="10"/>
  <c r="C57" i="10"/>
  <c r="H34" i="16"/>
  <c r="E57" i="10"/>
  <c r="F57" i="10"/>
  <c r="F10" i="10" a="1"/>
  <c r="F10" i="10" s="1"/>
  <c r="F37" i="10" s="1"/>
  <c r="M23" i="1" a="1"/>
  <c r="M23" i="1" s="1"/>
  <c r="C43" i="25" s="1"/>
  <c r="H43" i="25" s="1"/>
  <c r="I43" i="25" s="1"/>
  <c r="N4" i="19"/>
  <c r="C47" i="1" a="1"/>
  <c r="N53" i="1" s="1"/>
  <c r="K26" i="1"/>
  <c r="L54" i="1"/>
  <c r="M50" i="1"/>
  <c r="K31" i="1"/>
  <c r="B22" i="16"/>
  <c r="C28" i="22"/>
  <c r="M55" i="1"/>
  <c r="H58" i="16"/>
  <c r="H59" i="16" s="1"/>
  <c r="M49" i="1"/>
  <c r="B93" i="16"/>
  <c r="F49" i="10" a="1"/>
  <c r="F49" i="10" s="1"/>
  <c r="F51" i="10" s="1"/>
  <c r="E49" i="10" a="1"/>
  <c r="E49" i="10" s="1"/>
  <c r="E48" i="10" s="1"/>
  <c r="L51" i="1"/>
  <c r="C25" i="22"/>
  <c r="B9" i="16"/>
  <c r="B10" i="16" s="1"/>
  <c r="B12" i="16"/>
  <c r="C61" i="10"/>
  <c r="B24" i="16"/>
  <c r="C8" i="10"/>
  <c r="C10" i="10" s="1" a="1"/>
  <c r="C10" i="10" s="1"/>
  <c r="C22" i="1" a="1"/>
  <c r="C22" i="1" s="1"/>
  <c r="E23" i="1" s="1"/>
  <c r="H6" i="16"/>
  <c r="H8" i="16"/>
  <c r="G6" i="16"/>
  <c r="C80" i="10"/>
  <c r="F14" i="4"/>
  <c r="C19" i="22"/>
  <c r="B16" i="16"/>
  <c r="B19" i="16"/>
  <c r="H24" i="16"/>
  <c r="H35" i="16"/>
  <c r="H36" i="16" s="1"/>
  <c r="I28" i="22"/>
  <c r="H93" i="16"/>
  <c r="V34" i="16"/>
  <c r="H26" i="16"/>
  <c r="H29" i="16" s="1"/>
  <c r="I29" i="22"/>
  <c r="C62" i="10"/>
  <c r="C33" i="10" s="1"/>
  <c r="B8" i="16"/>
  <c r="C70" i="10"/>
  <c r="C25" i="1"/>
  <c r="B26" i="16"/>
  <c r="B29" i="16" s="1"/>
  <c r="C29" i="22"/>
  <c r="B58" i="16"/>
  <c r="C19" i="24" s="1"/>
  <c r="I18" i="22"/>
  <c r="I26" i="22"/>
  <c r="I19" i="22"/>
  <c r="H22" i="16"/>
  <c r="L50" i="1"/>
  <c r="H16" i="16"/>
  <c r="H12" i="16"/>
  <c r="I25" i="22"/>
  <c r="L55" i="1"/>
  <c r="L53" i="1"/>
  <c r="H47" i="1" a="1"/>
  <c r="L49" i="1"/>
  <c r="M48" i="1"/>
  <c r="L56" i="1"/>
  <c r="M56" i="1"/>
  <c r="M53" i="1"/>
  <c r="E21" i="1"/>
  <c r="E22" i="1"/>
  <c r="M54" i="1"/>
  <c r="K24" i="1"/>
  <c r="M51" i="1"/>
  <c r="F17" i="4"/>
  <c r="D57" i="10"/>
  <c r="M4" i="19"/>
  <c r="F30" i="4"/>
  <c r="G34" i="16" l="1"/>
  <c r="L11" i="19"/>
  <c r="L6" i="19" s="1"/>
  <c r="T6" i="19" s="1"/>
  <c r="C58" i="25"/>
  <c r="C13" i="25" s="1"/>
  <c r="H13" i="25" s="1"/>
  <c r="I13" i="25" s="1"/>
  <c r="C49" i="24"/>
  <c r="C48" i="24" s="1"/>
  <c r="H48" i="24" s="1"/>
  <c r="I48" i="24" s="1"/>
  <c r="C48" i="25"/>
  <c r="C38" i="25"/>
  <c r="H38" i="25" s="1"/>
  <c r="I38" i="25" s="1"/>
  <c r="C40" i="25"/>
  <c r="H40" i="25" s="1"/>
  <c r="I40" i="25" s="1"/>
  <c r="C36" i="25"/>
  <c r="H36" i="25" s="1"/>
  <c r="I36" i="25" s="1"/>
  <c r="C37" i="25"/>
  <c r="H37" i="25" s="1"/>
  <c r="I37" i="25" s="1"/>
  <c r="C39" i="25"/>
  <c r="H39" i="25" s="1"/>
  <c r="I39" i="25" s="1"/>
  <c r="H10" i="25"/>
  <c r="I10" i="25" s="1"/>
  <c r="K34" i="16"/>
  <c r="E40" i="10"/>
  <c r="E37" i="10"/>
  <c r="E38" i="10"/>
  <c r="C29" i="10"/>
  <c r="H29" i="10" s="1"/>
  <c r="I29" i="10" s="1"/>
  <c r="H19" i="24"/>
  <c r="I19" i="24" s="1"/>
  <c r="C26" i="24"/>
  <c r="C16" i="24"/>
  <c r="C29" i="24"/>
  <c r="C25" i="24"/>
  <c r="H25" i="24" s="1"/>
  <c r="I25" i="24" s="1"/>
  <c r="H17" i="24"/>
  <c r="I17" i="24" s="1"/>
  <c r="H32" i="24"/>
  <c r="I32" i="24" s="1"/>
  <c r="C40" i="24"/>
  <c r="H40" i="24" s="1"/>
  <c r="I40" i="24" s="1"/>
  <c r="C23" i="24"/>
  <c r="H23" i="24" s="1"/>
  <c r="I23" i="24" s="1"/>
  <c r="C41" i="24"/>
  <c r="H41" i="24" s="1"/>
  <c r="I41" i="24" s="1"/>
  <c r="C22" i="24"/>
  <c r="H22" i="24" s="1"/>
  <c r="I22" i="24" s="1"/>
  <c r="C24" i="24"/>
  <c r="H24" i="24" s="1"/>
  <c r="I24" i="24" s="1"/>
  <c r="C21" i="24"/>
  <c r="C44" i="10"/>
  <c r="H44" i="10" s="1"/>
  <c r="I44" i="10" s="1"/>
  <c r="C44" i="24"/>
  <c r="H44" i="24" s="1"/>
  <c r="I44" i="24" s="1"/>
  <c r="C37" i="24"/>
  <c r="C38" i="24"/>
  <c r="H38" i="24" s="1"/>
  <c r="I38" i="24" s="1"/>
  <c r="C39" i="24"/>
  <c r="H39" i="24" s="1"/>
  <c r="I39" i="24" s="1"/>
  <c r="H10" i="24"/>
  <c r="I10" i="24" s="1"/>
  <c r="H31" i="24"/>
  <c r="I31" i="24" s="1"/>
  <c r="E32" i="4"/>
  <c r="O97" i="16"/>
  <c r="C37" i="10"/>
  <c r="F35" i="4"/>
  <c r="E39" i="10"/>
  <c r="F24" i="4"/>
  <c r="F26" i="4" s="1"/>
  <c r="F34" i="4" s="1"/>
  <c r="AH12" i="23"/>
  <c r="C49" i="10"/>
  <c r="C48" i="10" s="1"/>
  <c r="F8" i="4"/>
  <c r="F12" i="4" s="1"/>
  <c r="E24" i="4"/>
  <c r="E26" i="4" s="1"/>
  <c r="E34" i="4" s="1"/>
  <c r="K26" i="22"/>
  <c r="D26" i="22"/>
  <c r="C34" i="16"/>
  <c r="C35" i="10"/>
  <c r="H35" i="10" s="1"/>
  <c r="I35" i="10" s="1"/>
  <c r="C32" i="10"/>
  <c r="F38" i="10"/>
  <c r="F41" i="10"/>
  <c r="G40" i="10"/>
  <c r="G41" i="10"/>
  <c r="Y143" i="22"/>
  <c r="Y144" i="22" s="1"/>
  <c r="X144" i="22"/>
  <c r="AG138" i="22"/>
  <c r="AF139" i="22"/>
  <c r="C132" i="4"/>
  <c r="C137" i="4" s="1"/>
  <c r="C130" i="4"/>
  <c r="C135" i="4" s="1"/>
  <c r="O152" i="22"/>
  <c r="O153" i="22"/>
  <c r="AA140" i="22"/>
  <c r="Z142" i="22"/>
  <c r="Z141" i="22"/>
  <c r="P149" i="22"/>
  <c r="O99" i="22" s="1"/>
  <c r="R105" i="22"/>
  <c r="N18" i="22"/>
  <c r="D34" i="4"/>
  <c r="H20" i="3"/>
  <c r="N20" i="3" s="1"/>
  <c r="H7" i="3"/>
  <c r="H10" i="3" s="1"/>
  <c r="K5" i="3"/>
  <c r="Z5" i="23"/>
  <c r="Y5" i="23" s="1"/>
  <c r="E20" i="3"/>
  <c r="L20" i="3" s="1"/>
  <c r="Z56" i="23"/>
  <c r="Y56" i="23" s="1"/>
  <c r="Z48" i="23"/>
  <c r="Y48" i="23" s="1"/>
  <c r="L17" i="3"/>
  <c r="O5" i="3"/>
  <c r="D15" i="4"/>
  <c r="D12" i="4"/>
  <c r="H53" i="4" s="1"/>
  <c r="H38" i="4"/>
  <c r="I10" i="4" s="1"/>
  <c r="S60" i="23"/>
  <c r="Z23" i="23"/>
  <c r="Y23" i="23" s="1"/>
  <c r="Z18" i="23"/>
  <c r="Y18" i="23" s="1"/>
  <c r="Z31" i="23"/>
  <c r="Y31" i="23" s="1"/>
  <c r="D59" i="16"/>
  <c r="Z22" i="23"/>
  <c r="Y22" i="23" s="1"/>
  <c r="Z21" i="23"/>
  <c r="Y21" i="23" s="1"/>
  <c r="M60" i="16"/>
  <c r="B34" i="16"/>
  <c r="H39" i="4"/>
  <c r="M30" i="16"/>
  <c r="M31" i="16" s="1"/>
  <c r="Z53" i="23"/>
  <c r="Y53" i="23" s="1"/>
  <c r="Z52" i="23"/>
  <c r="Y52" i="23" s="1"/>
  <c r="Z32" i="23"/>
  <c r="Y32" i="23" s="1"/>
  <c r="Z12" i="23"/>
  <c r="Y12" i="23" s="1"/>
  <c r="Z54" i="23"/>
  <c r="Y54" i="23" s="1"/>
  <c r="W38" i="16"/>
  <c r="Z64" i="23"/>
  <c r="Y64" i="23" s="1"/>
  <c r="S18" i="23"/>
  <c r="M5" i="3"/>
  <c r="C26" i="22"/>
  <c r="L52" i="1"/>
  <c r="I60" i="16"/>
  <c r="S30" i="23"/>
  <c r="Z19" i="23"/>
  <c r="Y19" i="23" s="1"/>
  <c r="L5" i="3"/>
  <c r="S45" i="23"/>
  <c r="Z30" i="23"/>
  <c r="Y30" i="23" s="1"/>
  <c r="Z24" i="23"/>
  <c r="Y24" i="23" s="1"/>
  <c r="S8" i="23"/>
  <c r="J59" i="16"/>
  <c r="Y38" i="16"/>
  <c r="L31" i="22"/>
  <c r="Z27" i="23"/>
  <c r="Y27" i="23" s="1"/>
  <c r="X38" i="16"/>
  <c r="Z28" i="23"/>
  <c r="Y28" i="23" s="1"/>
  <c r="Z4" i="23"/>
  <c r="Y4" i="23" s="1"/>
  <c r="Z9" i="23"/>
  <c r="Y9" i="23" s="1"/>
  <c r="K95" i="16"/>
  <c r="Z42" i="23"/>
  <c r="Y42" i="23" s="1"/>
  <c r="Z55" i="23"/>
  <c r="Y55" i="23" s="1"/>
  <c r="B25" i="16"/>
  <c r="Z8" i="23"/>
  <c r="Y8" i="23" s="1"/>
  <c r="K59" i="16"/>
  <c r="K25" i="16"/>
  <c r="E60" i="16"/>
  <c r="S24" i="23"/>
  <c r="Z3" i="23"/>
  <c r="Y3" i="23" s="1"/>
  <c r="O18" i="22"/>
  <c r="Z16" i="23"/>
  <c r="Y16" i="23" s="1"/>
  <c r="S6" i="23"/>
  <c r="S35" i="23"/>
  <c r="S11" i="23"/>
  <c r="I30" i="16"/>
  <c r="I31" i="16" s="1"/>
  <c r="Z40" i="23"/>
  <c r="Y40" i="23" s="1"/>
  <c r="S46" i="23"/>
  <c r="K13" i="16"/>
  <c r="Z34" i="23"/>
  <c r="Y34" i="23" s="1"/>
  <c r="S15" i="23"/>
  <c r="N5" i="3"/>
  <c r="I10" i="3"/>
  <c r="S59" i="23"/>
  <c r="S14" i="23"/>
  <c r="Z35" i="23"/>
  <c r="Y35" i="23" s="1"/>
  <c r="S43" i="23"/>
  <c r="L13" i="16"/>
  <c r="S34" i="23"/>
  <c r="Z49" i="23"/>
  <c r="Y49" i="23" s="1"/>
  <c r="M17" i="3"/>
  <c r="L8" i="3"/>
  <c r="S44" i="23"/>
  <c r="S25" i="23"/>
  <c r="S17" i="23"/>
  <c r="S61" i="23"/>
  <c r="S62" i="23"/>
  <c r="S49" i="23"/>
  <c r="Z33" i="23"/>
  <c r="Y33" i="23" s="1"/>
  <c r="G7" i="3"/>
  <c r="G10" i="3" s="1"/>
  <c r="F57" i="1"/>
  <c r="Z29" i="23"/>
  <c r="Y29" i="23" s="1"/>
  <c r="S63" i="23"/>
  <c r="S20" i="23"/>
  <c r="S23" i="23"/>
  <c r="E35" i="4"/>
  <c r="L60" i="16"/>
  <c r="N17" i="3"/>
  <c r="S58" i="23"/>
  <c r="Z47" i="23"/>
  <c r="Y47" i="23" s="1"/>
  <c r="S9" i="23"/>
  <c r="S33" i="23"/>
  <c r="Z43" i="23"/>
  <c r="Y43" i="23" s="1"/>
  <c r="S54" i="23"/>
  <c r="S56" i="23"/>
  <c r="Z51" i="23"/>
  <c r="Y51" i="23" s="1"/>
  <c r="F30" i="16"/>
  <c r="F31" i="16" s="1"/>
  <c r="O27" i="22"/>
  <c r="S27" i="23"/>
  <c r="F25" i="16"/>
  <c r="E13" i="16"/>
  <c r="Q38" i="16"/>
  <c r="S4" i="23"/>
  <c r="S12" i="23"/>
  <c r="Z15" i="23"/>
  <c r="Y15" i="23" s="1"/>
  <c r="C59" i="16"/>
  <c r="E59" i="16"/>
  <c r="C60" i="16"/>
  <c r="Z37" i="23"/>
  <c r="Y37" i="23" s="1"/>
  <c r="S19" i="23"/>
  <c r="Z10" i="23"/>
  <c r="Y10" i="23" s="1"/>
  <c r="S21" i="23"/>
  <c r="S64" i="23"/>
  <c r="Z25" i="23"/>
  <c r="Y25" i="23" s="1"/>
  <c r="Z17" i="23"/>
  <c r="Y17" i="23" s="1"/>
  <c r="S32" i="23"/>
  <c r="Z26" i="23"/>
  <c r="Y26" i="23" s="1"/>
  <c r="S47" i="23"/>
  <c r="S37" i="23"/>
  <c r="S28" i="23"/>
  <c r="Z20" i="23"/>
  <c r="Y20" i="23" s="1"/>
  <c r="Z41" i="23"/>
  <c r="Y41" i="23" s="1"/>
  <c r="S53" i="23"/>
  <c r="S42" i="23"/>
  <c r="Z50" i="23"/>
  <c r="Y50" i="23" s="1"/>
  <c r="S50" i="23"/>
  <c r="S29" i="23"/>
  <c r="Z57" i="23"/>
  <c r="Y57" i="23" s="1"/>
  <c r="P64" i="23"/>
  <c r="P34" i="23"/>
  <c r="P24" i="23"/>
  <c r="P31" i="23"/>
  <c r="P32" i="23"/>
  <c r="P49" i="23"/>
  <c r="P5" i="23"/>
  <c r="P35" i="23"/>
  <c r="P28" i="23"/>
  <c r="P59" i="23"/>
  <c r="P25" i="23"/>
  <c r="P4" i="23"/>
  <c r="P45" i="23"/>
  <c r="P44" i="23"/>
  <c r="P60" i="23"/>
  <c r="P53" i="23"/>
  <c r="P46" i="23"/>
  <c r="P48" i="23"/>
  <c r="P11" i="23"/>
  <c r="P18" i="23"/>
  <c r="P57" i="23"/>
  <c r="P21" i="23"/>
  <c r="P63" i="23"/>
  <c r="P6" i="23"/>
  <c r="P50" i="23"/>
  <c r="P62" i="23"/>
  <c r="P30" i="23"/>
  <c r="P38" i="23"/>
  <c r="P39" i="23"/>
  <c r="P15" i="23"/>
  <c r="P17" i="23"/>
  <c r="P58" i="23"/>
  <c r="P47" i="23"/>
  <c r="P37" i="23"/>
  <c r="P26" i="23"/>
  <c r="P12" i="23"/>
  <c r="P22" i="23"/>
  <c r="P55" i="23"/>
  <c r="P29" i="23"/>
  <c r="P33" i="23"/>
  <c r="P13" i="23"/>
  <c r="P23" i="23"/>
  <c r="P43" i="23"/>
  <c r="P52" i="23"/>
  <c r="P9" i="23"/>
  <c r="P36" i="23"/>
  <c r="P61" i="23"/>
  <c r="P14" i="23"/>
  <c r="P20" i="23"/>
  <c r="P42" i="23"/>
  <c r="P7" i="23"/>
  <c r="P51" i="23"/>
  <c r="P8" i="23"/>
  <c r="P40" i="23"/>
  <c r="P54" i="23"/>
  <c r="P16" i="23"/>
  <c r="P19" i="23"/>
  <c r="P56" i="23"/>
  <c r="P10" i="23"/>
  <c r="P27" i="23"/>
  <c r="P41" i="23"/>
  <c r="S51" i="23"/>
  <c r="S48" i="23"/>
  <c r="Q18" i="22"/>
  <c r="Z13" i="23"/>
  <c r="Y13" i="23" s="1"/>
  <c r="S13" i="23"/>
  <c r="S10" i="23"/>
  <c r="S31" i="23"/>
  <c r="S5" i="23"/>
  <c r="S55" i="23"/>
  <c r="Q58" i="23"/>
  <c r="Q26" i="23"/>
  <c r="Q36" i="23"/>
  <c r="Q54" i="23"/>
  <c r="Q25" i="23"/>
  <c r="Q61" i="23"/>
  <c r="Q62" i="23"/>
  <c r="Q4" i="23"/>
  <c r="Q52" i="23"/>
  <c r="Q29" i="23"/>
  <c r="Q59" i="23"/>
  <c r="Q56" i="23"/>
  <c r="Q21" i="23"/>
  <c r="Q14" i="23"/>
  <c r="Q6" i="23"/>
  <c r="Q57" i="23"/>
  <c r="Q37" i="23"/>
  <c r="Q22" i="23"/>
  <c r="Q43" i="23"/>
  <c r="Q48" i="23"/>
  <c r="Q45" i="23"/>
  <c r="Q11" i="23"/>
  <c r="Q44" i="23"/>
  <c r="Q42" i="23"/>
  <c r="Q20" i="23"/>
  <c r="Q50" i="23"/>
  <c r="Q31" i="23"/>
  <c r="Q32" i="23"/>
  <c r="Q53" i="23"/>
  <c r="Q55" i="23"/>
  <c r="Q46" i="23"/>
  <c r="Q38" i="23"/>
  <c r="Q41" i="23"/>
  <c r="Q19" i="23"/>
  <c r="Q33" i="23"/>
  <c r="Q51" i="23"/>
  <c r="Q39" i="23"/>
  <c r="Q28" i="23"/>
  <c r="Q17" i="23"/>
  <c r="Q63" i="23"/>
  <c r="Q60" i="23"/>
  <c r="Q47" i="23"/>
  <c r="Q24" i="23"/>
  <c r="Q9" i="23"/>
  <c r="Q5" i="23"/>
  <c r="Q16" i="23"/>
  <c r="Q8" i="23"/>
  <c r="Q7" i="23"/>
  <c r="Q15" i="23"/>
  <c r="Q64" i="23"/>
  <c r="Q40" i="23"/>
  <c r="Q27" i="23"/>
  <c r="Q23" i="23"/>
  <c r="Q12" i="23"/>
  <c r="Q13" i="23"/>
  <c r="Q30" i="23"/>
  <c r="Q10" i="23"/>
  <c r="Q49" i="23"/>
  <c r="Q35" i="23"/>
  <c r="Q34" i="23"/>
  <c r="Q18" i="23"/>
  <c r="E30" i="16"/>
  <c r="E31" i="16" s="1"/>
  <c r="Z6" i="23"/>
  <c r="Y6" i="23" s="1"/>
  <c r="S41" i="23"/>
  <c r="Z7" i="23"/>
  <c r="Y7" i="23" s="1"/>
  <c r="S7" i="23"/>
  <c r="S22" i="23"/>
  <c r="S52" i="23"/>
  <c r="Z11" i="23"/>
  <c r="Y11" i="23" s="1"/>
  <c r="S16" i="23"/>
  <c r="Z38" i="23"/>
  <c r="Y38" i="23" s="1"/>
  <c r="S38" i="23"/>
  <c r="S26" i="23"/>
  <c r="O93" i="16"/>
  <c r="S39" i="23"/>
  <c r="Z39" i="23"/>
  <c r="Y39" i="23" s="1"/>
  <c r="Z14" i="23"/>
  <c r="Y14" i="23" s="1"/>
  <c r="S40" i="23"/>
  <c r="S57" i="23"/>
  <c r="Z36" i="23"/>
  <c r="Y36" i="23" s="1"/>
  <c r="S36" i="23"/>
  <c r="T42" i="23"/>
  <c r="T8" i="23"/>
  <c r="T38" i="23"/>
  <c r="T54" i="23"/>
  <c r="T64" i="23"/>
  <c r="T44" i="23"/>
  <c r="T61" i="23"/>
  <c r="T53" i="23"/>
  <c r="T7" i="23"/>
  <c r="T60" i="23"/>
  <c r="T15" i="23"/>
  <c r="T28" i="23"/>
  <c r="T20" i="23"/>
  <c r="T29" i="23"/>
  <c r="T56" i="23"/>
  <c r="T36" i="23"/>
  <c r="T46" i="23"/>
  <c r="T47" i="23"/>
  <c r="T22" i="23"/>
  <c r="T18" i="23"/>
  <c r="T21" i="23"/>
  <c r="T9" i="23"/>
  <c r="T45" i="23"/>
  <c r="T43" i="23"/>
  <c r="T62" i="23"/>
  <c r="T26" i="23"/>
  <c r="T37" i="23"/>
  <c r="T13" i="23"/>
  <c r="T5" i="23"/>
  <c r="T12" i="23"/>
  <c r="T31" i="23"/>
  <c r="T40" i="23"/>
  <c r="T59" i="23"/>
  <c r="T25" i="23"/>
  <c r="T34" i="23"/>
  <c r="T63" i="23"/>
  <c r="T23" i="23"/>
  <c r="T32" i="23"/>
  <c r="T51" i="23"/>
  <c r="T19" i="23"/>
  <c r="T48" i="23"/>
  <c r="T11" i="23"/>
  <c r="T10" i="23"/>
  <c r="T24" i="23"/>
  <c r="T4" i="23"/>
  <c r="T6" i="23"/>
  <c r="T55" i="23"/>
  <c r="T30" i="23"/>
  <c r="T58" i="23"/>
  <c r="T41" i="23"/>
  <c r="T17" i="23"/>
  <c r="T57" i="23"/>
  <c r="T39" i="23"/>
  <c r="T27" i="23"/>
  <c r="T50" i="23"/>
  <c r="T49" i="23"/>
  <c r="T16" i="23"/>
  <c r="T52" i="23"/>
  <c r="T35" i="23"/>
  <c r="T33" i="23"/>
  <c r="T14" i="23"/>
  <c r="R42" i="23"/>
  <c r="R22" i="23"/>
  <c r="R7" i="23"/>
  <c r="R31" i="23"/>
  <c r="R62" i="23"/>
  <c r="R15" i="23"/>
  <c r="R35" i="23"/>
  <c r="R6" i="23"/>
  <c r="R12" i="23"/>
  <c r="R32" i="23"/>
  <c r="R24" i="23"/>
  <c r="R52" i="23"/>
  <c r="R43" i="23"/>
  <c r="R4" i="23"/>
  <c r="R8" i="23"/>
  <c r="R55" i="23"/>
  <c r="R51" i="23"/>
  <c r="R48" i="23"/>
  <c r="R18" i="23"/>
  <c r="R30" i="23"/>
  <c r="R36" i="23"/>
  <c r="R45" i="23"/>
  <c r="R17" i="23"/>
  <c r="R53" i="23"/>
  <c r="R11" i="23"/>
  <c r="R57" i="23"/>
  <c r="R9" i="23"/>
  <c r="R5" i="23"/>
  <c r="R54" i="23"/>
  <c r="R21" i="23"/>
  <c r="R58" i="23"/>
  <c r="R44" i="23"/>
  <c r="R37" i="23"/>
  <c r="R60" i="23"/>
  <c r="R34" i="23"/>
  <c r="R63" i="23"/>
  <c r="R61" i="23"/>
  <c r="R14" i="23"/>
  <c r="R64" i="23"/>
  <c r="R26" i="23"/>
  <c r="R38" i="23"/>
  <c r="R23" i="23"/>
  <c r="R59" i="23"/>
  <c r="R19" i="23"/>
  <c r="R29" i="23"/>
  <c r="R25" i="23"/>
  <c r="R16" i="23"/>
  <c r="R47" i="23"/>
  <c r="R10" i="23"/>
  <c r="R40" i="23"/>
  <c r="R41" i="23"/>
  <c r="R39" i="23"/>
  <c r="R13" i="23"/>
  <c r="R50" i="23"/>
  <c r="R46" i="23"/>
  <c r="R20" i="23"/>
  <c r="R27" i="23"/>
  <c r="R28" i="23"/>
  <c r="R49" i="23"/>
  <c r="R33" i="23"/>
  <c r="R56" i="23"/>
  <c r="D95" i="16"/>
  <c r="K32" i="1"/>
  <c r="M26" i="1" s="1"/>
  <c r="C13" i="16"/>
  <c r="C30" i="16"/>
  <c r="C31" i="16" s="1"/>
  <c r="D60" i="16"/>
  <c r="D30" i="16"/>
  <c r="D31" i="16" s="1"/>
  <c r="E31" i="22"/>
  <c r="R38" i="16"/>
  <c r="F13" i="16"/>
  <c r="K31" i="22"/>
  <c r="C25" i="16"/>
  <c r="I25" i="16"/>
  <c r="F60" i="16"/>
  <c r="F59" i="16"/>
  <c r="E20" i="16"/>
  <c r="F31" i="22"/>
  <c r="E95" i="16"/>
  <c r="E25" i="16"/>
  <c r="D25" i="16"/>
  <c r="F20" i="16"/>
  <c r="F95" i="16"/>
  <c r="C20" i="16"/>
  <c r="C95" i="16"/>
  <c r="D31" i="22"/>
  <c r="D32" i="4"/>
  <c r="D35" i="4"/>
  <c r="K30" i="16"/>
  <c r="K31" i="16" s="1"/>
  <c r="J30" i="16"/>
  <c r="J31" i="16" s="1"/>
  <c r="F10" i="3"/>
  <c r="L7" i="3"/>
  <c r="L6" i="3"/>
  <c r="K6" i="3"/>
  <c r="K17" i="3"/>
  <c r="D7" i="3"/>
  <c r="K7" i="3" s="1"/>
  <c r="G7" i="22"/>
  <c r="F15" i="22"/>
  <c r="G31" i="22"/>
  <c r="O28" i="22"/>
  <c r="E15" i="4"/>
  <c r="E7" i="4"/>
  <c r="E12" i="4"/>
  <c r="I53" i="4" s="1"/>
  <c r="J25" i="16"/>
  <c r="J13" i="16"/>
  <c r="D13" i="16"/>
  <c r="L25" i="16"/>
  <c r="E91" i="16"/>
  <c r="F5" i="17"/>
  <c r="G5" i="17" s="1"/>
  <c r="H5" i="17" s="1"/>
  <c r="I5" i="17" s="1"/>
  <c r="J5" i="17" s="1"/>
  <c r="K5" i="17" s="1"/>
  <c r="L5" i="17" s="1"/>
  <c r="M5" i="17" s="1"/>
  <c r="I13" i="16"/>
  <c r="I95" i="16"/>
  <c r="B13" i="16"/>
  <c r="G60" i="16"/>
  <c r="U38" i="16"/>
  <c r="G95" i="16"/>
  <c r="G59" i="16"/>
  <c r="H31" i="22"/>
  <c r="J95" i="16"/>
  <c r="J31" i="22"/>
  <c r="L30" i="16"/>
  <c r="L31" i="16" s="1"/>
  <c r="G38" i="10"/>
  <c r="E10" i="3"/>
  <c r="Z34" i="16"/>
  <c r="M20" i="3"/>
  <c r="G39" i="10"/>
  <c r="N27" i="22"/>
  <c r="G51" i="10"/>
  <c r="D74" i="4"/>
  <c r="G37" i="10"/>
  <c r="F48" i="10"/>
  <c r="V38" i="16"/>
  <c r="K27" i="1"/>
  <c r="H60" i="16"/>
  <c r="P27" i="22"/>
  <c r="P28" i="22"/>
  <c r="N28" i="22"/>
  <c r="H95" i="16"/>
  <c r="H20" i="16"/>
  <c r="Q25" i="22"/>
  <c r="I31" i="22"/>
  <c r="M57" i="1"/>
  <c r="E47" i="1" a="1"/>
  <c r="E47" i="1" s="1"/>
  <c r="P18" i="22"/>
  <c r="C15" i="10"/>
  <c r="H15" i="10" s="1"/>
  <c r="I15" i="10" s="1"/>
  <c r="N49" i="1"/>
  <c r="E29" i="1"/>
  <c r="C17" i="10"/>
  <c r="H17" i="10" s="1"/>
  <c r="I17" i="10" s="1"/>
  <c r="N51" i="1"/>
  <c r="F40" i="10"/>
  <c r="F39" i="10"/>
  <c r="N52" i="1"/>
  <c r="C47" i="1"/>
  <c r="N48" i="1" s="1"/>
  <c r="E30" i="1"/>
  <c r="N50" i="1"/>
  <c r="N54" i="1"/>
  <c r="C59" i="1"/>
  <c r="N55" i="1"/>
  <c r="E51" i="10"/>
  <c r="C58" i="1"/>
  <c r="Q28" i="22"/>
  <c r="O25" i="22"/>
  <c r="N25" i="22"/>
  <c r="P25" i="22"/>
  <c r="AG12" i="23"/>
  <c r="AK12" i="23" s="1"/>
  <c r="C11" i="10"/>
  <c r="C14" i="10"/>
  <c r="H14" i="10" s="1"/>
  <c r="I14" i="10" s="1"/>
  <c r="C13" i="10"/>
  <c r="C54" i="10"/>
  <c r="H54" i="10" s="1"/>
  <c r="I54" i="10" s="1"/>
  <c r="C34" i="10"/>
  <c r="C23" i="1"/>
  <c r="L4" i="19"/>
  <c r="H10" i="10"/>
  <c r="I10" i="10" s="1"/>
  <c r="Q27" i="22"/>
  <c r="H30" i="16"/>
  <c r="H31" i="16" s="1"/>
  <c r="G30" i="16"/>
  <c r="G31" i="16" s="1"/>
  <c r="N19" i="22"/>
  <c r="O19" i="22"/>
  <c r="P19" i="22"/>
  <c r="Q19" i="22"/>
  <c r="B20" i="16"/>
  <c r="C63" i="10"/>
  <c r="C16" i="10" s="1"/>
  <c r="K30" i="1"/>
  <c r="D38" i="10"/>
  <c r="D40" i="10"/>
  <c r="D39" i="10"/>
  <c r="D37" i="10"/>
  <c r="M25" i="1"/>
  <c r="H13" i="16"/>
  <c r="G13" i="16"/>
  <c r="K25" i="1"/>
  <c r="N29" i="22"/>
  <c r="O29" i="22"/>
  <c r="Q29" i="22"/>
  <c r="P29" i="22"/>
  <c r="C31" i="10"/>
  <c r="R51" i="1"/>
  <c r="R49" i="1"/>
  <c r="H47" i="1"/>
  <c r="H58" i="1" s="1"/>
  <c r="R55" i="1"/>
  <c r="R53" i="1"/>
  <c r="R50" i="1"/>
  <c r="R52" i="1"/>
  <c r="H59" i="1"/>
  <c r="R54" i="1"/>
  <c r="D47" i="1" a="1"/>
  <c r="D51" i="10"/>
  <c r="B30" i="16"/>
  <c r="B31" i="16" s="1"/>
  <c r="F32" i="4"/>
  <c r="K28" i="1"/>
  <c r="C18" i="10"/>
  <c r="K23" i="1"/>
  <c r="B59" i="16"/>
  <c r="E27" i="1" s="1"/>
  <c r="F44" i="4"/>
  <c r="C31" i="22"/>
  <c r="C24" i="1"/>
  <c r="B60" i="16"/>
  <c r="B95" i="16"/>
  <c r="P38" i="16"/>
  <c r="C79" i="10"/>
  <c r="E25" i="1"/>
  <c r="C20" i="22"/>
  <c r="E24" i="1"/>
  <c r="L57" i="1"/>
  <c r="G25" i="16"/>
  <c r="H25" i="16"/>
  <c r="C51" i="24" l="1"/>
  <c r="H51" i="24" s="1"/>
  <c r="I51" i="24" s="1"/>
  <c r="L9" i="19"/>
  <c r="T9" i="19" s="1"/>
  <c r="L8" i="19"/>
  <c r="T8" i="19" s="1"/>
  <c r="L7" i="19"/>
  <c r="T7" i="19" s="1"/>
  <c r="C50" i="25"/>
  <c r="H50" i="25" s="1"/>
  <c r="I50" i="25" s="1"/>
  <c r="C47" i="25"/>
  <c r="H47" i="25" s="1"/>
  <c r="I47" i="25" s="1"/>
  <c r="H29" i="24"/>
  <c r="I29" i="24" s="1"/>
  <c r="H37" i="24"/>
  <c r="I37" i="24" s="1"/>
  <c r="H16" i="24"/>
  <c r="I16" i="24" s="1"/>
  <c r="H26" i="24"/>
  <c r="I26" i="24" s="1"/>
  <c r="H21" i="24"/>
  <c r="I21" i="24" s="1"/>
  <c r="F36" i="4"/>
  <c r="H16" i="10"/>
  <c r="I16" i="10" s="1"/>
  <c r="F7" i="4"/>
  <c r="F15" i="4"/>
  <c r="C51" i="10"/>
  <c r="H51" i="10" s="1"/>
  <c r="I51" i="10" s="1"/>
  <c r="I47" i="1" a="1"/>
  <c r="S53" i="1" s="1"/>
  <c r="N26" i="22"/>
  <c r="C41" i="10"/>
  <c r="G14" i="4"/>
  <c r="Z143" i="22"/>
  <c r="P150" i="22" s="1"/>
  <c r="AH138" i="22"/>
  <c r="AG139" i="22"/>
  <c r="G25" i="4"/>
  <c r="C138" i="4"/>
  <c r="O100" i="22"/>
  <c r="O93" i="22"/>
  <c r="P148" i="22"/>
  <c r="D126" i="4" s="1"/>
  <c r="AB140" i="22"/>
  <c r="AA142" i="22"/>
  <c r="AA141" i="22"/>
  <c r="S105" i="22"/>
  <c r="D36" i="4"/>
  <c r="O20" i="3"/>
  <c r="O7" i="3"/>
  <c r="E28" i="1"/>
  <c r="M10" i="3"/>
  <c r="C22" i="10"/>
  <c r="P26" i="22"/>
  <c r="E36" i="4"/>
  <c r="E43" i="4" s="1"/>
  <c r="N7" i="3"/>
  <c r="I39" i="4"/>
  <c r="O26" i="22"/>
  <c r="Q26" i="22"/>
  <c r="E32" i="1"/>
  <c r="M7" i="3"/>
  <c r="L10" i="3"/>
  <c r="U19" i="23"/>
  <c r="U20" i="23"/>
  <c r="U13" i="23"/>
  <c r="U47" i="23"/>
  <c r="U46" i="23"/>
  <c r="U28" i="23"/>
  <c r="U64" i="23"/>
  <c r="I38" i="4"/>
  <c r="U16" i="23"/>
  <c r="U14" i="23"/>
  <c r="U33" i="23"/>
  <c r="U58" i="23"/>
  <c r="U6" i="23"/>
  <c r="U53" i="23"/>
  <c r="U35" i="23"/>
  <c r="U54" i="23"/>
  <c r="U61" i="23"/>
  <c r="U29" i="23"/>
  <c r="U17" i="23"/>
  <c r="U63" i="23"/>
  <c r="U60" i="23"/>
  <c r="U5" i="23"/>
  <c r="U40" i="23"/>
  <c r="U36" i="23"/>
  <c r="U55" i="23"/>
  <c r="U15" i="23"/>
  <c r="U21" i="23"/>
  <c r="U44" i="23"/>
  <c r="U49" i="23"/>
  <c r="U50" i="23"/>
  <c r="U41" i="23"/>
  <c r="U8" i="23"/>
  <c r="U9" i="23"/>
  <c r="U22" i="23"/>
  <c r="U39" i="23"/>
  <c r="U57" i="23"/>
  <c r="U45" i="23"/>
  <c r="U32" i="23"/>
  <c r="U27" i="23"/>
  <c r="U51" i="23"/>
  <c r="U52" i="23"/>
  <c r="U12" i="23"/>
  <c r="U38" i="23"/>
  <c r="U18" i="23"/>
  <c r="U4" i="23"/>
  <c r="U31" i="23"/>
  <c r="U10" i="23"/>
  <c r="U7" i="23"/>
  <c r="U43" i="23"/>
  <c r="U26" i="23"/>
  <c r="U30" i="23"/>
  <c r="U11" i="23"/>
  <c r="U25" i="23"/>
  <c r="U24" i="23"/>
  <c r="U56" i="23"/>
  <c r="U42" i="23"/>
  <c r="U23" i="23"/>
  <c r="U37" i="23"/>
  <c r="U62" i="23"/>
  <c r="U48" i="23"/>
  <c r="U59" i="23"/>
  <c r="U34" i="23"/>
  <c r="C57" i="1"/>
  <c r="O10" i="3"/>
  <c r="N10" i="3"/>
  <c r="D10" i="3"/>
  <c r="K10" i="3" s="1"/>
  <c r="G15" i="22"/>
  <c r="H7" i="22"/>
  <c r="Z38" i="16"/>
  <c r="M32" i="1"/>
  <c r="C26" i="1"/>
  <c r="M28" i="1" s="1"/>
  <c r="AM12" i="23"/>
  <c r="C56" i="1"/>
  <c r="N56" i="1" s="1"/>
  <c r="H34" i="10"/>
  <c r="I34" i="10" s="1"/>
  <c r="H13" i="10"/>
  <c r="I13" i="10" s="1"/>
  <c r="H56" i="1"/>
  <c r="H11" i="10"/>
  <c r="I11" i="10" s="1"/>
  <c r="H37" i="10"/>
  <c r="I37" i="10" s="1"/>
  <c r="C38" i="10"/>
  <c r="H38" i="10" s="1"/>
  <c r="I38" i="10" s="1"/>
  <c r="H32" i="10"/>
  <c r="I32" i="10" s="1"/>
  <c r="C39" i="10"/>
  <c r="H39" i="10" s="1"/>
  <c r="I39" i="10" s="1"/>
  <c r="AL12" i="23"/>
  <c r="AJ12" i="23"/>
  <c r="M30" i="1"/>
  <c r="M33" i="1"/>
  <c r="C44" i="25" s="1"/>
  <c r="M27" i="1"/>
  <c r="H33" i="10"/>
  <c r="I33" i="10" s="1"/>
  <c r="H48" i="10"/>
  <c r="I48" i="10" s="1"/>
  <c r="H18" i="10"/>
  <c r="I18" i="10" s="1"/>
  <c r="K29" i="1"/>
  <c r="O51" i="1"/>
  <c r="O54" i="1"/>
  <c r="D47" i="1"/>
  <c r="D58" i="1" s="1"/>
  <c r="O52" i="1"/>
  <c r="D59" i="1"/>
  <c r="O49" i="1"/>
  <c r="O50" i="1"/>
  <c r="O53" i="1"/>
  <c r="O55" i="1"/>
  <c r="C26" i="10"/>
  <c r="Q20" i="22"/>
  <c r="P20" i="22"/>
  <c r="N20" i="22"/>
  <c r="P31" i="22"/>
  <c r="O31" i="22"/>
  <c r="N31" i="22"/>
  <c r="Q31" i="22"/>
  <c r="AN12" i="23"/>
  <c r="J53" i="4"/>
  <c r="C24" i="10"/>
  <c r="C40" i="10"/>
  <c r="C21" i="10"/>
  <c r="C23" i="10"/>
  <c r="C19" i="10"/>
  <c r="C25" i="10"/>
  <c r="H31" i="10"/>
  <c r="I31" i="10" s="1"/>
  <c r="G47" i="1" a="1"/>
  <c r="G47" i="1" s="1"/>
  <c r="H44" i="25" l="1"/>
  <c r="I44" i="25" s="1"/>
  <c r="C45" i="10"/>
  <c r="H45" i="10" s="1"/>
  <c r="I45" i="10" s="1"/>
  <c r="C45" i="24"/>
  <c r="I47" i="1"/>
  <c r="S50" i="1"/>
  <c r="S49" i="1"/>
  <c r="S55" i="1"/>
  <c r="S54" i="1"/>
  <c r="M58" i="1"/>
  <c r="M59" i="1" s="1"/>
  <c r="L58" i="1"/>
  <c r="L59" i="1" s="1"/>
  <c r="S52" i="1"/>
  <c r="S51" i="1"/>
  <c r="G31" i="4"/>
  <c r="G6" i="4"/>
  <c r="AA143" i="22"/>
  <c r="AA144" i="22" s="1"/>
  <c r="AI138" i="22"/>
  <c r="AH139" i="22"/>
  <c r="P151" i="22"/>
  <c r="Z144" i="22"/>
  <c r="D127" i="4"/>
  <c r="D125" i="4"/>
  <c r="AC140" i="22"/>
  <c r="AB141" i="22"/>
  <c r="AB142" i="22"/>
  <c r="O97" i="22"/>
  <c r="O94" i="22"/>
  <c r="T105" i="22"/>
  <c r="F43" i="4"/>
  <c r="V34" i="23"/>
  <c r="W34" i="23" s="1"/>
  <c r="V20" i="23"/>
  <c r="W20" i="23" s="1"/>
  <c r="V10" i="23"/>
  <c r="W10" i="23" s="1"/>
  <c r="V51" i="23"/>
  <c r="W51" i="23" s="1"/>
  <c r="V59" i="23"/>
  <c r="V24" i="23"/>
  <c r="W24" i="23" s="1"/>
  <c r="V27" i="23"/>
  <c r="W27" i="23" s="1"/>
  <c r="V9" i="23"/>
  <c r="W9" i="23" s="1"/>
  <c r="V49" i="23"/>
  <c r="W49" i="23" s="1"/>
  <c r="V46" i="23"/>
  <c r="V61" i="23"/>
  <c r="V53" i="23"/>
  <c r="W53" i="23" s="1"/>
  <c r="V22" i="23"/>
  <c r="W22" i="23" s="1"/>
  <c r="V29" i="23"/>
  <c r="W29" i="23" s="1"/>
  <c r="V48" i="23"/>
  <c r="W48" i="23" s="1"/>
  <c r="V25" i="23"/>
  <c r="W25" i="23" s="1"/>
  <c r="V31" i="23"/>
  <c r="W31" i="23" s="1"/>
  <c r="V8" i="23"/>
  <c r="W8" i="23" s="1"/>
  <c r="V44" i="23"/>
  <c r="V54" i="23"/>
  <c r="W54" i="23" s="1"/>
  <c r="V6" i="23"/>
  <c r="W6" i="23" s="1"/>
  <c r="J10" i="4"/>
  <c r="J39" i="4" s="1"/>
  <c r="V35" i="23"/>
  <c r="W35" i="23" s="1"/>
  <c r="V62" i="23"/>
  <c r="W62" i="23" s="1"/>
  <c r="V11" i="23"/>
  <c r="W11" i="23" s="1"/>
  <c r="V4" i="23"/>
  <c r="W4" i="23" s="1"/>
  <c r="V41" i="23"/>
  <c r="W41" i="23" s="1"/>
  <c r="V21" i="23"/>
  <c r="W21" i="23" s="1"/>
  <c r="V58" i="23"/>
  <c r="V64" i="23"/>
  <c r="W64" i="23" s="1"/>
  <c r="V37" i="23"/>
  <c r="W37" i="23" s="1"/>
  <c r="V30" i="23"/>
  <c r="W30" i="23" s="1"/>
  <c r="V18" i="23"/>
  <c r="W18" i="23" s="1"/>
  <c r="V32" i="23"/>
  <c r="W32" i="23" s="1"/>
  <c r="V15" i="23"/>
  <c r="W15" i="23" s="1"/>
  <c r="V5" i="23"/>
  <c r="W5" i="23" s="1"/>
  <c r="V28" i="23"/>
  <c r="W28" i="23" s="1"/>
  <c r="V33" i="23"/>
  <c r="W33" i="23" s="1"/>
  <c r="V47" i="23"/>
  <c r="W47" i="23" s="1"/>
  <c r="V23" i="23"/>
  <c r="W23" i="23" s="1"/>
  <c r="V26" i="23"/>
  <c r="W26" i="23" s="1"/>
  <c r="V38" i="23"/>
  <c r="W38" i="23" s="1"/>
  <c r="V45" i="23"/>
  <c r="V50" i="23"/>
  <c r="W50" i="23" s="1"/>
  <c r="V55" i="23"/>
  <c r="W55" i="23" s="1"/>
  <c r="V60" i="23"/>
  <c r="W60" i="23" s="1"/>
  <c r="V13" i="23"/>
  <c r="W13" i="23" s="1"/>
  <c r="V14" i="23"/>
  <c r="W14" i="23" s="1"/>
  <c r="V42" i="23"/>
  <c r="W42" i="23" s="1"/>
  <c r="V43" i="23"/>
  <c r="W43" i="23" s="1"/>
  <c r="V12" i="23"/>
  <c r="W12" i="23" s="1"/>
  <c r="V57" i="23"/>
  <c r="W57" i="23" s="1"/>
  <c r="V19" i="23"/>
  <c r="W19" i="23" s="1"/>
  <c r="V36" i="23"/>
  <c r="W36" i="23" s="1"/>
  <c r="V63" i="23"/>
  <c r="V16" i="23"/>
  <c r="W16" i="23" s="1"/>
  <c r="V56" i="23"/>
  <c r="W56" i="23" s="1"/>
  <c r="V7" i="23"/>
  <c r="W7" i="23" s="1"/>
  <c r="V52" i="23"/>
  <c r="W52" i="23" s="1"/>
  <c r="V39" i="23"/>
  <c r="W39" i="23" s="1"/>
  <c r="V40" i="23"/>
  <c r="W40" i="23" s="1"/>
  <c r="V17" i="23"/>
  <c r="W17" i="23" s="1"/>
  <c r="B8" i="3"/>
  <c r="H25" i="1" s="1"/>
  <c r="B9" i="3"/>
  <c r="H26" i="1" s="1"/>
  <c r="B6" i="3"/>
  <c r="H23" i="1" s="1"/>
  <c r="B5" i="3"/>
  <c r="B7" i="3"/>
  <c r="H24" i="1" s="1"/>
  <c r="I7" i="22"/>
  <c r="H15" i="22"/>
  <c r="AM13" i="23"/>
  <c r="AM14" i="23" s="1"/>
  <c r="M43" i="1" s="1"/>
  <c r="M29" i="1"/>
  <c r="O48" i="1"/>
  <c r="D57" i="1" s="1"/>
  <c r="AJ13" i="23"/>
  <c r="AJ14" i="23" s="1"/>
  <c r="M41" i="1" s="1"/>
  <c r="H40" i="10"/>
  <c r="I40" i="10" s="1"/>
  <c r="H22" i="10"/>
  <c r="I22" i="10" s="1"/>
  <c r="H41" i="10"/>
  <c r="I41" i="10" s="1"/>
  <c r="H24" i="10"/>
  <c r="I24" i="10" s="1"/>
  <c r="H25" i="10"/>
  <c r="I25" i="10" s="1"/>
  <c r="H19" i="10"/>
  <c r="I19" i="10" s="1"/>
  <c r="H23" i="10"/>
  <c r="I23" i="10" s="1"/>
  <c r="H26" i="10"/>
  <c r="I26" i="10" s="1"/>
  <c r="D56" i="1"/>
  <c r="O56" i="1" s="1"/>
  <c r="H21" i="10"/>
  <c r="I21" i="10" s="1"/>
  <c r="H45" i="24" l="1"/>
  <c r="I45" i="24" s="1"/>
  <c r="H57" i="1"/>
  <c r="G24" i="4"/>
  <c r="G8" i="4"/>
  <c r="G12" i="4" s="1"/>
  <c r="G44" i="4" s="1"/>
  <c r="G28" i="4" s="1"/>
  <c r="G21" i="4"/>
  <c r="G23" i="4"/>
  <c r="G40" i="4" s="1"/>
  <c r="H9" i="4" s="1"/>
  <c r="H41" i="4" s="1"/>
  <c r="G11" i="4"/>
  <c r="G20" i="4" s="1"/>
  <c r="AB143" i="22"/>
  <c r="AJ138" i="22"/>
  <c r="AI139" i="22"/>
  <c r="D131" i="4"/>
  <c r="D130" i="4" s="1"/>
  <c r="D135" i="4" s="1"/>
  <c r="P153" i="22"/>
  <c r="P152" i="22"/>
  <c r="O95" i="22"/>
  <c r="O98" i="22"/>
  <c r="AD140" i="22"/>
  <c r="AE140" i="22" s="1"/>
  <c r="AC141" i="22"/>
  <c r="AC142" i="22"/>
  <c r="U105" i="22"/>
  <c r="AI3" i="23"/>
  <c r="G13" i="4"/>
  <c r="J38" i="4"/>
  <c r="K10" i="4" s="1"/>
  <c r="K39" i="4" s="1"/>
  <c r="AH5" i="23"/>
  <c r="AF3" i="23"/>
  <c r="AF6" i="23"/>
  <c r="AI4" i="23"/>
  <c r="AI6" i="23"/>
  <c r="AH3" i="23"/>
  <c r="AG5" i="23"/>
  <c r="AH7" i="23"/>
  <c r="AF4" i="23"/>
  <c r="AI5" i="23"/>
  <c r="AI7" i="23"/>
  <c r="AG6" i="23"/>
  <c r="AF5" i="23"/>
  <c r="AH4" i="23"/>
  <c r="AF7" i="23"/>
  <c r="AG7" i="23"/>
  <c r="AG3" i="23"/>
  <c r="AH6" i="23"/>
  <c r="AG4" i="23"/>
  <c r="H22" i="1"/>
  <c r="B10" i="3"/>
  <c r="J7" i="22"/>
  <c r="I15" i="22"/>
  <c r="G26" i="4" l="1"/>
  <c r="G15" i="4"/>
  <c r="G16" i="4" s="1"/>
  <c r="G17" i="4" s="1"/>
  <c r="AC143" i="22"/>
  <c r="D132" i="4"/>
  <c r="D137" i="4" s="1"/>
  <c r="D136" i="4"/>
  <c r="H5" i="4" s="1"/>
  <c r="AK138" i="22"/>
  <c r="AJ139" i="22"/>
  <c r="O96" i="22"/>
  <c r="O104" i="22"/>
  <c r="AD141" i="22"/>
  <c r="AD142" i="22"/>
  <c r="Q149" i="22"/>
  <c r="P99" i="22" s="1"/>
  <c r="V105" i="22"/>
  <c r="AB144" i="22"/>
  <c r="K38" i="4"/>
  <c r="L10" i="4" s="1"/>
  <c r="L39" i="4" s="1"/>
  <c r="K7" i="22"/>
  <c r="J15" i="22"/>
  <c r="G19" i="4" l="1"/>
  <c r="G22" i="4" s="1"/>
  <c r="AD143" i="22"/>
  <c r="Q150" i="22" s="1"/>
  <c r="D138" i="4"/>
  <c r="AL138" i="22"/>
  <c r="AK139" i="22"/>
  <c r="H14" i="4"/>
  <c r="H25" i="4"/>
  <c r="H31" i="4"/>
  <c r="H6" i="4"/>
  <c r="AF140" i="22"/>
  <c r="AE141" i="22"/>
  <c r="AE142" i="22"/>
  <c r="P100" i="22"/>
  <c r="P93" i="22"/>
  <c r="Q148" i="22"/>
  <c r="E126" i="4" s="1"/>
  <c r="W105" i="22"/>
  <c r="AC144" i="22"/>
  <c r="L38" i="4"/>
  <c r="K15" i="22"/>
  <c r="L7" i="22"/>
  <c r="L15" i="22" s="1"/>
  <c r="G29" i="4" l="1"/>
  <c r="G30" i="4"/>
  <c r="G34" i="4"/>
  <c r="AE143" i="22"/>
  <c r="AM138" i="22"/>
  <c r="AL139" i="22"/>
  <c r="H8" i="4"/>
  <c r="H12" i="4" s="1"/>
  <c r="H44" i="4" s="1"/>
  <c r="H28" i="4" s="1"/>
  <c r="H11" i="4"/>
  <c r="H20" i="4" s="1"/>
  <c r="H23" i="4"/>
  <c r="H40" i="4" s="1"/>
  <c r="I9" i="4" s="1"/>
  <c r="I41" i="4" s="1"/>
  <c r="H21" i="4"/>
  <c r="H24" i="4"/>
  <c r="E125" i="4"/>
  <c r="E127" i="4"/>
  <c r="P94" i="22"/>
  <c r="P97" i="22"/>
  <c r="AG140" i="22"/>
  <c r="AF141" i="22"/>
  <c r="AF142" i="22"/>
  <c r="Q151" i="22"/>
  <c r="X105" i="22"/>
  <c r="AD144" i="22"/>
  <c r="M10" i="4"/>
  <c r="M39" i="4" s="1"/>
  <c r="G35" i="4" l="1"/>
  <c r="G32" i="4"/>
  <c r="AF143" i="22"/>
  <c r="G45" i="4"/>
  <c r="G47" i="4"/>
  <c r="G46" i="4"/>
  <c r="AN138" i="22"/>
  <c r="AM139" i="22"/>
  <c r="E131" i="4"/>
  <c r="E132" i="4" s="1"/>
  <c r="E137" i="4" s="1"/>
  <c r="Q153" i="22"/>
  <c r="I5" i="4" s="1"/>
  <c r="Q152" i="22"/>
  <c r="H26" i="4"/>
  <c r="AH140" i="22"/>
  <c r="AG141" i="22"/>
  <c r="AG142" i="22"/>
  <c r="P95" i="22"/>
  <c r="P98" i="22"/>
  <c r="Y105" i="22"/>
  <c r="AE144" i="22"/>
  <c r="M38" i="4"/>
  <c r="G36" i="4" l="1"/>
  <c r="G43" i="4" s="1"/>
  <c r="H13" i="4" s="1"/>
  <c r="H15" i="4" s="1"/>
  <c r="H16" i="4" s="1"/>
  <c r="H17" i="4" s="1"/>
  <c r="H19" i="4" s="1"/>
  <c r="H22" i="4" s="1"/>
  <c r="AG143" i="22"/>
  <c r="AO138" i="22"/>
  <c r="AN139" i="22"/>
  <c r="E136" i="4"/>
  <c r="E130" i="4"/>
  <c r="E135" i="4" s="1"/>
  <c r="I25" i="4"/>
  <c r="P104" i="22"/>
  <c r="P96" i="22"/>
  <c r="AI140" i="22"/>
  <c r="AH142" i="22"/>
  <c r="AH141" i="22"/>
  <c r="R149" i="22"/>
  <c r="Q99" i="22" s="1"/>
  <c r="I31" i="4"/>
  <c r="I6" i="4"/>
  <c r="I14" i="4"/>
  <c r="Z105" i="22"/>
  <c r="AF144" i="22"/>
  <c r="N10" i="4"/>
  <c r="N39" i="4" s="1"/>
  <c r="G56" i="4" l="1"/>
  <c r="H29" i="4"/>
  <c r="H34" i="4"/>
  <c r="H30" i="4"/>
  <c r="AH143" i="22"/>
  <c r="R150" i="22" s="1"/>
  <c r="I24" i="4"/>
  <c r="E138" i="4"/>
  <c r="AP138" i="22"/>
  <c r="AO139" i="22"/>
  <c r="AJ140" i="22"/>
  <c r="AI141" i="22"/>
  <c r="AI142" i="22"/>
  <c r="R148" i="22"/>
  <c r="F126" i="4" s="1"/>
  <c r="Q93" i="22"/>
  <c r="Q100" i="22"/>
  <c r="I8" i="4"/>
  <c r="I12" i="4" s="1"/>
  <c r="I44" i="4" s="1"/>
  <c r="I28" i="4" s="1"/>
  <c r="I23" i="4"/>
  <c r="I21" i="4"/>
  <c r="I11" i="4"/>
  <c r="I20" i="4" s="1"/>
  <c r="AA105" i="22"/>
  <c r="AG144" i="22"/>
  <c r="N38" i="4"/>
  <c r="H35" i="4" l="1"/>
  <c r="H32" i="4"/>
  <c r="AI143" i="22"/>
  <c r="I26" i="4"/>
  <c r="AQ138" i="22"/>
  <c r="AP139" i="22"/>
  <c r="F127" i="4"/>
  <c r="F125" i="4"/>
  <c r="Q97" i="22"/>
  <c r="Q94" i="22"/>
  <c r="AK140" i="22"/>
  <c r="AJ141" i="22"/>
  <c r="AJ142" i="22"/>
  <c r="I40" i="4"/>
  <c r="J9" i="4" s="1"/>
  <c r="J41" i="4" s="1"/>
  <c r="R151" i="22"/>
  <c r="AB105" i="22"/>
  <c r="AH144" i="22"/>
  <c r="O10" i="4"/>
  <c r="H36" i="4" l="1"/>
  <c r="H43" i="4" s="1"/>
  <c r="H56" i="4" s="1"/>
  <c r="AJ143" i="22"/>
  <c r="AR138" i="22"/>
  <c r="AQ139" i="22"/>
  <c r="F131" i="4"/>
  <c r="F132" i="4" s="1"/>
  <c r="F137" i="4" s="1"/>
  <c r="R153" i="22"/>
  <c r="J5" i="4" s="1"/>
  <c r="R152" i="22"/>
  <c r="AL140" i="22"/>
  <c r="AM140" i="22" s="1"/>
  <c r="AN140" i="22" s="1"/>
  <c r="AK142" i="22"/>
  <c r="AK141" i="22"/>
  <c r="Q95" i="22"/>
  <c r="Q98" i="22"/>
  <c r="AC105" i="22"/>
  <c r="AI144" i="22"/>
  <c r="O39" i="4"/>
  <c r="O38" i="4"/>
  <c r="AK143" i="22" l="1"/>
  <c r="I13" i="4"/>
  <c r="I15" i="4" s="1"/>
  <c r="I16" i="4" s="1"/>
  <c r="I17" i="4" s="1"/>
  <c r="I19" i="4" s="1"/>
  <c r="I22" i="4" s="1"/>
  <c r="F130" i="4"/>
  <c r="F135" i="4" s="1"/>
  <c r="F136" i="4"/>
  <c r="AS138" i="22"/>
  <c r="AR139" i="22"/>
  <c r="J14" i="4"/>
  <c r="Q104" i="22"/>
  <c r="Q96" i="22"/>
  <c r="AL142" i="22"/>
  <c r="AL141" i="22"/>
  <c r="S149" i="22"/>
  <c r="R99" i="22" s="1"/>
  <c r="J6" i="4"/>
  <c r="J31" i="4"/>
  <c r="J25" i="4"/>
  <c r="AD105" i="22"/>
  <c r="AJ144" i="22"/>
  <c r="P10" i="4"/>
  <c r="AL143" i="22" l="1"/>
  <c r="I29" i="4"/>
  <c r="I30" i="4"/>
  <c r="I34" i="4"/>
  <c r="F138" i="4"/>
  <c r="J24" i="4"/>
  <c r="AT138" i="22"/>
  <c r="AS139" i="22"/>
  <c r="S150" i="22"/>
  <c r="R93" i="22"/>
  <c r="R100" i="22"/>
  <c r="S148" i="22"/>
  <c r="G126" i="4" s="1"/>
  <c r="AM141" i="22"/>
  <c r="AM142" i="22"/>
  <c r="J8" i="4"/>
  <c r="J12" i="4" s="1"/>
  <c r="J44" i="4" s="1"/>
  <c r="J28" i="4" s="1"/>
  <c r="J11" i="4"/>
  <c r="J20" i="4" s="1"/>
  <c r="J21" i="4"/>
  <c r="J23" i="4"/>
  <c r="J40" i="4" s="1"/>
  <c r="K9" i="4" s="1"/>
  <c r="AE105" i="22"/>
  <c r="AK144" i="22"/>
  <c r="P38" i="4"/>
  <c r="Q10" i="4" s="1"/>
  <c r="P39" i="4"/>
  <c r="AM143" i="22" l="1"/>
  <c r="I32" i="4"/>
  <c r="I35" i="4"/>
  <c r="AU138" i="22"/>
  <c r="AT139" i="22"/>
  <c r="G127" i="4"/>
  <c r="G125" i="4"/>
  <c r="AN141" i="22"/>
  <c r="AN142" i="22"/>
  <c r="R97" i="22"/>
  <c r="R94" i="22"/>
  <c r="J26" i="4"/>
  <c r="S151" i="22"/>
  <c r="AF105" i="22"/>
  <c r="K41" i="4"/>
  <c r="AL144" i="22"/>
  <c r="Q39" i="4"/>
  <c r="Q38" i="4"/>
  <c r="AN143" i="22" l="1"/>
  <c r="I36" i="4"/>
  <c r="I43" i="4" s="1"/>
  <c r="J13" i="4" s="1"/>
  <c r="J15" i="4" s="1"/>
  <c r="J16" i="4" s="1"/>
  <c r="J17" i="4" s="1"/>
  <c r="J19" i="4" s="1"/>
  <c r="J22" i="4" s="1"/>
  <c r="AV138" i="22"/>
  <c r="AU139" i="22"/>
  <c r="G131" i="4"/>
  <c r="G130" i="4" s="1"/>
  <c r="G135" i="4" s="1"/>
  <c r="S153" i="22"/>
  <c r="K5" i="4" s="1"/>
  <c r="S152" i="22"/>
  <c r="R95" i="22"/>
  <c r="R98" i="22"/>
  <c r="AO142" i="22"/>
  <c r="AO141" i="22"/>
  <c r="AO143" i="22" s="1"/>
  <c r="AG105" i="22"/>
  <c r="AM144" i="22"/>
  <c r="R10" i="4"/>
  <c r="I56" i="4" l="1"/>
  <c r="J29" i="4"/>
  <c r="J34" i="4"/>
  <c r="J30" i="4"/>
  <c r="G132" i="4"/>
  <c r="G137" i="4" s="1"/>
  <c r="T149" i="22"/>
  <c r="S99" i="22" s="1"/>
  <c r="S93" i="22" s="1"/>
  <c r="G136" i="4"/>
  <c r="AW138" i="22"/>
  <c r="AV139" i="22"/>
  <c r="AP142" i="22"/>
  <c r="AP141" i="22"/>
  <c r="AP143" i="22" s="1"/>
  <c r="R104" i="22"/>
  <c r="R96" i="22"/>
  <c r="K25" i="4"/>
  <c r="K31" i="4"/>
  <c r="K14" i="4"/>
  <c r="K6" i="4"/>
  <c r="AH105" i="22"/>
  <c r="AN144" i="22"/>
  <c r="R39" i="4"/>
  <c r="R38" i="4"/>
  <c r="J35" i="4" l="1"/>
  <c r="J32" i="4"/>
  <c r="G138" i="4"/>
  <c r="S100" i="22"/>
  <c r="AX138" i="22"/>
  <c r="AW139" i="22"/>
  <c r="T148" i="22"/>
  <c r="H126" i="4" s="1"/>
  <c r="T150" i="22"/>
  <c r="S97" i="22"/>
  <c r="S94" i="22"/>
  <c r="AQ141" i="22"/>
  <c r="AQ143" i="22" s="1"/>
  <c r="AQ142" i="22"/>
  <c r="K23" i="4"/>
  <c r="K24" i="4"/>
  <c r="K11" i="4"/>
  <c r="K20" i="4" s="1"/>
  <c r="K8" i="4"/>
  <c r="K21" i="4"/>
  <c r="AI105" i="22"/>
  <c r="AO144" i="22"/>
  <c r="S10" i="4"/>
  <c r="J36" i="4" l="1"/>
  <c r="J43" i="4" s="1"/>
  <c r="J56" i="4" s="1"/>
  <c r="AY138" i="22"/>
  <c r="AX139" i="22"/>
  <c r="H125" i="4"/>
  <c r="H127" i="4"/>
  <c r="AR142" i="22"/>
  <c r="AR141" i="22"/>
  <c r="AR143" i="22" s="1"/>
  <c r="S95" i="22"/>
  <c r="S98" i="22"/>
  <c r="K12" i="4"/>
  <c r="K44" i="4" s="1"/>
  <c r="K28" i="4" s="1"/>
  <c r="K26" i="4"/>
  <c r="K40" i="4"/>
  <c r="L9" i="4" s="1"/>
  <c r="L41" i="4" s="1"/>
  <c r="T151" i="22"/>
  <c r="AJ105" i="22"/>
  <c r="AP144" i="22"/>
  <c r="S39" i="4"/>
  <c r="S38" i="4"/>
  <c r="K13" i="4" l="1"/>
  <c r="K15" i="4" s="1"/>
  <c r="K16" i="4" s="1"/>
  <c r="K17" i="4" s="1"/>
  <c r="K19" i="4" s="1"/>
  <c r="K22" i="4" s="1"/>
  <c r="AZ138" i="22"/>
  <c r="AY139" i="22"/>
  <c r="H131" i="4"/>
  <c r="H130" i="4" s="1"/>
  <c r="H135" i="4" s="1"/>
  <c r="T153" i="22"/>
  <c r="L5" i="4" s="1"/>
  <c r="T152" i="22"/>
  <c r="S96" i="22"/>
  <c r="S104" i="22"/>
  <c r="AS142" i="22"/>
  <c r="AS141" i="22"/>
  <c r="AS143" i="22" s="1"/>
  <c r="AK105" i="22"/>
  <c r="AQ144" i="22"/>
  <c r="T10" i="4"/>
  <c r="T38" i="4" s="1"/>
  <c r="K29" i="4" l="1"/>
  <c r="K34" i="4"/>
  <c r="K30" i="4"/>
  <c r="BA138" i="22"/>
  <c r="AZ139" i="22"/>
  <c r="H132" i="4"/>
  <c r="H137" i="4" s="1"/>
  <c r="H136" i="4"/>
  <c r="L31" i="4"/>
  <c r="AT142" i="22"/>
  <c r="AT141" i="22"/>
  <c r="AT143" i="22" s="1"/>
  <c r="U149" i="22"/>
  <c r="T99" i="22" s="1"/>
  <c r="L25" i="4"/>
  <c r="L14" i="4"/>
  <c r="L6" i="4"/>
  <c r="U77" i="4" s="1"/>
  <c r="AL105" i="22"/>
  <c r="AR144" i="22"/>
  <c r="U10" i="4"/>
  <c r="T39" i="4"/>
  <c r="K32" i="4" l="1"/>
  <c r="K35" i="4"/>
  <c r="L21" i="4"/>
  <c r="H138" i="4"/>
  <c r="BB138" i="22"/>
  <c r="BA139" i="22"/>
  <c r="T100" i="22"/>
  <c r="T93" i="22"/>
  <c r="U148" i="22"/>
  <c r="I126" i="4" s="1"/>
  <c r="U150" i="22"/>
  <c r="AU141" i="22"/>
  <c r="AU143" i="22" s="1"/>
  <c r="AU142" i="22"/>
  <c r="L8" i="4"/>
  <c r="L12" i="4" s="1"/>
  <c r="L44" i="4" s="1"/>
  <c r="L28" i="4" s="1"/>
  <c r="L24" i="4"/>
  <c r="L23" i="4"/>
  <c r="L11" i="4"/>
  <c r="L20" i="4" s="1"/>
  <c r="AS144" i="22"/>
  <c r="U39" i="4"/>
  <c r="U38" i="4"/>
  <c r="K36" i="4" l="1"/>
  <c r="K43" i="4" s="1"/>
  <c r="K56" i="4" s="1"/>
  <c r="BC138" i="22"/>
  <c r="BB139" i="22"/>
  <c r="I125" i="4"/>
  <c r="I127" i="4"/>
  <c r="AV141" i="22"/>
  <c r="AV143" i="22" s="1"/>
  <c r="AV142" i="22"/>
  <c r="T94" i="22"/>
  <c r="T97" i="22"/>
  <c r="L26" i="4"/>
  <c r="L40" i="4"/>
  <c r="M9" i="4" s="1"/>
  <c r="M41" i="4" s="1"/>
  <c r="U151" i="22"/>
  <c r="AT144" i="22"/>
  <c r="V10" i="4"/>
  <c r="L13" i="4" l="1"/>
  <c r="L15" i="4" s="1"/>
  <c r="L16" i="4" s="1"/>
  <c r="L17" i="4" s="1"/>
  <c r="L19" i="4" s="1"/>
  <c r="L22" i="4" s="1"/>
  <c r="L29" i="4" s="1"/>
  <c r="BD138" i="22"/>
  <c r="BC139" i="22"/>
  <c r="I131" i="4"/>
  <c r="I132" i="4" s="1"/>
  <c r="I137" i="4" s="1"/>
  <c r="U153" i="22"/>
  <c r="M5" i="4" s="1"/>
  <c r="U152" i="22"/>
  <c r="T95" i="22"/>
  <c r="T98" i="22"/>
  <c r="V149" i="22"/>
  <c r="U99" i="22" s="1"/>
  <c r="AW141" i="22"/>
  <c r="AW143" i="22" s="1"/>
  <c r="AW142" i="22"/>
  <c r="AU144" i="22"/>
  <c r="V39" i="4"/>
  <c r="V38" i="4"/>
  <c r="L34" i="4" l="1"/>
  <c r="L30" i="4"/>
  <c r="L32" i="4" s="1"/>
  <c r="BE138" i="22"/>
  <c r="BD139" i="22"/>
  <c r="I130" i="4"/>
  <c r="I135" i="4" s="1"/>
  <c r="I136" i="4"/>
  <c r="M25" i="4"/>
  <c r="U100" i="22"/>
  <c r="U93" i="22"/>
  <c r="T104" i="22"/>
  <c r="T96" i="22"/>
  <c r="AY140" i="22"/>
  <c r="AX141" i="22"/>
  <c r="AX143" i="22" s="1"/>
  <c r="AX142" i="22"/>
  <c r="M6" i="4"/>
  <c r="M14" i="4"/>
  <c r="M31" i="4"/>
  <c r="AV144" i="22"/>
  <c r="W10" i="4"/>
  <c r="L35" i="4" l="1"/>
  <c r="L36" i="4" s="1"/>
  <c r="L43" i="4" s="1"/>
  <c r="M13" i="4" s="1"/>
  <c r="U78" i="4"/>
  <c r="U76" i="4"/>
  <c r="M23" i="4"/>
  <c r="M40" i="4" s="1"/>
  <c r="N9" i="4" s="1"/>
  <c r="N41" i="4" s="1"/>
  <c r="I138" i="4"/>
  <c r="BF138" i="22"/>
  <c r="BE139" i="22"/>
  <c r="V148" i="22"/>
  <c r="J126" i="4" s="1"/>
  <c r="V150" i="22"/>
  <c r="AZ140" i="22"/>
  <c r="AY142" i="22"/>
  <c r="AY141" i="22"/>
  <c r="AY143" i="22" s="1"/>
  <c r="U97" i="22"/>
  <c r="U94" i="22"/>
  <c r="M24" i="4"/>
  <c r="M21" i="4"/>
  <c r="M11" i="4"/>
  <c r="M20" i="4" s="1"/>
  <c r="M8" i="4"/>
  <c r="AW144" i="22"/>
  <c r="W39" i="4"/>
  <c r="W38" i="4"/>
  <c r="L56" i="4" l="1"/>
  <c r="M26" i="4"/>
  <c r="BG138" i="22"/>
  <c r="BF139" i="22"/>
  <c r="J127" i="4"/>
  <c r="J125" i="4"/>
  <c r="BA140" i="22"/>
  <c r="AZ142" i="22"/>
  <c r="AZ141" i="22"/>
  <c r="AZ143" i="22" s="1"/>
  <c r="U95" i="22"/>
  <c r="U98" i="22"/>
  <c r="M12" i="4"/>
  <c r="M44" i="4" s="1"/>
  <c r="M28" i="4" s="1"/>
  <c r="M15" i="4"/>
  <c r="M16" i="4" s="1"/>
  <c r="M17" i="4" s="1"/>
  <c r="V151" i="22"/>
  <c r="AX144" i="22"/>
  <c r="X10" i="4"/>
  <c r="BH138" i="22" l="1"/>
  <c r="BG139" i="22"/>
  <c r="J131" i="4"/>
  <c r="J130" i="4" s="1"/>
  <c r="J135" i="4" s="1"/>
  <c r="V153" i="22"/>
  <c r="N5" i="4" s="1"/>
  <c r="V152" i="22"/>
  <c r="U96" i="22"/>
  <c r="U104" i="22"/>
  <c r="BB140" i="22"/>
  <c r="W149" i="22" s="1"/>
  <c r="V99" i="22" s="1"/>
  <c r="BA142" i="22"/>
  <c r="BA141" i="22"/>
  <c r="BA143" i="22" s="1"/>
  <c r="M19" i="4"/>
  <c r="M22" i="4" s="1"/>
  <c r="AY144" i="22"/>
  <c r="X38" i="4"/>
  <c r="Y10" i="4" s="1"/>
  <c r="X39" i="4"/>
  <c r="M29" i="4" l="1"/>
  <c r="M34" i="4"/>
  <c r="M30" i="4"/>
  <c r="BI138" i="22"/>
  <c r="BH139" i="22"/>
  <c r="J136" i="4"/>
  <c r="J132" i="4"/>
  <c r="J137" i="4" s="1"/>
  <c r="N14" i="4"/>
  <c r="BC140" i="22"/>
  <c r="BB141" i="22"/>
  <c r="BB143" i="22" s="1"/>
  <c r="BB142" i="22"/>
  <c r="V100" i="22"/>
  <c r="V93" i="22"/>
  <c r="N25" i="4"/>
  <c r="N6" i="4"/>
  <c r="N31" i="4"/>
  <c r="AZ144" i="22"/>
  <c r="Y38" i="4"/>
  <c r="Y39" i="4"/>
  <c r="M32" i="4" l="1"/>
  <c r="M35" i="4"/>
  <c r="M36" i="4" s="1"/>
  <c r="M43" i="4" s="1"/>
  <c r="N13" i="4" s="1"/>
  <c r="U80" i="4"/>
  <c r="U79" i="4"/>
  <c r="J138" i="4"/>
  <c r="BJ138" i="22"/>
  <c r="BI139" i="22"/>
  <c r="W150" i="22"/>
  <c r="BD140" i="22"/>
  <c r="BC142" i="22"/>
  <c r="BC141" i="22"/>
  <c r="BC143" i="22" s="1"/>
  <c r="V97" i="22"/>
  <c r="V94" i="22"/>
  <c r="W148" i="22"/>
  <c r="K126" i="4" s="1"/>
  <c r="N23" i="4"/>
  <c r="N8" i="4"/>
  <c r="N24" i="4"/>
  <c r="N11" i="4"/>
  <c r="N20" i="4" s="1"/>
  <c r="N21" i="4"/>
  <c r="BA144" i="22"/>
  <c r="Z10" i="4"/>
  <c r="M56" i="4" l="1"/>
  <c r="BK138" i="22"/>
  <c r="BJ139" i="22"/>
  <c r="K127" i="4"/>
  <c r="K125" i="4"/>
  <c r="V95" i="22"/>
  <c r="V98" i="22"/>
  <c r="BE140" i="22"/>
  <c r="BD142" i="22"/>
  <c r="BD141" i="22"/>
  <c r="BD143" i="22" s="1"/>
  <c r="N12" i="4"/>
  <c r="N44" i="4" s="1"/>
  <c r="N28" i="4" s="1"/>
  <c r="N15" i="4"/>
  <c r="N16" i="4" s="1"/>
  <c r="N17" i="4" s="1"/>
  <c r="N26" i="4"/>
  <c r="N40" i="4"/>
  <c r="O9" i="4" s="1"/>
  <c r="O41" i="4" s="1"/>
  <c r="W151" i="22"/>
  <c r="BB144" i="22"/>
  <c r="Z38" i="4"/>
  <c r="AA10" i="4" s="1"/>
  <c r="Z39" i="4"/>
  <c r="BL138" i="22" l="1"/>
  <c r="BK139" i="22"/>
  <c r="K131" i="4"/>
  <c r="K130" i="4" s="1"/>
  <c r="K135" i="4" s="1"/>
  <c r="W153" i="22"/>
  <c r="O5" i="4" s="1"/>
  <c r="W152" i="22"/>
  <c r="BF140" i="22"/>
  <c r="BE142" i="22"/>
  <c r="BE141" i="22"/>
  <c r="BE143" i="22" s="1"/>
  <c r="V96" i="22"/>
  <c r="V104" i="22"/>
  <c r="N19" i="4"/>
  <c r="N22" i="4" s="1"/>
  <c r="BC144" i="22"/>
  <c r="AA39" i="4"/>
  <c r="AA38" i="4"/>
  <c r="N29" i="4" l="1"/>
  <c r="N34" i="4"/>
  <c r="N30" i="4"/>
  <c r="BM138" i="22"/>
  <c r="BL139" i="22"/>
  <c r="O6" i="4"/>
  <c r="O21" i="4" s="1"/>
  <c r="K136" i="4"/>
  <c r="K132" i="4"/>
  <c r="K137" i="4" s="1"/>
  <c r="BG140" i="22"/>
  <c r="BF142" i="22"/>
  <c r="BF141" i="22"/>
  <c r="BF143" i="22" s="1"/>
  <c r="X149" i="22"/>
  <c r="W99" i="22" s="1"/>
  <c r="O14" i="4"/>
  <c r="O31" i="4"/>
  <c r="O25" i="4"/>
  <c r="BD144" i="22"/>
  <c r="AB10" i="4"/>
  <c r="AB38" i="4" s="1"/>
  <c r="N32" i="4" l="1"/>
  <c r="N35" i="4"/>
  <c r="N36" i="4" s="1"/>
  <c r="N43" i="4" s="1"/>
  <c r="O23" i="4"/>
  <c r="O40" i="4" s="1"/>
  <c r="P9" i="4" s="1"/>
  <c r="X148" i="22"/>
  <c r="L126" i="4" s="1"/>
  <c r="L127" i="4" s="1"/>
  <c r="O24" i="4"/>
  <c r="O11" i="4"/>
  <c r="O20" i="4" s="1"/>
  <c r="BN138" i="22"/>
  <c r="BM139" i="22"/>
  <c r="O8" i="4"/>
  <c r="O12" i="4" s="1"/>
  <c r="O44" i="4" s="1"/>
  <c r="O28" i="4" s="1"/>
  <c r="K138" i="4"/>
  <c r="W100" i="22"/>
  <c r="W93" i="22"/>
  <c r="BH140" i="22"/>
  <c r="BG142" i="22"/>
  <c r="BG141" i="22"/>
  <c r="BG143" i="22" s="1"/>
  <c r="BE144" i="22"/>
  <c r="X150" i="22"/>
  <c r="AC10" i="4"/>
  <c r="AB39" i="4"/>
  <c r="N56" i="4" l="1"/>
  <c r="O13" i="4"/>
  <c r="O15" i="4" s="1"/>
  <c r="O16" i="4" s="1"/>
  <c r="O17" i="4" s="1"/>
  <c r="O26" i="4"/>
  <c r="L125" i="4"/>
  <c r="BO138" i="22"/>
  <c r="BN139" i="22"/>
  <c r="W94" i="22"/>
  <c r="W97" i="22"/>
  <c r="BI140" i="22"/>
  <c r="BH142" i="22"/>
  <c r="BH141" i="22"/>
  <c r="BH143" i="22" s="1"/>
  <c r="X151" i="22"/>
  <c r="P41" i="4"/>
  <c r="BF144" i="22"/>
  <c r="AC39" i="4"/>
  <c r="AC38" i="4"/>
  <c r="O19" i="4" l="1"/>
  <c r="O22" i="4" s="1"/>
  <c r="BP138" i="22"/>
  <c r="BO139" i="22"/>
  <c r="L131" i="4"/>
  <c r="L132" i="4" s="1"/>
  <c r="L137" i="4" s="1"/>
  <c r="X153" i="22"/>
  <c r="P5" i="4" s="1"/>
  <c r="X152" i="22"/>
  <c r="BJ140" i="22"/>
  <c r="BI142" i="22"/>
  <c r="BI141" i="22"/>
  <c r="BI143" i="22" s="1"/>
  <c r="W95" i="22"/>
  <c r="W98" i="22"/>
  <c r="BG144" i="22"/>
  <c r="AD10" i="4"/>
  <c r="O29" i="4" l="1"/>
  <c r="O34" i="4"/>
  <c r="O30" i="4"/>
  <c r="BQ138" i="22"/>
  <c r="BP139" i="22"/>
  <c r="L130" i="4"/>
  <c r="L135" i="4" s="1"/>
  <c r="L136" i="4"/>
  <c r="W96" i="22"/>
  <c r="W104" i="22"/>
  <c r="BK140" i="22"/>
  <c r="BJ142" i="22"/>
  <c r="BJ141" i="22"/>
  <c r="BJ143" i="22" s="1"/>
  <c r="Y149" i="22"/>
  <c r="X99" i="22" s="1"/>
  <c r="P25" i="4"/>
  <c r="P6" i="4"/>
  <c r="P31" i="4"/>
  <c r="P14" i="4"/>
  <c r="BH144" i="22"/>
  <c r="AD39" i="4"/>
  <c r="AD38" i="4"/>
  <c r="O32" i="4" l="1"/>
  <c r="O35" i="4"/>
  <c r="O36" i="4" s="1"/>
  <c r="O43" i="4" s="1"/>
  <c r="O56" i="4" s="1"/>
  <c r="BR138" i="22"/>
  <c r="BQ139" i="22"/>
  <c r="L138" i="4"/>
  <c r="Y150" i="22"/>
  <c r="X93" i="22"/>
  <c r="X100" i="22"/>
  <c r="BL140" i="22"/>
  <c r="BK141" i="22"/>
  <c r="BK143" i="22" s="1"/>
  <c r="BK142" i="22"/>
  <c r="Y148" i="22"/>
  <c r="M126" i="4" s="1"/>
  <c r="P11" i="4"/>
  <c r="P20" i="4" s="1"/>
  <c r="P23" i="4"/>
  <c r="P21" i="4"/>
  <c r="P24" i="4"/>
  <c r="P8" i="4"/>
  <c r="BI144" i="22"/>
  <c r="AE10" i="4"/>
  <c r="P13" i="4" l="1"/>
  <c r="P15" i="4" s="1"/>
  <c r="P16" i="4" s="1"/>
  <c r="P17" i="4" s="1"/>
  <c r="BS138" i="22"/>
  <c r="BR139" i="22"/>
  <c r="M127" i="4"/>
  <c r="M125" i="4"/>
  <c r="BM140" i="22"/>
  <c r="BL141" i="22"/>
  <c r="BL143" i="22" s="1"/>
  <c r="BL142" i="22"/>
  <c r="X94" i="22"/>
  <c r="X97" i="22"/>
  <c r="P40" i="4"/>
  <c r="Q9" i="4" s="1"/>
  <c r="Q41" i="4" s="1"/>
  <c r="P26" i="4"/>
  <c r="P12" i="4"/>
  <c r="P44" i="4" s="1"/>
  <c r="P28" i="4" s="1"/>
  <c r="Y151" i="22"/>
  <c r="BJ144" i="22"/>
  <c r="AE39" i="4"/>
  <c r="AE38" i="4"/>
  <c r="BT138" i="22" l="1"/>
  <c r="BS139" i="22"/>
  <c r="M131" i="4"/>
  <c r="M130" i="4" s="1"/>
  <c r="M135" i="4" s="1"/>
  <c r="Y153" i="22"/>
  <c r="Q5" i="4" s="1"/>
  <c r="Y152" i="22"/>
  <c r="X98" i="22"/>
  <c r="X95" i="22"/>
  <c r="BN140" i="22"/>
  <c r="Z149" i="22" s="1"/>
  <c r="Y99" i="22" s="1"/>
  <c r="BM142" i="22"/>
  <c r="BM141" i="22"/>
  <c r="BM143" i="22" s="1"/>
  <c r="P19" i="4"/>
  <c r="P22" i="4" s="1"/>
  <c r="BK144" i="22"/>
  <c r="AF10" i="4"/>
  <c r="AF38" i="4" s="1"/>
  <c r="AG38" i="4" s="1"/>
  <c r="P29" i="4" l="1"/>
  <c r="P34" i="4"/>
  <c r="P30" i="4"/>
  <c r="BU138" i="22"/>
  <c r="BT139" i="22"/>
  <c r="M136" i="4"/>
  <c r="M132" i="4"/>
  <c r="M137" i="4" s="1"/>
  <c r="BO140" i="22"/>
  <c r="BN141" i="22"/>
  <c r="BN143" i="22" s="1"/>
  <c r="BN142" i="22"/>
  <c r="X96" i="22"/>
  <c r="X104" i="22"/>
  <c r="Y93" i="22"/>
  <c r="Y100" i="22"/>
  <c r="Q31" i="4"/>
  <c r="Q6" i="4"/>
  <c r="Q25" i="4"/>
  <c r="Q14" i="4"/>
  <c r="BL144" i="22"/>
  <c r="AF39" i="4"/>
  <c r="AG39" i="4" s="1"/>
  <c r="P35" i="4" l="1"/>
  <c r="P36" i="4" s="1"/>
  <c r="P43" i="4" s="1"/>
  <c r="Q13" i="4" s="1"/>
  <c r="P32" i="4"/>
  <c r="M138" i="4"/>
  <c r="BV138" i="22"/>
  <c r="BU139" i="22"/>
  <c r="Y94" i="22"/>
  <c r="Y97" i="22"/>
  <c r="Z148" i="22"/>
  <c r="N126" i="4" s="1"/>
  <c r="Z150" i="22"/>
  <c r="BP140" i="22"/>
  <c r="BQ140" i="22" s="1"/>
  <c r="BO142" i="22"/>
  <c r="BO141" i="22"/>
  <c r="BO143" i="22" s="1"/>
  <c r="Q11" i="4"/>
  <c r="Q20" i="4" s="1"/>
  <c r="Q21" i="4"/>
  <c r="Q24" i="4"/>
  <c r="Q23" i="4"/>
  <c r="Q8" i="4"/>
  <c r="BM144" i="22"/>
  <c r="P56" i="4" l="1"/>
  <c r="BW138" i="22"/>
  <c r="BV139" i="22"/>
  <c r="N125" i="4"/>
  <c r="N127" i="4"/>
  <c r="BP142" i="22"/>
  <c r="BP141" i="22"/>
  <c r="BP143" i="22" s="1"/>
  <c r="Y95" i="22"/>
  <c r="Y98" i="22"/>
  <c r="Q12" i="4"/>
  <c r="Q44" i="4" s="1"/>
  <c r="Q28" i="4" s="1"/>
  <c r="Q15" i="4"/>
  <c r="Q16" i="4" s="1"/>
  <c r="Q17" i="4" s="1"/>
  <c r="Q40" i="4"/>
  <c r="R9" i="4" s="1"/>
  <c r="R41" i="4" s="1"/>
  <c r="Q26" i="4"/>
  <c r="Z151" i="22"/>
  <c r="Z153" i="22" s="1"/>
  <c r="R5" i="4" s="1"/>
  <c r="BN144" i="22"/>
  <c r="BX138" i="22" l="1"/>
  <c r="BW139" i="22"/>
  <c r="Z152" i="22"/>
  <c r="R6" i="4" s="1"/>
  <c r="N131" i="4"/>
  <c r="Y96" i="22"/>
  <c r="Y104" i="22"/>
  <c r="BR140" i="22"/>
  <c r="AA149" i="22" s="1"/>
  <c r="Z99" i="22" s="1"/>
  <c r="BQ141" i="22"/>
  <c r="BQ143" i="22" s="1"/>
  <c r="BQ142" i="22"/>
  <c r="Q19" i="4"/>
  <c r="Q22" i="4" s="1"/>
  <c r="BO144" i="22"/>
  <c r="Q29" i="4" l="1"/>
  <c r="Q34" i="4"/>
  <c r="Q30" i="4"/>
  <c r="BY138" i="22"/>
  <c r="BX139" i="22"/>
  <c r="N132" i="4"/>
  <c r="N137" i="4" s="1"/>
  <c r="N130" i="4"/>
  <c r="N135" i="4" s="1"/>
  <c r="N136" i="4"/>
  <c r="Z100" i="22"/>
  <c r="Z93" i="22"/>
  <c r="BS140" i="22"/>
  <c r="BR141" i="22"/>
  <c r="AA148" i="22" s="1"/>
  <c r="O126" i="4" s="1"/>
  <c r="BR142" i="22"/>
  <c r="R11" i="4"/>
  <c r="R20" i="4" s="1"/>
  <c r="R24" i="4"/>
  <c r="R23" i="4"/>
  <c r="R21" i="4"/>
  <c r="R8" i="4"/>
  <c r="R12" i="4" s="1"/>
  <c r="R44" i="4" s="1"/>
  <c r="R28" i="4" s="1"/>
  <c r="R31" i="4"/>
  <c r="R14" i="4"/>
  <c r="R25" i="4"/>
  <c r="BP144" i="22"/>
  <c r="Q32" i="4" l="1"/>
  <c r="Q35" i="4"/>
  <c r="Q36" i="4" s="1"/>
  <c r="Q43" i="4" s="1"/>
  <c r="Q56" i="4" s="1"/>
  <c r="BZ138" i="22"/>
  <c r="BY139" i="22"/>
  <c r="BR143" i="22"/>
  <c r="AA150" i="22" s="1"/>
  <c r="N138" i="4"/>
  <c r="O127" i="4"/>
  <c r="O125" i="4"/>
  <c r="Z94" i="22"/>
  <c r="Z97" i="22"/>
  <c r="BT140" i="22"/>
  <c r="BS141" i="22"/>
  <c r="BS142" i="22"/>
  <c r="R26" i="4"/>
  <c r="R40" i="4"/>
  <c r="S9" i="4" s="1"/>
  <c r="BQ144" i="22"/>
  <c r="R13" i="4" l="1"/>
  <c r="R15" i="4" s="1"/>
  <c r="R16" i="4" s="1"/>
  <c r="R17" i="4" s="1"/>
  <c r="CA138" i="22"/>
  <c r="BZ139" i="22"/>
  <c r="BS143" i="22"/>
  <c r="BU140" i="22"/>
  <c r="BT142" i="22"/>
  <c r="BT141" i="22"/>
  <c r="Z98" i="22"/>
  <c r="Z95" i="22"/>
  <c r="AA151" i="22"/>
  <c r="AA153" i="22" s="1"/>
  <c r="S5" i="4" s="1"/>
  <c r="S41" i="4"/>
  <c r="BR144" i="22"/>
  <c r="R19" i="4" l="1"/>
  <c r="R22" i="4" s="1"/>
  <c r="CB138" i="22"/>
  <c r="CA139" i="22"/>
  <c r="BT143" i="22"/>
  <c r="AA152" i="22"/>
  <c r="O131" i="4"/>
  <c r="Z104" i="22"/>
  <c r="Z96" i="22"/>
  <c r="BV140" i="22"/>
  <c r="BU142" i="22"/>
  <c r="BU141" i="22"/>
  <c r="BS144" i="22"/>
  <c r="R29" i="4" l="1"/>
  <c r="R34" i="4"/>
  <c r="R30" i="4"/>
  <c r="CC138" i="22"/>
  <c r="CB139" i="22"/>
  <c r="BU143" i="22"/>
  <c r="O130" i="4"/>
  <c r="O135" i="4" s="1"/>
  <c r="O132" i="4"/>
  <c r="O137" i="4" s="1"/>
  <c r="O136" i="4"/>
  <c r="BW140" i="22"/>
  <c r="BV142" i="22"/>
  <c r="BV141" i="22"/>
  <c r="AB149" i="22"/>
  <c r="AA99" i="22" s="1"/>
  <c r="S31" i="4"/>
  <c r="S14" i="4"/>
  <c r="S6" i="4"/>
  <c r="S25" i="4"/>
  <c r="BT144" i="22"/>
  <c r="R35" i="4" l="1"/>
  <c r="R36" i="4" s="1"/>
  <c r="R43" i="4" s="1"/>
  <c r="S13" i="4" s="1"/>
  <c r="R32" i="4"/>
  <c r="CD138" i="22"/>
  <c r="CC139" i="22"/>
  <c r="BV143" i="22"/>
  <c r="AB150" i="22" s="1"/>
  <c r="O138" i="4"/>
  <c r="BX140" i="22"/>
  <c r="BW141" i="22"/>
  <c r="BW142" i="22"/>
  <c r="AA93" i="22"/>
  <c r="AA100" i="22"/>
  <c r="AB148" i="22"/>
  <c r="P126" i="4" s="1"/>
  <c r="S24" i="4"/>
  <c r="S23" i="4"/>
  <c r="S8" i="4"/>
  <c r="S21" i="4"/>
  <c r="S11" i="4"/>
  <c r="S20" i="4" s="1"/>
  <c r="BU144" i="22"/>
  <c r="R56" i="4" l="1"/>
  <c r="CE138" i="22"/>
  <c r="CD139" i="22"/>
  <c r="BW143" i="22"/>
  <c r="P127" i="4"/>
  <c r="P125" i="4"/>
  <c r="AA94" i="22"/>
  <c r="AA97" i="22"/>
  <c r="BY140" i="22"/>
  <c r="BX142" i="22"/>
  <c r="BX141" i="22"/>
  <c r="S15" i="4"/>
  <c r="S16" i="4" s="1"/>
  <c r="S17" i="4" s="1"/>
  <c r="S12" i="4"/>
  <c r="S44" i="4" s="1"/>
  <c r="S28" i="4" s="1"/>
  <c r="S40" i="4"/>
  <c r="T9" i="4" s="1"/>
  <c r="T41" i="4" s="1"/>
  <c r="S26" i="4"/>
  <c r="AB151" i="22"/>
  <c r="AB153" i="22" s="1"/>
  <c r="T5" i="4" s="1"/>
  <c r="BV144" i="22"/>
  <c r="CF138" i="22" l="1"/>
  <c r="CE139" i="22"/>
  <c r="BX143" i="22"/>
  <c r="AB152" i="22"/>
  <c r="P131" i="4"/>
  <c r="BZ140" i="22"/>
  <c r="AC149" i="22" s="1"/>
  <c r="AB99" i="22" s="1"/>
  <c r="BY141" i="22"/>
  <c r="BY142" i="22"/>
  <c r="AA98" i="22"/>
  <c r="AA95" i="22"/>
  <c r="S19" i="4"/>
  <c r="S22" i="4" s="1"/>
  <c r="BW144" i="22"/>
  <c r="S29" i="4" l="1"/>
  <c r="S34" i="4"/>
  <c r="S30" i="4"/>
  <c r="CG138" i="22"/>
  <c r="CF139" i="22"/>
  <c r="BY143" i="22"/>
  <c r="P130" i="4"/>
  <c r="P135" i="4" s="1"/>
  <c r="P132" i="4"/>
  <c r="P137" i="4" s="1"/>
  <c r="P136" i="4"/>
  <c r="AA96" i="22"/>
  <c r="AA104" i="22"/>
  <c r="AB93" i="22"/>
  <c r="AB100" i="22"/>
  <c r="CA140" i="22"/>
  <c r="BZ142" i="22"/>
  <c r="BZ141" i="22"/>
  <c r="T31" i="4"/>
  <c r="T14" i="4"/>
  <c r="T6" i="4"/>
  <c r="T25" i="4"/>
  <c r="BX144" i="22"/>
  <c r="S32" i="4" l="1"/>
  <c r="S35" i="4"/>
  <c r="S36" i="4" s="1"/>
  <c r="S43" i="4" s="1"/>
  <c r="T13" i="4" s="1"/>
  <c r="CH138" i="22"/>
  <c r="CG139" i="22"/>
  <c r="BZ143" i="22"/>
  <c r="AC150" i="22" s="1"/>
  <c r="P138" i="4"/>
  <c r="AC148" i="22"/>
  <c r="Q126" i="4" s="1"/>
  <c r="CB140" i="22"/>
  <c r="CA142" i="22"/>
  <c r="CA141" i="22"/>
  <c r="AB94" i="22"/>
  <c r="AB97" i="22"/>
  <c r="T21" i="4"/>
  <c r="T8" i="4"/>
  <c r="T23" i="4"/>
  <c r="T11" i="4"/>
  <c r="T20" i="4" s="1"/>
  <c r="T24" i="4"/>
  <c r="BY144" i="22"/>
  <c r="S56" i="4" l="1"/>
  <c r="CI138" i="22"/>
  <c r="CH139" i="22"/>
  <c r="CA143" i="22"/>
  <c r="Q127" i="4"/>
  <c r="Q125" i="4"/>
  <c r="CC140" i="22"/>
  <c r="CB142" i="22"/>
  <c r="CB141" i="22"/>
  <c r="AB95" i="22"/>
  <c r="AB98" i="22"/>
  <c r="T26" i="4"/>
  <c r="T40" i="4"/>
  <c r="U9" i="4" s="1"/>
  <c r="U41" i="4" s="1"/>
  <c r="T12" i="4"/>
  <c r="T44" i="4" s="1"/>
  <c r="T28" i="4" s="1"/>
  <c r="T15" i="4"/>
  <c r="T16" i="4" s="1"/>
  <c r="T17" i="4" s="1"/>
  <c r="AC151" i="22"/>
  <c r="AC153" i="22" s="1"/>
  <c r="U5" i="4" s="1"/>
  <c r="BZ144" i="22"/>
  <c r="CJ138" i="22" l="1"/>
  <c r="CI139" i="22"/>
  <c r="CB143" i="22"/>
  <c r="AC152" i="22"/>
  <c r="Q131" i="4"/>
  <c r="AB104" i="22"/>
  <c r="AB96" i="22"/>
  <c r="CD140" i="22"/>
  <c r="AD149" i="22" s="1"/>
  <c r="AC99" i="22" s="1"/>
  <c r="CC141" i="22"/>
  <c r="CC142" i="22"/>
  <c r="T19" i="4"/>
  <c r="T22" i="4" s="1"/>
  <c r="CA144" i="22"/>
  <c r="T29" i="4" l="1"/>
  <c r="T34" i="4"/>
  <c r="T30" i="4"/>
  <c r="CK138" i="22"/>
  <c r="CJ139" i="22"/>
  <c r="CC143" i="22"/>
  <c r="Q132" i="4"/>
  <c r="Q137" i="4" s="1"/>
  <c r="Q130" i="4"/>
  <c r="Q135" i="4" s="1"/>
  <c r="Q136" i="4"/>
  <c r="AC93" i="22"/>
  <c r="AC100" i="22"/>
  <c r="CE140" i="22"/>
  <c r="CD142" i="22"/>
  <c r="CD141" i="22"/>
  <c r="U14" i="4"/>
  <c r="U31" i="4"/>
  <c r="U6" i="4"/>
  <c r="U25" i="4"/>
  <c r="CB144" i="22"/>
  <c r="T35" i="4" l="1"/>
  <c r="T36" i="4" s="1"/>
  <c r="T43" i="4" s="1"/>
  <c r="U13" i="4" s="1"/>
  <c r="T32" i="4"/>
  <c r="CL138" i="22"/>
  <c r="CK139" i="22"/>
  <c r="CD143" i="22"/>
  <c r="AD150" i="22" s="1"/>
  <c r="Q138" i="4"/>
  <c r="CF140" i="22"/>
  <c r="CE141" i="22"/>
  <c r="CE142" i="22"/>
  <c r="AD148" i="22"/>
  <c r="R126" i="4" s="1"/>
  <c r="AC97" i="22"/>
  <c r="AC94" i="22"/>
  <c r="U8" i="4"/>
  <c r="U11" i="4"/>
  <c r="U20" i="4" s="1"/>
  <c r="U24" i="4"/>
  <c r="U21" i="4"/>
  <c r="U23" i="4"/>
  <c r="CC144" i="22"/>
  <c r="T56" i="4" l="1"/>
  <c r="CM138" i="22"/>
  <c r="CL139" i="22"/>
  <c r="CE143" i="22"/>
  <c r="R125" i="4"/>
  <c r="R127" i="4"/>
  <c r="AC95" i="22"/>
  <c r="AC98" i="22"/>
  <c r="CG140" i="22"/>
  <c r="CF141" i="22"/>
  <c r="CF142" i="22"/>
  <c r="U40" i="4"/>
  <c r="V9" i="4" s="1"/>
  <c r="V41" i="4" s="1"/>
  <c r="U26" i="4"/>
  <c r="U12" i="4"/>
  <c r="U44" i="4" s="1"/>
  <c r="U28" i="4" s="1"/>
  <c r="U15" i="4"/>
  <c r="U16" i="4" s="1"/>
  <c r="U17" i="4" s="1"/>
  <c r="AD151" i="22"/>
  <c r="AD153" i="22" s="1"/>
  <c r="V5" i="4" s="1"/>
  <c r="CD144" i="22"/>
  <c r="CN138" i="22" l="1"/>
  <c r="CM139" i="22"/>
  <c r="CF143" i="22"/>
  <c r="AD152" i="22"/>
  <c r="V14" i="4" s="1"/>
  <c r="R131" i="4"/>
  <c r="CH140" i="22"/>
  <c r="AE149" i="22" s="1"/>
  <c r="AD99" i="22" s="1"/>
  <c r="CG142" i="22"/>
  <c r="CG141" i="22"/>
  <c r="AC96" i="22"/>
  <c r="AC104" i="22"/>
  <c r="U19" i="4"/>
  <c r="U22" i="4" s="1"/>
  <c r="CE144" i="22"/>
  <c r="U29" i="4" l="1"/>
  <c r="U34" i="4"/>
  <c r="U30" i="4"/>
  <c r="CO138" i="22"/>
  <c r="CN139" i="22"/>
  <c r="CG143" i="22"/>
  <c r="R130" i="4"/>
  <c r="R135" i="4" s="1"/>
  <c r="R132" i="4"/>
  <c r="R137" i="4" s="1"/>
  <c r="R136" i="4"/>
  <c r="AD93" i="22"/>
  <c r="AD100" i="22"/>
  <c r="CI140" i="22"/>
  <c r="CH142" i="22"/>
  <c r="CH141" i="22"/>
  <c r="V25" i="4"/>
  <c r="V6" i="4"/>
  <c r="V23" i="4" s="1"/>
  <c r="V40" i="4" s="1"/>
  <c r="V31" i="4"/>
  <c r="CF144" i="22"/>
  <c r="U35" i="4" l="1"/>
  <c r="U36" i="4" s="1"/>
  <c r="U43" i="4" s="1"/>
  <c r="U56" i="4" s="1"/>
  <c r="U32" i="4"/>
  <c r="CP138" i="22"/>
  <c r="CO139" i="22"/>
  <c r="CH143" i="22"/>
  <c r="AE150" i="22" s="1"/>
  <c r="R138" i="4"/>
  <c r="CJ140" i="22"/>
  <c r="CI141" i="22"/>
  <c r="CI142" i="22"/>
  <c r="AE148" i="22"/>
  <c r="S126" i="4" s="1"/>
  <c r="AD94" i="22"/>
  <c r="AD97" i="22"/>
  <c r="V11" i="4"/>
  <c r="V20" i="4" s="1"/>
  <c r="V8" i="4"/>
  <c r="V12" i="4" s="1"/>
  <c r="V44" i="4" s="1"/>
  <c r="V28" i="4" s="1"/>
  <c r="V21" i="4"/>
  <c r="V24" i="4"/>
  <c r="V26" i="4" s="1"/>
  <c r="W9" i="4"/>
  <c r="W41" i="4" s="1"/>
  <c r="CG144" i="22"/>
  <c r="V13" i="4" l="1"/>
  <c r="V15" i="4" s="1"/>
  <c r="V16" i="4" s="1"/>
  <c r="V17" i="4" s="1"/>
  <c r="CQ138" i="22"/>
  <c r="CP139" i="22"/>
  <c r="CI143" i="22"/>
  <c r="S125" i="4"/>
  <c r="S127" i="4"/>
  <c r="AD95" i="22"/>
  <c r="AD98" i="22"/>
  <c r="CK140" i="22"/>
  <c r="CJ142" i="22"/>
  <c r="CJ141" i="22"/>
  <c r="AE151" i="22"/>
  <c r="AE153" i="22" s="1"/>
  <c r="W5" i="4" s="1"/>
  <c r="CH144" i="22"/>
  <c r="CR138" i="22" l="1"/>
  <c r="CQ139" i="22"/>
  <c r="CJ143" i="22"/>
  <c r="AE152" i="22"/>
  <c r="S131" i="4"/>
  <c r="CL140" i="22"/>
  <c r="AF149" i="22" s="1"/>
  <c r="AE99" i="22" s="1"/>
  <c r="CK142" i="22"/>
  <c r="CK141" i="22"/>
  <c r="AD104" i="22"/>
  <c r="AD96" i="22"/>
  <c r="V19" i="4"/>
  <c r="V22" i="4" s="1"/>
  <c r="W25" i="4"/>
  <c r="CI144" i="22"/>
  <c r="V29" i="4" l="1"/>
  <c r="V34" i="4"/>
  <c r="V30" i="4"/>
  <c r="CS138" i="22"/>
  <c r="CR139" i="22"/>
  <c r="CK143" i="22"/>
  <c r="S130" i="4"/>
  <c r="S135" i="4" s="1"/>
  <c r="S132" i="4"/>
  <c r="S137" i="4" s="1"/>
  <c r="S136" i="4"/>
  <c r="AE93" i="22"/>
  <c r="AE100" i="22"/>
  <c r="CM140" i="22"/>
  <c r="CL142" i="22"/>
  <c r="CL141" i="22"/>
  <c r="W14" i="4"/>
  <c r="W6" i="4"/>
  <c r="W31" i="4"/>
  <c r="CJ144" i="22"/>
  <c r="V35" i="4" l="1"/>
  <c r="V36" i="4" s="1"/>
  <c r="V43" i="4" s="1"/>
  <c r="V56" i="4" s="1"/>
  <c r="V32" i="4"/>
  <c r="CT138" i="22"/>
  <c r="CS139" i="22"/>
  <c r="CL143" i="22"/>
  <c r="AF150" i="22" s="1"/>
  <c r="S138" i="4"/>
  <c r="CN140" i="22"/>
  <c r="CM141" i="22"/>
  <c r="CM142" i="22"/>
  <c r="AE97" i="22"/>
  <c r="AE94" i="22"/>
  <c r="AF148" i="22"/>
  <c r="T126" i="4" s="1"/>
  <c r="W21" i="4"/>
  <c r="W8" i="4"/>
  <c r="W11" i="4"/>
  <c r="W20" i="4" s="1"/>
  <c r="W24" i="4"/>
  <c r="W23" i="4"/>
  <c r="CK144" i="22"/>
  <c r="W13" i="4" l="1"/>
  <c r="W15" i="4" s="1"/>
  <c r="W16" i="4" s="1"/>
  <c r="W17" i="4" s="1"/>
  <c r="CU138" i="22"/>
  <c r="CT139" i="22"/>
  <c r="CM143" i="22"/>
  <c r="T125" i="4"/>
  <c r="T127" i="4"/>
  <c r="AE95" i="22"/>
  <c r="AE98" i="22"/>
  <c r="CO140" i="22"/>
  <c r="CN141" i="22"/>
  <c r="CN142" i="22"/>
  <c r="W40" i="4"/>
  <c r="X9" i="4" s="1"/>
  <c r="X41" i="4" s="1"/>
  <c r="W26" i="4"/>
  <c r="W12" i="4"/>
  <c r="W44" i="4" s="1"/>
  <c r="W28" i="4" s="1"/>
  <c r="AF151" i="22"/>
  <c r="AF153" i="22" s="1"/>
  <c r="X5" i="4" s="1"/>
  <c r="CL144" i="22"/>
  <c r="CV138" i="22" l="1"/>
  <c r="CU139" i="22"/>
  <c r="CN143" i="22"/>
  <c r="AF152" i="22"/>
  <c r="T131" i="4"/>
  <c r="AE96" i="22"/>
  <c r="AE104" i="22"/>
  <c r="CP140" i="22"/>
  <c r="AG149" i="22" s="1"/>
  <c r="AF99" i="22" s="1"/>
  <c r="CO141" i="22"/>
  <c r="CO142" i="22"/>
  <c r="W19" i="4"/>
  <c r="W22" i="4" s="1"/>
  <c r="CM144" i="22"/>
  <c r="W29" i="4" l="1"/>
  <c r="W34" i="4"/>
  <c r="W30" i="4"/>
  <c r="CW138" i="22"/>
  <c r="CV139" i="22"/>
  <c r="CO143" i="22"/>
  <c r="T130" i="4"/>
  <c r="T135" i="4" s="1"/>
  <c r="T132" i="4"/>
  <c r="T137" i="4" s="1"/>
  <c r="T136" i="4"/>
  <c r="CQ140" i="22"/>
  <c r="CP142" i="22"/>
  <c r="CP141" i="22"/>
  <c r="AF93" i="22"/>
  <c r="AF100" i="22"/>
  <c r="X31" i="4"/>
  <c r="X14" i="4"/>
  <c r="X25" i="4"/>
  <c r="X6" i="4"/>
  <c r="CN144" i="22"/>
  <c r="W35" i="4" l="1"/>
  <c r="W36" i="4" s="1"/>
  <c r="W43" i="4" s="1"/>
  <c r="X13" i="4" s="1"/>
  <c r="W32" i="4"/>
  <c r="CX138" i="22"/>
  <c r="CW139" i="22"/>
  <c r="CP143" i="22"/>
  <c r="AG150" i="22" s="1"/>
  <c r="T138" i="4"/>
  <c r="AG148" i="22"/>
  <c r="U126" i="4" s="1"/>
  <c r="AF94" i="22"/>
  <c r="AF97" i="22"/>
  <c r="CR140" i="22"/>
  <c r="CQ141" i="22"/>
  <c r="CQ142" i="22"/>
  <c r="X8" i="4"/>
  <c r="X23" i="4"/>
  <c r="X11" i="4"/>
  <c r="X20" i="4" s="1"/>
  <c r="X24" i="4"/>
  <c r="X21" i="4"/>
  <c r="CO144" i="22"/>
  <c r="W56" i="4" l="1"/>
  <c r="CY138" i="22"/>
  <c r="CX139" i="22"/>
  <c r="CQ143" i="22"/>
  <c r="U127" i="4"/>
  <c r="U125" i="4"/>
  <c r="AF98" i="22"/>
  <c r="AF95" i="22"/>
  <c r="CS140" i="22"/>
  <c r="CR142" i="22"/>
  <c r="CR141" i="22"/>
  <c r="X40" i="4"/>
  <c r="Y9" i="4" s="1"/>
  <c r="Y41" i="4" s="1"/>
  <c r="X26" i="4"/>
  <c r="X12" i="4"/>
  <c r="X44" i="4" s="1"/>
  <c r="X28" i="4" s="1"/>
  <c r="X15" i="4"/>
  <c r="X16" i="4" s="1"/>
  <c r="X17" i="4" s="1"/>
  <c r="AG151" i="22"/>
  <c r="AG153" i="22" s="1"/>
  <c r="Y5" i="4" s="1"/>
  <c r="CP144" i="22"/>
  <c r="CZ138" i="22" l="1"/>
  <c r="CY139" i="22"/>
  <c r="CR143" i="22"/>
  <c r="AG152" i="22"/>
  <c r="Y31" i="4" s="1"/>
  <c r="U131" i="4"/>
  <c r="AF96" i="22"/>
  <c r="AF104" i="22"/>
  <c r="CT140" i="22"/>
  <c r="CS141" i="22"/>
  <c r="CS142" i="22"/>
  <c r="X19" i="4"/>
  <c r="X22" i="4" s="1"/>
  <c r="CQ144" i="22"/>
  <c r="X29" i="4" l="1"/>
  <c r="X34" i="4"/>
  <c r="X30" i="4"/>
  <c r="DA138" i="22"/>
  <c r="CZ139" i="22"/>
  <c r="CS143" i="22"/>
  <c r="U130" i="4"/>
  <c r="U135" i="4" s="1"/>
  <c r="U132" i="4"/>
  <c r="U137" i="4" s="1"/>
  <c r="U136" i="4"/>
  <c r="CU140" i="22"/>
  <c r="CT141" i="22"/>
  <c r="AH148" i="22" s="1"/>
  <c r="V126" i="4" s="1"/>
  <c r="CT142" i="22"/>
  <c r="AH149" i="22"/>
  <c r="AG99" i="22" s="1"/>
  <c r="Y14" i="4"/>
  <c r="Y6" i="4"/>
  <c r="Y21" i="4" s="1"/>
  <c r="Y25" i="4"/>
  <c r="CR144" i="22"/>
  <c r="X32" i="4" l="1"/>
  <c r="X35" i="4"/>
  <c r="X36" i="4" s="1"/>
  <c r="X43" i="4" s="1"/>
  <c r="X56" i="4" s="1"/>
  <c r="DB138" i="22"/>
  <c r="DA139" i="22"/>
  <c r="CT143" i="22"/>
  <c r="AH150" i="22" s="1"/>
  <c r="U138" i="4"/>
  <c r="V127" i="4"/>
  <c r="V125" i="4"/>
  <c r="AG100" i="22"/>
  <c r="AG93" i="22"/>
  <c r="CV140" i="22"/>
  <c r="CU142" i="22"/>
  <c r="CU141" i="22"/>
  <c r="Y11" i="4"/>
  <c r="Y20" i="4" s="1"/>
  <c r="Y23" i="4"/>
  <c r="Y24" i="4"/>
  <c r="Y8" i="4"/>
  <c r="CS144" i="22"/>
  <c r="Y13" i="4" l="1"/>
  <c r="Y15" i="4" s="1"/>
  <c r="Y16" i="4" s="1"/>
  <c r="Y17" i="4" s="1"/>
  <c r="DC138" i="22"/>
  <c r="DB139" i="22"/>
  <c r="CU143" i="22"/>
  <c r="CW140" i="22"/>
  <c r="CV142" i="22"/>
  <c r="CV141" i="22"/>
  <c r="AG97" i="22"/>
  <c r="AG94" i="22"/>
  <c r="Y12" i="4"/>
  <c r="Y44" i="4" s="1"/>
  <c r="Y28" i="4" s="1"/>
  <c r="Y26" i="4"/>
  <c r="Y40" i="4"/>
  <c r="Z9" i="4" s="1"/>
  <c r="Z41" i="4" s="1"/>
  <c r="AH151" i="22"/>
  <c r="AH153" i="22" s="1"/>
  <c r="Z5" i="4" s="1"/>
  <c r="CT144" i="22"/>
  <c r="DD138" i="22" l="1"/>
  <c r="DC139" i="22"/>
  <c r="CV143" i="22"/>
  <c r="AH152" i="22"/>
  <c r="V131" i="4"/>
  <c r="AG98" i="22"/>
  <c r="AG95" i="22"/>
  <c r="CX140" i="22"/>
  <c r="AI149" i="22" s="1"/>
  <c r="AH99" i="22" s="1"/>
  <c r="CW141" i="22"/>
  <c r="CW142" i="22"/>
  <c r="Y19" i="4"/>
  <c r="Y22" i="4" s="1"/>
  <c r="Z25" i="4"/>
  <c r="CU144" i="22"/>
  <c r="Y29" i="4" l="1"/>
  <c r="Y34" i="4"/>
  <c r="Y30" i="4"/>
  <c r="DE138" i="22"/>
  <c r="DD139" i="22"/>
  <c r="CW143" i="22"/>
  <c r="V130" i="4"/>
  <c r="V135" i="4" s="1"/>
  <c r="V132" i="4"/>
  <c r="V137" i="4" s="1"/>
  <c r="V136" i="4"/>
  <c r="CY140" i="22"/>
  <c r="CX142" i="22"/>
  <c r="CX141" i="22"/>
  <c r="AG104" i="22"/>
  <c r="AG96" i="22"/>
  <c r="AH93" i="22"/>
  <c r="AH100" i="22"/>
  <c r="Z14" i="4"/>
  <c r="Z6" i="4"/>
  <c r="Z21" i="4" s="1"/>
  <c r="Z31" i="4"/>
  <c r="CV144" i="22"/>
  <c r="Y35" i="4" l="1"/>
  <c r="Y36" i="4" s="1"/>
  <c r="Y43" i="4" s="1"/>
  <c r="Y56" i="4" s="1"/>
  <c r="Y32" i="4"/>
  <c r="DF138" i="22"/>
  <c r="DE139" i="22"/>
  <c r="CX143" i="22"/>
  <c r="AI150" i="22" s="1"/>
  <c r="V138" i="4"/>
  <c r="AH97" i="22"/>
  <c r="AH94" i="22"/>
  <c r="AI148" i="22"/>
  <c r="W126" i="4" s="1"/>
  <c r="CZ140" i="22"/>
  <c r="CY141" i="22"/>
  <c r="CY142" i="22"/>
  <c r="Z11" i="4"/>
  <c r="Z20" i="4" s="1"/>
  <c r="Z24" i="4"/>
  <c r="Z23" i="4"/>
  <c r="Z40" i="4" s="1"/>
  <c r="AA9" i="4" s="1"/>
  <c r="AA41" i="4" s="1"/>
  <c r="Z8" i="4"/>
  <c r="Z12" i="4" s="1"/>
  <c r="Z44" i="4" s="1"/>
  <c r="Z28" i="4" s="1"/>
  <c r="CW144" i="22"/>
  <c r="Z13" i="4" l="1"/>
  <c r="Z15" i="4" s="1"/>
  <c r="Z16" i="4" s="1"/>
  <c r="Z17" i="4" s="1"/>
  <c r="DG138" i="22"/>
  <c r="DF139" i="22"/>
  <c r="CY143" i="22"/>
  <c r="W127" i="4"/>
  <c r="W125" i="4"/>
  <c r="DA140" i="22"/>
  <c r="CZ142" i="22"/>
  <c r="CZ141" i="22"/>
  <c r="AH98" i="22"/>
  <c r="AH95" i="22"/>
  <c r="Z26" i="4"/>
  <c r="AI151" i="22"/>
  <c r="AI153" i="22" s="1"/>
  <c r="AA5" i="4" s="1"/>
  <c r="CX144" i="22"/>
  <c r="DH138" i="22" l="1"/>
  <c r="DG139" i="22"/>
  <c r="CZ143" i="22"/>
  <c r="AI152" i="22"/>
  <c r="W131" i="4"/>
  <c r="AH104" i="22"/>
  <c r="AH96" i="22"/>
  <c r="DB140" i="22"/>
  <c r="AJ149" i="22" s="1"/>
  <c r="AI99" i="22" s="1"/>
  <c r="DA142" i="22"/>
  <c r="DA141" i="22"/>
  <c r="Z19" i="4"/>
  <c r="Z22" i="4" s="1"/>
  <c r="AA14" i="4"/>
  <c r="CY144" i="22"/>
  <c r="Z29" i="4" l="1"/>
  <c r="Z34" i="4"/>
  <c r="Z30" i="4"/>
  <c r="DI138" i="22"/>
  <c r="DH139" i="22"/>
  <c r="DA143" i="22"/>
  <c r="W130" i="4"/>
  <c r="W135" i="4" s="1"/>
  <c r="W132" i="4"/>
  <c r="W137" i="4" s="1"/>
  <c r="W136" i="4"/>
  <c r="AI100" i="22"/>
  <c r="AI93" i="22"/>
  <c r="DC140" i="22"/>
  <c r="DB141" i="22"/>
  <c r="AJ148" i="22" s="1"/>
  <c r="X126" i="4" s="1"/>
  <c r="DB142" i="22"/>
  <c r="AA6" i="4"/>
  <c r="AA31" i="4"/>
  <c r="AA25" i="4"/>
  <c r="CZ144" i="22"/>
  <c r="Z35" i="4" l="1"/>
  <c r="Z36" i="4" s="1"/>
  <c r="Z43" i="4" s="1"/>
  <c r="Z56" i="4" s="1"/>
  <c r="Z32" i="4"/>
  <c r="DJ138" i="22"/>
  <c r="DI139" i="22"/>
  <c r="DB143" i="22"/>
  <c r="AJ150" i="22" s="1"/>
  <c r="W138" i="4"/>
  <c r="X127" i="4"/>
  <c r="X125" i="4"/>
  <c r="AI97" i="22"/>
  <c r="AI94" i="22"/>
  <c r="DD140" i="22"/>
  <c r="DC142" i="22"/>
  <c r="DC141" i="22"/>
  <c r="AA8" i="4"/>
  <c r="AA23" i="4"/>
  <c r="AA21" i="4"/>
  <c r="AA11" i="4"/>
  <c r="AA20" i="4" s="1"/>
  <c r="AA24" i="4"/>
  <c r="DA144" i="22"/>
  <c r="AA13" i="4" l="1"/>
  <c r="AA15" i="4" s="1"/>
  <c r="AA16" i="4" s="1"/>
  <c r="AA17" i="4" s="1"/>
  <c r="DK138" i="22"/>
  <c r="DJ139" i="22"/>
  <c r="DC143" i="22"/>
  <c r="DE140" i="22"/>
  <c r="DD141" i="22"/>
  <c r="DD142" i="22"/>
  <c r="AI98" i="22"/>
  <c r="AI95" i="22"/>
  <c r="AA26" i="4"/>
  <c r="AA40" i="4"/>
  <c r="AB9" i="4" s="1"/>
  <c r="AB41" i="4" s="1"/>
  <c r="AA12" i="4"/>
  <c r="AA44" i="4" s="1"/>
  <c r="AA28" i="4" s="1"/>
  <c r="AJ151" i="22"/>
  <c r="AJ153" i="22" s="1"/>
  <c r="AB5" i="4" s="1"/>
  <c r="DB144" i="22"/>
  <c r="DL138" i="22" l="1"/>
  <c r="DK139" i="22"/>
  <c r="DD143" i="22"/>
  <c r="AJ152" i="22"/>
  <c r="X131" i="4"/>
  <c r="AI104" i="22"/>
  <c r="AI96" i="22"/>
  <c r="DF140" i="22"/>
  <c r="DE141" i="22"/>
  <c r="DE142" i="22"/>
  <c r="AA19" i="4"/>
  <c r="AA22" i="4" s="1"/>
  <c r="DC144" i="22"/>
  <c r="D20" i="3"/>
  <c r="AA29" i="4" l="1"/>
  <c r="AA34" i="4"/>
  <c r="AA30" i="4"/>
  <c r="DM138" i="22"/>
  <c r="DL139" i="22"/>
  <c r="DE143" i="22"/>
  <c r="X130" i="4"/>
  <c r="X135" i="4" s="1"/>
  <c r="X132" i="4"/>
  <c r="X137" i="4" s="1"/>
  <c r="X136" i="4"/>
  <c r="DG140" i="22"/>
  <c r="DF142" i="22"/>
  <c r="DF141" i="22"/>
  <c r="AK148" i="22" s="1"/>
  <c r="Y126" i="4" s="1"/>
  <c r="AK149" i="22"/>
  <c r="AJ99" i="22" s="1"/>
  <c r="AB6" i="4"/>
  <c r="AB31" i="4"/>
  <c r="AB25" i="4"/>
  <c r="AB14" i="4"/>
  <c r="DD144" i="22"/>
  <c r="B15" i="3"/>
  <c r="H28" i="1" s="1"/>
  <c r="B18" i="3"/>
  <c r="H31" i="1" s="1"/>
  <c r="B16" i="3"/>
  <c r="B19" i="3"/>
  <c r="H32" i="1" s="1"/>
  <c r="K20" i="3"/>
  <c r="B17" i="3"/>
  <c r="H30" i="1" s="1"/>
  <c r="AA35" i="4" l="1"/>
  <c r="AA36" i="4" s="1"/>
  <c r="AA43" i="4" s="1"/>
  <c r="AB13" i="4" s="1"/>
  <c r="AA32" i="4"/>
  <c r="DN138" i="22"/>
  <c r="DM139" i="22"/>
  <c r="DF143" i="22"/>
  <c r="AK150" i="22" s="1"/>
  <c r="X138" i="4"/>
  <c r="Y127" i="4"/>
  <c r="Y125" i="4"/>
  <c r="AJ100" i="22"/>
  <c r="AJ93" i="22"/>
  <c r="DH140" i="22"/>
  <c r="DG142" i="22"/>
  <c r="DG141" i="22"/>
  <c r="AB24" i="4"/>
  <c r="AB23" i="4"/>
  <c r="AB21" i="4"/>
  <c r="AB11" i="4"/>
  <c r="AB20" i="4" s="1"/>
  <c r="AB8" i="4"/>
  <c r="AB12" i="4" s="1"/>
  <c r="AB44" i="4" s="1"/>
  <c r="AB28" i="4" s="1"/>
  <c r="DE144" i="22"/>
  <c r="H29" i="1"/>
  <c r="B20" i="3"/>
  <c r="AA56" i="4" l="1"/>
  <c r="DO138" i="22"/>
  <c r="DN139" i="22"/>
  <c r="DG143" i="22"/>
  <c r="DI140" i="22"/>
  <c r="DH142" i="22"/>
  <c r="DH141" i="22"/>
  <c r="AJ97" i="22"/>
  <c r="AJ94" i="22"/>
  <c r="AB26" i="4"/>
  <c r="AB40" i="4"/>
  <c r="AC9" i="4" s="1"/>
  <c r="AC41" i="4" s="1"/>
  <c r="AB15" i="4"/>
  <c r="AB16" i="4" s="1"/>
  <c r="AB17" i="4" s="1"/>
  <c r="AK151" i="22"/>
  <c r="AK153" i="22" s="1"/>
  <c r="AC5" i="4" s="1"/>
  <c r="DF144" i="22"/>
  <c r="DP138" i="22" l="1"/>
  <c r="DO139" i="22"/>
  <c r="DH143" i="22"/>
  <c r="AK152" i="22"/>
  <c r="Y131" i="4"/>
  <c r="AJ98" i="22"/>
  <c r="AJ95" i="22"/>
  <c r="DJ140" i="22"/>
  <c r="AL149" i="22" s="1"/>
  <c r="AK99" i="22" s="1"/>
  <c r="DI142" i="22"/>
  <c r="DI141" i="22"/>
  <c r="AB19" i="4"/>
  <c r="AB22" i="4" s="1"/>
  <c r="AC25" i="4"/>
  <c r="DG144" i="22"/>
  <c r="AB29" i="4" l="1"/>
  <c r="AB34" i="4"/>
  <c r="AB30" i="4"/>
  <c r="DQ138" i="22"/>
  <c r="DP139" i="22"/>
  <c r="DI143" i="22"/>
  <c r="Y130" i="4"/>
  <c r="Y135" i="4" s="1"/>
  <c r="Y132" i="4"/>
  <c r="Y137" i="4" s="1"/>
  <c r="Y136" i="4"/>
  <c r="DK140" i="22"/>
  <c r="DJ142" i="22"/>
  <c r="DJ141" i="22"/>
  <c r="AJ104" i="22"/>
  <c r="AJ96" i="22"/>
  <c r="AK100" i="22"/>
  <c r="AK93" i="22"/>
  <c r="AC14" i="4"/>
  <c r="AC31" i="4"/>
  <c r="AC6" i="4"/>
  <c r="DH144" i="22"/>
  <c r="AB32" i="4" l="1"/>
  <c r="AB35" i="4"/>
  <c r="AB36" i="4" s="1"/>
  <c r="AB43" i="4" s="1"/>
  <c r="AC13" i="4" s="1"/>
  <c r="DR138" i="22"/>
  <c r="DQ139" i="22"/>
  <c r="DJ143" i="22"/>
  <c r="AL150" i="22" s="1"/>
  <c r="Y138" i="4"/>
  <c r="AK97" i="22"/>
  <c r="AK94" i="22"/>
  <c r="DL140" i="22"/>
  <c r="DK141" i="22"/>
  <c r="DK142" i="22"/>
  <c r="AL148" i="22"/>
  <c r="Z126" i="4" s="1"/>
  <c r="AC23" i="4"/>
  <c r="AC8" i="4"/>
  <c r="AC12" i="4" s="1"/>
  <c r="AC44" i="4" s="1"/>
  <c r="AC28" i="4" s="1"/>
  <c r="AC11" i="4"/>
  <c r="AC20" i="4" s="1"/>
  <c r="AC21" i="4"/>
  <c r="AC24" i="4"/>
  <c r="DI144" i="22"/>
  <c r="AB56" i="4" l="1"/>
  <c r="DR139" i="22"/>
  <c r="DS138" i="22"/>
  <c r="DS135" i="22"/>
  <c r="DK143" i="22"/>
  <c r="Z127" i="4"/>
  <c r="Z125" i="4"/>
  <c r="DM140" i="22"/>
  <c r="DL141" i="22"/>
  <c r="DL142" i="22"/>
  <c r="AK95" i="22"/>
  <c r="AK98" i="22"/>
  <c r="AC26" i="4"/>
  <c r="AC40" i="4"/>
  <c r="AD9" i="4" s="1"/>
  <c r="AD41" i="4" s="1"/>
  <c r="AC15" i="4"/>
  <c r="AC16" i="4" s="1"/>
  <c r="AC17" i="4" s="1"/>
  <c r="AL151" i="22"/>
  <c r="AL153" i="22" s="1"/>
  <c r="AD5" i="4" s="1"/>
  <c r="DJ144" i="22"/>
  <c r="DL143" i="22" l="1"/>
  <c r="AL152" i="22"/>
  <c r="Z131" i="4"/>
  <c r="AK104" i="22"/>
  <c r="AK96" i="22"/>
  <c r="DN140" i="22"/>
  <c r="AM149" i="22" s="1"/>
  <c r="AL99" i="22" s="1"/>
  <c r="DM142" i="22"/>
  <c r="DM141" i="22"/>
  <c r="AC19" i="4"/>
  <c r="AC22" i="4" s="1"/>
  <c r="DK144" i="22"/>
  <c r="AC29" i="4" l="1"/>
  <c r="AC34" i="4"/>
  <c r="AC30" i="4"/>
  <c r="DM143" i="22"/>
  <c r="Z132" i="4"/>
  <c r="Z137" i="4" s="1"/>
  <c r="Z130" i="4"/>
  <c r="Z135" i="4" s="1"/>
  <c r="Z136" i="4"/>
  <c r="AL100" i="22"/>
  <c r="AL93" i="22"/>
  <c r="DO140" i="22"/>
  <c r="DN142" i="22"/>
  <c r="DN141" i="22"/>
  <c r="AD31" i="4"/>
  <c r="AD6" i="4"/>
  <c r="AD25" i="4"/>
  <c r="AD14" i="4"/>
  <c r="DL144" i="22"/>
  <c r="AC35" i="4" l="1"/>
  <c r="AC36" i="4" s="1"/>
  <c r="AC43" i="4" s="1"/>
  <c r="AC56" i="4" s="1"/>
  <c r="AC32" i="4"/>
  <c r="DN143" i="22"/>
  <c r="AM150" i="22" s="1"/>
  <c r="Z138" i="4"/>
  <c r="DP140" i="22"/>
  <c r="DO141" i="22"/>
  <c r="DO142" i="22"/>
  <c r="AL94" i="22"/>
  <c r="AL97" i="22"/>
  <c r="AM148" i="22"/>
  <c r="AA126" i="4" s="1"/>
  <c r="AD21" i="4"/>
  <c r="AD23" i="4"/>
  <c r="AD11" i="4"/>
  <c r="AD20" i="4" s="1"/>
  <c r="AD24" i="4"/>
  <c r="AD8" i="4"/>
  <c r="AD12" i="4" s="1"/>
  <c r="AD44" i="4" s="1"/>
  <c r="AD28" i="4" s="1"/>
  <c r="DM144" i="22"/>
  <c r="AD13" i="4" l="1"/>
  <c r="AD15" i="4" s="1"/>
  <c r="AD16" i="4" s="1"/>
  <c r="AD17" i="4" s="1"/>
  <c r="DO143" i="22"/>
  <c r="AA127" i="4"/>
  <c r="AA125" i="4"/>
  <c r="AL95" i="22"/>
  <c r="AL98" i="22"/>
  <c r="DQ140" i="22"/>
  <c r="DR140" i="22" s="1"/>
  <c r="DP141" i="22"/>
  <c r="DP142" i="22"/>
  <c r="AD26" i="4"/>
  <c r="AD40" i="4"/>
  <c r="AE9" i="4" s="1"/>
  <c r="AE41" i="4" s="1"/>
  <c r="AM151" i="22"/>
  <c r="AM153" i="22" s="1"/>
  <c r="AE5" i="4" s="1"/>
  <c r="DN144" i="22"/>
  <c r="L157" i="22" l="1"/>
  <c r="M157" i="22"/>
  <c r="DP143" i="22"/>
  <c r="AM152" i="22"/>
  <c r="AA131" i="4"/>
  <c r="DQ142" i="22"/>
  <c r="DQ141" i="22"/>
  <c r="AN149" i="22"/>
  <c r="AM99" i="22" s="1"/>
  <c r="AL96" i="22"/>
  <c r="AL104" i="22"/>
  <c r="AD19" i="4"/>
  <c r="AD22" i="4" s="1"/>
  <c r="DO144" i="22"/>
  <c r="AD29" i="4" l="1"/>
  <c r="AD34" i="4"/>
  <c r="AD30" i="4"/>
  <c r="DQ143" i="22"/>
  <c r="AA130" i="4"/>
  <c r="AA135" i="4" s="1"/>
  <c r="AA132" i="4"/>
  <c r="AA137" i="4" s="1"/>
  <c r="AA136" i="4"/>
  <c r="AM100" i="22"/>
  <c r="AM93" i="22"/>
  <c r="AN99" i="22"/>
  <c r="DR141" i="22"/>
  <c r="DR142" i="22"/>
  <c r="DS140" i="22"/>
  <c r="AE6" i="4"/>
  <c r="AE31" i="4"/>
  <c r="AE25" i="4"/>
  <c r="AE14" i="4"/>
  <c r="DP144" i="22"/>
  <c r="AD35" i="4" l="1"/>
  <c r="AD36" i="4" s="1"/>
  <c r="AD43" i="4" s="1"/>
  <c r="AD56" i="4" s="1"/>
  <c r="AD32" i="4"/>
  <c r="DR143" i="22"/>
  <c r="AN150" i="22" s="1"/>
  <c r="AA138" i="4"/>
  <c r="AN148" i="22"/>
  <c r="AB126" i="4" s="1"/>
  <c r="AM97" i="22"/>
  <c r="AM94" i="22"/>
  <c r="AN93" i="22"/>
  <c r="AE24" i="4"/>
  <c r="AE23" i="4"/>
  <c r="AE11" i="4"/>
  <c r="AE20" i="4" s="1"/>
  <c r="AE8" i="4"/>
  <c r="AE12" i="4" s="1"/>
  <c r="AE44" i="4" s="1"/>
  <c r="AE28" i="4" s="1"/>
  <c r="AE21" i="4"/>
  <c r="DQ144" i="22"/>
  <c r="AE13" i="4" l="1"/>
  <c r="AE15" i="4" s="1"/>
  <c r="AE16" i="4" s="1"/>
  <c r="AE17" i="4" s="1"/>
  <c r="AB127" i="4"/>
  <c r="AB125" i="4"/>
  <c r="AM98" i="22"/>
  <c r="AN97" i="22"/>
  <c r="AM95" i="22"/>
  <c r="AE26" i="4"/>
  <c r="AE40" i="4"/>
  <c r="AF9" i="4" s="1"/>
  <c r="AG9" i="4" s="1"/>
  <c r="AN151" i="22"/>
  <c r="AN153" i="22" s="1"/>
  <c r="DR144" i="22"/>
  <c r="DS143" i="22"/>
  <c r="AN152" i="22" l="1"/>
  <c r="AB131" i="4"/>
  <c r="AN95" i="22"/>
  <c r="AM96" i="22"/>
  <c r="AF41" i="4"/>
  <c r="AG41" i="4" s="1"/>
  <c r="AE19" i="4"/>
  <c r="AE22" i="4" s="1"/>
  <c r="AE29" i="4" l="1"/>
  <c r="AE34" i="4"/>
  <c r="AE30" i="4"/>
  <c r="AB130" i="4"/>
  <c r="AB135" i="4" s="1"/>
  <c r="AB132" i="4"/>
  <c r="AB137" i="4" s="1"/>
  <c r="AB136" i="4"/>
  <c r="AF25" i="4"/>
  <c r="AF6" i="4"/>
  <c r="AF14" i="4"/>
  <c r="AF31" i="4"/>
  <c r="AE35" i="4" l="1"/>
  <c r="AE36" i="4" s="1"/>
  <c r="AE43" i="4" s="1"/>
  <c r="AE56" i="4" s="1"/>
  <c r="AE32" i="4"/>
  <c r="AB138" i="4"/>
  <c r="AF11" i="4"/>
  <c r="AF20" i="4" s="1"/>
  <c r="AF24" i="4"/>
  <c r="AF23" i="4"/>
  <c r="AF21" i="4"/>
  <c r="AF8" i="4"/>
  <c r="AF12" i="4" s="1"/>
  <c r="AF44" i="4" s="1"/>
  <c r="AF28" i="4" s="1"/>
  <c r="AF13" i="4" l="1"/>
  <c r="AF15" i="4" s="1"/>
  <c r="AF16" i="4" s="1"/>
  <c r="AF17" i="4" s="1"/>
  <c r="AG23" i="4"/>
  <c r="AH24" i="4" s="1"/>
  <c r="AF40" i="4"/>
  <c r="AG40" i="4" s="1"/>
  <c r="AF26" i="4"/>
  <c r="AF19" i="4" l="1"/>
  <c r="AF22" i="4" s="1"/>
  <c r="AF29" i="4" s="1"/>
  <c r="AF34" i="4" l="1"/>
  <c r="D72" i="4" s="1"/>
  <c r="AF30" i="4"/>
  <c r="AF32" i="4" s="1"/>
  <c r="AF35" i="4" l="1"/>
  <c r="AF36" i="4" l="1"/>
  <c r="AF43" i="4" s="1"/>
  <c r="AF56" i="4" s="1"/>
  <c r="D71" i="4" l="1"/>
  <c r="D73" i="4" s="1"/>
  <c r="D76" i="4" s="1"/>
  <c r="D79" i="4"/>
  <c r="D78" i="4"/>
  <c r="E78" i="4" l="1"/>
  <c r="E72" i="4"/>
  <c r="E71" i="4"/>
  <c r="E79" i="4"/>
  <c r="D75" i="4"/>
  <c r="D81" i="4" s="1"/>
  <c r="H41" i="1"/>
  <c r="J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tc={63D33D94-40BB-40F9-90B0-EB1253B0F422}</author>
    <author>Beatriz Filipa Cardoso Lagadoiro</author>
    <author>Damião Carvalho Perdigão Gonçalves Ribeiro</author>
    <author>tc={F2F4E2E4-3A3A-4B47-8880-B593D8A97CA7}</author>
    <author>tc={910EDA9F-A006-4908-880D-7AB146FB4D6F}</author>
    <author>tc={4BF88BCA-ED1D-4B7B-9EA6-24D94C8F8965}</author>
    <author>tc={09A8A31E-8D47-8C45-A833-79089C2EDE8A}</author>
    <author>tc={6E6AD505-91DE-2642-AB7E-A238F12C86F7}</author>
    <author>Eduardo Ferreira</author>
    <author>tc={7444AB9C-2329-4F49-A9C5-8ABB5BF68676}</author>
    <author>tc={477D8F2E-2AFE-4D66-B0A6-F51B466FA634}</author>
    <author>tc={665EDD97-46DA-4F30-8CF6-11C2B5FF8A72}</author>
    <author>tc={D6629377-BD9E-4BAE-8494-AB42E2D7F546}</author>
    <author>tc={52207C72-65F9-4AB6-B0D8-50319ED0B7F6}</author>
    <author>tc={5F5FE2F1-C1FA-4F7B-96F2-B21F2147FEC7}</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H5" authorId="3" shapeId="0" xr:uid="{63D33D94-40BB-40F9-90B0-EB1253B0F422}">
      <text>
        <t>[Threaded comment]
Your version of Excel allows you to read this threaded comment; however, any edits to it will get removed if the file is opened in a newer version of Excel. Learn more: https://go.microsoft.com/fwlink/?linkid=870924
Comment:
    We couldn't find the age of any member of the board of directors and Executive Leadership team</t>
      </text>
    </comment>
    <comment ref="K5" authorId="4" shapeId="0" xr:uid="{BBFBF726-B3ED-4C15-93C5-78992BC26C71}">
      <text>
        <r>
          <rPr>
            <sz val="10"/>
            <rFont val="Arial"/>
            <family val="2"/>
          </rPr>
          <t xml:space="preserve">Beatriz Filipa Cardoso Lagadoiro:
worked for major resources operators including Fortescue Metals Group, Chevron and Occidental Petroleum.
</t>
        </r>
      </text>
    </comment>
    <comment ref="K12" authorId="4" shapeId="0" xr:uid="{6AC6DB58-E8E7-47CE-86AA-5FD40C08489B}">
      <text>
        <r>
          <rPr>
            <sz val="10"/>
            <rFont val="Arial"/>
            <family val="2"/>
          </rPr>
          <t xml:space="preserve">Beatriz Filipa Cardoso Lagadoiro:
worked for major resources operators including Fortescue Metals Group, Chevron and Occidental Petroleum.
</t>
        </r>
      </text>
    </comment>
    <comment ref="N18" authorId="4" shapeId="0" xr:uid="{46EB20C9-F640-4C65-942C-3D43FBDCAB04}">
      <text>
        <r>
          <rPr>
            <sz val="10"/>
            <rFont val="Arial"/>
            <family val="2"/>
          </rPr>
          <t xml:space="preserve">Beatriz Filipa Cardoso Lagadoiro:
there was another executive but he steped down in nov 2023 
https://www.capitalbrief.com/briefing/pilbara-exec-alex-eastwood-steps-down-after-seven-years-cf99e99d-36db-46dd-b703-2b14f656a76c/
</t>
        </r>
      </text>
    </comment>
    <comment ref="E24" authorId="5" shapeId="0" xr:uid="{9F842E85-8F6C-4244-9B7B-9317819F0E04}">
      <text>
        <r>
          <rPr>
            <sz val="10"/>
            <rFont val="Arial"/>
            <family val="2"/>
          </rPr>
          <t>Beatriz Lagadoiro: High EBITDA and low NFC</t>
        </r>
      </text>
    </comment>
    <comment ref="E25" authorId="4" shapeId="0" xr:uid="{76A9D7BE-E779-4E4E-B0AF-6F7C06ED18F9}">
      <text>
        <r>
          <rPr>
            <sz val="10"/>
            <rFont val="Arial"/>
            <family val="2"/>
          </rPr>
          <t xml:space="preserve">Beatriz Filipa Cardoso Lagadoiro:
bellow industry (peers)
average (1.67)
</t>
        </r>
      </text>
    </comment>
    <comment ref="E27" authorId="4" shapeId="0" xr:uid="{C27226CD-0BEE-44BB-8DCF-AD35355477B4}">
      <text>
        <r>
          <rPr>
            <sz val="10"/>
            <rFont val="Arial"/>
            <family val="2"/>
          </rPr>
          <t>Beatriz Filipa Cardoso Lagadoiro:
bellow industry (peers) average (0,23)</t>
        </r>
      </text>
    </comment>
    <comment ref="E28" authorId="6" shapeId="0" xr:uid="{F2F4E2E4-3A3A-4B47-8880-B593D8A97CA7}">
      <text>
        <t>[Threaded comment]
Your version of Excel allows you to read this threaded comment; however, any edits to it will get removed if the file is opened in a newer version of Excel. Learn more: https://go.microsoft.com/fwlink/?linkid=870924
Comment:
    above US industry average (32.28%)</t>
      </text>
    </comment>
    <comment ref="E29" authorId="7" shapeId="0" xr:uid="{910EDA9F-A006-4908-880D-7AB146FB4D6F}">
      <text>
        <t>[Threaded comment]
Your version of Excel allows you to read this threaded comment; however, any edits to it will get removed if the file is opened in a newer version of Excel. Learn more: https://go.microsoft.com/fwlink/?linkid=870924
Comment:
    well above US industry average (19.23%)</t>
      </text>
    </comment>
    <comment ref="E30" authorId="8" shapeId="0" xr:uid="{4BF88BCA-ED1D-4B7B-9EA6-24D94C8F8965}">
      <text>
        <t>[Threaded comment]
Your version of Excel allows you to read this threaded comment; however, any edits to it will get removed if the file is opened in a newer version of Excel. Learn more: https://go.microsoft.com/fwlink/?linkid=870924
Comment:
    well above US industry average (7.23%)</t>
      </text>
    </comment>
    <comment ref="E32" authorId="4" shapeId="0" xr:uid="{1C725FFC-5EC7-4DEE-B2A0-3FE9E0F82383}">
      <text>
        <r>
          <rPr>
            <sz val="10"/>
            <rFont val="Arial"/>
            <family val="2"/>
          </rPr>
          <t>Beatriz Filipa Cardoso Lagadoiro:
possible proxy for interest rate on debt (dcf)</t>
        </r>
      </text>
    </comment>
    <comment ref="C43" authorId="9" shapeId="0" xr:uid="{09A8A31E-8D47-8C45-A833-79089C2EDE8A}">
      <text>
        <t>[Threaded comment]
Your version of Excel allows you to read this threaded comment; however, any edits to it will get removed if the file is opened in a newer version of Excel. Learn more: https://go.microsoft.com/fwlink/?linkid=870924
Comment:
    https://www.theverge.com/2023/10/26/23934172/ford-12-billion-ev-investment-postpone-q3-earnings</t>
      </text>
    </comment>
    <comment ref="C44" authorId="10" shapeId="0" xr:uid="{6E6AD505-91DE-2642-AB7E-A238F12C86F7}">
      <text>
        <t>[Threaded comment]
Your version of Excel allows you to read this threaded comment; however, any edits to it will get removed if the file is opened in a newer version of Excel. Learn more: https://go.microsoft.com/fwlink/?linkid=870924
Comment:
    https://www.ga.gov.au/scientific-topics/minerals/mineral-resources-and-advice/australian-resource-reviews/lithium</t>
      </text>
    </comment>
    <comment ref="D46" authorId="11"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D47" authorId="12" shapeId="0" xr:uid="{7444AB9C-2329-4F49-A9C5-8ABB5BF68676}">
      <text>
        <t>[Threaded comment]
Your version of Excel allows you to read this threaded comment; however, any edits to it will get removed if the file is opened in a newer version of Excel. Learn more: https://go.microsoft.com/fwlink/?linkid=870924
Comment:
    Acquisition of their biggest operation (Pilgangoora Op.) and start of the company as a lithium explorer</t>
      </text>
    </comment>
    <comment ref="C54" authorId="13" shapeId="0" xr:uid="{477D8F2E-2AFE-4D66-B0A6-F51B466FA634}">
      <text>
        <t>[Threaded comment]
Your version of Excel allows you to read this threaded comment; however, any edits to it will get removed if the file is opened in a newer version of Excel. Learn more: https://go.microsoft.com/fwlink/?linkid=870924
Comment:
    Sales growth due to increase of the lithium price and demand</t>
      </text>
    </comment>
    <comment ref="C55" authorId="14" shapeId="0" xr:uid="{665EDD97-46DA-4F30-8CF6-11C2B5FF8A72}">
      <text>
        <t xml:space="preserve">[Threaded comment]
Your version of Excel allows you to read this threaded comment; however, any edits to it will get removed if the file is opened in a newer version of Excel. Learn more: https://go.microsoft.com/fwlink/?linkid=870924
Comment:
    Sales growth due to mostly the increase of the lithium price but also due to the increase in production </t>
      </text>
    </comment>
    <comment ref="E55" authorId="15" shapeId="0" xr:uid="{D6629377-BD9E-4BAE-8494-AB42E2D7F546}">
      <text>
        <t>[Threaded comment]
Your version of Excel allows you to read this threaded comment; however, any edits to it will get removed if the file is opened in a newer version of Excel. Learn more: https://go.microsoft.com/fwlink/?linkid=870924
Comment:
    In the previous years they issued shares and payed no dividends 
In 2023 they did not issue any shares and payed dividends</t>
      </text>
    </comment>
    <comment ref="F55" authorId="5" shapeId="0" xr:uid="{D96CE596-6DEA-4CEC-BACF-BA35E006D8B4}">
      <text>
        <r>
          <rPr>
            <sz val="10"/>
            <rFont val="Arial"/>
            <family val="2"/>
          </rPr>
          <t xml:space="preserve">Beatriz Lagadoiro: High Net Income
</t>
        </r>
      </text>
    </comment>
    <comment ref="G55" authorId="16" shapeId="0" xr:uid="{52207C72-65F9-4AB6-B0D8-50319ED0B7F6}">
      <text>
        <t>[Threaded comment]
Your version of Excel allows you to read this threaded comment; however, any edits to it will get removed if the file is opened in a newer version of Excel. Learn more: https://go.microsoft.com/fwlink/?linkid=870924
Comment:
    low debt when in comparison</t>
      </text>
    </comment>
    <comment ref="I55" authorId="17" shapeId="0" xr:uid="{5F5FE2F1-C1FA-4F7B-96F2-B21F2147FEC7}">
      <text>
        <t>[Threaded comment]
Your version of Excel allows you to read this threaded comment; however, any edits to it will get removed if the file is opened in a newer version of Excel. Learn more: https://go.microsoft.com/fwlink/?linkid=870924
Comment:
    investment in capital expenditure in order to grow - increase of capacity operarions, eg.: the "P1000" expansion</t>
      </text>
    </comment>
    <comment ref="J63" authorId="4" shapeId="0" xr:uid="{66080D87-5027-46E5-93C6-602B5E574DFB}">
      <text>
        <r>
          <rPr>
            <sz val="10"/>
            <rFont val="Arial"/>
            <family val="2"/>
          </rPr>
          <t>Beatriz Filipa Cardoso Lagadoiro:
HSBC Custody Nominees (Australia) Limited operates as a bank. The Bank offers commercial, private, and retail banking, as well as wealth management, investment, and advisory services, HSBC Custody Nominees serves customers worldwide.</t>
        </r>
      </text>
    </comment>
    <comment ref="J64" authorId="4" shapeId="0" xr:uid="{CD08847D-E789-44F9-901D-FCCDCE7E072C}">
      <text>
        <r>
          <rPr>
            <sz val="10"/>
            <rFont val="Arial"/>
            <family val="2"/>
          </rPr>
          <t>Beatriz Filipa Cardoso Lagadoiro:
Global leader in financial services, offering solutions to the world's most important corporations, governments and institutions in more than 100 countries.</t>
        </r>
      </text>
    </comment>
    <comment ref="J65" authorId="4" shapeId="0" xr:uid="{5B558698-21EC-4C0B-97B7-3D8548BE3B54}">
      <text>
        <r>
          <rPr>
            <sz val="10"/>
            <rFont val="Arial"/>
            <family val="2"/>
          </rPr>
          <t xml:space="preserve">Beatriz Filipa Cardoso Lagadoiro:
Citicorp Nominees Pty Ltd operates as an investment company. It is part of Citigroup: the third-largest banking institution in the United States by assets
</t>
        </r>
      </text>
    </comment>
    <comment ref="J66" authorId="4" shapeId="0" xr:uid="{4191BBBA-1472-4BE8-9859-EF6C33E763DD}">
      <text>
        <r>
          <rPr>
            <sz val="10"/>
            <rFont val="Arial"/>
            <family val="2"/>
          </rPr>
          <t xml:space="preserve">Beatriz Filipa Cardoso Lagadoiro:
GFL International Co Ltd manufactures lithium products. The Company offers organic and non-organic lithium chemicals, metals, and alloys.
</t>
        </r>
      </text>
    </comment>
    <comment ref="J67" authorId="4" shapeId="0" xr:uid="{FB330A47-C3DA-49D7-BC5B-A7A2C7350286}">
      <text>
        <r>
          <rPr>
            <sz val="10"/>
            <rFont val="Arial"/>
            <family val="2"/>
          </rPr>
          <t>Beatriz Filipa Cardoso Lagadoiro:
Private company. POSCO’s wholly owned subsidiary -&gt; ASX/MEDIA ANNOUNCEMENT Wednesday 13 April, 2022</t>
        </r>
      </text>
    </comment>
    <comment ref="J68" authorId="4" shapeId="0" xr:uid="{FD12315B-B6EB-4386-B35F-3069F01DCC29}">
      <text>
        <r>
          <rPr>
            <sz val="10"/>
            <rFont val="Arial"/>
            <family val="2"/>
          </rPr>
          <t xml:space="preserve">Beatriz Filipa Cardoso Lagadoiro:
National Nominees Limited operates as a brokerage company. The Company serves customers in Australia.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tc={9FEAFEE5-C28A-4B91-A37D-17F8AABC322E}</author>
    <author>tc={0706D5EB-C771-45C4-9BA6-F72AA504616B}</author>
    <author>tc={E758E1E0-FB5D-4B1C-910F-2DEDA9692D50}</author>
    <author>tc={EA4EBF37-B958-4A52-9E05-7DF38326D799}</author>
    <author>tc={C5485CFD-9B98-4CCB-9838-58860A861AA3}</author>
    <author>tc={B074A748-C219-4CF8-BD22-67CFF44A36F3}</author>
    <author>tc={ABAC8D56-453A-48F8-AB5E-D026F87EBE21}</author>
    <author>tc={6C8B54F1-DE04-44C8-8530-9246F0C108E5}</author>
    <author>tc={3EC785AD-B17D-47BD-9CA8-A765F5CE7464}</author>
    <author>tc={AD4A0F99-86A8-46AC-9838-4C2407680A53}</author>
    <author>tc={F9D3EFBE-A790-4650-A729-BA5DE6083378}</author>
  </authors>
  <commentList>
    <comment ref="C5" authorId="0" shapeId="0" xr:uid="{9FEAFEE5-C28A-4B91-A37D-17F8AABC322E}">
      <text>
        <t>[Threaded comment]
Your version of Excel allows you to read this threaded comment; however, any edits to it will get removed if the file is opened in a newer version of Excel. Learn more: https://go.microsoft.com/fwlink/?linkid=870924
Comment:
    The Pilgan plant is the main and first plant of the Pilgangoora operation.</t>
      </text>
    </comment>
    <comment ref="L5" authorId="1" shapeId="0" xr:uid="{0706D5EB-C771-45C4-9BA6-F72AA504616B}">
      <text>
        <t>[Threaded comment]
Your version of Excel allows you to read this threaded comment; however, any edits to it will get removed if the file is opened in a newer version of Excel. Learn more: https://go.microsoft.com/fwlink/?linkid=870924
Comment:
    Increase in lithium prices and production.</t>
      </text>
    </comment>
    <comment ref="O5" authorId="2" shapeId="0" xr:uid="{E758E1E0-FB5D-4B1C-910F-2DEDA9692D50}">
      <text>
        <t>[Threaded comment]
Your version of Excel allows you to read this threaded comment; however, any edits to it will get removed if the file is opened in a newer version of Excel. Learn more: https://go.microsoft.com/fwlink/?linkid=870924
Comment:
    Commercial production at Pilgangoora declared</t>
      </text>
    </comment>
    <comment ref="C6" authorId="3" shapeId="0" xr:uid="{EA4EBF37-B958-4A52-9E05-7DF38326D799}">
      <text>
        <t>[Threaded comment]
Your version of Excel allows you to read this threaded comment; however, any edits to it will get removed if the file is opened in a newer version of Excel. Learn more: https://go.microsoft.com/fwlink/?linkid=870924
Comment:
    This is the second plant of the Pilgangoora Operation, that started its operation in 2022, after being bought in 2021. Before being named Ngungaju this plant belonged to Altura Lithium Operations Pty Ltd.</t>
      </text>
    </comment>
    <comment ref="K8" authorId="4" shapeId="0" xr:uid="{C5485CFD-9B98-4CCB-9838-58860A861AA3}">
      <text>
        <t>[Threaded comment]
Your version of Excel allows you to read this threaded comment; however, any edits to it will get removed if the file is opened in a newer version of Excel. Learn more: https://go.microsoft.com/fwlink/?linkid=870924
Comment:
    Changes in lithium prices between loading and delivery.</t>
      </text>
    </comment>
    <comment ref="M8" authorId="5" shapeId="0" xr:uid="{B074A748-C219-4CF8-BD22-67CFF44A36F3}">
      <text>
        <t>[Threaded comment]
Your version of Excel allows you to read this threaded comment; however, any edits to it will get removed if the file is opened in a newer version of Excel. Learn more: https://go.microsoft.com/fwlink/?linkid=870924
Comment:
    Changes in lithium prices between loading and delivery.</t>
      </text>
    </comment>
    <comment ref="L15" authorId="6" shapeId="0" xr:uid="{ABAC8D56-453A-48F8-AB5E-D026F87EBE21}">
      <text>
        <t>[Threaded comment]
Your version of Excel allows you to read this threaded comment; however, any edits to it will get removed if the file is opened in a newer version of Excel. Learn more: https://go.microsoft.com/fwlink/?linkid=870924
Comment:
    Increase in lithium prices and production.</t>
      </text>
    </comment>
    <comment ref="O15" authorId="7" shapeId="0" xr:uid="{6C8B54F1-DE04-44C8-8530-9246F0C108E5}">
      <text>
        <t>[Threaded comment]
Your version of Excel allows you to read this threaded comment; however, any edits to it will get removed if the file is opened in a newer version of Excel. Learn more: https://go.microsoft.com/fwlink/?linkid=870924
Comment:
    Commercial production at Pilgangoora declared </t>
      </text>
    </comment>
    <comment ref="C17" authorId="8" shapeId="0" xr:uid="{3EC785AD-B17D-47BD-9CA8-A765F5CE7464}">
      <text>
        <t>[Threaded comment]
Your version of Excel allows you to read this threaded comment; however, any edits to it will get removed if the file is opened in a newer version of Excel. Learn more: https://go.microsoft.com/fwlink/?linkid=870924
Comment:
    This category exists because the sales of the by-product are credited to the costs of producing spodumene concentrate.</t>
      </text>
    </comment>
    <comment ref="C18" authorId="9" shapeId="0" xr:uid="{AD4A0F99-86A8-46AC-9838-4C2407680A53}">
      <text>
        <t>[Threaded comment]
Your version of Excel allows you to read this threaded comment; however, any edits to it will get removed if the file is opened in a newer version of Excel. Learn more: https://go.microsoft.com/fwlink/?linkid=870924
Comment:
    This category exists because costumer sales contracts can contain provisional pricing at the time the product is delivered to the vessel, with the final pricing determined at a later time when the relevant pricing information is available.</t>
      </text>
    </comment>
    <comment ref="C19" authorId="10" shapeId="0" xr:uid="{F9D3EFBE-A790-4650-A729-BA5DE6083378}">
      <text>
        <t>[Threaded comment]
Your version of Excel allows you to read this threaded comment; however, any edits to it will get removed if the file is opened in a newer version of Excel. Learn more: https://go.microsoft.com/fwlink/?linkid=870924
Comment:
    This category exists because the group holds derivative financial instruments to hedge its foreign currency risk exposure.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tc={B995FFA5-12F5-4CE7-86AF-E2A7CE5E63AD}</author>
    <author>tc={1076CD95-21E1-471F-8083-E0705EC1ACB3}</author>
    <author>tc={476B40ED-0B89-4376-B5BE-F0B801DE96BE}</author>
    <author>tc={7417033E-A5CC-4FB5-8111-9C39B6CC9ADE}</author>
    <author>Afonso Simões</author>
    <author>tc={01F619E3-3862-4B0E-BB3A-F89186BA7E6B}</author>
    <author>tc={7BB5A817-CA7B-47BD-B5F3-21F074ACE97F}</author>
    <author>tc={4434EA93-B296-49D9-83F9-5EBB6D21CD42}</author>
    <author>tc={27CB4A54-2250-4FEB-A07B-F3FBD1FBEEE3}</author>
    <author>tc={B5BAE327-DA59-4D3F-84CC-352A1B2C6291}</author>
    <author>tc={069CBB7C-741B-403A-A22E-7C6482C58A11}</author>
    <author>tc={30B9F607-88E1-4CBB-8116-E29E6CB506CE}</author>
    <author>tc={9A84451C-4B13-4E99-AA30-18CA08E7CF01}</author>
  </authors>
  <commentList>
    <comment ref="D22" authorId="0" shapeId="0" xr:uid="{B995FFA5-12F5-4CE7-86AF-E2A7CE5E63AD}">
      <text>
        <t>[Threaded comment]
Your version of Excel allows you to read this threaded comment; however, any edits to it will get removed if the file is opened in a newer version of Excel. Learn more: https://go.microsoft.com/fwlink/?linkid=870924
Comment:
    Most of its debt comes from Commercial paper notes and long-term debt, ones with interest rates raging from 4,65% to 5,65% and with maturities raging from 2029 to 2052</t>
      </text>
    </comment>
    <comment ref="C26" authorId="1" shapeId="0" xr:uid="{1076CD95-21E1-471F-8083-E0705EC1ACB3}">
      <text>
        <t>[Threaded comment]
Your version of Excel allows you to read this threaded comment; however, any edits to it will get removed if the file is opened in a newer version of Excel. Learn more: https://go.microsoft.com/fwlink/?linkid=870924
Comment:
    Best in class, as interest income outweighs interest expense largely thanks to the large influx of interest the company has been receiving from the bank after depositing some of its 3288$ million ending cash balance from the previous year.</t>
      </text>
    </comment>
    <comment ref="F37" authorId="2" shapeId="0" xr:uid="{476B40ED-0B89-4376-B5BE-F0B801DE96BE}">
      <text>
        <t>[Threaded comment]
Your version of Excel allows you to read this threaded comment; however, any edits to it will get removed if the file is opened in a newer version of Excel. Learn more: https://go.microsoft.com/fwlink/?linkid=870924
Comment:
    Low Net Income, caused by High Operating Expenses</t>
      </text>
    </comment>
    <comment ref="D41" authorId="3" shapeId="0" xr:uid="{7417033E-A5CC-4FB5-8111-9C39B6CC9ADE}">
      <text>
        <t>[Threaded comment]
Your version of Excel allows you to read this threaded comment; however, any edits to it will get removed if the file is opened in a newer version of Excel. Learn more: https://go.microsoft.com/fwlink/?linkid=870924
Comment:
    Low EBITDA and high Debt levels</t>
      </text>
    </comment>
    <comment ref="G48" authorId="4" shapeId="0" xr:uid="{34AF1962-2928-413E-93A6-7F82EE2298C7}">
      <text>
        <r>
          <rPr>
            <b/>
            <sz val="9"/>
            <color indexed="81"/>
            <rFont val="Tahoma"/>
            <family val="2"/>
          </rPr>
          <t>Afonso Simões:</t>
        </r>
        <r>
          <rPr>
            <sz val="9"/>
            <color indexed="81"/>
            <rFont val="Tahoma"/>
            <family val="2"/>
          </rPr>
          <t xml:space="preserve">
Earliest date available is December 21, 2023</t>
        </r>
      </text>
    </comment>
    <comment ref="B50" authorId="5" shapeId="0" xr:uid="{01F619E3-3862-4B0E-BB3A-F89186BA7E6B}">
      <text>
        <t>[Threaded comment]
Your version of Excel allows you to read this threaded comment; however, any edits to it will get removed if the file is opened in a newer version of Excel. Learn more: https://go.microsoft.com/fwlink/?linkid=870924
Comment:
    1 Year Estimate from Yahoo Finance</t>
      </text>
    </comment>
    <comment ref="C53" authorId="6" shapeId="0" xr:uid="{7BB5A817-CA7B-47BD-B5F3-21F074ACE97F}">
      <text>
        <t>[Threaded comment]
Your version of Excel allows you to read this threaded comment; however, any edits to it will get removed if the file is opened in a newer version of Excel. Learn more: https://go.microsoft.com/fwlink/?linkid=870924
Comment:
    Negative Operating Cash Flow in 2020, which was largely caused by a negative net income of -99$ million, although offshoot by mostly a NFC of 24$ million and Inventory write down of 21$ million</t>
      </text>
    </comment>
    <comment ref="F64" authorId="7" shapeId="0" xr:uid="{4434EA93-B296-49D9-83F9-5EBB6D21CD42}">
      <text>
        <t>[Threaded comment]
Your version of Excel allows you to read this threaded comment; however, any edits to it will get removed if the file is opened in a newer version of Excel. Learn more: https://go.microsoft.com/fwlink/?linkid=870924
Comment:
    The two major operating expenses are SG&amp;A expenses totalling 889,4$ million and Impairment-Assets Held for Use totalling 788,6$ million, of which 505,2$ corresponded to Mine Development.</t>
      </text>
    </comment>
    <comment ref="B71" authorId="4" shapeId="0" xr:uid="{472599F2-25B1-4482-8755-F32EF684F48A}">
      <text>
        <r>
          <rPr>
            <b/>
            <sz val="9"/>
            <color indexed="81"/>
            <rFont val="Tahoma"/>
            <family val="2"/>
          </rPr>
          <t>Afonso Simões:</t>
        </r>
        <r>
          <rPr>
            <sz val="9"/>
            <color indexed="81"/>
            <rFont val="Tahoma"/>
            <family val="2"/>
          </rPr>
          <t xml:space="preserve">
Net: "Trade debtors"</t>
        </r>
      </text>
    </comment>
    <comment ref="C72" authorId="8" shapeId="0" xr:uid="{27CB4A54-2250-4FEB-A07B-F3FBD1FBEEE3}">
      <text>
        <t>[Threaded comment]
Your version of Excel allows you to read this threaded comment; however, any edits to it will get removed if the file is opened in a newer version of Excel. Learn more: https://go.microsoft.com/fwlink/?linkid=870924
Comment:
    Current - Excludes Finished goods and work-in progress ore stockpiles not expected to be processed/sold until June 2024</t>
      </text>
    </comment>
    <comment ref="B74" authorId="4" shapeId="0" xr:uid="{276745B7-DD1B-43A4-93A0-19337F7DC442}">
      <text>
        <r>
          <rPr>
            <b/>
            <sz val="9"/>
            <color indexed="81"/>
            <rFont val="Tahoma"/>
            <family val="2"/>
          </rPr>
          <t>Afonso Simões:</t>
        </r>
        <r>
          <rPr>
            <sz val="9"/>
            <color indexed="81"/>
            <rFont val="Tahoma"/>
            <family val="2"/>
          </rPr>
          <t xml:space="preserve">
Property, Plant and Equipment - Net</t>
        </r>
      </text>
    </comment>
    <comment ref="D82" authorId="9" shapeId="0" xr:uid="{B5BAE327-DA59-4D3F-84CC-352A1B2C6291}">
      <text>
        <t xml:space="preserve">[Threaded comment]
Your version of Excel allows you to read this threaded comment; however, any edits to it will get removed if the file is opened in a newer version of Excel. Learn more: https://go.microsoft.com/fwlink/?linkid=870924
Comment:
    Excludes Minority Interest and Equity in Affiliates
The company defers recognition of profits from sales between itself and its equity method investees until the inventory is sold to an external party. This ensures that the consolidated financial statements reflect only real profits from external transactions. </t>
      </text>
    </comment>
    <comment ref="E82" authorId="10" shapeId="0" xr:uid="{069CBB7C-741B-403A-A22E-7C6482C58A11}">
      <text>
        <t>[Threaded comment]
Your version of Excel allows you to read this threaded comment; however, any edits to it will get removed if the file is opened in a newer version of Excel. Learn more: https://go.microsoft.com/fwlink/?linkid=870924
Comment:
    Excludes Minority Interest</t>
      </text>
    </comment>
    <comment ref="F82" authorId="11" shapeId="0" xr:uid="{30B9F607-88E1-4CBB-8116-E29E6CB506CE}">
      <text>
        <t>[Threaded comment]
Your version of Excel allows you to read this threaded comment; however, any edits to it will get removed if the file is opened in a newer version of Excel. Learn more: https://go.microsoft.com/fwlink/?linkid=870924
Comment:
    Excludes Minority Interest</t>
      </text>
    </comment>
    <comment ref="G82" authorId="12" shapeId="0" xr:uid="{9A84451C-4B13-4E99-AA30-18CA08E7CF01}">
      <text>
        <t>[Threaded comment]
Your version of Excel allows you to read this threaded comment; however, any edits to it will get removed if the file is opened in a newer version of Excel. Learn more: https://go.microsoft.com/fwlink/?linkid=870924
Comment:
    Excludes Minority Interest and Discountinued Operations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tc={577FC0B3-0DBC-407B-B0BE-52AFDD99720C}</author>
    <author>tc={8C79FC46-D280-4F7F-BA8F-5F874CE2E607}</author>
    <author>tc={CB81EC55-A6BA-4E53-9D3F-626222FE9BAB}</author>
    <author>tc={47A8A537-2062-440A-A69D-CB8A0D5B4D4B}</author>
    <author>Afonso Simões</author>
    <author>tc={E93D5E67-06D1-49C5-85FD-DD07204F0A45}</author>
    <author>tc={A97778BF-03D2-409B-B4DE-93CB3436818C}</author>
    <author>tc={975728A1-91FB-498B-A201-3308A69C654E}</author>
    <author>tc={060ED7D4-0781-482F-8215-2F246DE79E49}</author>
    <author>tc={9FC9099B-B912-4576-ADAB-D921D53041FE}</author>
    <author>tc={9D4001C8-648E-4FA3-8B22-8F3E6F5C44AB}</author>
    <author>tc={347DD5C4-FB65-4F34-B845-8F2B058BA6FB}</author>
    <author>tc={E82BD42C-58B2-4E19-827A-91FE51AEAF68}</author>
  </authors>
  <commentList>
    <comment ref="D22" authorId="0" shapeId="0" xr:uid="{577FC0B3-0DBC-407B-B0BE-52AFDD99720C}">
      <text>
        <t>[Threaded comment]
Your version of Excel allows you to read this threaded comment; however, any edits to it will get removed if the file is opened in a newer version of Excel. Learn more: https://go.microsoft.com/fwlink/?linkid=870924
Comment:
    Most of its debt comes from Commercial paper notes and long-term debt, ones with interest rates raging from 4,65% to 5,65% and with maturities raging from 2029 to 2052</t>
      </text>
    </comment>
    <comment ref="C26" authorId="1" shapeId="0" xr:uid="{8C79FC46-D280-4F7F-BA8F-5F874CE2E607}">
      <text>
        <t>[Threaded comment]
Your version of Excel allows you to read this threaded comment; however, any edits to it will get removed if the file is opened in a newer version of Excel. Learn more: https://go.microsoft.com/fwlink/?linkid=870924
Comment:
    Best in class, as interest income outweighs interest expense largely thanks to the large influx of interest the company has been receiving from the bank after depositing some of its 3288$ million ending cash balance from the previous year.</t>
      </text>
    </comment>
    <comment ref="F37" authorId="2" shapeId="0" xr:uid="{CB81EC55-A6BA-4E53-9D3F-626222FE9BAB}">
      <text>
        <t>[Threaded comment]
Your version of Excel allows you to read this threaded comment; however, any edits to it will get removed if the file is opened in a newer version of Excel. Learn more: https://go.microsoft.com/fwlink/?linkid=870924
Comment:
    Low Net Income, caused by High Operating Expenses</t>
      </text>
    </comment>
    <comment ref="D41" authorId="3" shapeId="0" xr:uid="{47A8A537-2062-440A-A69D-CB8A0D5B4D4B}">
      <text>
        <t>[Threaded comment]
Your version of Excel allows you to read this threaded comment; however, any edits to it will get removed if the file is opened in a newer version of Excel. Learn more: https://go.microsoft.com/fwlink/?linkid=870924
Comment:
    Low EBITDA and high Debt levels</t>
      </text>
    </comment>
    <comment ref="G48" authorId="4" shapeId="0" xr:uid="{09EF09B9-E274-48AA-97E5-8EB84F6AA325}">
      <text>
        <r>
          <rPr>
            <b/>
            <sz val="9"/>
            <color indexed="81"/>
            <rFont val="Tahoma"/>
            <family val="2"/>
          </rPr>
          <t>Afonso Simões:</t>
        </r>
        <r>
          <rPr>
            <sz val="9"/>
            <color indexed="81"/>
            <rFont val="Tahoma"/>
            <family val="2"/>
          </rPr>
          <t xml:space="preserve">
Earliest date available is December 21, 2023</t>
        </r>
      </text>
    </comment>
    <comment ref="B50" authorId="5" shapeId="0" xr:uid="{E93D5E67-06D1-49C5-85FD-DD07204F0A45}">
      <text>
        <t>[Threaded comment]
Your version of Excel allows you to read this threaded comment; however, any edits to it will get removed if the file is opened in a newer version of Excel. Learn more: https://go.microsoft.com/fwlink/?linkid=870924
Comment:
    1 Year Estimate from Yahoo Finance</t>
      </text>
    </comment>
    <comment ref="C53" authorId="6" shapeId="0" xr:uid="{A97778BF-03D2-409B-B4DE-93CB3436818C}">
      <text>
        <t>[Threaded comment]
Your version of Excel allows you to read this threaded comment; however, any edits to it will get removed if the file is opened in a newer version of Excel. Learn more: https://go.microsoft.com/fwlink/?linkid=870924
Comment:
    Negative Operating Cash Flow in 2020, which was largely caused by a negative net income of -99$ million, although offshoot by mostly a NFC of 24$ million and Inventory write down of 21$ million</t>
      </text>
    </comment>
    <comment ref="F64" authorId="7" shapeId="0" xr:uid="{975728A1-91FB-498B-A201-3308A69C654E}">
      <text>
        <t>[Threaded comment]
Your version of Excel allows you to read this threaded comment; however, any edits to it will get removed if the file is opened in a newer version of Excel. Learn more: https://go.microsoft.com/fwlink/?linkid=870924
Comment:
    The two major operating expenses are SG&amp;A expenses totalling 889,4$ million and Impairment-Assets Held for Use totalling 788,6$ million, of which 505,2$ corresponded to Mine Development.</t>
      </text>
    </comment>
    <comment ref="B71" authorId="4" shapeId="0" xr:uid="{CA2C42D0-4945-46A9-A13C-9534562F4798}">
      <text>
        <r>
          <rPr>
            <b/>
            <sz val="9"/>
            <color indexed="81"/>
            <rFont val="Tahoma"/>
            <family val="2"/>
          </rPr>
          <t>Afonso Simões:</t>
        </r>
        <r>
          <rPr>
            <sz val="9"/>
            <color indexed="81"/>
            <rFont val="Tahoma"/>
            <family val="2"/>
          </rPr>
          <t xml:space="preserve">
Net: "Trade debtors"</t>
        </r>
      </text>
    </comment>
    <comment ref="C72" authorId="8" shapeId="0" xr:uid="{060ED7D4-0781-482F-8215-2F246DE79E49}">
      <text>
        <t>[Threaded comment]
Your version of Excel allows you to read this threaded comment; however, any edits to it will get removed if the file is opened in a newer version of Excel. Learn more: https://go.microsoft.com/fwlink/?linkid=870924
Comment:
    Current - Excludes Finished goods and work-in progress ore stockpiles not expected to be processed/sold until June 2024</t>
      </text>
    </comment>
    <comment ref="B74" authorId="4" shapeId="0" xr:uid="{04527777-25CE-49AB-A460-930386ADA712}">
      <text>
        <r>
          <rPr>
            <b/>
            <sz val="9"/>
            <color indexed="81"/>
            <rFont val="Tahoma"/>
            <family val="2"/>
          </rPr>
          <t>Afonso Simões:</t>
        </r>
        <r>
          <rPr>
            <sz val="9"/>
            <color indexed="81"/>
            <rFont val="Tahoma"/>
            <family val="2"/>
          </rPr>
          <t xml:space="preserve">
Property, Plant and Equipment - Net</t>
        </r>
      </text>
    </comment>
    <comment ref="D82" authorId="9" shapeId="0" xr:uid="{9FC9099B-B912-4576-ADAB-D921D53041FE}">
      <text>
        <t xml:space="preserve">[Threaded comment]
Your version of Excel allows you to read this threaded comment; however, any edits to it will get removed if the file is opened in a newer version of Excel. Learn more: https://go.microsoft.com/fwlink/?linkid=870924
Comment:
    Excludes Minority Interest and Equity in Affiliates
The company defers recognition of profits from sales between itself and its equity method investees until the inventory is sold to an external party. This ensures that the consolidated financial statements reflect only real profits from external transactions. </t>
      </text>
    </comment>
    <comment ref="E82" authorId="10" shapeId="0" xr:uid="{9D4001C8-648E-4FA3-8B22-8F3E6F5C44AB}">
      <text>
        <t>[Threaded comment]
Your version of Excel allows you to read this threaded comment; however, any edits to it will get removed if the file is opened in a newer version of Excel. Learn more: https://go.microsoft.com/fwlink/?linkid=870924
Comment:
    Excludes Minority Interest</t>
      </text>
    </comment>
    <comment ref="F82" authorId="11" shapeId="0" xr:uid="{347DD5C4-FB65-4F34-B845-8F2B058BA6FB}">
      <text>
        <t>[Threaded comment]
Your version of Excel allows you to read this threaded comment; however, any edits to it will get removed if the file is opened in a newer version of Excel. Learn more: https://go.microsoft.com/fwlink/?linkid=870924
Comment:
    Excludes Minority Interest</t>
      </text>
    </comment>
    <comment ref="G82" authorId="12" shapeId="0" xr:uid="{E82BD42C-58B2-4E19-827A-91FE51AEAF68}">
      <text>
        <t>[Threaded comment]
Your version of Excel allows you to read this threaded comment; however, any edits to it will get removed if the file is opened in a newer version of Excel. Learn more: https://go.microsoft.com/fwlink/?linkid=870924
Comment:
    Excludes Minority Interest and Discountinued Operations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tc={09D9817C-FB97-4A42-BAC8-CC0E6BE0755C}</author>
    <author>Afonso Simões</author>
    <author>tc={C85F8ED7-052B-4745-80A5-270276349558}</author>
    <author>tc={7B7B2227-CEF8-498E-8D37-9D1E76BDA91A}</author>
  </authors>
  <commentList>
    <comment ref="C25" authorId="0" shapeId="0" xr:uid="{09D9817C-FB97-4A42-BAC8-CC0E6BE0755C}">
      <text>
        <t>[Threaded comment]
Your version of Excel allows you to read this threaded comment; however, any edits to it will get removed if the file is opened in a newer version of Excel. Learn more: https://go.microsoft.com/fwlink/?linkid=870924
Comment:
    Best in class, as interest income outweighs interest expense largely thanks to the large influx of interest the company has been receiving from the bank after depositing some of its 3288$ million ending cash balance from the previous year.</t>
      </text>
    </comment>
    <comment ref="G47" authorId="1" shapeId="0" xr:uid="{8F80DD3D-9510-49BD-9FE6-A38AD35669C2}">
      <text>
        <r>
          <rPr>
            <b/>
            <sz val="9"/>
            <color indexed="81"/>
            <rFont val="Tahoma"/>
            <family val="2"/>
          </rPr>
          <t>Afonso Simões:</t>
        </r>
        <r>
          <rPr>
            <sz val="9"/>
            <color indexed="81"/>
            <rFont val="Tahoma"/>
            <family val="2"/>
          </rPr>
          <t xml:space="preserve">
Earliest date available is December 21, 2023</t>
        </r>
      </text>
    </comment>
    <comment ref="B49" authorId="2" shapeId="0" xr:uid="{C85F8ED7-052B-4745-80A5-270276349558}">
      <text>
        <t>[Threaded comment]
Your version of Excel allows you to read this threaded comment; however, any edits to it will get removed if the file is opened in a newer version of Excel. Learn more: https://go.microsoft.com/fwlink/?linkid=870924
Comment:
    1 Year Estimate from Yahoo Finance</t>
      </text>
    </comment>
    <comment ref="C52" authorId="3" shapeId="0" xr:uid="{7B7B2227-CEF8-498E-8D37-9D1E76BDA91A}">
      <text>
        <t>[Threaded comment]
Your version of Excel allows you to read this threaded comment; however, any edits to it will get removed if the file is opened in a newer version of Excel. Learn more: https://go.microsoft.com/fwlink/?linkid=870924
Comment:
    Negative Operating Cash Flow in 2020, which was largely caused by a negative net income of -99$ million, although offshoot by mostly a NFC of 24$ million and Inventory write down of 21$ million</t>
      </text>
    </comment>
    <comment ref="B69" authorId="1" shapeId="0" xr:uid="{40A15E54-6902-4946-B204-E2585D18CEF7}">
      <text>
        <r>
          <rPr>
            <b/>
            <sz val="9"/>
            <color indexed="81"/>
            <rFont val="Tahoma"/>
            <family val="2"/>
          </rPr>
          <t>Afonso Simões:</t>
        </r>
        <r>
          <rPr>
            <sz val="9"/>
            <color indexed="81"/>
            <rFont val="Tahoma"/>
            <family val="2"/>
          </rPr>
          <t xml:space="preserve">
Net: "Trade debtors"</t>
        </r>
      </text>
    </comment>
    <comment ref="B72" authorId="1" shapeId="0" xr:uid="{2BA4E4F6-04D4-40F9-91B7-4AAE06E5A357}">
      <text>
        <r>
          <rPr>
            <b/>
            <sz val="9"/>
            <color indexed="81"/>
            <rFont val="Tahoma"/>
            <family val="2"/>
          </rPr>
          <t>Afonso Simões:</t>
        </r>
        <r>
          <rPr>
            <sz val="9"/>
            <color indexed="81"/>
            <rFont val="Tahoma"/>
            <family val="2"/>
          </rPr>
          <t xml:space="preserve">
Property, Plant and Equipment - Net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Afonso Simões</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rFont val="Arial"/>
            <family val="2"/>
          </rPr>
          <t>Damião Carvalho Perdigão Gonçalves Ribeiro:
Adjust length of formula to number of companies provided by Refinitiv</t>
        </r>
      </text>
    </comment>
    <comment ref="AJ3" authorId="1" shapeId="0" xr:uid="{8B29770A-C49A-4EAD-83EB-3A93FE6930EF}">
      <text>
        <r>
          <rPr>
            <b/>
            <sz val="9"/>
            <color rgb="FF000000"/>
            <rFont val="Tahoma"/>
            <family val="2"/>
          </rPr>
          <t>Afonso Simões:</t>
        </r>
        <r>
          <rPr>
            <sz val="9"/>
            <color rgb="FF000000"/>
            <rFont val="Tahoma"/>
            <family val="2"/>
          </rPr>
          <t xml:space="preserve">
</t>
        </r>
        <r>
          <rPr>
            <sz val="9"/>
            <color rgb="FF000000"/>
            <rFont val="Tahoma"/>
            <family val="2"/>
          </rPr>
          <t>Hindustan</t>
        </r>
      </text>
    </comment>
    <comment ref="AJ4" authorId="1" shapeId="0" xr:uid="{7EA099F9-9ED5-488C-B2BE-84EEBA58EDA9}">
      <text>
        <r>
          <rPr>
            <b/>
            <sz val="9"/>
            <color rgb="FF000000"/>
            <rFont val="Tahoma"/>
            <family val="2"/>
          </rPr>
          <t>Afonso Simões:</t>
        </r>
        <r>
          <rPr>
            <sz val="9"/>
            <color rgb="FF000000"/>
            <rFont val="Tahoma"/>
            <family val="2"/>
          </rPr>
          <t xml:space="preserve">
</t>
        </r>
        <r>
          <rPr>
            <sz val="9"/>
            <color rgb="FF000000"/>
            <rFont val="Tahoma"/>
            <family val="2"/>
          </rPr>
          <t>Dundee</t>
        </r>
      </text>
    </comment>
    <comment ref="AJ5" authorId="1" shapeId="0" xr:uid="{643CDC2B-C377-45C4-9962-E33BB5FD7C26}">
      <text>
        <r>
          <rPr>
            <b/>
            <sz val="9"/>
            <color indexed="81"/>
            <rFont val="Tahoma"/>
            <family val="2"/>
          </rPr>
          <t>Afonso Simões:</t>
        </r>
        <r>
          <rPr>
            <sz val="9"/>
            <color indexed="81"/>
            <rFont val="Tahoma"/>
            <family val="2"/>
          </rPr>
          <t xml:space="preserve">
Altius</t>
        </r>
      </text>
    </comment>
    <comment ref="AJ6" authorId="1" shapeId="0" xr:uid="{55816BDA-3558-4386-BC10-DB0C7B7E543A}">
      <text>
        <r>
          <rPr>
            <b/>
            <sz val="9"/>
            <color indexed="81"/>
            <rFont val="Tahoma"/>
            <family val="2"/>
          </rPr>
          <t>Afonso Simões:</t>
        </r>
        <r>
          <rPr>
            <sz val="9"/>
            <color indexed="81"/>
            <rFont val="Tahoma"/>
            <family val="2"/>
          </rPr>
          <t xml:space="preserve">
Vedanta
</t>
        </r>
      </text>
    </comment>
    <comment ref="AJ7" authorId="1" shapeId="0" xr:uid="{E3458E78-9352-498C-B7D1-9BC3ECB913E2}">
      <text>
        <r>
          <rPr>
            <b/>
            <sz val="9"/>
            <color indexed="81"/>
            <rFont val="Tahoma"/>
            <family val="2"/>
          </rPr>
          <t>Afonso Simões:</t>
        </r>
        <r>
          <rPr>
            <sz val="9"/>
            <color indexed="81"/>
            <rFont val="Tahoma"/>
            <family val="2"/>
          </rPr>
          <t xml:space="preserve">
BHP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tc={FDF93925-47D3-AC40-A764-2C591E3D35FE}</author>
    <author>tc={1A32BBA2-B535-42E6-8952-D4ED201C7DF0}</author>
    <author>tc={BAEDF2A0-7406-402C-B5D1-58053A6F13E9}</author>
    <author>tc={EF01E75A-6721-4895-BC8A-3D2AFAAE96F5}</author>
    <author>tc={6C1975B9-4012-41FC-9B6F-6A2A6F073955}</author>
    <author>tc={CC85FE1E-1E5A-4EE8-A18F-44CE52BB0445}</author>
    <author>tc={ACCC4418-AAB1-451D-A392-9BCC1F6B20BA}</author>
    <author>tc={FAE75CD3-5FA1-4F1D-B954-C1CD75BE6609}</author>
    <author>tc={9C381B3F-0E54-5540-A19D-4306BDFF261F}</author>
    <author>tc={1A3D7FB5-704E-1440-A729-52C6843F0803}</author>
    <author>tc={A34F58E4-9B07-614B-A074-ED2F3174489D}</author>
    <author>tc={8701BAFA-DC25-624D-81C8-6BC76BE07520}</author>
    <author>tc={D9FDDA90-A1C1-B743-A513-FC9FF300C726}</author>
    <author>tc={DEB0E2A5-DB01-8740-B7EF-106A0102FE0A}</author>
    <author>tc={B877E35D-E73A-404A-9CE4-035E3656C213}</author>
    <author>tc={653351EE-F88B-2C4B-A454-5479C4FFAE70}</author>
    <author>tc={B574AFD1-6C0F-4A9C-8C8B-1E4F18F89130}</author>
    <author>tc={5DF91892-7EDA-8944-A2AF-4E5D66993DB3}</author>
    <author>tc={15E225EF-BF03-44AF-8764-5FA8B39ED4F0}</author>
    <author>tc={5F77E952-D8B4-40D2-8119-B692AF477597}</author>
    <author>tc={241DD631-7837-4235-AE43-7132A1DDF393}</author>
    <author>tc={4EB16A53-D51E-7B47-A2C3-170FE49679FE}</author>
    <author>tc={5DF3215C-B723-8D4A-BBD6-C150C8D165C6}</author>
    <author>tc={1A8B01AC-DBBF-1A46-BC3F-0ADD98C8965B}</author>
    <author>tc={403A5BE2-3AB7-7142-9558-3B6BB433199A}</author>
  </authors>
  <commentList>
    <comment ref="G5" authorId="0" shapeId="0" xr:uid="{FDF93925-47D3-AC40-A764-2C591E3D35FE}">
      <text>
        <t>[Threaded comment]
Your version of Excel allows you to read this threaded comment; however, any edits to it will get removed if the file is opened in a newer version of Excel. Learn more: https://go.microsoft.com/fwlink/?linkid=870924
Comment:
    Supply has caught up to demand, bringing the growth down, said by the CEO Dale Henderson himself.</t>
      </text>
    </comment>
    <comment ref="G6" authorId="1" shapeId="0" xr:uid="{1A32BBA2-B535-42E6-8952-D4ED201C7DF0}">
      <text>
        <t xml:space="preserve">[Threaded comment]
Your version of Excel allows you to read this threaded comment; however, any edits to it will get removed if the file is opened in a newer version of Excel. Learn more: https://go.microsoft.com/fwlink/?linkid=870924
Comment:
    H1 FY24: 757
9 months FY24: 949
H1 FY23: 2180 </t>
      </text>
    </comment>
    <comment ref="G7" authorId="2" shapeId="0" xr:uid="{BAEDF2A0-7406-402C-B5D1-58053A6F13E9}">
      <text>
        <t xml:space="preserve">[Threaded comment]
Your version of Excel allows you to read this threaded comment; however, any edits to it will get removed if the file is opened in a newer version of Excel. Learn more: https://go.microsoft.com/fwlink/?linkid=870924
Comment:
    Gross Margin H1 FY24: 63,67%
Gross Margin H1 FY23: 84,72% </t>
      </text>
    </comment>
    <comment ref="G8" authorId="3" shapeId="0" xr:uid="{EF01E75A-6721-4895-BC8A-3D2AFAAE96F5}">
      <text>
        <t>[Threaded comment]
Your version of Excel allows you to read this threaded comment; however, any edits to it will get removed if the file is opened in a newer version of Excel. Learn more: https://go.microsoft.com/fwlink/?linkid=870924
Comment:
    H1 FY24: 482
H1 FY23: 1847</t>
      </text>
    </comment>
    <comment ref="G12" authorId="4" shapeId="0" xr:uid="{6C1975B9-4012-41FC-9B6F-6A2A6F073955}">
      <text>
        <t xml:space="preserve">[Threaded comment]
Your version of Excel allows you to read this threaded comment; however, any edits to it will get removed if the file is opened in a newer version of Excel. Learn more: https://go.microsoft.com/fwlink/?linkid=870924
Comment:
    H1 FY24: 415
H1 FY23: 1812
EBITDA Margin H1 FY24: 55%
EBITDA Margin H1 FY23: 83% </t>
      </text>
    </comment>
    <comment ref="G43" authorId="5" shapeId="0" xr:uid="{CC85FE1E-1E5A-4EE8-A18F-44CE52BB0445}">
      <text>
        <t>[Threaded comment]
Your version of Excel allows you to read this threaded comment; however, any edits to it will get removed if the file is opened in a newer version of Excel. Learn more: https://go.microsoft.com/fwlink/?linkid=870924
Comment:
    H1 FY24: 2144
H1 FY23: 2226</t>
      </text>
    </comment>
    <comment ref="C50" authorId="6" shapeId="0" xr:uid="{ACCC4418-AAB1-451D-A392-9BCC1F6B20BA}">
      <text>
        <t>[Threaded comment]
Your version of Excel allows you to read this threaded comment; however, any edits to it will get removed if the file is opened in a newer version of Excel. Learn more: https://go.microsoft.com/fwlink/?linkid=870924
Comment:
    Inicial Value: 4,1%</t>
      </text>
    </comment>
    <comment ref="D50" authorId="7" shapeId="0" xr:uid="{FAE75CD3-5FA1-4F1D-B954-C1CD75BE6609}">
      <text>
        <t>[Threaded comment]
Your version of Excel allows you to read this threaded comment; however, any edits to it will get removed if the file is opened in a newer version of Excel. Learn more: https://go.microsoft.com/fwlink/?linkid=870924
Comment:
    Inicial Value: 4,5%</t>
      </text>
    </comment>
    <comment ref="C53" authorId="8" shapeId="0" xr:uid="{9C381B3F-0E54-5540-A19D-4306BDFF261F}">
      <text>
        <t>[Threaded comment]
Your version of Excel allows you to read this threaded comment; however, any edits to it will get removed if the file is opened in a newer version of Excel. Learn more: https://go.microsoft.com/fwlink/?linkid=870924
Comment:
    The company is growing and is expected to increase their assets. At the moment they have grown the depreciations, but we believe they have yet to do them in total. In the future whilst having more equipment, they will need to depreciate more.</t>
      </text>
    </comment>
    <comment ref="C55" authorId="9" shapeId="0" xr:uid="{1A3D7FB5-704E-1440-A729-52C6843F0803}">
      <text>
        <t>[Threaded comment]
Your version of Excel allows you to read this threaded comment; however, any edits to it will get removed if the file is opened in a newer version of Excel. Learn more: https://go.microsoft.com/fwlink/?linkid=870924
Comment:
    In current terms, the company is growing and must conserve it’s funds; After the company growth’s stabilizes, then the stock-based compensation might start. Although there hasn’t been any stock-based compensation, the comapny has offered stock option to it’s board, which has been used by some board members. This demonstrates belief in the company. Inciating monetary compensation early on in the company might introduce the tendency to make board members follow more short-term projects over long-term projects as it would benefit them more in the short run.</t>
      </text>
    </comment>
    <comment ref="C56" authorId="10" shapeId="0" xr:uid="{A34F58E4-9B07-614B-A074-ED2F3174489D}">
      <text>
        <t>[Threaded comment]
Your version of Excel allows you to read this threaded comment; however, any edits to it will get removed if the file is opened in a newer version of Excel. Learn more: https://go.microsoft.com/fwlink/?linkid=870924
Comment:
    * According to MINERALS RESOURCE RENT TAX (MRRT) of Australia</t>
      </text>
    </comment>
    <comment ref="C57" authorId="11" shapeId="0" xr:uid="{8701BAFA-DC25-624D-81C8-6BC76BE07520}">
      <text>
        <t>[Threaded comment]
Your version of Excel allows you to read this threaded comment; however, any edits to it will get removed if the file is opened in a newer version of Excel. Learn more: https://go.microsoft.com/fwlink/?linkid=870924
Comment:
    Considering they got their contracts done between 2019 and January 2022</t>
      </text>
    </comment>
    <comment ref="C60" authorId="12" shapeId="0" xr:uid="{D9FDDA90-A1C1-B743-A513-FC9FF300C726}">
      <text>
        <t>[Threaded comment]
Your version of Excel allows you to read this threaded comment; however, any edits to it will get removed if the file is opened in a newer version of Excel. Learn more: https://go.microsoft.com/fwlink/?linkid=870924
Comment:
    Expansion of the equipment would require an increase in Working Capital Flows, meaning that as the company grows this will also grow. The percentages of the short term and long term are different, since the must preserve cash for any possible unexpected short coming or expansion projects.</t>
      </text>
    </comment>
    <comment ref="C62" authorId="13" shapeId="0" xr:uid="{DEB0E2A5-DB01-8740-B7EF-106A0102FE0A}">
      <text>
        <t>[Threaded comment]
Your version of Excel allows you to read this threaded comment; however, any edits to it will get removed if the file is opened in a newer version of Excel. Learn more: https://go.microsoft.com/fwlink/?linkid=870924
Comment:
    This is justified by the increase of plants and processing facilities with require constant maintenance in order to achieve the average life expectancy of heavy equipment and mining equipment which can last over 40 years</t>
      </text>
    </comment>
    <comment ref="C63" authorId="14" shapeId="0" xr:uid="{B877E35D-E73A-404A-9CE4-035E3656C213}">
      <text>
        <t>[Threaded comment]
Your version of Excel allows you to read this threaded comment; however, any edits to it will get removed if the file is opened in a newer version of Excel. Learn more: https://go.microsoft.com/fwlink/?linkid=870924
Comment:
    Although this value in the modelling factors is 0, they have been manually inputed in the model. The model we followed as a consistend increase from 1 to 5% of Revenue to be invested over a period of 5 years, with an interval of 5 years. These expenditures would be related to market expansions and investments in the operation’s expansion.</t>
      </text>
    </comment>
    <comment ref="C64" authorId="15" shapeId="0" xr:uid="{653351EE-F88B-2C4B-A454-5479C4FFAE70}">
      <text>
        <t xml:space="preserve">[Threaded comment]
Your version of Excel allows you to read this threaded comment; however, any edits to it will get removed if the file is opened in a newer version of Excel. Learn more: https://go.microsoft.com/fwlink/?linkid=870924
Comment:
    *Paying a sustainable dividend to shareholders, with a target dividend payout ratio of between 20-30% of free cash flow ( https://pilbaraminerals.com.au/investors/dividend-information/)
</t>
      </text>
    </comment>
    <comment ref="F64" authorId="16" shapeId="0" xr:uid="{B574AFD1-6C0F-4A9C-8C8B-1E4F18F89130}">
      <text>
        <t>[Threaded comment]
Your version of Excel allows you to read this threaded comment; however, any edits to it will get removed if the file is opened in a newer version of Excel. Learn more: https://go.microsoft.com/fwlink/?linkid=870924
Comment:
    Operating Cash Flow - Investing Cash Flow</t>
      </text>
    </comment>
    <comment ref="C65" authorId="17" shapeId="0" xr:uid="{5DF91892-7EDA-8944-A2AF-4E5D66993DB3}">
      <text>
        <t>[Threaded comment]
Your version of Excel allows you to read this threaded comment; however, any edits to it will get removed if the file is opened in a newer version of Excel. Learn more: https://go.microsoft.com/fwlink/?linkid=870924
Comment:
    These have been picked after having considered the previous year’s repurchases</t>
      </text>
    </comment>
    <comment ref="D65" authorId="18" shapeId="0" xr:uid="{15E225EF-BF03-44AF-8764-5FA8B39ED4F0}">
      <text>
        <t>[Threaded comment]
Your version of Excel allows you to read this threaded comment; however, any edits to it will get removed if the file is opened in a newer version of Excel. Learn more: https://go.microsoft.com/fwlink/?linkid=870924
Comment:
    4% in relation to Net Income</t>
      </text>
    </comment>
    <comment ref="E65" authorId="19" shapeId="0" xr:uid="{5F77E952-D8B4-40D2-8119-B692AF477597}">
      <text>
        <t>[Threaded comment]
Your version of Excel allows you to read this threaded comment; however, any edits to it will get removed if the file is opened in a newer version of Excel. Learn more: https://go.microsoft.com/fwlink/?linkid=870924
Comment:
    5% in relation to Net Income</t>
      </text>
    </comment>
    <comment ref="F65" authorId="20" shapeId="0" xr:uid="{241DD631-7837-4235-AE43-7132A1DDF393}">
      <text>
        <t>[Threaded comment]
Your version of Excel allows you to read this threaded comment; however, any edits to it will get removed if the file is opened in a newer version of Excel. Learn more: https://go.microsoft.com/fwlink/?linkid=870924
Comment:
    Average from 2014 to 2049 of Net Income/FCF: 314,61%</t>
      </text>
    </comment>
    <comment ref="C66" authorId="21" shapeId="0" xr:uid="{4EB16A53-D51E-7B47-A2C3-170FE49679FE}">
      <text>
        <t>[Threaded comment]
Your version of Excel allows you to read this threaded comment; however, any edits to it will get removed if the file is opened in a newer version of Excel. Learn more: https://go.microsoft.com/fwlink/?linkid=870924
Comment:
    An increase in leases due to the possibility to lease their equipment since they have a long expected life and allows the company to have more cash available for investments and R&amp;D (Processing Investigation/ Chemicals; Acheiving a more efficient mining; Reducing Waste trough a cutting edge refinery)</t>
      </text>
    </comment>
    <comment ref="C68" authorId="22" shapeId="0" xr:uid="{5DF3215C-B723-8D4A-BBD6-C150C8D165C6}">
      <text>
        <t xml:space="preserve">[Threaded comment]
Your version of Excel allows you to read this threaded comment; however, any edits to it will get removed if the file is opened in a newer version of Excel. Learn more: https://go.microsoft.com/fwlink/?linkid=870924
Comment:
    Has to be relatively higher than leases, plus any possible cost related to Property and Equipment Tax. </t>
      </text>
    </comment>
    <comment ref="B116" authorId="23" shapeId="0" xr:uid="{1A8B01AC-DBBF-1A46-BC3F-0ADD98C8965B}">
      <text>
        <t>[Threaded comment]
Your version of Excel allows you to read this threaded comment; however, any edits to it will get removed if the file is opened in a newer version of Excel. Learn more: https://go.microsoft.com/fwlink/?linkid=870924
Comment:
    This value is for mining (general), not specifically Lithium, therefore we will use this as the lowest value possible for Pilbara</t>
      </text>
    </comment>
    <comment ref="B134" authorId="24" shapeId="0" xr:uid="{403A5BE2-3AB7-7142-9558-3B6BB433199A}">
      <text>
        <t>[Threaded comment]
Your version of Excel allows you to read this threaded comment; however, any edits to it will get removed if the file is opened in a newer version of Excel. Learn more: https://go.microsoft.com/fwlink/?linkid=870924
Comment:
    Percentage of Ore Growth + Percentage of Lithium Price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Afonso Simões</author>
    <author>tc={B3FA1137-501E-AE43-82C0-070E25550CC1}</author>
    <author>tc={307D0333-8DB1-D94F-BF8E-1CEA1F9C352A}</author>
    <author>tc={3C7510B6-79EF-F046-AD2E-36E9F946A605}</author>
    <author>tc={F307B6ED-D40D-A448-B390-E9648EF32820}</author>
    <author>tc={8A02496F-9F69-424D-9437-F4862E1B5AFB}</author>
    <author>tc={029D4353-250C-184A-A0F8-8F590EBF2764}</author>
    <author>tc={230AC088-883B-4E81-8B56-935FC490363B}</author>
    <author>tc={659BA44B-29E1-4C24-8477-8CF1BC43A1BB}</author>
    <author>tc={4396B837-F4D2-DE48-B18C-91C88AAD0A29}</author>
  </authors>
  <commentList>
    <comment ref="G16" authorId="0" shapeId="0" xr:uid="{C7A6DE4F-9C0E-45E7-A8EA-F679CBAE2A6C}">
      <text>
        <r>
          <rPr>
            <b/>
            <sz val="9"/>
            <color rgb="FF000000"/>
            <rFont val="Tahoma"/>
            <family val="2"/>
          </rPr>
          <t>Afonso Simões:</t>
        </r>
        <r>
          <rPr>
            <sz val="9"/>
            <color rgb="FF000000"/>
            <rFont val="Tahoma"/>
            <family val="2"/>
          </rPr>
          <t xml:space="preserve">
</t>
        </r>
        <r>
          <rPr>
            <sz val="9"/>
            <color rgb="FF000000"/>
            <rFont val="Tahoma"/>
            <family val="2"/>
          </rPr>
          <t>No Property, Plant and Equipment</t>
        </r>
      </text>
    </comment>
    <comment ref="B17" authorId="0" shapeId="0" xr:uid="{7CD4CC71-5DE5-4C7C-BC85-5B0F3F425608}">
      <text>
        <r>
          <rPr>
            <b/>
            <sz val="9"/>
            <color indexed="81"/>
            <rFont val="Tahoma"/>
            <family val="2"/>
          </rPr>
          <t>Afonso Simões:</t>
        </r>
        <r>
          <rPr>
            <sz val="9"/>
            <color indexed="81"/>
            <rFont val="Tahoma"/>
            <family val="2"/>
          </rPr>
          <t xml:space="preserve">
Intangible Assets - Net</t>
        </r>
      </text>
    </comment>
    <comment ref="O22" authorId="0" shapeId="0" xr:uid="{F7C540B1-7A71-49E0-82AA-33A5B1187CE7}">
      <text>
        <r>
          <rPr>
            <b/>
            <sz val="9"/>
            <color rgb="FF000000"/>
            <rFont val="Tahoma"/>
            <family val="2"/>
          </rPr>
          <t>Afonso Simões:</t>
        </r>
        <r>
          <rPr>
            <sz val="9"/>
            <color rgb="FF000000"/>
            <rFont val="Tahoma"/>
            <family val="2"/>
          </rPr>
          <t xml:space="preserve">
</t>
        </r>
        <r>
          <rPr>
            <sz val="9"/>
            <color rgb="FF000000"/>
            <rFont val="Tahoma"/>
            <family val="2"/>
          </rPr>
          <t>Average YoY growth</t>
        </r>
      </text>
    </comment>
    <comment ref="S68" authorId="1" shapeId="0" xr:uid="{B3FA1137-501E-AE43-82C0-070E25550CC1}">
      <text>
        <t xml:space="preserve">[Threaded comment]
Your version of Excel allows you to read this threaded comment; however, any edits to it will get removed if the file is opened in a newer version of Excel. Learn more: https://go.microsoft.com/fwlink/?linkid=870924
Comment:
    European Green Deal, which aims to make Europe climate neutral by 2050, is driving electric
vehicle take up and therefore shifting market sentiment.
</t>
      </text>
    </comment>
    <comment ref="T80" authorId="2" shapeId="0" xr:uid="{307D0333-8DB1-D94F-BF8E-1CEA1F9C352A}">
      <text>
        <t>[Threaded comment]
Your version of Excel allows you to read this threaded comment; however, any edits to it will get removed if the file is opened in a newer version of Excel. Learn more: https://go.microsoft.com/fwlink/?linkid=870924
Comment:
    These values are due to processing of reserves made by Pilbara. They extract in excess of their processing capacity, so that they can maintain their supply process.</t>
      </text>
    </comment>
    <comment ref="B112" authorId="3" shapeId="0" xr:uid="{3C7510B6-79EF-F046-AD2E-36E9F946A605}">
      <text>
        <t xml:space="preserve">[Threaded comment]
Your version of Excel allows you to read this threaded comment; however, any edits to it will get removed if the file is opened in a newer version of Excel. Learn more: https://go.microsoft.com/fwlink/?linkid=870924
Comment:
    COVID YEAR
</t>
      </text>
    </comment>
    <comment ref="B113" authorId="4" shapeId="0" xr:uid="{F307B6ED-D40D-A448-B390-E9648EF32820}">
      <text>
        <t>[Threaded comment]
Your version of Excel allows you to read this threaded comment; however, any edits to it will get removed if the file is opened in a newer version of Excel. Learn more: https://go.microsoft.com/fwlink/?linkid=870924
Comment:
    Big Improvement due to previous year lower performance</t>
      </text>
    </comment>
    <comment ref="B120" authorId="5" shapeId="0" xr:uid="{8A02496F-9F69-424D-9437-F4862E1B5AFB}">
      <text>
        <t>[Threaded comment]
Your version of Excel allows you to read this threaded comment; however, any edits to it will get removed if the file is opened in a newer version of Excel. Learn more: https://go.microsoft.com/fwlink/?linkid=870924
Comment:
    Only used to test correlations, not the regression itself</t>
      </text>
    </comment>
    <comment ref="C131" authorId="6" shapeId="0" xr:uid="{029D4353-250C-184A-A0F8-8F590EBF2764}">
      <text>
        <t xml:space="preserve">[Threaded comment]
Your version of Excel allows you to read this threaded comment; however, any edits to it will get removed if the file is opened in a newer version of Excel. Learn more: https://go.microsoft.com/fwlink/?linkid=870924
Comment:
    &lt;80%
</t>
      </text>
    </comment>
    <comment ref="G131" authorId="7" shapeId="0" xr:uid="{230AC088-883B-4E81-8B56-935FC490363B}">
      <text>
        <t>[Threaded comment]
Your version of Excel allows you to read this threaded comment; however, any edits to it will get removed if the file is opened in a newer version of Excel. Learn more: https://go.microsoft.com/fwlink/?linkid=870924
Comment:
    Correlation between the sales of BEV and Ore Processed by Pilbara</t>
      </text>
    </comment>
    <comment ref="G135" authorId="8" shapeId="0" xr:uid="{659BA44B-29E1-4C24-8477-8CF1BC43A1BB}">
      <text>
        <t>[Threaded comment]
Your version of Excel allows you to read this threaded comment; however, any edits to it will get removed if the file is opened in a newer version of Excel. Learn more: https://go.microsoft.com/fwlink/?linkid=870924
Comment:
    Correlation between Net Sales Values and Ore Processed by Pilbara</t>
      </text>
    </comment>
    <comment ref="B142" authorId="9" shapeId="0" xr:uid="{4396B837-F4D2-DE48-B18C-91C88AAD0A29}">
      <text>
        <t>[Threaded comment]
Your version of Excel allows you to read this threaded comment; however, any edits to it will get removed if the file is opened in a newer version of Excel. Learn more: https://go.microsoft.com/fwlink/?linkid=870924
Comment:
    If there is a bigger YoY increase on the BEV Sales then on the Ore Processed, then we are in a status of “Surplus of Demand”, if the YoY increase on Ore Processed is bigger then BEV Sales, then we are in a status of “Surplus of Supply”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Beatriz Filipa Cardoso Lagadoiro</author>
    <author>Afonso Simões</author>
  </authors>
  <commentList>
    <comment ref="A6" authorId="0" shapeId="0" xr:uid="{C3A18500-53F8-4DE4-A873-49637395D23F}">
      <text>
        <r>
          <rPr>
            <sz val="10"/>
            <rFont val="Arial"/>
            <family val="2"/>
          </rPr>
          <t xml:space="preserve">Beatriz Filipa Cardoso Lagadoiro:
IS: B24
</t>
        </r>
      </text>
    </comment>
    <comment ref="A7" authorId="0" shapeId="0" xr:uid="{46AC45EE-AD51-4779-88BA-213DD5D0F330}">
      <text>
        <r>
          <rPr>
            <sz val="10"/>
            <rFont val="Arial"/>
            <family val="2"/>
          </rPr>
          <t>Beatriz Filipa Cardoso Lagadoiro:
IS: B30</t>
        </r>
      </text>
    </comment>
    <comment ref="A8" authorId="0" shapeId="0" xr:uid="{70C90D6E-973A-4666-8796-C95AA1F430C9}">
      <text>
        <r>
          <rPr>
            <sz val="10"/>
            <rFont val="Arial"/>
            <family val="2"/>
          </rPr>
          <t>Beatriz Filipa Cardoso Lagadoiro:
IS: B53</t>
        </r>
      </text>
    </comment>
    <comment ref="A9" authorId="1" shapeId="0" xr:uid="{E6CA2183-6548-4B1C-875A-FB9AC78E937B}">
      <text>
        <r>
          <rPr>
            <sz val="10"/>
            <rFont val="Arial"/>
            <family val="2"/>
          </rPr>
          <t>Afonso Simões:
Investment Income - Non.Operating
-IS: B58</t>
        </r>
      </text>
    </comment>
    <comment ref="A11" authorId="1" shapeId="0" xr:uid="{74F05B50-AEC5-4A63-9657-C9E94A6C6036}">
      <text>
        <r>
          <rPr>
            <sz val="10"/>
            <rFont val="Arial"/>
            <family val="2"/>
          </rPr>
          <t>Afonso Simões:
-Provision for Income Taxes
- IS: B64</t>
        </r>
      </text>
    </comment>
    <comment ref="A12" authorId="0" shapeId="0" xr:uid="{955EAF4E-FDFB-4591-AC5B-8DC215937952}">
      <text>
        <r>
          <rPr>
            <sz val="10"/>
            <rFont val="Arial"/>
            <family val="2"/>
          </rPr>
          <t>Beatriz Filipa Cardoso Lagadoiro:
-IS: B70</t>
        </r>
      </text>
    </comment>
    <comment ref="A17" authorId="1" shapeId="0" xr:uid="{7EF77D18-92A4-4A3D-B6F8-F1CAB2F23B37}">
      <text>
        <r>
          <rPr>
            <sz val="10"/>
            <rFont val="Arial"/>
            <family val="2"/>
          </rPr>
          <t xml:space="preserve">Afonso Simões:
Diluted Weighted Average Shares
IS: B79
</t>
        </r>
      </text>
    </comment>
    <comment ref="A19" authorId="1" shapeId="0" xr:uid="{FA917C3E-6333-4DE6-BB6F-AEEBAD699F46}">
      <text>
        <r>
          <rPr>
            <b/>
            <sz val="9"/>
            <color indexed="81"/>
            <rFont val="Tahoma"/>
            <family val="2"/>
          </rPr>
          <t>Afonso Simões:</t>
        </r>
        <r>
          <rPr>
            <sz val="9"/>
            <color indexed="81"/>
            <rFont val="Tahoma"/>
            <family val="2"/>
          </rPr>
          <t xml:space="preserve">
Translation differences on foreign operations</t>
        </r>
      </text>
    </comment>
    <comment ref="A20" authorId="1" shapeId="0" xr:uid="{FD263877-A394-48DC-A064-B5181B9F7455}">
      <text>
        <r>
          <rPr>
            <b/>
            <sz val="9"/>
            <color indexed="81"/>
            <rFont val="Tahoma"/>
            <family val="2"/>
          </rPr>
          <t>Afonso Simões:</t>
        </r>
        <r>
          <rPr>
            <sz val="9"/>
            <color indexed="81"/>
            <rFont val="Tahoma"/>
            <family val="2"/>
          </rPr>
          <t xml:space="preserve">
Total Comprehensive Profit and Loss</t>
        </r>
      </text>
    </comment>
    <comment ref="A28" authorId="0" shapeId="0" xr:uid="{9A025B8A-803A-4AC2-B636-D7CED9B59797}">
      <text>
        <r>
          <rPr>
            <sz val="10"/>
            <rFont val="Arial"/>
            <family val="2"/>
          </rPr>
          <t xml:space="preserve">Beatriz Filipa Cardoso Lagadoiro:
 BS: A23
</t>
        </r>
      </text>
    </comment>
    <comment ref="A29" authorId="0" shapeId="0" xr:uid="{925705D0-5324-4641-BE53-3617BF9F0415}">
      <text>
        <r>
          <rPr>
            <sz val="10"/>
            <rFont val="Arial"/>
            <family val="2"/>
          </rPr>
          <t>Beatriz Filipa Cardoso Lagadoiro:
BS: A27</t>
        </r>
      </text>
    </comment>
    <comment ref="A30" authorId="0" shapeId="0" xr:uid="{5B5A1476-7DEE-4DB5-AF86-E84F65AEB5B7}">
      <text>
        <r>
          <rPr>
            <sz val="10"/>
            <rFont val="Arial"/>
            <family val="2"/>
          </rPr>
          <t>Beatriz Filipa Cardoso Lagadoiro:
BS: A32</t>
        </r>
      </text>
    </comment>
    <comment ref="A31" authorId="1" shapeId="0" xr:uid="{F98E9639-4B87-42E4-85BF-5996592E7E8D}">
      <text>
        <r>
          <rPr>
            <b/>
            <sz val="9"/>
            <color indexed="81"/>
            <rFont val="Tahoma"/>
            <family val="2"/>
          </rPr>
          <t>Afonso Simões:</t>
        </r>
        <r>
          <rPr>
            <sz val="9"/>
            <color indexed="81"/>
            <rFont val="Tahoma"/>
            <family val="2"/>
          </rPr>
          <t xml:space="preserve">
Já alterei, mas aqui não queiras copiar como está o Refinitiv, é literalmente tudo o resto que vai para aqui</t>
        </r>
      </text>
    </comment>
    <comment ref="A33" authorId="1" shapeId="0" xr:uid="{2CCE24EC-F682-4C02-9AAC-8435D3D954BF}">
      <text>
        <r>
          <rPr>
            <b/>
            <sz val="9"/>
            <color indexed="81"/>
            <rFont val="Tahoma"/>
            <family val="2"/>
          </rPr>
          <t>Afonso Simões:</t>
        </r>
        <r>
          <rPr>
            <sz val="9"/>
            <color indexed="81"/>
            <rFont val="Tahoma"/>
            <family val="2"/>
          </rPr>
          <t xml:space="preserve">
Net</t>
        </r>
      </text>
    </comment>
    <comment ref="A34" authorId="1" shapeId="0" xr:uid="{4D0DBF25-57F8-4A6D-ABAC-914491792A82}">
      <text>
        <r>
          <rPr>
            <b/>
            <sz val="9"/>
            <color indexed="81"/>
            <rFont val="Tahoma"/>
            <family val="2"/>
          </rPr>
          <t>Afonso Simões:</t>
        </r>
        <r>
          <rPr>
            <sz val="9"/>
            <color indexed="81"/>
            <rFont val="Tahoma"/>
            <family val="2"/>
          </rPr>
          <t xml:space="preserve">
Annual report, se não encontrares mesmo nada põe tudo 0</t>
        </r>
      </text>
    </comment>
    <comment ref="A35" authorId="1" shapeId="0" xr:uid="{192D1963-B4FB-421C-91E4-C5C4E87C3E2E}">
      <text>
        <r>
          <rPr>
            <b/>
            <sz val="9"/>
            <color indexed="81"/>
            <rFont val="Tahoma"/>
            <family val="2"/>
          </rPr>
          <t>Afonso Simões:</t>
        </r>
        <r>
          <rPr>
            <sz val="9"/>
            <color indexed="81"/>
            <rFont val="Tahoma"/>
            <family val="2"/>
          </rPr>
          <t xml:space="preserve">
Long Term Investments</t>
        </r>
      </text>
    </comment>
    <comment ref="A44" authorId="1" shapeId="0" xr:uid="{256CC8CF-8F87-4D17-AFA6-3DB42E64D92B}">
      <text>
        <r>
          <rPr>
            <b/>
            <sz val="9"/>
            <color indexed="81"/>
            <rFont val="Tahoma"/>
            <family val="2"/>
          </rPr>
          <t>Afonso Simões:</t>
        </r>
        <r>
          <rPr>
            <sz val="9"/>
            <color indexed="81"/>
            <rFont val="Tahoma"/>
            <family val="2"/>
          </rPr>
          <t xml:space="preserve">
Notes Payable/Short Term Debt</t>
        </r>
      </text>
    </comment>
    <comment ref="A45" authorId="1" shapeId="0" xr:uid="{0B1DB5BC-5884-40DF-BBDB-AAACF95DC8BD}">
      <text>
        <r>
          <rPr>
            <b/>
            <sz val="9"/>
            <color indexed="81"/>
            <rFont val="Tahoma"/>
            <family val="2"/>
          </rPr>
          <t>Afonso Simões:</t>
        </r>
        <r>
          <rPr>
            <sz val="9"/>
            <color indexed="81"/>
            <rFont val="Tahoma"/>
            <family val="2"/>
          </rPr>
          <t xml:space="preserve">
Capital Leases</t>
        </r>
      </text>
    </comment>
    <comment ref="A48" authorId="1" shapeId="0" xr:uid="{3092A64B-3EE9-4D0E-B569-74B9C595AD63}">
      <text>
        <r>
          <rPr>
            <b/>
            <sz val="9"/>
            <color indexed="81"/>
            <rFont val="Tahoma"/>
            <family val="2"/>
          </rPr>
          <t>Afonso Simões:</t>
        </r>
        <r>
          <rPr>
            <sz val="9"/>
            <color indexed="81"/>
            <rFont val="Tahoma"/>
            <family val="2"/>
          </rPr>
          <t xml:space="preserve">
Cell 69</t>
        </r>
      </text>
    </comment>
    <comment ref="A49" authorId="1" shapeId="0" xr:uid="{558FA230-9CA7-40C3-8132-E11D670A7803}">
      <text>
        <r>
          <rPr>
            <b/>
            <sz val="9"/>
            <color indexed="81"/>
            <rFont val="Tahoma"/>
            <family val="2"/>
          </rPr>
          <t>Afonso Simões:</t>
        </r>
        <r>
          <rPr>
            <sz val="9"/>
            <color indexed="81"/>
            <rFont val="Tahoma"/>
            <family val="2"/>
          </rPr>
          <t xml:space="preserve">
Capital Lease Obligation</t>
        </r>
      </text>
    </comment>
    <comment ref="B54" authorId="1" shapeId="0" xr:uid="{FE278122-C3F7-4181-90B8-D802241701D4}">
      <text>
        <r>
          <rPr>
            <sz val="10"/>
            <rFont val="Arial"/>
            <family val="2"/>
          </rPr>
          <t xml:space="preserve">Afonso Simões:
It wasn't on the annual report
</t>
        </r>
      </text>
    </comment>
    <comment ref="A62" authorId="1" shapeId="0" xr:uid="{587F43B0-81A8-4C63-ADC0-8C2EDA209665}">
      <text>
        <r>
          <rPr>
            <b/>
            <sz val="9"/>
            <color indexed="81"/>
            <rFont val="Tahoma"/>
            <family val="2"/>
          </rPr>
          <t>Afonso Simões:</t>
        </r>
        <r>
          <rPr>
            <sz val="9"/>
            <color indexed="81"/>
            <rFont val="Tahoma"/>
            <family val="2"/>
          </rPr>
          <t xml:space="preserve">
Changes in Working Capital</t>
        </r>
      </text>
    </comment>
    <comment ref="A65" authorId="1" shapeId="0" xr:uid="{8EA0F879-7E98-4CD9-9122-BA6C0CE1B0A1}">
      <text>
        <r>
          <rPr>
            <sz val="10"/>
            <rFont val="Arial"/>
            <family val="2"/>
          </rPr>
          <t xml:space="preserve">Afonso Simões:
Capital Expenditures
CF: A33
</t>
        </r>
      </text>
    </comment>
    <comment ref="A66" authorId="1" shapeId="0" xr:uid="{6AF05082-06D8-492A-A9D4-BD85A6713EFB}">
      <text>
        <r>
          <rPr>
            <b/>
            <sz val="9"/>
            <color indexed="81"/>
            <rFont val="Tahoma"/>
            <family val="2"/>
          </rPr>
          <t>Afonso Simões:</t>
        </r>
        <r>
          <rPr>
            <sz val="9"/>
            <color indexed="81"/>
            <rFont val="Tahoma"/>
            <family val="2"/>
          </rPr>
          <t xml:space="preserve">
Soma de Other Investing cash flow items exceto other investing cash flow e sale of fixed assets</t>
        </r>
      </text>
    </comment>
    <comment ref="A67" authorId="1" shapeId="0" xr:uid="{66AD6BAE-0C9E-47C8-BAE8-2B072C90FFA9}">
      <text>
        <r>
          <rPr>
            <b/>
            <sz val="9"/>
            <color indexed="81"/>
            <rFont val="Tahoma"/>
            <family val="2"/>
          </rPr>
          <t>Afonso Simões:</t>
        </r>
        <r>
          <rPr>
            <sz val="9"/>
            <color indexed="81"/>
            <rFont val="Tahoma"/>
            <family val="2"/>
          </rPr>
          <t xml:space="preserve">
Sale of Fixed Assets</t>
        </r>
      </text>
    </comment>
    <comment ref="A69" authorId="1" shapeId="0" xr:uid="{053FA3D4-EAB6-45DF-9E48-902BC59033E6}">
      <text>
        <r>
          <rPr>
            <sz val="10"/>
            <rFont val="Arial"/>
            <family val="2"/>
          </rPr>
          <t>Afonso Simões:
Total Debt Issued
CS: A55
Proceeds from borrowings</t>
        </r>
      </text>
    </comment>
    <comment ref="A70" authorId="1" shapeId="0" xr:uid="{69938A62-D2D7-4717-8822-A392BFA204C1}">
      <text>
        <r>
          <rPr>
            <sz val="10"/>
            <rFont val="Arial"/>
            <family val="2"/>
          </rPr>
          <t>Afonso Simões:
Long Term Debt, Net
(geralmente não é assim, os dados na refinitiv estão muito confusos, mas é o que faz mais sentido dada a situação)
CS: A54
Repayment of borrowings?</t>
        </r>
      </text>
    </comment>
    <comment ref="A72" authorId="1" shapeId="0" xr:uid="{86D26E2F-1B1E-45EB-97D2-01194C6A4700}">
      <text>
        <r>
          <rPr>
            <b/>
            <sz val="9"/>
            <color indexed="81"/>
            <rFont val="Tahoma"/>
            <family val="2"/>
          </rPr>
          <t>Afonso Simões:</t>
        </r>
        <r>
          <rPr>
            <sz val="9"/>
            <color indexed="81"/>
            <rFont val="Tahoma"/>
            <family val="2"/>
          </rPr>
          <t xml:space="preserve">
(Annual Report)</t>
        </r>
      </text>
    </comment>
    <comment ref="A73" authorId="1" shapeId="0" xr:uid="{A84F2CDE-DC80-4BF1-B1B9-6B82BF3249BF}">
      <text>
        <r>
          <rPr>
            <sz val="10"/>
            <rFont val="Arial"/>
            <family val="2"/>
          </rPr>
          <t xml:space="preserve">Afonso Simões:
Cash Dividends Paid
CF:A47
</t>
        </r>
      </text>
    </comment>
    <comment ref="A74" authorId="1" shapeId="0" xr:uid="{CCCE6A1A-F6CF-4980-9A1B-A1DB8B743E60}">
      <text>
        <r>
          <rPr>
            <sz val="10"/>
            <rFont val="Arial"/>
            <family val="2"/>
          </rPr>
          <t>Afonso Simões:
Issuance (Retirement) of Stock, Net
CF: A49
Proceed from the iissue of shares and exercise of options</t>
        </r>
      </text>
    </comment>
    <comment ref="A76" authorId="1" shapeId="0" xr:uid="{FBDA2E30-5746-4095-9ED8-00B56A19375C}">
      <text>
        <r>
          <rPr>
            <sz val="10"/>
            <rFont val="Arial"/>
            <family val="2"/>
          </rPr>
          <t xml:space="preserve">Afonso Simões:
Foreign Exchange Effects
CF:A59
</t>
        </r>
      </text>
    </comment>
    <comment ref="A103" authorId="1" shapeId="0" xr:uid="{BD91FF1E-E6E3-48C6-91BB-D219D60FD4B5}">
      <text>
        <r>
          <rPr>
            <b/>
            <sz val="9"/>
            <color indexed="81"/>
            <rFont val="Tahoma"/>
            <family val="2"/>
          </rPr>
          <t>Afonso Simões:</t>
        </r>
        <r>
          <rPr>
            <sz val="9"/>
            <color indexed="81"/>
            <rFont val="Tahoma"/>
            <family val="2"/>
          </rPr>
          <t xml:space="preserve">
Share Based Paymenys, Supplemental</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1"/>
        </ext>
      </extLst>
    </bk>
  </futureMetadata>
  <futureMetadata name="XLDAPR" count="1">
    <bk>
      <extLst>
        <ext uri="{bdbb8cdc-fa1e-496e-a857-3c3f30c029c3}">
          <xda:dynamicArrayProperties fDynamic="1" fCollapsed="0"/>
        </ext>
      </extLst>
    </bk>
  </futureMetadata>
  <cellMetadata count="1">
    <bk>
      <rc t="2" v="0"/>
    </bk>
  </cell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<sst xmlns="http://schemas.openxmlformats.org/spreadsheetml/2006/main" count="3445" uniqueCount="1423">
  <si>
    <t>Team 12</t>
  </si>
  <si>
    <t>26th April, 2024</t>
  </si>
  <si>
    <t xml:space="preserve">SIC: </t>
  </si>
  <si>
    <t>COMPANY DESCRIPTION</t>
  </si>
  <si>
    <t>CEO &amp; BOARD OF DIRECTORS</t>
  </si>
  <si>
    <t>Pilbara Minerals Limited is an Australia-based lithium company, The Company is primarily engaged in the exploration, development, and mining of minerals in Australia, Its 100% owned Pilgangoora hard-rock lithium operation consists of two processing plants: the Pilgan Plant, located on the northern side and produces spodumene and tantalite concentrates, and the Ngungaju Plant is located to the south produces spodumene concentrate, It owns 70% of the Mt Francisco project, and hosts the large occurrence of outcropping pegmatites, It is also pursuing a proposed downstream joint venture (JV) for the development of an approximately 43,000 tons per annum (tpa) lithium carbonate equivalent (LCE) lithium chemical conversion facility in South Korea,</t>
  </si>
  <si>
    <t>Name (Sex;Age)</t>
  </si>
  <si>
    <t>Tenure</t>
  </si>
  <si>
    <t>Executive?</t>
  </si>
  <si>
    <t>Other roles</t>
  </si>
  <si>
    <t>Dale Henderson (M;?)</t>
  </si>
  <si>
    <t>2 years</t>
  </si>
  <si>
    <t>YES</t>
  </si>
  <si>
    <t>Chief Executive Officer of Pilbara Minerals</t>
  </si>
  <si>
    <t>Kathleen Conlon (F;?)</t>
  </si>
  <si>
    <t>2 months</t>
  </si>
  <si>
    <t>NO</t>
  </si>
  <si>
    <t>Non-Executive Director of Aristocrat Leisure Limited and BlueScope Steel Limited, and Chairs the Corporate Governance Committee of the Australian Institute of Company Directors </t>
  </si>
  <si>
    <t>Sally-Anne Layman (F;?)</t>
  </si>
  <si>
    <t>6 years</t>
  </si>
  <si>
    <t>Non-Executive Director of IMDEX Ltd, Beach Energy Ltd and Newmount Corporation.</t>
  </si>
  <si>
    <t>Nick Cernotta (M;?)</t>
  </si>
  <si>
    <t>7 years</t>
  </si>
  <si>
    <t>Non-Executive Chair of Panoramic Resources Limited and a Non-Executive Director of Northern Star Resources Limited and New Century Resources. Limited</t>
  </si>
  <si>
    <t xml:space="preserve">Steve Scudamore (M;?) </t>
  </si>
  <si>
    <t>8 years</t>
  </si>
  <si>
    <t>Vice Chair of the Western Australian Museum and WA Committee Chair of the Australian British Chamber of Commerce and member of the National Board</t>
  </si>
  <si>
    <t>Miriam Stanborough (F;?)</t>
  </si>
  <si>
    <t xml:space="preserve">Chair of the Minerals Research Institute of Western Australia (MRIWA), Deputy Chair of the Northern Agricultural Catchments Council (NACC), and Deputy Chair of Scouts </t>
  </si>
  <si>
    <t>https://www,marketscreener,com/quote/stock/PILBARA-MINERALS-LIMITED-10354122/company/</t>
  </si>
  <si>
    <t>EXECUTIVE LEADERSHIP TEAM</t>
  </si>
  <si>
    <t>Vince De Carolis (M;?)</t>
  </si>
  <si>
    <t>1 year</t>
  </si>
  <si>
    <t>Chief Operating Officer</t>
  </si>
  <si>
    <t>Luke Bortoli (M;?)</t>
  </si>
  <si>
    <t>Chief Financial Officer</t>
  </si>
  <si>
    <t>Sandra McInnes (F;?)</t>
  </si>
  <si>
    <t>Chief Sustainability Officer</t>
  </si>
  <si>
    <t>John Stanning (M;?)</t>
  </si>
  <si>
    <t>Chief Development Officer</t>
  </si>
  <si>
    <t>Paul Laybourne (M;?)</t>
  </si>
  <si>
    <t>Project Director</t>
  </si>
  <si>
    <t>Jen Mintz (F;?)</t>
  </si>
  <si>
    <t>1 month</t>
  </si>
  <si>
    <t>General Counsel</t>
  </si>
  <si>
    <t>COMPANY OVERVIEW</t>
  </si>
  <si>
    <t>Stock</t>
  </si>
  <si>
    <t>Liquidity and Solvency</t>
  </si>
  <si>
    <t>Segments</t>
  </si>
  <si>
    <t>Profitability (2023)</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</si>
  <si>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</si>
  <si>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</si>
  <si>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</si>
  <si>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</si>
  <si>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</si>
  <si>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</si>
  <si>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</si>
  <si>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</si>
  <si>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</si>
  <si>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</si>
  <si>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</si>
  <si>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</si>
  <si>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</si>
  <si>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</si>
  <si>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</si>
  <si>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</si>
  <si>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</si>
  <si>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</si>
  <si>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</si>
  <si>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</si>
  <si>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</si>
  <si>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</si>
  <si>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</si>
  <si>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</si>
  <si>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</si>
  <si>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</si>
  <si>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</si>
  <si>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</si>
  <si>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</si>
  <si>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</si>
  <si>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</si>
  <si>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</si>
  <si>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</si>
  <si>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</si>
  <si>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</si>
  <si>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</si>
  <si>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</si>
  <si>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</si>
  <si>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N/A</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</si>
  <si>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</si>
  <si>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</si>
  <si>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</si>
  <si>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</si>
  <si>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</si>
  <si>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</si>
  <si>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</si>
  <si>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</si>
  <si>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</si>
  <si>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</si>
  <si>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</si>
  <si>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</si>
  <si>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</si>
  <si>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</si>
  <si>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</si>
  <si>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</si>
  <si>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</si>
  <si>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</si>
  <si>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</si>
  <si>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</si>
  <si>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</si>
  <si>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</si>
  <si>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</si>
  <si>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Check DCF</t>
  </si>
  <si>
    <t>Growing Company</t>
  </si>
  <si>
    <t>In general mining companies have a higher than average profit margins when compared with other companies publicly traded companies. Pilbara's financials have been growing exponentially in the last years and they have been able to maintain a very health balance sheet.</t>
  </si>
  <si>
    <t>Government Incentives and Support</t>
  </si>
  <si>
    <t>Governments around the world are focused on reaching a greener atmosphere by 2030, therefore they are investing heavily and incentivesing the purchase of EV's and consequently their compontents. This government support and fiscal incentives to produce more, will come with a positive side for Pilbara and the whole market.</t>
  </si>
  <si>
    <t>Lithium Demand</t>
  </si>
  <si>
    <t>Currently the supply chain has caught up to the demand, sending the current price per ton down and lowering profit margins for all market players; However, forecasts of demand point to an increase in 2025 signaling a possible increase in revenues and subsequent growth of the companies.</t>
  </si>
  <si>
    <t>Risks of Investment</t>
  </si>
  <si>
    <t>Price Target</t>
  </si>
  <si>
    <t>Valuation</t>
  </si>
  <si>
    <t>Risk</t>
  </si>
  <si>
    <t>Discount Rate</t>
  </si>
  <si>
    <t>Price M. Upside</t>
  </si>
  <si>
    <t>Lithium Price Volatility</t>
  </si>
  <si>
    <t>This is a recent growing concern, where we have seen lithium prices growing as suppliers saturate the market and catch-up with demand, sending the prices plumetting; Never the less, apart from this drop in price, Pilbara has still increased their sells even though the price per ton has decreased, proving their ability to navigate the market and still find buyers.</t>
  </si>
  <si>
    <t>Economic Cycles</t>
  </si>
  <si>
    <t>There has been growing concern around the renewable energies and eletrefication of automotives, however sales of eletric vehicles have been exponentially growing for the past 10 years and more and more demand is being brought for lithium batteries. Despite all of this, recently big automotive groups like Mercedes and Ford have halted their investment for the time being in EV R&amp;D, claming it's not opportune to explore this market yet. This return on decisions from big market players might hinder the lithium sector.</t>
  </si>
  <si>
    <t>Upside</t>
  </si>
  <si>
    <t>EV M. Upside</t>
  </si>
  <si>
    <t>Finite Mineral</t>
  </si>
  <si>
    <t>Altough predictions point to only having 4/5 years of mineral left, some predictions are pointing all the way to 70 years of lithium available still. This is also the case due to inovation and the possibility to recycle batteries, expanding the life cycle of the sector.</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</si>
  <si>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</si>
  <si>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</si>
  <si>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</si>
  <si>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</si>
  <si>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</si>
  <si>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</si>
  <si>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</si>
  <si>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</si>
  <si>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</si>
  <si>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</si>
  <si>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</si>
  <si>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</si>
  <si>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</si>
  <si>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</si>
  <si>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</si>
  <si>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</si>
  <si>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</si>
  <si>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</si>
  <si>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</si>
  <si>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</si>
  <si>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</si>
  <si>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</si>
  <si>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</si>
  <si>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</si>
  <si>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</si>
  <si>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</si>
  <si>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Strenghts</t>
  </si>
  <si>
    <t>Weaknesses</t>
  </si>
  <si>
    <t>Name</t>
  </si>
  <si>
    <t>% Stake</t>
  </si>
  <si>
    <r>
      <rPr>
        <b/>
        <sz val="10"/>
        <color rgb="FF000000"/>
        <rFont val="Arial"/>
        <family val="2"/>
      </rPr>
      <t>Strategic position:</t>
    </r>
    <r>
      <rPr>
        <sz val="10"/>
        <color rgb="FF000000"/>
        <rFont val="Arial"/>
        <family val="2"/>
      </rPr>
      <t xml:space="preserve"> The Pilgangoora Operation, (their biggest operation) is positioned within a source-rich region.
</t>
    </r>
    <r>
      <rPr>
        <b/>
        <sz val="10"/>
        <color rgb="FF000000"/>
        <rFont val="Arial"/>
        <family val="2"/>
      </rPr>
      <t>Joint venture with POSCO:</t>
    </r>
    <r>
      <rPr>
        <sz val="10"/>
        <color rgb="FF000000"/>
        <rFont val="Arial"/>
        <family val="2"/>
      </rPr>
      <t xml:space="preserve"> construction of a lithium chemical hydroxide facility in South Korea which will enable both companies to participate in the chemical conversion industry. </t>
    </r>
  </si>
  <si>
    <r>
      <rPr>
        <b/>
        <sz val="10"/>
        <color rgb="FF000000"/>
        <rFont val="Arial"/>
        <family val="2"/>
      </rPr>
      <t>Low diversity of products:</t>
    </r>
    <r>
      <rPr>
        <sz val="10"/>
        <color rgb="FF000000"/>
        <rFont val="Arial"/>
        <family val="2"/>
      </rPr>
      <t xml:space="preserve"> they mostly only export a product to be processed into lithium chemicals for the lithium-ion battery industry, so they will be threaten by any changes in the lithium market.
</t>
    </r>
    <r>
      <rPr>
        <b/>
        <sz val="10"/>
        <color rgb="FF000000"/>
        <rFont val="Arial"/>
        <family val="2"/>
      </rPr>
      <t>Lithium price decrease:</t>
    </r>
    <r>
      <rPr>
        <sz val="10"/>
        <color rgb="FF000000"/>
        <rFont val="Arial"/>
        <family val="2"/>
      </rPr>
      <t xml:space="preserve"> Recently the lithium price dropped, and it’s being predicted that it will drop more due to a future lithium surplus production in 2024.</t>
    </r>
  </si>
  <si>
    <t>HSBC CUSTODY NOMINEES (AUSTRALIA) LIMITED</t>
  </si>
  <si>
    <t>JP MORGAN NOMINEES AUSTRALIA PTY LIMITED</t>
  </si>
  <si>
    <t>CITICORP NOMINEES PTY LIMITED</t>
  </si>
  <si>
    <t>GFL INTERNATIONAL CO LTD</t>
  </si>
  <si>
    <t>POS-LT PTY LTD</t>
  </si>
  <si>
    <t>NATIONAL NOMINEES LIMITED</t>
  </si>
  <si>
    <t xml:space="preserve">
BNP PARIBAS NOMS PTY LTD</t>
  </si>
  <si>
    <t>BNP PARIBAS NOMINEES PTY LTD ACF CLEARSTREAM</t>
  </si>
  <si>
    <t>BNP PARIBAS NOMINEES PTY LTD &lt;AGENCY LENDING A/C&gt;</t>
  </si>
  <si>
    <t>HSBC CUSTODY NOMINEES (AUSTRALIA) LIMITED  &lt;NT-COMNWLTH SUPER CORP A/C&gt;</t>
  </si>
  <si>
    <t>Opportunities</t>
  </si>
  <si>
    <t>Threats</t>
  </si>
  <si>
    <t>BNP PARIBAS NOMINEES PTY LTD &lt;IB AU NOMS RETAILCLIENT&gt;</t>
  </si>
  <si>
    <r>
      <rPr>
        <b/>
        <sz val="10"/>
        <color rgb="FF000000"/>
        <rFont val="Arial"/>
        <family val="2"/>
      </rPr>
      <t>Green energy search:</t>
    </r>
    <r>
      <rPr>
        <sz val="10"/>
        <color rgb="FF000000"/>
        <rFont val="Arial"/>
        <family val="2"/>
      </rPr>
      <t xml:space="preserve"> Rising market demand due to search for green alternatives of energetic sources to fight the climate changes (long term point of view).
</t>
    </r>
    <r>
      <rPr>
        <b/>
        <sz val="10"/>
        <color rgb="FF000000"/>
        <rFont val="Arial"/>
        <family val="2"/>
      </rPr>
      <t xml:space="preserve">Free trade agreements: </t>
    </r>
    <r>
      <rPr>
        <sz val="10"/>
        <color rgb="FF000000"/>
        <rFont val="Arial"/>
        <family val="2"/>
      </rPr>
      <t xml:space="preserve">Government free trade agreement allows for opportunities to enter new market.
</t>
    </r>
    <r>
      <rPr>
        <b/>
        <sz val="10"/>
        <color rgb="FF000000"/>
        <rFont val="Arial"/>
        <family val="2"/>
      </rPr>
      <t>Key Expansion Projects:</t>
    </r>
    <r>
      <rPr>
        <sz val="10"/>
        <color rgb="FF000000"/>
        <rFont val="Arial"/>
        <family val="2"/>
      </rPr>
      <t xml:space="preserve"> P1000 expansion project will increase the production capacity.
</t>
    </r>
  </si>
  <si>
    <r>
      <rPr>
        <b/>
        <sz val="10"/>
        <color rgb="FF000000"/>
        <rFont val="Arial"/>
        <family val="2"/>
      </rPr>
      <t>Geopolitical Risk:</t>
    </r>
    <r>
      <rPr>
        <sz val="10"/>
        <color rgb="FF000000"/>
        <rFont val="Arial"/>
        <family val="2"/>
      </rPr>
      <t xml:space="preserve"> significant dependence on the Chinese market, could be affected by their policies
</t>
    </r>
    <r>
      <rPr>
        <b/>
        <sz val="10"/>
        <color rgb="FF000000"/>
        <rFont val="Arial"/>
        <family val="2"/>
      </rPr>
      <t>Climate Change:</t>
    </r>
    <r>
      <rPr>
        <sz val="10"/>
        <color rgb="FF000000"/>
        <rFont val="Arial"/>
        <family val="2"/>
      </rPr>
      <t xml:space="preserve"> operations could be impacted by changes to local or international regulations, taxation, and/or penalties.
</t>
    </r>
    <r>
      <rPr>
        <b/>
        <sz val="10"/>
        <color rgb="FF000000"/>
        <rFont val="Arial"/>
        <family val="2"/>
      </rPr>
      <t>Limited mining life of their lithium exploration:</t>
    </r>
    <r>
      <rPr>
        <sz val="10"/>
        <color rgb="FF000000"/>
        <rFont val="Arial"/>
        <family val="2"/>
      </rPr>
      <t xml:space="preserve"> the Pilgangoora Operation (independent hard-rock lithium operation) has an estimated mine life of approximately 34 years and there is no expansion in sight for them (regarding mineral products diversity).</t>
    </r>
  </si>
  <si>
    <t xml:space="preserve">CITICORP NOMINEES PTY LIMITED </t>
  </si>
  <si>
    <t>WASHINGTON H SOUL PATTISON AND COMPANY LIMITED</t>
  </si>
  <si>
    <t>PALM BEACH NOMINEES PTY LTD</t>
  </si>
  <si>
    <t>NETWEALTH INVESTMENTS LTD</t>
  </si>
  <si>
    <t>BNPP NOMS PTY LTD HUB24 CUSTODIAL</t>
  </si>
  <si>
    <t>0.25%</t>
  </si>
  <si>
    <t>USB NOMINEES PTY LTD</t>
  </si>
  <si>
    <t>MR PETER BARRETT CAPP</t>
  </si>
  <si>
    <t>BRINSDEN HOLDINGS PTY LTD</t>
  </si>
  <si>
    <t>0.17%</t>
  </si>
  <si>
    <t>BNP PARIBAS NOMS</t>
  </si>
  <si>
    <t>TOTAL</t>
  </si>
  <si>
    <t>NOTES</t>
  </si>
  <si>
    <t>STOCK PERFORMANCE (5 years)</t>
  </si>
  <si>
    <t>Output in top producers Australia and Latin America will rise 22% and 29% respectively, while that in Africa is expected to double, driven by projects in Zimbabwe, the bank said. Chinese production will also jump 40% in the next two years. This supply surge will lead to a global lithium surplus of 12% (2024).</t>
  </si>
  <si>
    <t xml:space="preserve">global supply surplus: https://www.reuters.com/markets/commodities/china-lithium-price-poised-further-decline-2024-analysts-2023-12-01/ </t>
  </si>
  <si>
    <t>Invertir</t>
  </si>
  <si>
    <t>NO invertir</t>
  </si>
  <si>
    <t>Mantener sin elevar posición</t>
  </si>
  <si>
    <t>Mantener (y seguir comprando)</t>
  </si>
  <si>
    <t>Liquidar</t>
  </si>
  <si>
    <t>PENDIENTE</t>
  </si>
  <si>
    <t>Products</t>
  </si>
  <si>
    <t>Nominal value</t>
  </si>
  <si>
    <t>YoY Growth</t>
  </si>
  <si>
    <t>Weight</t>
  </si>
  <si>
    <t>Region (Plant)</t>
  </si>
  <si>
    <t>Pilgan</t>
  </si>
  <si>
    <t>Ngungaju</t>
  </si>
  <si>
    <t>Category</t>
  </si>
  <si>
    <t>Spodumene</t>
  </si>
  <si>
    <t>Tantalite</t>
  </si>
  <si>
    <t>(elimination of by-product)</t>
  </si>
  <si>
    <t>(provisional price adjustment)</t>
  </si>
  <si>
    <t>(hedge close-outs)</t>
  </si>
  <si>
    <t>Description</t>
  </si>
  <si>
    <t>Graphs</t>
  </si>
  <si>
    <t>Spodumene is one of the sources of lithium. Spodumene is first mined and crushed into powder, then is heated to high temperatures in a kiln, then is mixed with chemicals to form a lithium compound, which is then separated and purified into a concentrated lithium product.</t>
  </si>
  <si>
    <t>Tantalite is the primary source of the chemical element tantalum, a corrosion (heat and acid) resistant metal. It's mainly used in alloys and glass.</t>
  </si>
  <si>
    <t>Industry</t>
  </si>
  <si>
    <t>Graphs (Industry Forecasts)</t>
  </si>
  <si>
    <t>Drivers</t>
  </si>
  <si>
    <t>Consumer Electronics</t>
  </si>
  <si>
    <t>According to the Grand View Research, the consumer electronics segment is the one with the highest CAGR (more than 17.2% from 2024 to 2030). It's composed of electronic devices such as mobile phones, laptops, cameras and speakers, which use lithiom-ion batteries.</t>
  </si>
  <si>
    <t>EVs</t>
  </si>
  <si>
    <t>The demand for electric vehicles is also a great driver for Pilbara Mineral's revenues, since they also use a great deal of lithium batteries.</t>
  </si>
  <si>
    <t>Lithium Prices</t>
  </si>
  <si>
    <t>Every company in this industry is affected by the prices of lithium since its volatility is one of the main drivers for their revenue, specially Pilbara  Minerals since the almost deal solely with lithium. The prices have also decreased with an increase of supply these last few years which could turn into a rebound opportunity, since many professionals forecast prices increasing again.</t>
  </si>
  <si>
    <t>China</t>
  </si>
  <si>
    <t>The company's exposure to China's economic policies is significant and could impact commodity prices, capital flows and general confidence and sentiment. This happens because China is the biggest importer of lithium and is the responsible for a large part of total lithium processing. In recent times, China has also imposed restrictions to commodities coming from australia.</t>
  </si>
  <si>
    <t>Sales forecast</t>
  </si>
  <si>
    <t>Source</t>
  </si>
  <si>
    <t>Market Growth CAGR</t>
  </si>
  <si>
    <t>Period</t>
  </si>
  <si>
    <t>Acumen</t>
  </si>
  <si>
    <t>2022 - 2030</t>
  </si>
  <si>
    <t>Mordor Intelligence</t>
  </si>
  <si>
    <t>2024 - 2029</t>
  </si>
  <si>
    <t>Grand View Research</t>
  </si>
  <si>
    <t>2024 - 2030</t>
  </si>
  <si>
    <t>Straits Research</t>
  </si>
  <si>
    <t>2023 - 2031</t>
  </si>
  <si>
    <t>AVERAGE</t>
  </si>
  <si>
    <t>2022 - 2031</t>
  </si>
  <si>
    <t>Company's Strategy / Extra Notes</t>
  </si>
  <si>
    <t xml:space="preserve">Their strategy is 1) Delivering their performance operative commitments; 2) Achieve full potential of the Pilgangoora asset; 3) Extract greater value along the batteries materials chain and 4) Diversify revenue beyond the Pilgangoora asset.
To do so they are implementing a number of iniciatives, namely:
Downstream Lithium Chemical Facility
In joint venture with POSCO, a 43 ktpa Lithium Hydroxide Chemical Facility was commissioned in Gwangyang, South Korea. This would diversify their assets beyond the Pilgangoora operation and diversifying beyond China by estabilishing a link with another country. The first of 2 trains is already open with a nameplate capacity of 21,5 ktpa of lithium hydroxide.
There's also a joint feasibility study with Ganfeng, a chinese lithium company, for a 32 ktpa lithium conversion plant. The feasibility study is expected to be completed in March Quarter 2025 with an option to progress to a final investment decision and formation of a joint venture following that. This would fortify their links with China which is the main buyer of lithium, besides their collaboration with South Korea.
Mid-stream Demonstration Plant
The development of a Mid-stream Demonstration Plant on site at the Pilgangoora Operation was approved by our Board in August 2023. The facility is aimed at demonstrating the potential to enhance the battery materials supply chain by decarbonising spodumene processing, decreasing transport volumes and improving value-add processing at the mine site. 
Expansion 
The P680 and the P1000 projects aims to increase total spodumene concentrate production capacity at the Pilgangoora Operation to up to 1 Mtpa. Pilbara Minerals prefers to expand it's mining operation rather than expanding through M&amp;A.
</t>
  </si>
  <si>
    <t>Peer Logo</t>
  </si>
  <si>
    <t>Peer Name</t>
  </si>
  <si>
    <t>Next Earnings Date</t>
  </si>
  <si>
    <t>Lithium Revenues</t>
  </si>
  <si>
    <t>Currency</t>
  </si>
  <si>
    <t>End of Fiscal Year</t>
  </si>
  <si>
    <t>Albemarle Corporation is a global developer, manufacturer, and marketer of advanced engineering materials. The company produces a variety of specialty chemicals, primarily focusing on lithium and advanced materials as well as bromine and refining catalyst segments. Its lithium and advanced materials segment consist of two product categories: battery-grade lithium compounds and other specialty chemical products. These are used in a range of applications such as fire safety and soundproofing, energy storage, automotive applications, lubricants, pharmaceuticals, crop protection, and customized chemical services. The company has partnerships and joint ventures in various parts of the world and as of December 31, 2016, had 31 office and production sites globally.</t>
  </si>
  <si>
    <t>Q1 (1st May 2024)</t>
  </si>
  <si>
    <t>31st December 2023</t>
  </si>
  <si>
    <t>Sociedad Química y Minera de Chile, or SQM, is a producer and distributor of potassium nitrate and iodine. The company produces plant nutrients and industrial chemicals derived from solar evaporation ponds in the Atacama Desert. Its segments include plant nutrients (such as potassium nitrate), iodine derivatives, lithium, and industrial chemicals. The company's products are used in fertilizers to improve agricultural yield, industrial applications such as glass manufacturing and industrial nitrates, and they produce and sell iodine and its derivatives which have applications in x-ray contrast media and other uses. Lithium and its derivatives, including lithium carbonate, are used in batteries, greases, and air treatment systems and are sold globally.</t>
  </si>
  <si>
    <t>FY23 (25th April 2024)</t>
  </si>
  <si>
    <t>Mineral Resources is an Australian-based mining services company operating through six segments: Mining Services, Iron Ore, Lithium, Energy, Other Commodities, and Central. Their mining services division provides end-to-end solutions, including their subsidiary Crushing Mining Services (CSI) that offers crushing, screening, and processing solutions for mining operations. The company has three iron ore hubs in Western Australia and lithium operations in the Pilbara and Goldfields regions. The Mt Marion lithium project is located 40 kilometers southwest of Kalgoorlie, and the Wodgina lithium project is 120 kilometers south of Port Hedland, in the Pilbara region near the iron ore hubs. It includes two wells in the Perth Basin.</t>
  </si>
  <si>
    <t>Q3 (26th April 2024)</t>
  </si>
  <si>
    <t>30th June 2023</t>
  </si>
  <si>
    <t>Arcadium Lithium PLC is an international lithium chemicals producer with a diversified product range. They produce lithium hydroxide, carbonate, spodumene, and other specialties. The company offers various lithium products such as specialty lithium, hydroxide, carbonate, battery-grade lithium hydroxide, and other lithium-ion battery grade carbonate, among others. They focus on direct lithium extraction from hard rock mining, chemical processing, and conventional brine extraction, which is said to be more efficient and less environmentally impactful than traditional methods. The company's operations span across different geographies, including the South American Lithium Triangle, Western Australia, and Canada.</t>
  </si>
  <si>
    <t>Q1 (2nd May 2024)</t>
  </si>
  <si>
    <t>Deviation from Average</t>
  </si>
  <si>
    <t>Company Info</t>
  </si>
  <si>
    <t>TRAFFIC</t>
  </si>
  <si>
    <t>Market Cap</t>
  </si>
  <si>
    <t>Best Value</t>
  </si>
  <si>
    <t>Net Sales (current)</t>
  </si>
  <si>
    <t>Profitability</t>
  </si>
  <si>
    <t>Important Value</t>
  </si>
  <si>
    <t>Sales Growth (ttm)</t>
  </si>
  <si>
    <t>Sales Growth (36m)</t>
  </si>
  <si>
    <t>Worst Value</t>
  </si>
  <si>
    <t>EBITDA Margin</t>
  </si>
  <si>
    <t>Net Income Margin</t>
  </si>
  <si>
    <t>Return on Equity (RoE)</t>
  </si>
  <si>
    <t>Return on Invested Capital (ROIC)</t>
  </si>
  <si>
    <t>Solvency</t>
  </si>
  <si>
    <t>Net Debt/EBITDA</t>
  </si>
  <si>
    <t>Debt/Assets (Leases Free Debt)</t>
  </si>
  <si>
    <t>Net Debt/EBIT (Leases Free Debt)</t>
  </si>
  <si>
    <t>Leasing Debt/Total Debt</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</si>
  <si>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</si>
  <si>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</si>
  <si>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</si>
  <si>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</si>
  <si>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</si>
  <si>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</si>
  <si>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</si>
  <si>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</si>
  <si>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</si>
  <si>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</si>
  <si>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</si>
  <si>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</si>
  <si>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</si>
  <si>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</si>
  <si>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</si>
  <si>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</si>
  <si>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</si>
  <si>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</si>
  <si>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</si>
  <si>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</si>
  <si>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</si>
  <si>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</si>
  <si>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</si>
  <si>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</si>
  <si>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</si>
  <si>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</si>
  <si>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</si>
  <si>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</si>
  <si>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</si>
  <si>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</si>
  <si>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</si>
  <si>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</si>
  <si>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</si>
  <si>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</si>
  <si>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</si>
  <si>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</si>
  <si>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</si>
  <si>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</si>
  <si>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</si>
  <si>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</si>
  <si>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</si>
  <si>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</si>
  <si>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</si>
  <si>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</si>
  <si>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</si>
  <si>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Leasing Debt</t>
  </si>
  <si>
    <t>Total Debt</t>
  </si>
  <si>
    <t>Total Equity</t>
  </si>
  <si>
    <t>Net Income After Taxes</t>
  </si>
  <si>
    <t>Difference</t>
  </si>
  <si>
    <t xml:space="preserve"> </t>
  </si>
  <si>
    <t>PLS.AX | Statement App | Income Statement</t>
  </si>
  <si>
    <t>Mean | Annual &amp; Interim</t>
  </si>
  <si>
    <t>Consolidated | AUD</t>
  </si>
  <si>
    <t>Next Earning Report</t>
  </si>
  <si>
    <t/>
  </si>
  <si>
    <t>HISTORICAL (ACTUALS)</t>
  </si>
  <si>
    <t>FY 2024</t>
  </si>
  <si>
    <t>SAN2 Jun-23</t>
  </si>
  <si>
    <t>SAN1 Dec-23</t>
  </si>
  <si>
    <t>REVENUE</t>
  </si>
  <si>
    <t>    YoY Growth %</t>
  </si>
  <si>
    <t>    Actual/Predicted Surprise %</t>
  </si>
  <si>
    <t>    Mean at time of Report</t>
  </si>
  <si>
    <t>COST OF GOODS SOLD</t>
  </si>
  <si>
    <t>    Guidance</t>
  </si>
  <si>
    <t>GROSS INCOME</t>
  </si>
  <si>
    <t>    Margin %</t>
  </si>
  <si>
    <t>GROSS PROFIT MARGIN</t>
  </si>
  <si>
    <t>    YoY Growth</t>
  </si>
  <si>
    <t>R&amp;D EXPENSE</t>
  </si>
  <si>
    <t>GENERAL &amp; ADMIN EXPENSE</t>
  </si>
  <si>
    <t>SG&amp;A EXPENSE</t>
  </si>
  <si>
    <t>OPERATING EXPENSE</t>
  </si>
  <si>
    <t>EBITDA PER SHARE</t>
  </si>
  <si>
    <t>EXPLORATION EXPENSE</t>
  </si>
  <si>
    <t>DEPRECIATION &amp; AMORTIZATION</t>
  </si>
  <si>
    <t>DEPRECIATION</t>
  </si>
  <si>
    <t>Net Income After Taxes Before Extra Items</t>
  </si>
  <si>
    <t>INTEREST EXPENSE</t>
  </si>
  <si>
    <t>PRE-TAX PROFIT</t>
  </si>
  <si>
    <t>TAX PROVISION</t>
  </si>
  <si>
    <t>TAX RATE</t>
  </si>
  <si>
    <t>NET INCOME</t>
  </si>
  <si>
    <t>EARNINGS PER SHARE</t>
  </si>
  <si>
    <t>CASH EPS</t>
  </si>
  <si>
    <t>EBITDA REPORTED</t>
  </si>
  <si>
    <t>PRE-TAX PROFIT REPORTED</t>
  </si>
  <si>
    <t>NET INCOME REPORTED</t>
  </si>
  <si>
    <t>EARNINGS PER SHARE REPORTED</t>
  </si>
  <si>
    <t>DIVIDEND PER SHARE</t>
  </si>
  <si>
    <t>NUMBER OF SHARES OUTSTANDING</t>
  </si>
  <si>
    <t>NET INTEREST EXPENSES (INCOME)</t>
  </si>
  <si>
    <t>Sales Growth (ntm)</t>
  </si>
  <si>
    <t>Net Sales (next 12 months)</t>
  </si>
  <si>
    <t>Not found</t>
  </si>
  <si>
    <t>Not Found</t>
  </si>
  <si>
    <t>in AUD</t>
  </si>
  <si>
    <t>Variables</t>
  </si>
  <si>
    <t>Rankings</t>
  </si>
  <si>
    <t>Results</t>
  </si>
  <si>
    <t>Additional Information</t>
  </si>
  <si>
    <t>Selected Peers</t>
  </si>
  <si>
    <t>Price Multiples (TTM)</t>
  </si>
  <si>
    <t>Enterprise Value Multiples (TTM)</t>
  </si>
  <si>
    <t>Ticker</t>
  </si>
  <si>
    <t>Company Name</t>
  </si>
  <si>
    <t>TRBC Industry</t>
  </si>
  <si>
    <t>Country</t>
  </si>
  <si>
    <t>ROE</t>
  </si>
  <si>
    <t>DEBT/EBIT</t>
  </si>
  <si>
    <t>EPS Growth (2022-2023)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</si>
  <si>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</si>
  <si>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</si>
  <si>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</si>
  <si>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</si>
  <si>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</si>
  <si>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</si>
  <si>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</si>
  <si>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</si>
  <si>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</si>
  <si>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</si>
  <si>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</si>
  <si>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</si>
  <si>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</si>
  <si>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</si>
  <si>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Revenue</t>
  </si>
  <si>
    <t>Company Market Cap</t>
  </si>
  <si>
    <t>Earnings per Share (FY1)</t>
  </si>
  <si>
    <t>Earnings per Share (FY0)</t>
  </si>
  <si>
    <t>Benchmark</t>
  </si>
  <si>
    <t>PLS.AX</t>
  </si>
  <si>
    <t>Pilbara Minerals Ltd</t>
  </si>
  <si>
    <t>Diversified Mining</t>
  </si>
  <si>
    <t>Australia</t>
  </si>
  <si>
    <t>Comparison</t>
  </si>
  <si>
    <t>AIS.AX</t>
  </si>
  <si>
    <t>Aeris Resources Ltd</t>
  </si>
  <si>
    <t>ATY.V</t>
  </si>
  <si>
    <t>Atico Mining Corp</t>
  </si>
  <si>
    <t>Canada</t>
  </si>
  <si>
    <t>GORO.A</t>
  </si>
  <si>
    <t>Gold Resource Corp</t>
  </si>
  <si>
    <t>United States of America</t>
  </si>
  <si>
    <t>5711.T</t>
  </si>
  <si>
    <t>Mitsubishi Materials Corp</t>
  </si>
  <si>
    <t>Japan</t>
  </si>
  <si>
    <t>GLEN.L</t>
  </si>
  <si>
    <t>Glencore PLC</t>
  </si>
  <si>
    <t>Switzerland</t>
  </si>
  <si>
    <t>GMEXICOB.MX</t>
  </si>
  <si>
    <t>Grupo Mexico SAB de CV</t>
  </si>
  <si>
    <t>Mexico</t>
  </si>
  <si>
    <t>BCM.V</t>
  </si>
  <si>
    <t>Bear Creek Mining Corp</t>
  </si>
  <si>
    <t>Median</t>
  </si>
  <si>
    <t>IMA.AX</t>
  </si>
  <si>
    <t>Image Resources NL</t>
  </si>
  <si>
    <t>Benchmark Data</t>
  </si>
  <si>
    <t>Price / Share</t>
  </si>
  <si>
    <t>S.TO</t>
  </si>
  <si>
    <t>Sherritt International Corp</t>
  </si>
  <si>
    <t>Multiplier</t>
  </si>
  <si>
    <t># Shares</t>
  </si>
  <si>
    <t>-Debt + Cash</t>
  </si>
  <si>
    <t>SOSIL.NGM</t>
  </si>
  <si>
    <t>Sotkamo Silver AB</t>
  </si>
  <si>
    <t>Sweden</t>
  </si>
  <si>
    <t>29M.AX</t>
  </si>
  <si>
    <t>29Metals Ltd</t>
  </si>
  <si>
    <t>By Consolidated Average</t>
  </si>
  <si>
    <t>USA.TO</t>
  </si>
  <si>
    <t>Americas Gold and Silver Corporation</t>
  </si>
  <si>
    <t>SMT.TO</t>
  </si>
  <si>
    <t>Sierra Metals Inc</t>
  </si>
  <si>
    <t>LUCA.V</t>
  </si>
  <si>
    <t>Luca Mining Corp</t>
  </si>
  <si>
    <t>MND.TO</t>
  </si>
  <si>
    <t>Mandalay Resources Corp</t>
  </si>
  <si>
    <t>GSVR.V</t>
  </si>
  <si>
    <t>Guanajuato Silver Company Ltd</t>
  </si>
  <si>
    <t>AMI.AX</t>
  </si>
  <si>
    <t>Aurelia Metals Ltd</t>
  </si>
  <si>
    <t>VDAN.NS</t>
  </si>
  <si>
    <t>Vedanta Ltd</t>
  </si>
  <si>
    <t>India</t>
  </si>
  <si>
    <t>PEOLES.MX</t>
  </si>
  <si>
    <t>Industrias Penoles SAB de CV</t>
  </si>
  <si>
    <t>DR0G.DE</t>
  </si>
  <si>
    <t>Deutsche Rohstoff AG</t>
  </si>
  <si>
    <t>Germany</t>
  </si>
  <si>
    <t>A1M.AX</t>
  </si>
  <si>
    <t>AIC Mines Ltd</t>
  </si>
  <si>
    <t>AAL.L</t>
  </si>
  <si>
    <t>Anglo American PLC</t>
  </si>
  <si>
    <t>United Kingdom</t>
  </si>
  <si>
    <t>VAST.L</t>
  </si>
  <si>
    <t>Vast Resources PLC</t>
  </si>
  <si>
    <t>FVI.TO</t>
  </si>
  <si>
    <t>Fortuna Silver Mines Inc</t>
  </si>
  <si>
    <t>S32.AX</t>
  </si>
  <si>
    <t>South32 Ltd</t>
  </si>
  <si>
    <t>ASM.TO</t>
  </si>
  <si>
    <t>Avino Silver &amp; Gold Mines Ltd</t>
  </si>
  <si>
    <t>FRES.L</t>
  </si>
  <si>
    <t>Fresnillo PLC</t>
  </si>
  <si>
    <t>GFM.L</t>
  </si>
  <si>
    <t>Griffin Mining Ltd</t>
  </si>
  <si>
    <t>LUN.TO</t>
  </si>
  <si>
    <t>Lundin Mining Corp</t>
  </si>
  <si>
    <t>TECK.N</t>
  </si>
  <si>
    <t>Teck Resources Ltd</t>
  </si>
  <si>
    <t>RIO.L</t>
  </si>
  <si>
    <t>Rio Tinto PLC</t>
  </si>
  <si>
    <t>PX.PS</t>
  </si>
  <si>
    <t>Philex Mining Corp</t>
  </si>
  <si>
    <t>Philippines</t>
  </si>
  <si>
    <t>RIO.AX</t>
  </si>
  <si>
    <t>Rio Tinto Ltd</t>
  </si>
  <si>
    <t>DPM.TO</t>
  </si>
  <si>
    <t>Dundee Precious Metals Inc</t>
  </si>
  <si>
    <t>MDKA.JK</t>
  </si>
  <si>
    <t>Merdeka Copper Gold Tbk PT</t>
  </si>
  <si>
    <t>Indonesia</t>
  </si>
  <si>
    <t>BHP.AX</t>
  </si>
  <si>
    <t>BHP Group Ltd</t>
  </si>
  <si>
    <t>ECORE.L</t>
  </si>
  <si>
    <t>Ecora Resources PLC</t>
  </si>
  <si>
    <t>No P/E</t>
  </si>
  <si>
    <t>SYR.AX</t>
  </si>
  <si>
    <t>Syrah Resources Ltd</t>
  </si>
  <si>
    <t>HZNC.NS</t>
  </si>
  <si>
    <t>Hindustan Zinc Ltd</t>
  </si>
  <si>
    <t>000975.SZ</t>
  </si>
  <si>
    <t>Yintai Gold Co Ltd</t>
  </si>
  <si>
    <t>NYR.BR</t>
  </si>
  <si>
    <t>Nyrstar NV</t>
  </si>
  <si>
    <t>Belgium</t>
  </si>
  <si>
    <t>Not Suitable</t>
  </si>
  <si>
    <t>BSX.AX</t>
  </si>
  <si>
    <t>Blackstone Minerals Ltd</t>
  </si>
  <si>
    <t>DVP.AX</t>
  </si>
  <si>
    <t>Develop Global Ltd</t>
  </si>
  <si>
    <t>GGD.TO</t>
  </si>
  <si>
    <t>GoGold Resources Inc</t>
  </si>
  <si>
    <t>CXO.AX</t>
  </si>
  <si>
    <t>Core Lithium Ltd</t>
  </si>
  <si>
    <t>ALS.TO</t>
  </si>
  <si>
    <t>Altius Minerals Corp</t>
  </si>
  <si>
    <t>MAI.V</t>
  </si>
  <si>
    <t>Minera Alamos Inc</t>
  </si>
  <si>
    <t>ELE.V</t>
  </si>
  <si>
    <t>Elemental Altus Royalties Corp</t>
  </si>
  <si>
    <t>SRL.AX</t>
  </si>
  <si>
    <t>Sunrise Energy Metals Ltd</t>
  </si>
  <si>
    <t>LODE.A</t>
  </si>
  <si>
    <t>Comstock Inc</t>
  </si>
  <si>
    <t>MTA.V</t>
  </si>
  <si>
    <t>Metalla Royalty &amp; Streaming Ltd</t>
  </si>
  <si>
    <t>LM8.AX</t>
  </si>
  <si>
    <t>Lunnon Metals Ltd</t>
  </si>
  <si>
    <t>CNB.AX</t>
  </si>
  <si>
    <t>Carnaby Resources Ltd</t>
  </si>
  <si>
    <t>IE.A</t>
  </si>
  <si>
    <t>Ivanhoe Electric Inc</t>
  </si>
  <si>
    <t>PNX.AX</t>
  </si>
  <si>
    <t>PNX Metals Ltd</t>
  </si>
  <si>
    <t>DRE.AX</t>
  </si>
  <si>
    <t>Dreadnought Resources Ltd</t>
  </si>
  <si>
    <t>CHN.AX</t>
  </si>
  <si>
    <t>Chalice Mining Ltd</t>
  </si>
  <si>
    <t>RTR.AX</t>
  </si>
  <si>
    <t>Rumble Resources Ltd</t>
  </si>
  <si>
    <t>AZS.AX</t>
  </si>
  <si>
    <t>Azure Minerals Ltd</t>
  </si>
  <si>
    <t>STA.AX</t>
  </si>
  <si>
    <t>Strandline Resources Ltd</t>
  </si>
  <si>
    <t>PAN.AX</t>
  </si>
  <si>
    <t>Panoramic Resources Ltd</t>
  </si>
  <si>
    <t>Company GICS Sector:</t>
  </si>
  <si>
    <t>Materials</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</si>
  <si>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</si>
  <si>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</si>
  <si>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</si>
  <si>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</si>
  <si>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</si>
  <si>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</si>
  <si>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</si>
  <si>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</si>
  <si>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</si>
  <si>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</si>
  <si>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</si>
  <si>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</si>
  <si>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</si>
  <si>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</si>
  <si>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</si>
  <si>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Yes</t>
  </si>
  <si>
    <t>"Villain"</t>
  </si>
  <si>
    <t>- Continue to develop decarbonisation plan and improve energy efficiency.
- Embed climate analysis and internal carbon price to inform decision-making.</t>
  </si>
  <si>
    <t xml:space="preserve">The increase in total year emissions in FY23 from the previous can be primarily attributed to the increase in diesel consumption as Pilbara Minerals increased overall activity across operations and construction works for the P680 Project.
</t>
  </si>
  <si>
    <t>CO2 Emissions/$MSales</t>
  </si>
  <si>
    <t>Total Water Consumption</t>
  </si>
  <si>
    <t>No</t>
  </si>
  <si>
    <t>To effectively monitor changes in water quantity and quality, Pilbara Minerals monitors groundwater abstraction monthly, as well as reviewing groundwater levels and water quality, and vegetation health. A reporting platform stores the historical water record which enables the Company to analyse trends and address any instances of exceeding established benchmarks and operating permits.</t>
  </si>
  <si>
    <t>Water Consumption/$MSales</t>
  </si>
  <si>
    <t>Total Energy Consumption</t>
  </si>
  <si>
    <t>Net zero operation in the decade commencing 2040</t>
  </si>
  <si>
    <t>Updated high-level climate scenario analysis and completed risk assessment in line with the Taskforce on Climate-related Financial Disclosure.</t>
  </si>
  <si>
    <t>Energy Consumption/$MSales</t>
  </si>
  <si>
    <t>Waste Management</t>
  </si>
  <si>
    <t>Medium High</t>
  </si>
  <si>
    <t xml:space="preserve"> In FY23, significant progress was made in waste management including the upgrade to landfill, recycling, and BioFarm operations. The facility is designed to segregate and responsibly dispose, reuse, or recycle various waste streams including metals, aerosols, plastics, batteries, wood, oils, and hydrocarbons.</t>
  </si>
  <si>
    <t>Waste Production/$MSales</t>
  </si>
  <si>
    <t>Land Degradation/Deforestation/Biodiversity loss/Animal sufering/…</t>
  </si>
  <si>
    <t>"Zero environmental issues"</t>
  </si>
  <si>
    <t>To safeguard biodiversity and minimise adverse impacts on the ecosystem, Pilbara Minerals has formulated various management plans and procedures. These include a corporate EMP which outlines the overarching strategies and processes. Additionally, there is a specialised Fauna Management Procedure to protect fauna within and around the operational areas.</t>
  </si>
  <si>
    <t>Inputs</t>
  </si>
  <si>
    <t>Social</t>
  </si>
  <si>
    <t>Employee Turnover %</t>
  </si>
  <si>
    <t>CO2 Emissions Total (Tonnes)</t>
  </si>
  <si>
    <t>Salaries &amp; Compensation</t>
  </si>
  <si>
    <t>Medium</t>
  </si>
  <si>
    <t>Kind of</t>
  </si>
  <si>
    <t>Incentive and bonus schemes.</t>
  </si>
  <si>
    <t>Water Consumption Total (Cubic Meters)</t>
  </si>
  <si>
    <t>Reputation</t>
  </si>
  <si>
    <t>Energy Consumption Total (Gigajoules)</t>
  </si>
  <si>
    <t>Discrimination Events</t>
  </si>
  <si>
    <t>Increased spend with over $5M in procurement and contracts awarded to Aboriginal and Torres Strait Islander businesses.</t>
  </si>
  <si>
    <t>Waste Production Total (Tonnes)</t>
  </si>
  <si>
    <t>Work Safety</t>
  </si>
  <si>
    <t>Recorded zero fatalities and permanent injuries among employees and contractors.</t>
  </si>
  <si>
    <t>ESG Scores</t>
  </si>
  <si>
    <t>Damage to consumer health</t>
  </si>
  <si>
    <t>"Best in class"</t>
  </si>
  <si>
    <t>Refinitiv</t>
  </si>
  <si>
    <t>PXP?</t>
  </si>
  <si>
    <t>- A team of trained Mental Health First Aiders on site and in Perth who can be accessed by employees at any time
- A Lithium Bonus scheme connected to the price of spodumene</t>
  </si>
  <si>
    <t>Sustainalytics</t>
  </si>
  <si>
    <t>40,2 (Severe Risk)</t>
  </si>
  <si>
    <t>23,7 (Medium Risk)</t>
  </si>
  <si>
    <t>30,8 (Medium Risk)</t>
  </si>
  <si>
    <t>21,8 Medium Risk)</t>
  </si>
  <si>
    <t>20,8 (Medium Risk)</t>
  </si>
  <si>
    <t>Supply chain</t>
  </si>
  <si>
    <t>Commence construction of the Mid-stream Demonstration Plant, in joint venture with Calix, with the aim of validating Calix’s patented electric-kiln technology in calcining spodumene concentrate at a lower cost and reduced carbon emissions intensity, thereby further enhancing the sustainability of the battery materials supply chain.</t>
  </si>
  <si>
    <t>ISS</t>
  </si>
  <si>
    <t>C</t>
  </si>
  <si>
    <t>C-</t>
  </si>
  <si>
    <t>Community involvement</t>
  </si>
  <si>
    <t>Cultural Awareness Training sessions held for 292 employees and organization of two on-country cultural awareness overnight camps.</t>
  </si>
  <si>
    <t>CDP</t>
  </si>
  <si>
    <t>F</t>
  </si>
  <si>
    <t>B</t>
  </si>
  <si>
    <t>B/B-</t>
  </si>
  <si>
    <t>Public Sector</t>
  </si>
  <si>
    <t>Litigation</t>
  </si>
  <si>
    <t>No relevant Litigations</t>
  </si>
  <si>
    <t>Corporate Governance</t>
  </si>
  <si>
    <t>PARAMETERS</t>
  </si>
  <si>
    <t>Diversity (Gender, Age, Industry, Region)</t>
  </si>
  <si>
    <t>Improve female representation at senior manager and executive manager level during the period 2019 to 2023 (33%), and promotion of six female candidates to key senior leadership positions.</t>
  </si>
  <si>
    <t>IMPACT</t>
  </si>
  <si>
    <t>RANKING</t>
  </si>
  <si>
    <t>MITIGATION PLAN</t>
  </si>
  <si>
    <t>% Independence</t>
  </si>
  <si>
    <t>5/6 Directors were independent (100% of Non-Executive Directors were independent)</t>
  </si>
  <si>
    <t>Low</t>
  </si>
  <si>
    <t>Is there evidence of a plan/program ?</t>
  </si>
  <si>
    <t>average time as independent directors</t>
  </si>
  <si>
    <t>Recent departures of directors / C-level executives?</t>
  </si>
  <si>
    <t>Recent departure of the Managing Director/CEO (2022)</t>
  </si>
  <si>
    <t>High</t>
  </si>
  <si>
    <t>CEO/Chairman duality</t>
  </si>
  <si>
    <t>They are both the same</t>
  </si>
  <si>
    <t>Very high</t>
  </si>
  <si>
    <t>Transparency (ESG, segments, acquisitions, other)</t>
  </si>
  <si>
    <t>No problems to be reported</t>
  </si>
  <si>
    <t>Time taken to report after the end of the quarter / year</t>
  </si>
  <si>
    <t>Q3: 24 January (24 days)
FY23: 25 August (56 days)</t>
  </si>
  <si>
    <t>Additional participation of CEO in other boards / excessive participation of Ch.</t>
  </si>
  <si>
    <t>No evidence of it happening.</t>
  </si>
  <si>
    <t>Audit / Consulting</t>
  </si>
  <si>
    <t>The company's auditor is KPMG, having paid 323 644$ for audit services in 2023.</t>
  </si>
  <si>
    <t>ESG-compensation related</t>
  </si>
  <si>
    <t>The Company’s Audit and Risk Committee Charter is disclosed on the Company’s website but the information is not clear enough</t>
  </si>
  <si>
    <t>Management compensation schemes</t>
  </si>
  <si>
    <t>(See image on the right)</t>
  </si>
  <si>
    <t>VALUATION MODEL</t>
  </si>
  <si>
    <t>Short Term</t>
  </si>
  <si>
    <t>Long Term</t>
  </si>
  <si>
    <t>Section</t>
  </si>
  <si>
    <t>Line #</t>
  </si>
  <si>
    <t>ITEM</t>
  </si>
  <si>
    <t>INCOME STATEMENT</t>
  </si>
  <si>
    <t>Growth</t>
  </si>
  <si>
    <t>Revenues/Sales</t>
  </si>
  <si>
    <t>5a</t>
  </si>
  <si>
    <t>(Depreciation)</t>
  </si>
  <si>
    <t>5b</t>
  </si>
  <si>
    <t>Amortization</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</si>
  <si>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</si>
  <si>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</si>
  <si>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</si>
  <si>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</si>
  <si>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</si>
  <si>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</si>
  <si>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</si>
  <si>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</si>
  <si>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</si>
  <si>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</si>
  <si>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</si>
  <si>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</si>
  <si>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</si>
  <si>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</si>
  <si>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Aquisitions</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</si>
  <si>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</si>
  <si>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</si>
  <si>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</si>
  <si>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</si>
  <si>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</si>
  <si>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</si>
  <si>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</si>
  <si>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</si>
  <si>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</si>
  <si>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</si>
  <si>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</si>
  <si>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</si>
  <si>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</si>
  <si>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</si>
  <si>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</si>
  <si>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</si>
  <si>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</si>
  <si>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</si>
  <si>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</si>
  <si>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</si>
  <si>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</si>
  <si>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</si>
  <si>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</si>
  <si>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</si>
  <si>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</si>
  <si>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</si>
  <si>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</si>
  <si>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</si>
  <si>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</si>
  <si>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</si>
  <si>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</si>
  <si>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</si>
  <si>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</si>
  <si>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</si>
  <si>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</si>
  <si>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</si>
  <si>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</si>
  <si>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</si>
  <si>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Earnings before tax</t>
  </si>
  <si>
    <t>Interest Rate on debt</t>
  </si>
  <si>
    <t>% Debt (l29)</t>
  </si>
  <si>
    <t>Interest Rate on cash</t>
  </si>
  <si>
    <t>% of Cash (l28)</t>
  </si>
  <si>
    <t>PPE+ROA</t>
  </si>
  <si>
    <t>Growing with capex</t>
  </si>
  <si>
    <t>Working capital flows</t>
  </si>
  <si>
    <t>% of Change Revenues (l2)</t>
  </si>
  <si>
    <t>Intangible Assets</t>
  </si>
  <si>
    <t>Growing with amortization</t>
  </si>
  <si>
    <t>Capex</t>
  </si>
  <si>
    <t>Acquisition factor</t>
  </si>
  <si>
    <t>% Free Cash Flow</t>
  </si>
  <si>
    <t>Repurchases</t>
  </si>
  <si>
    <t>Leases</t>
  </si>
  <si>
    <t>Cash Costs for EBIT</t>
  </si>
  <si>
    <t>% EBITDA</t>
  </si>
  <si>
    <t>$ millions</t>
  </si>
  <si>
    <t>Value of flows</t>
  </si>
  <si>
    <t>Value of perpetuity</t>
  </si>
  <si>
    <t>Total Value</t>
  </si>
  <si>
    <t>Actual share price</t>
  </si>
  <si>
    <t>Total value vs Mkt Cap</t>
  </si>
  <si>
    <t>Pilbara</t>
  </si>
  <si>
    <t>Estimated NPV per share</t>
  </si>
  <si>
    <t>Sensibility</t>
  </si>
  <si>
    <t>Sensitivity +0.1%</t>
  </si>
  <si>
    <t>Sensitivity +0.5%</t>
  </si>
  <si>
    <t>Notes</t>
  </si>
  <si>
    <t>Price where it'd be a "BUY"</t>
  </si>
  <si>
    <t>Links</t>
  </si>
  <si>
    <t>https://www.fool.com.au/2023/12/07/pilbara-minerals-shares-have-dropped-34-in-4-months-heres-what-to-focus-on/</t>
  </si>
  <si>
    <t>https://www.nasdaq.com/articles/lithium-market-forecast%3A-top-trends-that-will-affect-lithium-in-2024</t>
  </si>
  <si>
    <t>https://www.statista.com/statistics/208725/net-profit-margin-of-the-top-mining-companies/</t>
  </si>
  <si>
    <t>Net profit margin of the top mining companies worldwide from 2002 to 2022, with a forecast for 2023</t>
  </si>
  <si>
    <t>Study done by PwC (June 2023)</t>
  </si>
  <si>
    <t>2002</t>
  </si>
  <si>
    <t>in %</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</si>
  <si>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</si>
  <si>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</si>
  <si>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</si>
  <si>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</si>
  <si>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</si>
  <si>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</si>
  <si>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</si>
  <si>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</si>
  <si>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</si>
  <si>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</si>
  <si>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</si>
  <si>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</si>
  <si>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</si>
  <si>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</si>
  <si>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</si>
  <si>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</si>
  <si>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</si>
  <si>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</si>
  <si>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</si>
  <si>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</si>
  <si>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</si>
  <si>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Average for the past 21 years</t>
  </si>
  <si>
    <t>Percentage</t>
  </si>
  <si>
    <t>Sensitivity Analysis</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</si>
  <si>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</si>
  <si>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</si>
  <si>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</si>
  <si>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</si>
  <si>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</si>
  <si>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</si>
  <si>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</si>
  <si>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</si>
  <si>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</si>
  <si>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</si>
  <si>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</si>
  <si>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</si>
  <si>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</si>
  <si>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</si>
  <si>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</si>
  <si>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</si>
  <si>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</si>
  <si>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</si>
  <si>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</si>
  <si>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</si>
  <si>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</si>
  <si>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</si>
  <si>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</si>
  <si>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</si>
  <si>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</si>
  <si>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</si>
  <si>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Ore Growth</t>
  </si>
  <si>
    <t>Good Market</t>
  </si>
  <si>
    <t>Current Market</t>
  </si>
  <si>
    <t>Bad Market</t>
  </si>
  <si>
    <t>Lithium Price</t>
  </si>
  <si>
    <t>Bad Marlet</t>
  </si>
  <si>
    <t>Average</t>
  </si>
  <si>
    <t>Albemare</t>
  </si>
  <si>
    <t xml:space="preserve">Operating cost estimates are based on a combination of fixed brine extraction, G&amp;A and plant costs and variable costs associated with raw brine pumping rate or lithium production rate. Average life of mine operating cost is </t>
  </si>
  <si>
    <t xml:space="preserve">calculated at approximately $4,155/metric tonne CIF Asia. </t>
  </si>
  <si>
    <t>Assumptions</t>
  </si>
  <si>
    <t>Prospects:</t>
  </si>
  <si>
    <t>Links:</t>
  </si>
  <si>
    <t>Average (3y)</t>
  </si>
  <si>
    <t>Average (5y)</t>
  </si>
  <si>
    <t>Average (10y)</t>
  </si>
  <si>
    <t>Average (w/o covid)</t>
  </si>
  <si>
    <t>Short Term Forecast</t>
  </si>
  <si>
    <t>Long Term Forecast</t>
  </si>
  <si>
    <t>Production Increase, Sales Increase however lower price per tonne dropped the revenue (H1 2024)</t>
  </si>
  <si>
    <t>Revenue growth</t>
  </si>
  <si>
    <t>Modelling Factors</t>
  </si>
  <si>
    <t>Last 10 Years</t>
  </si>
  <si>
    <t>Mining Equipement, similar to construction equipment (excavators, Bulldozers, etc) have an average lifespan of about 10-12 years</t>
  </si>
  <si>
    <t>- -</t>
  </si>
  <si>
    <t>No Compensation has been paid out in the previous years.</t>
  </si>
  <si>
    <t>* According to MINERALS RESOURCE RENT TAX (MRRT) of Australia</t>
  </si>
  <si>
    <t xml:space="preserve">CAPEX </t>
  </si>
  <si>
    <t>*Paying a sustainable dividend to shareholders, with a target dividend payout ratio of between 20-30% of free cash flow ( https://pilbaraminerals.com.au/investors/dividend-information/)</t>
  </si>
  <si>
    <t>Forecasts</t>
  </si>
  <si>
    <t>https://www.statista.com/statistics/452025/projected-total-demand-for-lithium-globally/</t>
  </si>
  <si>
    <t>Demand</t>
  </si>
  <si>
    <t xml:space="preserve"> Demand Growth YoY</t>
  </si>
  <si>
    <t>Average Price per ton</t>
  </si>
  <si>
    <t>Price Growth YoY</t>
  </si>
  <si>
    <t>Revenue Growth</t>
  </si>
  <si>
    <t>Regression Forecast</t>
  </si>
  <si>
    <t>Year (Quarterly)</t>
  </si>
  <si>
    <t>Units</t>
  </si>
  <si>
    <t>April Q FY17</t>
  </si>
  <si>
    <t>September Q FY17</t>
  </si>
  <si>
    <t>December Q FY17</t>
  </si>
  <si>
    <t>April Q FY18</t>
  </si>
  <si>
    <t>September Q FY18</t>
  </si>
  <si>
    <t>December Q FY18</t>
  </si>
  <si>
    <t>April Q FY19</t>
  </si>
  <si>
    <t>September Q FY19</t>
  </si>
  <si>
    <t>December Q FY19</t>
  </si>
  <si>
    <t>April Q FY20</t>
  </si>
  <si>
    <t>September Q FY20</t>
  </si>
  <si>
    <t>December Q FY20</t>
  </si>
  <si>
    <t>April Q FY21</t>
  </si>
  <si>
    <t>September Q FY21</t>
  </si>
  <si>
    <t>December Q FY21</t>
  </si>
  <si>
    <t>April Q FY22</t>
  </si>
  <si>
    <t>September Q FY22</t>
  </si>
  <si>
    <t>December Q FY22</t>
  </si>
  <si>
    <t>April Q FY23</t>
  </si>
  <si>
    <t>September Q FY23</t>
  </si>
  <si>
    <t>December Q FY23</t>
  </si>
  <si>
    <t>April Q FY24</t>
  </si>
  <si>
    <t>September Q FY24</t>
  </si>
  <si>
    <t>December Q FY24</t>
  </si>
  <si>
    <t>Sales</t>
  </si>
  <si>
    <t>kt</t>
  </si>
  <si>
    <t>Production</t>
  </si>
  <si>
    <t>A$M</t>
  </si>
  <si>
    <t>Realised Price</t>
  </si>
  <si>
    <t>US$/T</t>
  </si>
  <si>
    <t>Exploration (Quarter Basis)</t>
  </si>
  <si>
    <t>Sparkline</t>
  </si>
  <si>
    <t>Q1 FY17</t>
  </si>
  <si>
    <t>Q2 FY17</t>
  </si>
  <si>
    <t>Q3 FY17</t>
  </si>
  <si>
    <t>Q4 FY17</t>
  </si>
  <si>
    <t>Q1 FY18</t>
  </si>
  <si>
    <t>Q2 FY18</t>
  </si>
  <si>
    <t>Q3 FY18</t>
  </si>
  <si>
    <t>Q4 FY18</t>
  </si>
  <si>
    <t>Q1 FY19</t>
  </si>
  <si>
    <t>Q2 FY19</t>
  </si>
  <si>
    <t>Q3 FY19</t>
  </si>
  <si>
    <t>Q4 FY19</t>
  </si>
  <si>
    <t>Q1 FY20</t>
  </si>
  <si>
    <t>Q2 FY20</t>
  </si>
  <si>
    <t>Q3 FY20</t>
  </si>
  <si>
    <t>Q4 FY20</t>
  </si>
  <si>
    <t>Q1 FY21</t>
  </si>
  <si>
    <t>Q2 FY21</t>
  </si>
  <si>
    <t>Q3 FY21</t>
  </si>
  <si>
    <t>Q4 FY21</t>
  </si>
  <si>
    <t>Q1 FY22</t>
  </si>
  <si>
    <t>Q2 FY22</t>
  </si>
  <si>
    <t>Q3 FY22</t>
  </si>
  <si>
    <t>Q4 FY22</t>
  </si>
  <si>
    <t>Q1 FY23</t>
  </si>
  <si>
    <t>Q2 FY23</t>
  </si>
  <si>
    <t>Q3 FY23</t>
  </si>
  <si>
    <t>Q4 FY23</t>
  </si>
  <si>
    <t>Q1 FY24</t>
  </si>
  <si>
    <t>Q2 FY24</t>
  </si>
  <si>
    <t>Ore Mined</t>
  </si>
  <si>
    <t>wmt</t>
  </si>
  <si>
    <t>QoQ Growth</t>
  </si>
  <si>
    <t>QoQ (%)</t>
  </si>
  <si>
    <t>Waste Mined</t>
  </si>
  <si>
    <t>Total Mineral Mined</t>
  </si>
  <si>
    <t>Ore Processed</t>
  </si>
  <si>
    <t>dmt</t>
  </si>
  <si>
    <t>Lithium Market price</t>
  </si>
  <si>
    <t>AUD $</t>
  </si>
  <si>
    <t>Waste Margin</t>
  </si>
  <si>
    <t>(%)</t>
  </si>
  <si>
    <t>Processed Eficiency</t>
  </si>
  <si>
    <t>Mining Efficiency</t>
  </si>
  <si>
    <t>Exploration (Yearly Basis)</t>
  </si>
  <si>
    <t>2023</t>
  </si>
  <si>
    <t>2024 (Q1+Q2)</t>
  </si>
  <si>
    <t>2024 (Q3+Q4)</t>
  </si>
  <si>
    <t>CAGR</t>
  </si>
  <si>
    <t>2024 Q3+Q4)</t>
  </si>
  <si>
    <t>FY QoQ (Previous Quarter Comparison): Ore Mined</t>
  </si>
  <si>
    <t>Q1</t>
  </si>
  <si>
    <t>Q2</t>
  </si>
  <si>
    <t>Q3</t>
  </si>
  <si>
    <t>Q4</t>
  </si>
  <si>
    <t>2017/2018</t>
  </si>
  <si>
    <t>2018/2019</t>
  </si>
  <si>
    <t>Green &gt;50% Growth QoQ</t>
  </si>
  <si>
    <t>2019/2020</t>
  </si>
  <si>
    <t>Yellow 0&gt;X&gt;50 Growth QoQ</t>
  </si>
  <si>
    <t>2020/2021</t>
  </si>
  <si>
    <t>Red &lt;0% Growth QoQ</t>
  </si>
  <si>
    <t>2021/2022</t>
  </si>
  <si>
    <t>2022/2023</t>
  </si>
  <si>
    <t>2023/2024</t>
  </si>
  <si>
    <t>Quarter on Quarter Basis</t>
  </si>
  <si>
    <t>Q1 2017 /Q3 2017 (Pilbara)</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</si>
  <si>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</si>
  <si>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</si>
  <si>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</si>
  <si>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</si>
  <si>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</si>
  <si>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</si>
  <si>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</si>
  <si>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</si>
  <si>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</si>
  <si>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</si>
  <si>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</si>
  <si>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</si>
  <si>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</si>
  <si>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</si>
  <si>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</si>
  <si>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</si>
  <si>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</si>
  <si>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</si>
  <si>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</si>
  <si>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</si>
  <si>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</si>
  <si>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</si>
  <si>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</si>
  <si>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</si>
  <si>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</si>
  <si>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</si>
  <si>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Real GDP Australia (Domestic Currency, Quarterly, Adjusted for Seasonality)</t>
  </si>
  <si>
    <t>Correlation Analysis</t>
  </si>
  <si>
    <t>GDP Australia Mining</t>
  </si>
  <si>
    <t>GDP Australia (millions) (Total)</t>
  </si>
  <si>
    <t>Average Market Price</t>
  </si>
  <si>
    <t>BEV</t>
  </si>
  <si>
    <t>GDP Australia</t>
  </si>
  <si>
    <t>Average Lithium Price</t>
  </si>
  <si>
    <t>Modelling Factor</t>
  </si>
  <si>
    <t>Ore</t>
  </si>
  <si>
    <t>Quarters in Analysis</t>
  </si>
  <si>
    <t>Drivers of Revenue Growth</t>
  </si>
  <si>
    <t>Q4 2023</t>
  </si>
  <si>
    <t>Q1 2024</t>
  </si>
  <si>
    <t>Q2 2024</t>
  </si>
  <si>
    <t>Q3 2024</t>
  </si>
  <si>
    <t>Q4 2024</t>
  </si>
  <si>
    <t>Q1 2025</t>
  </si>
  <si>
    <t>Q2 2025</t>
  </si>
  <si>
    <t>Q3 2025</t>
  </si>
  <si>
    <t>Q4 2025</t>
  </si>
  <si>
    <t>Q1 2026</t>
  </si>
  <si>
    <t>Q2 2026</t>
  </si>
  <si>
    <t>Q3 2026</t>
  </si>
  <si>
    <t>Q4 2026</t>
  </si>
  <si>
    <t>Q1 2027</t>
  </si>
  <si>
    <t>Q2 2027</t>
  </si>
  <si>
    <t>Q3 2027</t>
  </si>
  <si>
    <t>Q4 2027</t>
  </si>
  <si>
    <t>Q1 2028</t>
  </si>
  <si>
    <t>Q2 2028</t>
  </si>
  <si>
    <t>Q3 2028</t>
  </si>
  <si>
    <t>Q4 2028</t>
  </si>
  <si>
    <t>Q1 2029</t>
  </si>
  <si>
    <t>Q2 2029</t>
  </si>
  <si>
    <t>Q3 2029</t>
  </si>
  <si>
    <t>Q4 2029</t>
  </si>
  <si>
    <t>Q1 2030</t>
  </si>
  <si>
    <t>Q2 2030</t>
  </si>
  <si>
    <t>Q3 2030</t>
  </si>
  <si>
    <t>Q4 2030</t>
  </si>
  <si>
    <t>Q1 2031</t>
  </si>
  <si>
    <t>Q2 2031</t>
  </si>
  <si>
    <t>Q3 2031</t>
  </si>
  <si>
    <t>Q4 2031</t>
  </si>
  <si>
    <t>Q1 2032</t>
  </si>
  <si>
    <t>Q2 2032</t>
  </si>
  <si>
    <t>Q3 2032</t>
  </si>
  <si>
    <t>Q4 2032</t>
  </si>
  <si>
    <t>Q1 2033</t>
  </si>
  <si>
    <t>Q2 2033</t>
  </si>
  <si>
    <t>Q3 2033</t>
  </si>
  <si>
    <t>Q4 2033</t>
  </si>
  <si>
    <t>Q1 2034</t>
  </si>
  <si>
    <t>Q2 2034</t>
  </si>
  <si>
    <t>Q3 2034</t>
  </si>
  <si>
    <t>Q4 2034</t>
  </si>
  <si>
    <t>Q1 2035</t>
  </si>
  <si>
    <t>Q2 2035</t>
  </si>
  <si>
    <t>Q3 2035</t>
  </si>
  <si>
    <t>Q4 2035</t>
  </si>
  <si>
    <t>Q1 2036</t>
  </si>
  <si>
    <t>Q2 2036</t>
  </si>
  <si>
    <t>Q3 2036</t>
  </si>
  <si>
    <t>Q4 2036</t>
  </si>
  <si>
    <t>Q1 2037</t>
  </si>
  <si>
    <t>Q2 2037</t>
  </si>
  <si>
    <t>Q3 2037</t>
  </si>
  <si>
    <t>Q4 2037</t>
  </si>
  <si>
    <t>Q1 2038</t>
  </si>
  <si>
    <t>Q2 2038</t>
  </si>
  <si>
    <t>Q3 2038</t>
  </si>
  <si>
    <t>Q4 2038</t>
  </si>
  <si>
    <t>Q1 2039</t>
  </si>
  <si>
    <t>Q2 2039</t>
  </si>
  <si>
    <t>Q3 2039</t>
  </si>
  <si>
    <t>Q4 2039</t>
  </si>
  <si>
    <t>Q1 2040</t>
  </si>
  <si>
    <t>Q2 2040</t>
  </si>
  <si>
    <t>Q3 2040</t>
  </si>
  <si>
    <t>Q4 2040</t>
  </si>
  <si>
    <t>Q1 2041</t>
  </si>
  <si>
    <t>Q2 2041</t>
  </si>
  <si>
    <t>Q3 2041</t>
  </si>
  <si>
    <t>Q4 2041</t>
  </si>
  <si>
    <t>Q1 2042</t>
  </si>
  <si>
    <t>Q2 2042</t>
  </si>
  <si>
    <t>Q3 2042</t>
  </si>
  <si>
    <t>Q4 2042</t>
  </si>
  <si>
    <t>Q1 2043</t>
  </si>
  <si>
    <t>Q2 2043</t>
  </si>
  <si>
    <t>Q3 2043</t>
  </si>
  <si>
    <t>Q4 2043</t>
  </si>
  <si>
    <t>Q1 2044</t>
  </si>
  <si>
    <t>Q2 2044</t>
  </si>
  <si>
    <t>Q3 2044</t>
  </si>
  <si>
    <t>Q4 2044</t>
  </si>
  <si>
    <t>Q1 2045</t>
  </si>
  <si>
    <t>Q2 2045</t>
  </si>
  <si>
    <t>Q3 2045</t>
  </si>
  <si>
    <t>Q4 2045</t>
  </si>
  <si>
    <t>Q1 2046</t>
  </si>
  <si>
    <t>Q2 2046</t>
  </si>
  <si>
    <t>Q3 2046</t>
  </si>
  <si>
    <t>Q4 2046</t>
  </si>
  <si>
    <t>Q1 2047</t>
  </si>
  <si>
    <t>Q2 2047</t>
  </si>
  <si>
    <t>Q3 2047</t>
  </si>
  <si>
    <t>Q4 2047</t>
  </si>
  <si>
    <t>Q1 2048</t>
  </si>
  <si>
    <t>Q2 2048</t>
  </si>
  <si>
    <t>Q3 2048</t>
  </si>
  <si>
    <t>Q4 2048</t>
  </si>
  <si>
    <t>Q1 2049</t>
  </si>
  <si>
    <t>Q2 2049</t>
  </si>
  <si>
    <t>Q3 2049</t>
  </si>
  <si>
    <t>Q4 2049</t>
  </si>
  <si>
    <t>BEV (Data from the US)</t>
  </si>
  <si>
    <t>Market Status</t>
  </si>
  <si>
    <t>Average Price</t>
  </si>
  <si>
    <t>Ore Processed and Net Sales are correlated</t>
  </si>
  <si>
    <t>Ore Processed Growth</t>
  </si>
  <si>
    <t>Both ore processed and Net Sales are not correlated with the Australian Mining Gross Domestic Product. This might indicate lower market share then competitors</t>
  </si>
  <si>
    <t>The Ore Processed, Net Sales and GDP of Australia relative from mining are correlated.</t>
  </si>
  <si>
    <t>Lithium Price Forecast</t>
  </si>
  <si>
    <t>There is no significat correlation between Average Price and the Remaing Topics</t>
  </si>
  <si>
    <t>Impact diue to Surplus of Supply</t>
  </si>
  <si>
    <t>Revenue''</t>
  </si>
  <si>
    <t>So we have proven that Pilbara reduces their production when prices go down.</t>
  </si>
  <si>
    <t>Impact due to Surplus of Demand</t>
  </si>
  <si>
    <t>BEV Sales are tightly correlated with Ore Production and Inversly correlated with lithium market price (meaning when prices of lithium goes up, sales of BEV go down)</t>
  </si>
  <si>
    <t>Year 2050</t>
  </si>
  <si>
    <t>Our Scenario (X - Times)</t>
  </si>
  <si>
    <t>BEV Sales</t>
  </si>
  <si>
    <t>Expected Scenario (Bloomberg NEF) https://about.bnef.com/electric-vehicle-outlook/</t>
  </si>
  <si>
    <t>The number of BEV sold is correlated with the Net Sales</t>
  </si>
  <si>
    <t>Growth vs. Previous year</t>
  </si>
  <si>
    <t>Gross Profit</t>
  </si>
  <si>
    <t>% over sales</t>
  </si>
  <si>
    <t>Operating expenses</t>
  </si>
  <si>
    <t xml:space="preserve">     Growth vs. Previous year</t>
  </si>
  <si>
    <t>Other Expenses (Revenues)</t>
  </si>
  <si>
    <t>Changes Net Working Capital</t>
  </si>
  <si>
    <t>% Tax</t>
  </si>
  <si>
    <t>Cash Generated</t>
  </si>
  <si>
    <t>Share buyback</t>
  </si>
  <si>
    <t>FNP''</t>
  </si>
  <si>
    <t>FNP'</t>
  </si>
  <si>
    <t>Cash/Sales</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</si>
  <si>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</si>
  <si>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</si>
  <si>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</si>
  <si>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</si>
  <si>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</si>
  <si>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</si>
  <si>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</si>
  <si>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</si>
  <si>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</si>
  <si>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</si>
  <si>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</si>
  <si>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</si>
  <si>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</si>
  <si>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</si>
  <si>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</si>
  <si>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</si>
  <si>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</si>
  <si>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</si>
  <si>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</si>
  <si>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</si>
  <si>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</si>
  <si>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</si>
  <si>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</si>
  <si>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</si>
  <si>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</si>
  <si>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Moody's</t>
  </si>
  <si>
    <t>YTM</t>
  </si>
  <si>
    <t>DIVISA</t>
  </si>
  <si>
    <t>Share Buyback / Net Income</t>
  </si>
  <si>
    <t>Net Income/FCF</t>
  </si>
  <si>
    <t>MÉDIA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</si>
  <si>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</si>
  <si>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</si>
  <si>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</si>
  <si>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</si>
  <si>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</si>
  <si>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</si>
  <si>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</si>
  <si>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</si>
  <si>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</si>
  <si>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</si>
  <si>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</si>
  <si>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</si>
  <si>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</si>
  <si>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</si>
  <si>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</si>
  <si>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</si>
  <si>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</si>
  <si>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</si>
  <si>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</si>
  <si>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</si>
  <si>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</si>
  <si>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</si>
  <si>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</si>
  <si>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</si>
  <si>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</si>
  <si>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</si>
  <si>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</si>
  <si>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</si>
  <si>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</si>
  <si>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</si>
  <si>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</si>
  <si>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</si>
  <si>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</si>
  <si>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</si>
  <si>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</si>
  <si>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</si>
  <si>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</si>
  <si>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</si>
  <si>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</si>
  <si>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</si>
  <si>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</si>
  <si>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</si>
  <si>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</si>
  <si>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</si>
  <si>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</si>
  <si>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</si>
  <si>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</si>
  <si>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</si>
  <si>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</si>
  <si>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</si>
  <si>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</si>
  <si>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</si>
  <si>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</si>
  <si>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</si>
  <si>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</si>
  <si>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</si>
  <si>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</si>
  <si>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</si>
  <si>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</si>
  <si>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</si>
  <si>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</si>
  <si>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</si>
  <si>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</si>
  <si>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</si>
  <si>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</si>
  <si>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</si>
  <si>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</si>
  <si>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</si>
  <si>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</si>
  <si>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</si>
  <si>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</si>
  <si>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</si>
  <si>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</si>
  <si>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</si>
  <si>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</si>
  <si>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</si>
  <si>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</si>
  <si>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</si>
  <si>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</si>
  <si>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</si>
  <si>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</si>
  <si>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</si>
  <si>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</si>
  <si>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</si>
  <si>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</si>
  <si>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</si>
  <si>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</si>
  <si>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</si>
  <si>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</si>
  <si>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</si>
  <si>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</si>
  <si>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</si>
  <si>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</si>
  <si>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</si>
  <si>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</si>
  <si>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</si>
  <si>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</si>
  <si>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</si>
  <si>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</si>
  <si>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</si>
  <si>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</si>
  <si>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</si>
  <si>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</si>
  <si>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</si>
  <si>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</si>
  <si>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</si>
  <si>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</si>
  <si>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</si>
  <si>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</si>
  <si>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</si>
  <si>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</si>
  <si>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</si>
  <si>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</si>
  <si>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</si>
  <si>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</si>
  <si>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</si>
  <si>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</si>
  <si>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</si>
  <si>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</si>
  <si>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</si>
  <si>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</si>
  <si>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</si>
  <si>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</si>
  <si>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</si>
  <si>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</si>
  <si>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</si>
  <si>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</si>
  <si>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</si>
  <si>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</si>
  <si>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</si>
  <si>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</si>
  <si>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</si>
  <si>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</si>
  <si>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</si>
  <si>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</si>
  <si>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</si>
  <si>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</si>
  <si>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</si>
  <si>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</si>
  <si>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</si>
  <si>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</si>
  <si>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</si>
  <si>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</si>
  <si>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</si>
  <si>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</si>
  <si>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</si>
  <si>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</si>
  <si>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</si>
  <si>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</si>
  <si>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</si>
  <si>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</si>
  <si>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</si>
  <si>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</si>
  <si>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</si>
  <si>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</si>
  <si>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</si>
  <si>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</si>
  <si>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</si>
  <si>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</si>
  <si>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</si>
  <si>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</si>
  <si>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AUD</t>
  </si>
  <si>
    <t>Company</t>
  </si>
  <si>
    <t>Report in millions</t>
  </si>
  <si>
    <t>RESULTS</t>
  </si>
  <si>
    <t>Hoja</t>
  </si>
  <si>
    <t>Nombre campo Bloomberg</t>
  </si>
  <si>
    <t>Cambio de signo</t>
  </si>
  <si>
    <t>Income Statement</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</si>
  <si>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</si>
  <si>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</si>
  <si>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</si>
  <si>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</si>
  <si>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</si>
  <si>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</si>
  <si>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</si>
  <si>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</si>
  <si>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</si>
  <si>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</si>
  <si>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</si>
  <si>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</si>
  <si>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</si>
  <si>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</si>
  <si>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</si>
  <si>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</si>
  <si>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</si>
  <si>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</si>
  <si>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</si>
  <si>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ver annual report</t>
  </si>
  <si>
    <t>cash flows</t>
  </si>
  <si>
    <t>NWC</t>
  </si>
  <si>
    <t>Net Working Capital</t>
  </si>
  <si>
    <t>ASSETS</t>
  </si>
  <si>
    <t>Current</t>
  </si>
  <si>
    <t>Balance Sheet</t>
  </si>
  <si>
    <t>Other Current Assets</t>
  </si>
  <si>
    <t>Non-current</t>
  </si>
  <si>
    <t>Operating leases</t>
  </si>
  <si>
    <t>Equity Method Investments</t>
  </si>
  <si>
    <t>Other Non-Current Assets</t>
  </si>
  <si>
    <t>Balance</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</si>
  <si>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</si>
  <si>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</si>
  <si>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</si>
  <si>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</si>
  <si>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</si>
  <si>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</si>
  <si>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</si>
  <si>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</si>
  <si>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</si>
  <si>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</si>
  <si>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</si>
  <si>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</si>
  <si>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</si>
  <si>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</si>
  <si>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</si>
  <si>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</si>
  <si>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Investing Cash Flow Items, Total</t>
  </si>
  <si>
    <t>Other Inflows (Outflows)</t>
  </si>
  <si>
    <t>Other Investing Cash Flow</t>
  </si>
  <si>
    <t>Investments &amp; Aquisitions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</si>
  <si>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</si>
  <si>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</si>
  <si>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</si>
  <si>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</si>
  <si>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</si>
  <si>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</si>
  <si>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</si>
  <si>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</si>
  <si>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</si>
  <si>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</si>
  <si>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</si>
  <si>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</si>
  <si>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</si>
  <si>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</si>
  <si>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None</t>
  </si>
  <si>
    <t>Dividend Yield(Yahoo Finance)</t>
  </si>
  <si>
    <t>Yahoo Finance</t>
  </si>
  <si>
    <t>Accumulated Depreciation, Total</t>
  </si>
  <si>
    <t>Property/Plant/Equipment, Total - Gross</t>
  </si>
  <si>
    <t>Interest Expense - Non-Operating</t>
  </si>
  <si>
    <t>Interest Income - Non-Operating</t>
  </si>
  <si>
    <t>COGS/REVENUE</t>
  </si>
  <si>
    <t>Share-Based Payments</t>
  </si>
  <si>
    <t>Investment Income - Non-Operating</t>
  </si>
  <si>
    <t>Other Non-Operating Income (Expense)</t>
  </si>
  <si>
    <t>Arredondation Errors</t>
  </si>
  <si>
    <t>Accounts Payable</t>
  </si>
  <si>
    <t>Payable/Accrued</t>
  </si>
  <si>
    <t>Income Taxes Payable</t>
  </si>
  <si>
    <t>Other Payables</t>
  </si>
  <si>
    <t>Acquisition of Business</t>
  </si>
  <si>
    <t>Sale/Maturity of Investment</t>
  </si>
  <si>
    <t>Purchase of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</si>
</sst>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9">
    <numFmt numFmtId="176" formatCode="_-* #,##0.00\ &quot;€&quot;_-;\-* #,##0.00\ &quot;€&quot;_-;_-* &quot;-&quot;??\ &quot;€&quot;_-;_-@_-"/>
    <numFmt numFmtId="177" formatCode="_-* #,##0.00_-;\-* #,##0.00_-;_-* &quot;-&quot;??_-;_-@_-"/>
    <numFmt numFmtId="178" formatCode="_-&quot;€&quot;* #,##0.00_-;\-&quot;€&quot;* #,##0.00_-;_-&quot;€&quot;* &quot;-&quot;??_-;_-@_-"/>
    <numFmt numFmtId="179" formatCode="_-&quot;$&quot;* #,##0.00_-;\-&quot;$&quot;* #,##0.00_-;_-&quot;$&quot;* &quot;-&quot;??_-;_-@_-"/>
    <numFmt numFmtId="180" formatCode="&quot;$&quot;#,##0.00"/>
    <numFmt numFmtId="181" formatCode="&quot;$&quot;#,##0"/>
    <numFmt numFmtId="182" formatCode="0.0%"/>
    <numFmt numFmtId="183" formatCode="0.0"/>
    <numFmt numFmtId="184" formatCode="#,##0.0"/>
    <numFmt numFmtId="185" formatCode="[$$-409]#,##0.00_ ;\-[$$-409]#,##0.00\ "/>
    <numFmt numFmtId="186" formatCode="[$$-409]#,##0"/>
    <numFmt numFmtId="187" formatCode="_-[$$-409]* #,##0.00_ ;_-[$$-409]* \-#,##0.00\ ;_-[$$-409]* &quot;-&quot;??_ ;_-@_ "/>
    <numFmt numFmtId="188" formatCode="0.000000"/>
    <numFmt numFmtId="189" formatCode="_([$$-409]* #,##0.00_);_([$$-409]* \(#,##0.00\);_([$$-409]* &quot;-&quot;??_);_(@_)"/>
    <numFmt numFmtId="190" formatCode="0.000%"/>
    <numFmt numFmtId="191" formatCode="_-* #,##0\ [$€-816]_-;\-* #,##0\ [$€-816]_-;_-* &quot;-&quot;??\ [$€-816]_-;_-@_-"/>
    <numFmt numFmtId="192" formatCode="_-* #,##0.00\ [$€-816]_-;\-* #,##0.00\ [$€-816]_-;_-* &quot;-&quot;??\ [$€-816]_-;_-@_-"/>
    <numFmt numFmtId="193" formatCode="0.000"/>
    <numFmt numFmtId="194" formatCode="[$€-2]\ #,##0"/>
    <numFmt numFmtId="195" formatCode="[$€-2]\ #,##0.00"/>
    <numFmt numFmtId="196" formatCode="0.0000%"/>
    <numFmt numFmtId="197" formatCode="#,##0_ ;\-#,##0\ "/>
    <numFmt numFmtId="198" formatCode="[$$-409]#,##0.0"/>
    <numFmt numFmtId="199" formatCode="[$$-C09]#,##0.00"/>
    <numFmt numFmtId="200" formatCode="_-[$$-C09]* #,##0.00_-;\-[$$-C09]* #,##0.00_-;_-[$$-C09]* &quot;-&quot;??_-;_-@_-"/>
    <numFmt numFmtId="201" formatCode="[$$-C09]#,##0"/>
    <numFmt numFmtId="202" formatCode="[$$-C09]#,##0.0"/>
    <numFmt numFmtId="203" formatCode="_-[$$-C09]* #,##0.0000_-;\-[$$-C09]* #,##0.0000_-;_-[$$-C09]* &quot;-&quot;??_-;_-@_-"/>
    <numFmt numFmtId="204" formatCode="0.0000"/>
  </numFmts>
  <fonts count="14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b/>
      <sz val="10"/>
      <color rgb="FF232A31"/>
      <name val="Arial"/>
      <family val="2"/>
    </font>
    <font>
      <sz val="11"/>
      <color rgb="FF374151"/>
      <name val="Arial"/>
      <family val="2"/>
    </font>
    <font>
      <sz val="9"/>
      <color rgb="FF262626"/>
      <name val="Arial"/>
      <family val="2"/>
    </font>
    <font>
      <sz val="9"/>
      <color rgb="FF262626"/>
      <name val="Arial"/>
      <family val="2"/>
      <charset val="1"/>
    </font>
    <font>
      <sz val="11"/>
      <color rgb="FFFF0000"/>
      <name val="Arial"/>
      <family val="2"/>
    </font>
    <font>
      <b/>
      <sz val="9"/>
      <color rgb="FF000000"/>
      <name val="Tahoma"/>
      <family val="2"/>
    </font>
    <font>
      <sz val="9"/>
      <color rgb="FF000000"/>
      <name val="Tahoma"/>
      <family val="2"/>
    </font>
    <font>
      <sz val="8"/>
      <name val="Arial"/>
      <family val="2"/>
    </font>
    <font>
      <sz val="11"/>
      <color rgb="FF666666"/>
      <name val="Helvetica Neue"/>
      <family val="2"/>
    </font>
    <font>
      <sz val="10"/>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1"/>
      <name val="Tahoma"/>
      <family val="2"/>
    </font>
    <font>
      <b/>
      <sz val="9"/>
      <color indexed="81"/>
      <name val="Tahoma"/>
      <family val="2"/>
    </font>
    <font>
      <sz val="10"/>
      <color theme="1"/>
      <name val="Calibri"/>
      <family val="2"/>
      <scheme val="minor"/>
    </font>
    <font>
      <sz val="10"/>
      <color rgb="FF0E101A"/>
      <name val="Arial"/>
      <family val="2"/>
    </font>
    <font>
      <sz val="10"/>
      <color rgb="FF2962FF"/>
      <name val="Roboto"/>
    </font>
    <font>
      <sz val="9"/>
      <color rgb="FF000000"/>
      <name val="Calibri"/>
      <family val="2"/>
    </font>
    <font>
      <b/>
      <sz val="11"/>
      <color theme="0"/>
      <name val="Calibri"/>
      <family val="2"/>
    </font>
    <font>
      <sz val="10"/>
      <name val="Arial"/>
      <family val="2"/>
    </font>
    <font>
      <b/>
      <i/>
      <sz val="10"/>
      <name val="Arial"/>
      <family val="2"/>
    </font>
    <font>
      <sz val="9.5"/>
      <name val="Arial"/>
      <family val="2"/>
    </font>
    <font>
      <sz val="10"/>
      <color rgb="FFFF0000"/>
      <name val="Calibri"/>
      <family val="2"/>
    </font>
    <font>
      <sz val="11"/>
      <color theme="1"/>
      <name val="Calibri"/>
      <family val="2"/>
      <charset val="204"/>
      <scheme val="minor"/>
    </font>
    <font>
      <b/>
      <sz val="11"/>
      <color theme="1"/>
      <name val="Calibri"/>
      <family val="2"/>
      <charset val="204"/>
      <scheme val="minor"/>
    </font>
    <font>
      <sz val="10"/>
      <name val="Arial"/>
      <family val="2"/>
    </font>
    <font>
      <sz val="10"/>
      <color rgb="FF000000"/>
      <name val="Helvetica Neue"/>
      <family val="2"/>
    </font>
    <font>
      <b/>
      <sz val="10"/>
      <color rgb="FF000000"/>
      <name val="Helvetica Neue"/>
      <family val="2"/>
    </font>
    <font>
      <u/>
      <sz val="10"/>
      <color theme="10"/>
      <name val="Arial"/>
      <family val="2"/>
    </font>
    <font>
      <sz val="11"/>
      <color rgb="FF333333"/>
      <name val="Arial"/>
      <family val="2"/>
    </font>
    <font>
      <b/>
      <sz val="11"/>
      <color rgb="FF333333"/>
      <name val="Montserrat"/>
      <family val="2"/>
      <charset val="1"/>
    </font>
    <font>
      <sz val="11"/>
      <color rgb="FF242424"/>
      <name val="Calibri"/>
      <family val="2"/>
      <charset val="1"/>
    </font>
    <font>
      <b/>
      <sz val="10"/>
      <color rgb="FF212529"/>
      <name val="Arial"/>
      <family val="2"/>
    </font>
    <font>
      <sz val="10"/>
      <color theme="1"/>
      <name val="Helvetica Neue"/>
      <family val="2"/>
    </font>
    <font>
      <b/>
      <sz val="10"/>
      <color theme="1"/>
      <name val="Arial"/>
      <family val="2"/>
    </font>
    <font>
      <b/>
      <sz val="10"/>
      <color theme="1"/>
      <name val="Helvetica Neue"/>
      <family val="2"/>
    </font>
    <font>
      <b/>
      <sz val="10"/>
      <color theme="0"/>
      <name val="Helvetica Neue"/>
      <family val="2"/>
    </font>
    <font>
      <sz val="10"/>
      <color theme="0"/>
      <name val="Helvetica Neue"/>
      <family val="2"/>
    </font>
    <font>
      <sz val="8"/>
      <color rgb="FF000000"/>
      <name val="Arial"/>
      <family val="2"/>
    </font>
    <font>
      <u/>
      <sz val="8"/>
      <color indexed="12"/>
      <name val="Arial"/>
      <family val="2"/>
    </font>
    <font>
      <sz val="12"/>
      <name val="TimesNewRomanPSMT"/>
    </font>
    <font>
      <sz val="14"/>
      <color theme="1"/>
      <name val="Arial"/>
      <family val="2"/>
    </font>
    <font>
      <sz val="14"/>
      <color theme="1"/>
      <name val="Helvetica Neue"/>
      <family val="2"/>
    </font>
    <font>
      <b/>
      <sz val="14"/>
      <color rgb="FF000000"/>
      <name val="Helvetica Neue"/>
      <family val="2"/>
    </font>
    <font>
      <sz val="12"/>
      <name val="Calibri"/>
      <family val="2"/>
    </font>
    <font>
      <sz val="14"/>
      <color theme="0"/>
      <name val="Arial"/>
      <family val="2"/>
    </font>
    <font>
      <sz val="9.8000000000000007"/>
      <color rgb="FF333333"/>
      <name val="Arial"/>
      <family val="2"/>
    </font>
    <font>
      <b/>
      <sz val="10"/>
      <color theme="1"/>
      <name val="Calibri"/>
      <family val="2"/>
      <charset val="204"/>
      <scheme val="minor"/>
    </font>
    <font>
      <sz val="10"/>
      <color theme="1"/>
      <name val="Calibri"/>
      <family val="2"/>
      <charset val="204"/>
      <scheme val="minor"/>
    </font>
    <font>
      <sz val="10"/>
      <color rgb="FFF5475B"/>
      <name val="Calibri"/>
      <family val="2"/>
      <charset val="204"/>
      <scheme val="minor"/>
    </font>
    <font>
      <sz val="10"/>
      <color rgb="FF2FB4C8"/>
      <name val="Calibri"/>
      <family val="2"/>
      <charset val="204"/>
      <scheme val="minor"/>
    </font>
  </fonts>
  <fills count="101">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6FA"/>
        <bgColor indexed="64"/>
      </patternFill>
    </fill>
    <fill>
      <patternFill patternType="solid">
        <fgColor rgb="FFE9EFF6"/>
        <bgColor indexed="64"/>
      </patternFill>
    </fill>
    <fill>
      <patternFill patternType="solid">
        <fgColor rgb="FFFFFFFF"/>
        <bgColor rgb="FF000000"/>
      </patternFill>
    </fill>
    <fill>
      <patternFill patternType="solid">
        <fgColor rgb="FF2761FF"/>
        <bgColor indexed="64"/>
      </patternFill>
    </fill>
    <fill>
      <patternFill patternType="solid">
        <fgColor rgb="FFF57B02"/>
        <bgColor indexed="64"/>
      </patternFill>
    </fill>
    <fill>
      <patternFill patternType="solid">
        <fgColor rgb="FF27C6DA"/>
        <bgColor indexed="64"/>
      </patternFill>
    </fill>
    <fill>
      <patternFill patternType="solid">
        <fgColor rgb="FFFCC02C"/>
        <bgColor indexed="64"/>
      </patternFill>
    </fill>
    <fill>
      <patternFill patternType="solid">
        <fgColor rgb="FF00B050"/>
        <bgColor indexed="64"/>
      </patternFill>
    </fill>
    <fill>
      <patternFill patternType="solid">
        <fgColor rgb="FFF5F6FA"/>
        <bgColor rgb="FF000000"/>
      </patternFill>
    </fill>
    <fill>
      <patternFill patternType="solid">
        <fgColor rgb="FFE9EFF6"/>
        <bgColor rgb="FF000000"/>
      </patternFill>
    </fill>
    <fill>
      <patternFill patternType="solid">
        <fgColor theme="3" tint="0.39997558519241921"/>
        <bgColor indexed="64"/>
      </patternFill>
    </fill>
    <fill>
      <patternFill patternType="solid">
        <fgColor rgb="FFF2F4F9"/>
        <bgColor rgb="FF000000"/>
      </patternFill>
    </fill>
    <fill>
      <patternFill patternType="solid">
        <fgColor theme="5" tint="-0.249977111117893"/>
        <bgColor indexed="64"/>
      </patternFill>
    </fill>
    <fill>
      <patternFill patternType="solid">
        <fgColor theme="6"/>
        <bgColor indexed="64"/>
      </patternFill>
    </fill>
    <fill>
      <patternFill patternType="solid">
        <fgColor rgb="FFFFC7CE"/>
        <bgColor indexed="64"/>
      </patternFill>
    </fill>
    <fill>
      <patternFill patternType="solid">
        <fgColor rgb="FFC6F0CE"/>
        <bgColor indexed="64"/>
      </patternFill>
    </fill>
    <fill>
      <patternFill patternType="solid">
        <fgColor rgb="FFFFEC9C"/>
        <bgColor indexed="64"/>
      </patternFill>
    </fill>
    <fill>
      <patternFill patternType="solid">
        <fgColor rgb="FFFFC00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E4E8ED"/>
      </patternFill>
    </fill>
    <fill>
      <patternFill patternType="solid">
        <fgColor rgb="FFF2F3F7"/>
      </patternFill>
    </fill>
    <fill>
      <patternFill patternType="solid">
        <fgColor rgb="FFD0D4DB"/>
      </patternFill>
    </fill>
    <fill>
      <patternFill patternType="solid">
        <fgColor rgb="FFADFFFF"/>
      </patternFill>
    </fill>
  </fills>
  <borders count="300">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rgb="FF000000"/>
      </right>
      <top/>
      <bottom style="thin">
        <color indexed="64"/>
      </bottom>
      <diagonal/>
    </border>
    <border>
      <left style="thin">
        <color indexed="64"/>
      </left>
      <right style="medium">
        <color indexed="64"/>
      </right>
      <top/>
      <bottom/>
      <diagonal/>
    </border>
    <border>
      <left style="thin">
        <color rgb="FF000000"/>
      </left>
      <right style="medium">
        <color rgb="FF000000"/>
      </right>
      <top style="thin">
        <color rgb="FF000000"/>
      </top>
      <bottom style="thin">
        <color rgb="FF000000"/>
      </bottom>
      <diagonal/>
    </border>
    <border>
      <left style="medium">
        <color rgb="FF1F497D"/>
      </left>
      <right/>
      <top style="thin">
        <color theme="0" tint="-0.24994659260841701"/>
      </top>
      <bottom/>
      <diagonal/>
    </border>
    <border>
      <left style="thin">
        <color theme="0" tint="-0.249977111117893"/>
      </left>
      <right/>
      <top style="thin">
        <color theme="0" tint="-0.249977111117893"/>
      </top>
      <bottom/>
      <diagonal/>
    </border>
    <border>
      <left/>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bottom style="thin">
        <color theme="0" tint="-0.249977111117893"/>
      </bottom>
      <diagonal/>
    </border>
    <border>
      <left/>
      <right style="medium">
        <color rgb="FF1F497D"/>
      </right>
      <top style="thin">
        <color theme="0" tint="-0.249977111117893"/>
      </top>
      <bottom/>
      <diagonal/>
    </border>
    <border>
      <left/>
      <right style="medium">
        <color rgb="FF1F497D"/>
      </right>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style="medium">
        <color rgb="FF1F497D"/>
      </left>
      <right/>
      <top style="medium">
        <color rgb="FF000000"/>
      </top>
      <bottom style="medium">
        <color rgb="FF000000"/>
      </bottom>
      <diagonal/>
    </border>
    <border>
      <left/>
      <right style="medium">
        <color rgb="FF1F497D"/>
      </right>
      <top style="medium">
        <color rgb="FF000000"/>
      </top>
      <bottom/>
      <diagonal/>
    </border>
    <border>
      <left style="medium">
        <color rgb="FF1F497D"/>
      </left>
      <right/>
      <top style="medium">
        <color rgb="FF000000"/>
      </top>
      <bottom/>
      <diagonal/>
    </border>
    <border>
      <left/>
      <right style="medium">
        <color rgb="FF1F497D"/>
      </right>
      <top/>
      <bottom style="medium">
        <color rgb="FF000000"/>
      </bottom>
      <diagonal/>
    </border>
    <border>
      <left style="medium">
        <color rgb="FF000000"/>
      </left>
      <right style="medium">
        <color rgb="FF1F497D"/>
      </right>
      <top style="medium">
        <color rgb="FF000000"/>
      </top>
      <bottom/>
      <diagonal/>
    </border>
    <border>
      <left style="medium">
        <color rgb="FF000000"/>
      </left>
      <right style="medium">
        <color rgb="FF1F497D"/>
      </right>
      <top/>
      <bottom style="medium">
        <color rgb="FF000000"/>
      </bottom>
      <diagonal/>
    </border>
    <border>
      <left style="medium">
        <color rgb="FF000000"/>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1F497D"/>
      </right>
      <top style="thin">
        <color theme="0" tint="-0.24994659260841701"/>
      </top>
      <bottom style="thin">
        <color theme="0" tint="-0.24994659260841701"/>
      </bottom>
      <diagonal/>
    </border>
    <border>
      <left/>
      <right style="medium">
        <color rgb="FF1F497D"/>
      </right>
      <top style="thin">
        <color theme="0" tint="-0.24994659260841701"/>
      </top>
      <bottom/>
      <diagonal/>
    </border>
    <border>
      <left style="medium">
        <color rgb="FF1F497D"/>
      </left>
      <right style="thin">
        <color indexed="64"/>
      </right>
      <top style="thin">
        <color indexed="64"/>
      </top>
      <bottom style="thin">
        <color indexed="64"/>
      </bottom>
      <diagonal/>
    </border>
    <border>
      <left style="medium">
        <color rgb="FF1F497D"/>
      </left>
      <right style="thin">
        <color indexed="64"/>
      </right>
      <top style="thin">
        <color indexed="64"/>
      </top>
      <bottom style="medium">
        <color rgb="FF1F497D"/>
      </bottom>
      <diagonal/>
    </border>
    <border>
      <left style="thin">
        <color indexed="64"/>
      </left>
      <right style="thin">
        <color indexed="64"/>
      </right>
      <top style="thin">
        <color indexed="64"/>
      </top>
      <bottom style="medium">
        <color rgb="FF1F497D"/>
      </bottom>
      <diagonal/>
    </border>
    <border>
      <left style="thin">
        <color indexed="64"/>
      </left>
      <right style="medium">
        <color rgb="FF1F497D"/>
      </right>
      <top style="thin">
        <color indexed="64"/>
      </top>
      <bottom style="medium">
        <color rgb="FF1F497D"/>
      </bottom>
      <diagonal/>
    </border>
    <border>
      <left style="thin">
        <color theme="0" tint="-0.249977111117893"/>
      </left>
      <right/>
      <top style="thin">
        <color rgb="FFBCBCBC"/>
      </top>
      <bottom style="thin">
        <color rgb="FFBCBCBC"/>
      </bottom>
      <diagonal/>
    </border>
    <border>
      <left/>
      <right/>
      <top style="thin">
        <color rgb="FFBCBCBC"/>
      </top>
      <bottom style="thin">
        <color rgb="FFBCBCBC"/>
      </bottom>
      <diagonal/>
    </border>
    <border>
      <left/>
      <right style="medium">
        <color rgb="FF1F497D"/>
      </right>
      <top style="thin">
        <color rgb="FFBCBCBC"/>
      </top>
      <bottom style="thin">
        <color rgb="FFBCBCBC"/>
      </bottom>
      <diagonal/>
    </border>
    <border>
      <left/>
      <right/>
      <top style="medium">
        <color rgb="FFE5EBF4"/>
      </top>
      <bottom/>
      <diagonal/>
    </border>
    <border>
      <left/>
      <right style="thin">
        <color indexed="64"/>
      </right>
      <top style="thin">
        <color rgb="FF1F497D"/>
      </top>
      <bottom style="thin">
        <color rgb="FF1F497D"/>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1F497D"/>
      </left>
      <right/>
      <top style="thin">
        <color rgb="FF000000"/>
      </top>
      <bottom style="thin">
        <color rgb="FF000000"/>
      </bottom>
      <diagonal/>
    </border>
    <border>
      <left/>
      <right style="medium">
        <color rgb="FF1F497D"/>
      </right>
      <top style="thin">
        <color rgb="FF000000"/>
      </top>
      <bottom style="thin">
        <color rgb="FF000000"/>
      </bottom>
      <diagonal/>
    </border>
    <border>
      <left/>
      <right style="thin">
        <color theme="0" tint="-0.24994659260841701"/>
      </right>
      <top style="medium">
        <color rgb="FF000000"/>
      </top>
      <bottom style="medium">
        <color theme="1"/>
      </bottom>
      <diagonal/>
    </border>
    <border>
      <left style="thin">
        <color theme="0" tint="-0.24994659260841701"/>
      </left>
      <right style="thin">
        <color theme="0" tint="-0.24994659260841701"/>
      </right>
      <top style="medium">
        <color rgb="FF000000"/>
      </top>
      <bottom style="medium">
        <color theme="1"/>
      </bottom>
      <diagonal/>
    </border>
    <border>
      <left style="thin">
        <color theme="0" tint="-0.24994659260841701"/>
      </left>
      <right style="medium">
        <color rgb="FF000000"/>
      </right>
      <top style="medium">
        <color rgb="FF000000"/>
      </top>
      <bottom style="medium">
        <color theme="1"/>
      </bottom>
      <diagonal/>
    </border>
    <border>
      <left style="thin">
        <color theme="0" tint="-0.24994659260841701"/>
      </left>
      <right style="thin">
        <color theme="0" tint="-0.24994659260841701"/>
      </right>
      <top style="medium">
        <color theme="1"/>
      </top>
      <bottom style="medium">
        <color theme="1"/>
      </bottom>
      <diagonal/>
    </border>
    <border>
      <left style="thin">
        <color theme="0" tint="-0.24994659260841701"/>
      </left>
      <right style="medium">
        <color rgb="FF000000"/>
      </right>
      <top style="medium">
        <color theme="1"/>
      </top>
      <bottom style="medium">
        <color theme="1"/>
      </bottom>
      <diagonal/>
    </border>
    <border>
      <left/>
      <right style="thin">
        <color theme="0" tint="-0.24994659260841701"/>
      </right>
      <top style="medium">
        <color theme="1"/>
      </top>
      <bottom style="medium">
        <color theme="1"/>
      </bottom>
      <diagonal/>
    </border>
    <border>
      <left style="medium">
        <color rgb="FF1F497D"/>
      </left>
      <right style="medium">
        <color theme="1"/>
      </right>
      <top style="medium">
        <color rgb="FF000000"/>
      </top>
      <bottom/>
      <diagonal/>
    </border>
    <border>
      <left/>
      <right style="medium">
        <color theme="1"/>
      </right>
      <top style="medium">
        <color theme="1"/>
      </top>
      <bottom style="medium">
        <color theme="1"/>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medium">
        <color rgb="FF1F497D"/>
      </left>
      <right style="thin">
        <color rgb="FF1F497D"/>
      </right>
      <top style="thin">
        <color rgb="FF1F497D"/>
      </top>
      <bottom/>
      <diagonal/>
    </border>
    <border>
      <left style="medium">
        <color rgb="FF1F497D"/>
      </left>
      <right style="thin">
        <color rgb="FF1F497D"/>
      </right>
      <top/>
      <bottom style="thin">
        <color rgb="FF1F497D"/>
      </bottom>
      <diagonal/>
    </border>
    <border>
      <left style="thin">
        <color rgb="FF000000"/>
      </left>
      <right/>
      <top style="thin">
        <color indexed="64"/>
      </top>
      <bottom style="thin">
        <color indexed="64"/>
      </bottom>
      <diagonal/>
    </border>
    <border>
      <left/>
      <right/>
      <top style="thin">
        <color rgb="FF000000"/>
      </top>
      <bottom style="thin">
        <color theme="4" tint="-0.499984740745262"/>
      </bottom>
      <diagonal/>
    </border>
    <border>
      <left style="medium">
        <color indexed="64"/>
      </left>
      <right/>
      <top style="thin">
        <color indexed="64"/>
      </top>
      <bottom style="thin">
        <color indexed="64"/>
      </bottom>
      <diagonal/>
    </border>
    <border>
      <left/>
      <right style="medium">
        <color rgb="FFCCCCCC"/>
      </right>
      <top style="medium">
        <color rgb="FFE5EBF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medium">
        <color rgb="FF1F497D"/>
      </left>
      <right style="thin">
        <color rgb="FF1F497D"/>
      </right>
      <top/>
      <bottom style="medium">
        <color rgb="FF1F497D"/>
      </bottom>
      <diagonal/>
    </border>
    <border>
      <left style="thin">
        <color rgb="FF1F497D"/>
      </left>
      <right/>
      <top style="thin">
        <color rgb="FF1F497D"/>
      </top>
      <bottom/>
      <diagonal/>
    </border>
    <border>
      <left/>
      <right style="medium">
        <color rgb="FF1F497D"/>
      </right>
      <top style="thin">
        <color rgb="FF1F497D"/>
      </top>
      <bottom/>
      <diagonal/>
    </border>
    <border>
      <left style="thin">
        <color rgb="FF1F497D"/>
      </left>
      <right/>
      <top/>
      <bottom style="thin">
        <color rgb="FF1F497D"/>
      </bottom>
      <diagonal/>
    </border>
    <border>
      <left/>
      <right style="medium">
        <color rgb="FF1F497D"/>
      </right>
      <top/>
      <bottom style="thin">
        <color rgb="FF1F497D"/>
      </bottom>
      <diagonal/>
    </border>
    <border>
      <left style="thin">
        <color rgb="FF1F497D"/>
      </left>
      <right/>
      <top/>
      <bottom style="medium">
        <color rgb="FF1F497D"/>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indexed="64"/>
      </left>
      <right style="thin">
        <color rgb="FF000000"/>
      </right>
      <top/>
      <bottom/>
      <diagonal/>
    </border>
    <border>
      <left style="medium">
        <color rgb="FF000000"/>
      </left>
      <right style="medium">
        <color rgb="FF000000"/>
      </right>
      <top/>
      <bottom style="medium">
        <color rgb="FF00000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right style="medium">
        <color rgb="FF1F497D"/>
      </right>
      <top style="medium">
        <color rgb="FF1F497D"/>
      </top>
      <bottom style="thin">
        <color indexed="64"/>
      </bottom>
      <diagonal/>
    </border>
    <border>
      <left style="medium">
        <color theme="1" tint="0.24994659260841701"/>
      </left>
      <right style="medium">
        <color theme="1" tint="0.24994659260841701"/>
      </right>
      <top/>
      <bottom style="medium">
        <color theme="1" tint="0.24994659260841701"/>
      </bottom>
      <diagonal/>
    </border>
    <border>
      <left/>
      <right style="medium">
        <color theme="4" tint="-0.24994659260841701"/>
      </right>
      <top/>
      <bottom/>
      <diagonal/>
    </border>
    <border>
      <left style="medium">
        <color theme="1" tint="0.24994659260841701"/>
      </left>
      <right style="medium">
        <color theme="1" tint="0.24994659260841701"/>
      </right>
      <top style="medium">
        <color theme="1" tint="0.24994659260841701"/>
      </top>
      <bottom/>
      <diagonal/>
    </border>
    <border>
      <left style="thin">
        <color rgb="FF1F497D"/>
      </left>
      <right style="medium">
        <color rgb="FF1F497D"/>
      </right>
      <top style="medium">
        <color rgb="FF1F497D"/>
      </top>
      <bottom style="medium">
        <color rgb="FF1F497D"/>
      </bottom>
      <diagonal/>
    </border>
    <border>
      <left style="thin">
        <color theme="0" tint="-0.24994659260841701"/>
      </left>
      <right style="thick">
        <color theme="0" tint="-0.24994659260841701"/>
      </right>
      <top style="thin">
        <color theme="0" tint="-0.24994659260841701"/>
      </top>
      <bottom style="thin">
        <color theme="0" tint="-0.24994659260841701"/>
      </bottom>
      <diagonal/>
    </border>
    <border>
      <left style="thin">
        <color theme="0" tint="-0.24994659260841701"/>
      </left>
      <right style="thick">
        <color theme="0" tint="-0.24994659260841701"/>
      </right>
      <top style="thin">
        <color theme="0" tint="-0.24994659260841701"/>
      </top>
      <bottom/>
      <diagonal/>
    </border>
    <border>
      <left style="medium">
        <color theme="3"/>
      </left>
      <right/>
      <top style="medium">
        <color theme="3"/>
      </top>
      <bottom style="medium">
        <color rgb="FF1F497D"/>
      </bottom>
      <diagonal/>
    </border>
    <border>
      <left/>
      <right/>
      <top style="medium">
        <color theme="3"/>
      </top>
      <bottom style="medium">
        <color rgb="FF1F497D"/>
      </bottom>
      <diagonal/>
    </border>
    <border>
      <left/>
      <right style="medium">
        <color theme="3"/>
      </right>
      <top style="medium">
        <color theme="3"/>
      </top>
      <bottom style="medium">
        <color rgb="FF1F497D"/>
      </bottom>
      <diagonal/>
    </border>
    <border>
      <left style="medium">
        <color theme="1" tint="0.24994659260841701"/>
      </left>
      <right style="medium">
        <color theme="1" tint="0.24994659260841701"/>
      </right>
      <top/>
      <bottom/>
      <diagonal/>
    </border>
    <border>
      <left style="medium">
        <color rgb="FF1F497D"/>
      </left>
      <right style="medium">
        <color rgb="FF1F497D"/>
      </right>
      <top style="thin">
        <color theme="0" tint="-0.24994659260841701"/>
      </top>
      <bottom style="medium">
        <color rgb="FF1F497D"/>
      </bottom>
      <diagonal/>
    </border>
    <border>
      <left style="medium">
        <color theme="3"/>
      </left>
      <right style="medium">
        <color theme="3"/>
      </right>
      <top/>
      <bottom style="medium">
        <color theme="3"/>
      </bottom>
      <diagonal/>
    </border>
    <border>
      <left style="thin">
        <color indexed="64"/>
      </left>
      <right style="thin">
        <color indexed="64"/>
      </right>
      <top style="thin">
        <color rgb="FF1F497D"/>
      </top>
      <bottom style="thin">
        <color rgb="FF1F497D"/>
      </bottom>
      <diagonal/>
    </border>
    <border>
      <left/>
      <right style="medium">
        <color rgb="FF1F497D"/>
      </right>
      <top style="medium">
        <color rgb="FF1F497D"/>
      </top>
      <bottom style="medium">
        <color theme="0" tint="-0.24994659260841701"/>
      </bottom>
      <diagonal/>
    </border>
    <border>
      <left style="thin">
        <color rgb="FF1F497D"/>
      </left>
      <right style="thin">
        <color rgb="FF1F497D"/>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style="thin">
        <color theme="0"/>
      </top>
      <bottom style="thin">
        <color indexed="64"/>
      </bottom>
      <diagonal/>
    </border>
    <border>
      <left style="medium">
        <color rgb="FF1F497D"/>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rgb="FF1F497D"/>
      </left>
      <right/>
      <top/>
      <bottom style="thin">
        <color theme="0" tint="-0.249977111117893"/>
      </bottom>
      <diagonal/>
    </border>
    <border>
      <left style="medium">
        <color rgb="FF1F497D"/>
      </left>
      <right/>
      <top style="thin">
        <color theme="0" tint="-0.249977111117893"/>
      </top>
      <bottom style="thin">
        <color theme="0" tint="-0.249977111117893"/>
      </bottom>
      <diagonal/>
    </border>
  </borders>
  <cellStyleXfs count="78">
    <xf numFmtId="0" fontId="0" fillId="0" borderId="0"/>
    <xf numFmtId="0" fontId="17" fillId="2" borderId="1" applyNumberFormat="0" applyProtection="0">
      <alignment horizontal="left" vertical="center" readingOrder="1"/>
    </xf>
    <xf numFmtId="0" fontId="18" fillId="2" borderId="2">
      <alignment horizontal="left"/>
    </xf>
    <xf numFmtId="0" fontId="18" fillId="2" borderId="3">
      <alignment horizontal="right"/>
    </xf>
    <xf numFmtId="0" fontId="18" fillId="2" borderId="3">
      <alignment horizontal="left"/>
    </xf>
    <xf numFmtId="3" fontId="19" fillId="3" borderId="4">
      <alignment horizontal="right"/>
    </xf>
    <xf numFmtId="184" fontId="12" fillId="3" borderId="4">
      <alignment horizontal="right"/>
    </xf>
    <xf numFmtId="4" fontId="12" fillId="3" borderId="4">
      <alignment horizontal="right"/>
    </xf>
    <xf numFmtId="0" fontId="21" fillId="4" borderId="5" applyNumberFormat="0" applyAlignment="0" applyProtection="0"/>
    <xf numFmtId="0" fontId="19" fillId="3" borderId="6"/>
    <xf numFmtId="0" fontId="20" fillId="3" borderId="6"/>
    <xf numFmtId="0" fontId="11" fillId="0" borderId="0" applyNumberFormat="0" applyFill="0" applyBorder="0" applyAlignment="0" applyProtection="0">
      <alignment vertical="top"/>
      <protection locked="0"/>
    </xf>
    <xf numFmtId="179" fontId="23" fillId="0" borderId="0" applyFont="0" applyFill="0" applyBorder="0" applyAlignment="0" applyProtection="0"/>
    <xf numFmtId="179" fontId="13" fillId="0" borderId="0" applyFont="0" applyFill="0" applyBorder="0" applyAlignment="0" applyProtection="0"/>
    <xf numFmtId="0" fontId="25" fillId="0" borderId="0"/>
    <xf numFmtId="0" fontId="13" fillId="0" borderId="0"/>
    <xf numFmtId="9" fontId="9"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0" fontId="8" fillId="0" borderId="0"/>
    <xf numFmtId="0" fontId="8"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7" fillId="0" borderId="0"/>
    <xf numFmtId="9" fontId="7" fillId="0" borderId="0" applyFont="0" applyFill="0" applyBorder="0" applyAlignment="0" applyProtection="0"/>
    <xf numFmtId="0" fontId="6" fillId="0" borderId="0"/>
    <xf numFmtId="0" fontId="5" fillId="0" borderId="0"/>
    <xf numFmtId="9" fontId="5" fillId="0" borderId="0" applyFont="0" applyFill="0" applyBorder="0" applyAlignment="0" applyProtection="0"/>
    <xf numFmtId="9" fontId="4" fillId="0" borderId="0" applyFont="0" applyFill="0" applyBorder="0" applyAlignment="0" applyProtection="0"/>
    <xf numFmtId="0" fontId="3" fillId="0" borderId="0"/>
    <xf numFmtId="0" fontId="91" fillId="0" borderId="0" applyNumberFormat="0" applyFill="0" applyBorder="0" applyAlignment="0" applyProtection="0"/>
    <xf numFmtId="0" fontId="92" fillId="0" borderId="231" applyNumberFormat="0" applyFill="0" applyAlignment="0" applyProtection="0"/>
    <xf numFmtId="0" fontId="93" fillId="0" borderId="232" applyNumberFormat="0" applyFill="0" applyAlignment="0" applyProtection="0"/>
    <xf numFmtId="0" fontId="94" fillId="0" borderId="233" applyNumberFormat="0" applyFill="0" applyAlignment="0" applyProtection="0"/>
    <xf numFmtId="0" fontId="94" fillId="0" borderId="0" applyNumberFormat="0" applyFill="0" applyBorder="0" applyAlignment="0" applyProtection="0"/>
    <xf numFmtId="0" fontId="95" fillId="46" borderId="0" applyNumberFormat="0" applyBorder="0" applyAlignment="0" applyProtection="0"/>
    <xf numFmtId="0" fontId="96" fillId="47" borderId="0" applyNumberFormat="0" applyBorder="0" applyAlignment="0" applyProtection="0"/>
    <xf numFmtId="0" fontId="97" fillId="48" borderId="0" applyNumberFormat="0" applyBorder="0" applyAlignment="0" applyProtection="0"/>
    <xf numFmtId="0" fontId="98" fillId="49" borderId="234" applyNumberFormat="0" applyAlignment="0" applyProtection="0"/>
    <xf numFmtId="0" fontId="99" fillId="50" borderId="235" applyNumberFormat="0" applyAlignment="0" applyProtection="0"/>
    <xf numFmtId="0" fontId="100" fillId="50" borderId="234" applyNumberFormat="0" applyAlignment="0" applyProtection="0"/>
    <xf numFmtId="0" fontId="101" fillId="0" borderId="236" applyNumberFormat="0" applyFill="0" applyAlignment="0" applyProtection="0"/>
    <xf numFmtId="0" fontId="78" fillId="51" borderId="237" applyNumberFormat="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64" fillId="0" borderId="239" applyNumberFormat="0" applyFill="0" applyAlignment="0" applyProtection="0"/>
    <xf numFmtId="0" fontId="104" fillId="53" borderId="0" applyNumberFormat="0" applyBorder="0" applyAlignment="0" applyProtection="0"/>
    <xf numFmtId="0" fontId="2"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104"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104"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104" fillId="65" borderId="0" applyNumberFormat="0" applyBorder="0" applyAlignment="0" applyProtection="0"/>
    <xf numFmtId="0" fontId="2" fillId="66"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104"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104"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6" borderId="0" applyNumberFormat="0" applyBorder="0" applyAlignment="0" applyProtection="0"/>
    <xf numFmtId="0" fontId="2" fillId="0" borderId="0"/>
    <xf numFmtId="0" fontId="2" fillId="52" borderId="238" applyNumberFormat="0" applyFont="0" applyAlignment="0" applyProtection="0"/>
    <xf numFmtId="177" fontId="112" fillId="0" borderId="0" applyFont="0" applyFill="0" applyBorder="0" applyAlignment="0" applyProtection="0"/>
    <xf numFmtId="176" fontId="118" fillId="0" borderId="0" applyFont="0" applyFill="0" applyBorder="0" applyAlignment="0" applyProtection="0"/>
  </cellStyleXfs>
  <cellXfs count="1515">
    <xf numFmtId="0" fontId="0" fillId="0" borderId="0" xfId="0"/>
    <xf numFmtId="9" fontId="0" fillId="0" borderId="0" xfId="16" applyFont="1" applyAlignment="1">
      <alignment horizontal="center"/>
    </xf>
    <xf numFmtId="0" fontId="0" fillId="0" borderId="0" xfId="0" applyAlignment="1">
      <alignment horizontal="center"/>
    </xf>
    <xf numFmtId="181" fontId="0" fillId="0" borderId="0" xfId="0" applyNumberFormat="1"/>
    <xf numFmtId="10" fontId="0" fillId="0" borderId="0" xfId="0" applyNumberFormat="1" applyAlignment="1">
      <alignment horizontal="center"/>
    </xf>
    <xf numFmtId="182" fontId="0" fillId="0" borderId="0" xfId="0" applyNumberFormat="1" applyAlignment="1">
      <alignment horizontal="center"/>
    </xf>
    <xf numFmtId="0" fontId="14" fillId="0" borderId="0" xfId="0" applyFont="1" applyAlignment="1">
      <alignment horizontal="center"/>
    </xf>
    <xf numFmtId="0" fontId="27" fillId="0" borderId="0" xfId="0" applyFont="1"/>
    <xf numFmtId="0" fontId="16" fillId="0" borderId="17" xfId="0" applyFont="1" applyBorder="1"/>
    <xf numFmtId="0" fontId="24" fillId="0" borderId="0" xfId="0" applyFont="1"/>
    <xf numFmtId="0" fontId="9" fillId="0" borderId="0" xfId="0" applyFont="1"/>
    <xf numFmtId="0" fontId="9" fillId="0" borderId="17" xfId="0" applyFont="1" applyBorder="1"/>
    <xf numFmtId="0" fontId="9" fillId="0" borderId="17" xfId="0" applyFont="1" applyBorder="1" applyAlignment="1">
      <alignment horizontal="left"/>
    </xf>
    <xf numFmtId="0" fontId="14" fillId="0" borderId="0" xfId="0" applyFont="1"/>
    <xf numFmtId="181" fontId="14" fillId="0" borderId="0" xfId="0" applyNumberFormat="1" applyFont="1" applyAlignment="1">
      <alignment horizontal="center"/>
    </xf>
    <xf numFmtId="10" fontId="9" fillId="8" borderId="17" xfId="0" applyNumberFormat="1" applyFont="1" applyFill="1" applyBorder="1" applyAlignment="1">
      <alignment horizontal="center"/>
    </xf>
    <xf numFmtId="0" fontId="9" fillId="8" borderId="20" xfId="0" applyFont="1" applyFill="1" applyBorder="1" applyAlignment="1">
      <alignment horizontal="center" vertical="center"/>
    </xf>
    <xf numFmtId="0" fontId="27" fillId="8" borderId="0" xfId="0" applyFont="1" applyFill="1"/>
    <xf numFmtId="0" fontId="27" fillId="8" borderId="0" xfId="0" applyFont="1" applyFill="1" applyAlignment="1">
      <alignment horizontal="center"/>
    </xf>
    <xf numFmtId="0" fontId="36" fillId="0" borderId="0" xfId="0" applyFont="1"/>
    <xf numFmtId="0" fontId="36" fillId="12" borderId="0" xfId="0" applyFont="1" applyFill="1"/>
    <xf numFmtId="3" fontId="36" fillId="0" borderId="0" xfId="0" applyNumberFormat="1" applyFont="1" applyAlignment="1">
      <alignment horizontal="center"/>
    </xf>
    <xf numFmtId="0" fontId="36" fillId="0" borderId="0" xfId="0" applyFont="1" applyAlignment="1">
      <alignment horizontal="left"/>
    </xf>
    <xf numFmtId="0" fontId="36" fillId="19" borderId="0" xfId="0" applyFont="1" applyFill="1"/>
    <xf numFmtId="3" fontId="36" fillId="19" borderId="0" xfId="0" applyNumberFormat="1" applyFont="1" applyFill="1" applyAlignment="1">
      <alignment horizontal="center"/>
    </xf>
    <xf numFmtId="0" fontId="0" fillId="12" borderId="0" xfId="0" applyFill="1"/>
    <xf numFmtId="3" fontId="36" fillId="0" borderId="0" xfId="0" applyNumberFormat="1" applyFont="1"/>
    <xf numFmtId="3" fontId="37" fillId="19" borderId="0" xfId="0" applyNumberFormat="1" applyFont="1" applyFill="1" applyAlignment="1">
      <alignment horizontal="center"/>
    </xf>
    <xf numFmtId="3" fontId="36" fillId="12" borderId="0" xfId="0" applyNumberFormat="1" applyFont="1" applyFill="1" applyAlignment="1">
      <alignment horizontal="center"/>
    </xf>
    <xf numFmtId="3" fontId="37" fillId="12" borderId="0" xfId="0" applyNumberFormat="1" applyFont="1" applyFill="1" applyAlignment="1">
      <alignment horizontal="center"/>
    </xf>
    <xf numFmtId="0" fontId="20" fillId="3" borderId="6" xfId="10"/>
    <xf numFmtId="0" fontId="0" fillId="20" borderId="0" xfId="0" applyFill="1"/>
    <xf numFmtId="3" fontId="24" fillId="0" borderId="0" xfId="0" applyNumberFormat="1" applyFont="1" applyAlignment="1">
      <alignment horizontal="center"/>
    </xf>
    <xf numFmtId="3" fontId="24" fillId="0" borderId="0" xfId="0" applyNumberFormat="1" applyFont="1"/>
    <xf numFmtId="0" fontId="0" fillId="21" borderId="0" xfId="0" applyFill="1"/>
    <xf numFmtId="3" fontId="24" fillId="19" borderId="0" xfId="0" applyNumberFormat="1" applyFont="1" applyFill="1" applyAlignment="1">
      <alignment horizontal="center"/>
    </xf>
    <xf numFmtId="0" fontId="24" fillId="19" borderId="0" xfId="0" applyFont="1" applyFill="1"/>
    <xf numFmtId="0" fontId="0" fillId="22" borderId="0" xfId="0" applyFill="1"/>
    <xf numFmtId="184" fontId="36" fillId="0" borderId="0" xfId="0" applyNumberFormat="1" applyFont="1" applyAlignment="1">
      <alignment horizontal="center"/>
    </xf>
    <xf numFmtId="0" fontId="39" fillId="0" borderId="0" xfId="0" applyFont="1"/>
    <xf numFmtId="0" fontId="40" fillId="0" borderId="0" xfId="0" applyFont="1"/>
    <xf numFmtId="0" fontId="41" fillId="0" borderId="0" xfId="0" applyFont="1" applyAlignment="1">
      <alignment horizontal="center"/>
    </xf>
    <xf numFmtId="183" fontId="40" fillId="0" borderId="0" xfId="0" applyNumberFormat="1" applyFont="1" applyAlignment="1">
      <alignment horizontal="center"/>
    </xf>
    <xf numFmtId="0" fontId="42" fillId="0" borderId="0" xfId="0" applyFont="1"/>
    <xf numFmtId="0" fontId="43" fillId="0" borderId="0" xfId="0" applyFont="1"/>
    <xf numFmtId="0" fontId="24" fillId="0" borderId="0" xfId="0" applyFont="1" applyAlignment="1">
      <alignment horizontal="center"/>
    </xf>
    <xf numFmtId="0" fontId="40" fillId="0" borderId="0" xfId="0" applyFont="1" applyAlignment="1">
      <alignment horizontal="center"/>
    </xf>
    <xf numFmtId="181" fontId="9" fillId="23" borderId="17" xfId="0" applyNumberFormat="1" applyFont="1" applyFill="1" applyBorder="1" applyAlignment="1">
      <alignment horizontal="center"/>
    </xf>
    <xf numFmtId="3" fontId="39" fillId="0" borderId="0" xfId="0" applyNumberFormat="1" applyFont="1"/>
    <xf numFmtId="0" fontId="41" fillId="17" borderId="0" xfId="0" applyFont="1" applyFill="1" applyAlignment="1">
      <alignment horizontal="center"/>
    </xf>
    <xf numFmtId="3" fontId="0" fillId="24" borderId="1" xfId="0" applyNumberFormat="1" applyFill="1" applyBorder="1" applyAlignment="1">
      <alignment horizontal="center"/>
    </xf>
    <xf numFmtId="3" fontId="0" fillId="24" borderId="37" xfId="0" applyNumberFormat="1" applyFill="1" applyBorder="1" applyAlignment="1">
      <alignment horizontal="center"/>
    </xf>
    <xf numFmtId="182" fontId="14" fillId="25" borderId="1" xfId="16" applyNumberFormat="1" applyFont="1" applyFill="1" applyBorder="1" applyAlignment="1">
      <alignment horizontal="center"/>
    </xf>
    <xf numFmtId="182" fontId="14" fillId="25" borderId="37" xfId="16" applyNumberFormat="1" applyFont="1" applyFill="1" applyBorder="1" applyAlignment="1">
      <alignment horizontal="center"/>
    </xf>
    <xf numFmtId="3" fontId="0" fillId="24" borderId="1" xfId="16" applyNumberFormat="1" applyFont="1" applyFill="1" applyBorder="1" applyAlignment="1">
      <alignment horizontal="center"/>
    </xf>
    <xf numFmtId="3" fontId="0" fillId="24" borderId="37" xfId="16" applyNumberFormat="1" applyFont="1" applyFill="1" applyBorder="1" applyAlignment="1">
      <alignment horizontal="center"/>
    </xf>
    <xf numFmtId="3" fontId="14" fillId="26" borderId="1" xfId="16" applyNumberFormat="1" applyFont="1" applyFill="1" applyBorder="1" applyAlignment="1">
      <alignment horizontal="center"/>
    </xf>
    <xf numFmtId="3" fontId="0" fillId="0" borderId="0" xfId="0" applyNumberFormat="1" applyAlignment="1">
      <alignment horizontal="center"/>
    </xf>
    <xf numFmtId="183" fontId="0" fillId="0" borderId="0" xfId="0" applyNumberFormat="1" applyAlignment="1">
      <alignment horizontal="center"/>
    </xf>
    <xf numFmtId="0" fontId="36" fillId="19" borderId="0" xfId="0" applyFont="1" applyFill="1" applyAlignment="1">
      <alignment horizontal="center"/>
    </xf>
    <xf numFmtId="9" fontId="36" fillId="0" borderId="0" xfId="22" applyFont="1" applyFill="1" applyAlignment="1">
      <alignment horizontal="center"/>
    </xf>
    <xf numFmtId="182" fontId="34" fillId="23" borderId="17" xfId="16" applyNumberFormat="1" applyFont="1" applyFill="1" applyBorder="1" applyAlignment="1">
      <alignment horizontal="center"/>
    </xf>
    <xf numFmtId="0" fontId="14" fillId="0" borderId="31" xfId="0" applyFont="1" applyBorder="1"/>
    <xf numFmtId="0" fontId="18" fillId="5" borderId="8" xfId="4" applyFill="1" applyBorder="1" applyAlignment="1"/>
    <xf numFmtId="0" fontId="9" fillId="0" borderId="0" xfId="26"/>
    <xf numFmtId="0" fontId="28" fillId="5" borderId="7" xfId="26" applyFont="1" applyFill="1" applyBorder="1" applyAlignment="1">
      <alignment horizontal="center"/>
    </xf>
    <xf numFmtId="0" fontId="28" fillId="5" borderId="11" xfId="26" applyFont="1" applyFill="1" applyBorder="1" applyAlignment="1">
      <alignment horizontal="center"/>
    </xf>
    <xf numFmtId="0" fontId="30" fillId="3" borderId="10" xfId="10" applyFont="1" applyBorder="1"/>
    <xf numFmtId="0" fontId="9" fillId="0" borderId="0" xfId="26" applyAlignment="1">
      <alignment vertical="center"/>
    </xf>
    <xf numFmtId="0" fontId="30" fillId="3" borderId="13" xfId="10" applyFont="1" applyBorder="1"/>
    <xf numFmtId="0" fontId="30" fillId="0" borderId="10" xfId="10" applyFont="1" applyFill="1" applyBorder="1"/>
    <xf numFmtId="0" fontId="21" fillId="0" borderId="0" xfId="8" applyFill="1" applyBorder="1"/>
    <xf numFmtId="9" fontId="9" fillId="0" borderId="0" xfId="28" applyFont="1"/>
    <xf numFmtId="0" fontId="31" fillId="0" borderId="0" xfId="11" applyFont="1" applyAlignment="1" applyProtection="1"/>
    <xf numFmtId="0" fontId="28" fillId="28" borderId="0" xfId="26" applyFont="1" applyFill="1" applyAlignment="1">
      <alignment horizontal="center" vertical="center"/>
    </xf>
    <xf numFmtId="0" fontId="29" fillId="0" borderId="9" xfId="9" applyFont="1" applyFill="1" applyBorder="1"/>
    <xf numFmtId="0" fontId="20" fillId="3" borderId="13" xfId="10" applyBorder="1"/>
    <xf numFmtId="0" fontId="20" fillId="3" borderId="10" xfId="10" applyBorder="1"/>
    <xf numFmtId="0" fontId="14" fillId="0" borderId="26" xfId="0" applyFont="1" applyBorder="1"/>
    <xf numFmtId="0" fontId="14" fillId="0" borderId="32" xfId="0" applyFont="1" applyBorder="1"/>
    <xf numFmtId="0" fontId="0" fillId="0" borderId="4" xfId="0" applyBorder="1"/>
    <xf numFmtId="0" fontId="0" fillId="0" borderId="6" xfId="0" applyBorder="1"/>
    <xf numFmtId="0" fontId="0" fillId="0" borderId="30" xfId="0" applyBorder="1"/>
    <xf numFmtId="0" fontId="0" fillId="0" borderId="2" xfId="0" applyBorder="1"/>
    <xf numFmtId="0" fontId="0" fillId="0" borderId="31" xfId="0" applyBorder="1"/>
    <xf numFmtId="0" fontId="0" fillId="0" borderId="26" xfId="0" applyBorder="1"/>
    <xf numFmtId="0" fontId="0" fillId="0" borderId="32" xfId="0" applyBorder="1"/>
    <xf numFmtId="0" fontId="14" fillId="0" borderId="36" xfId="0" applyFont="1" applyBorder="1"/>
    <xf numFmtId="0" fontId="14" fillId="0" borderId="1" xfId="0" applyFont="1" applyBorder="1"/>
    <xf numFmtId="0" fontId="14" fillId="0" borderId="37" xfId="0" applyFont="1" applyBorder="1"/>
    <xf numFmtId="0" fontId="0" fillId="8" borderId="0" xfId="0" applyFill="1"/>
    <xf numFmtId="0" fontId="36" fillId="19" borderId="0" xfId="0" applyFont="1" applyFill="1" applyAlignment="1">
      <alignment horizontal="left" indent="1"/>
    </xf>
    <xf numFmtId="184" fontId="36" fillId="19" borderId="0" xfId="0" applyNumberFormat="1" applyFont="1" applyFill="1" applyAlignment="1">
      <alignment horizontal="left" indent="1"/>
    </xf>
    <xf numFmtId="0" fontId="36" fillId="29" borderId="0" xfId="0" applyFont="1" applyFill="1" applyAlignment="1">
      <alignment horizontal="left" indent="1"/>
    </xf>
    <xf numFmtId="0" fontId="24" fillId="0" borderId="0" xfId="0" applyFont="1" applyAlignment="1">
      <alignment horizontal="left"/>
    </xf>
    <xf numFmtId="0" fontId="28" fillId="31" borderId="22" xfId="0" applyFont="1" applyFill="1" applyBorder="1" applyAlignment="1">
      <alignment horizontal="center"/>
    </xf>
    <xf numFmtId="0" fontId="28" fillId="31" borderId="19" xfId="0" applyFont="1" applyFill="1" applyBorder="1" applyAlignment="1">
      <alignment horizontal="center"/>
    </xf>
    <xf numFmtId="9" fontId="34" fillId="8" borderId="44" xfId="16" applyFont="1" applyFill="1" applyBorder="1" applyAlignment="1">
      <alignment horizontal="center"/>
    </xf>
    <xf numFmtId="9" fontId="9" fillId="8" borderId="44" xfId="16" applyFont="1" applyFill="1" applyBorder="1" applyAlignment="1">
      <alignment horizontal="center"/>
    </xf>
    <xf numFmtId="0" fontId="14" fillId="0" borderId="44" xfId="0" applyFont="1" applyBorder="1" applyAlignment="1">
      <alignment horizontal="center"/>
    </xf>
    <xf numFmtId="182" fontId="34" fillId="23" borderId="44" xfId="16" applyNumberFormat="1" applyFont="1" applyFill="1" applyBorder="1" applyAlignment="1">
      <alignment horizontal="center"/>
    </xf>
    <xf numFmtId="0" fontId="28" fillId="31" borderId="17" xfId="0" applyFont="1" applyFill="1" applyBorder="1" applyAlignment="1">
      <alignment horizontal="center" vertical="center" wrapText="1"/>
    </xf>
    <xf numFmtId="0" fontId="28" fillId="31" borderId="17" xfId="0" applyFont="1" applyFill="1" applyBorder="1" applyAlignment="1">
      <alignment horizontal="center"/>
    </xf>
    <xf numFmtId="0" fontId="28" fillId="31" borderId="44" xfId="0" applyFont="1" applyFill="1" applyBorder="1" applyAlignment="1">
      <alignment horizontal="center"/>
    </xf>
    <xf numFmtId="3" fontId="9" fillId="0" borderId="0" xfId="0" applyNumberFormat="1" applyFont="1"/>
    <xf numFmtId="0" fontId="9" fillId="17" borderId="36" xfId="0" applyFont="1" applyFill="1" applyBorder="1"/>
    <xf numFmtId="0" fontId="9" fillId="0" borderId="36" xfId="0" applyFont="1" applyBorder="1" applyAlignment="1">
      <alignment horizontal="left" indent="1"/>
    </xf>
    <xf numFmtId="0" fontId="9" fillId="0" borderId="36" xfId="0" applyFont="1" applyBorder="1" applyAlignment="1">
      <alignment horizontal="left"/>
    </xf>
    <xf numFmtId="0" fontId="9" fillId="17" borderId="36" xfId="0" applyFont="1" applyFill="1" applyBorder="1" applyAlignment="1">
      <alignment horizontal="left" indent="1"/>
    </xf>
    <xf numFmtId="0" fontId="14" fillId="0" borderId="36" xfId="0" applyFont="1" applyBorder="1" applyAlignment="1">
      <alignment horizontal="left"/>
    </xf>
    <xf numFmtId="0" fontId="14" fillId="17" borderId="36" xfId="0" applyFont="1" applyFill="1" applyBorder="1"/>
    <xf numFmtId="0" fontId="9" fillId="0" borderId="36" xfId="0" applyFont="1" applyBorder="1"/>
    <xf numFmtId="181" fontId="9" fillId="7" borderId="17" xfId="0" applyNumberFormat="1" applyFont="1" applyFill="1" applyBorder="1" applyAlignment="1">
      <alignment horizontal="center"/>
    </xf>
    <xf numFmtId="4" fontId="9" fillId="7" borderId="17" xfId="0" applyNumberFormat="1" applyFont="1" applyFill="1" applyBorder="1" applyAlignment="1">
      <alignment horizontal="center"/>
    </xf>
    <xf numFmtId="9" fontId="34" fillId="7" borderId="44" xfId="16" applyFont="1" applyFill="1" applyBorder="1" applyAlignment="1">
      <alignment horizontal="center"/>
    </xf>
    <xf numFmtId="0" fontId="9" fillId="7" borderId="17" xfId="0" applyFont="1" applyFill="1" applyBorder="1"/>
    <xf numFmtId="9" fontId="9" fillId="7" borderId="17" xfId="16" applyFont="1" applyFill="1" applyBorder="1" applyAlignment="1">
      <alignment horizontal="center"/>
    </xf>
    <xf numFmtId="182" fontId="9" fillId="7" borderId="17" xfId="16" applyNumberFormat="1" applyFont="1" applyFill="1" applyBorder="1" applyAlignment="1">
      <alignment horizontal="center"/>
    </xf>
    <xf numFmtId="9" fontId="9" fillId="7" borderId="17" xfId="16" applyFont="1" applyFill="1" applyBorder="1"/>
    <xf numFmtId="186" fontId="34" fillId="8" borderId="44" xfId="16" applyNumberFormat="1" applyFont="1" applyFill="1" applyBorder="1" applyAlignment="1">
      <alignment horizontal="center"/>
    </xf>
    <xf numFmtId="186" fontId="9" fillId="8" borderId="44" xfId="0" applyNumberFormat="1" applyFont="1" applyFill="1" applyBorder="1" applyAlignment="1">
      <alignment horizontal="center"/>
    </xf>
    <xf numFmtId="0" fontId="48" fillId="31" borderId="44" xfId="0" applyFont="1" applyFill="1" applyBorder="1" applyAlignment="1">
      <alignment horizontal="center"/>
    </xf>
    <xf numFmtId="0" fontId="49" fillId="31" borderId="44" xfId="0" applyFont="1" applyFill="1" applyBorder="1" applyAlignment="1">
      <alignment horizontal="center"/>
    </xf>
    <xf numFmtId="181" fontId="14" fillId="23" borderId="17" xfId="0" applyNumberFormat="1" applyFont="1" applyFill="1" applyBorder="1" applyAlignment="1">
      <alignment horizontal="center"/>
    </xf>
    <xf numFmtId="0" fontId="14" fillId="14" borderId="12" xfId="0" applyFont="1" applyFill="1" applyBorder="1" applyAlignment="1">
      <alignment horizontal="center"/>
    </xf>
    <xf numFmtId="0" fontId="0" fillId="0" borderId="42" xfId="0" applyBorder="1"/>
    <xf numFmtId="0" fontId="0" fillId="0" borderId="56" xfId="0" applyBorder="1"/>
    <xf numFmtId="0" fontId="14" fillId="0" borderId="73" xfId="0" applyFont="1" applyBorder="1" applyAlignment="1">
      <alignment horizontal="left"/>
    </xf>
    <xf numFmtId="0" fontId="14" fillId="0" borderId="74" xfId="0" applyFont="1" applyBorder="1" applyAlignment="1">
      <alignment horizontal="left"/>
    </xf>
    <xf numFmtId="0" fontId="14" fillId="0" borderId="73" xfId="0" applyFont="1" applyBorder="1" applyAlignment="1">
      <alignment horizontal="center"/>
    </xf>
    <xf numFmtId="9" fontId="0" fillId="0" borderId="52" xfId="0" applyNumberFormat="1" applyBorder="1"/>
    <xf numFmtId="0" fontId="0" fillId="32" borderId="75" xfId="0" applyFill="1" applyBorder="1"/>
    <xf numFmtId="0" fontId="0" fillId="32" borderId="76" xfId="0" applyFill="1" applyBorder="1"/>
    <xf numFmtId="10" fontId="0" fillId="32" borderId="76" xfId="0" applyNumberFormat="1" applyFill="1" applyBorder="1"/>
    <xf numFmtId="9" fontId="0" fillId="0" borderId="78" xfId="16" applyFont="1" applyBorder="1"/>
    <xf numFmtId="0" fontId="14" fillId="0" borderId="78" xfId="0" applyFont="1" applyBorder="1"/>
    <xf numFmtId="0" fontId="14" fillId="14" borderId="51" xfId="0" applyFont="1" applyFill="1" applyBorder="1" applyAlignment="1">
      <alignment horizontal="center"/>
    </xf>
    <xf numFmtId="9" fontId="14" fillId="14" borderId="51" xfId="16" applyFont="1" applyFill="1" applyBorder="1" applyAlignment="1">
      <alignment horizontal="center"/>
    </xf>
    <xf numFmtId="0" fontId="14" fillId="0" borderId="51" xfId="0" applyFont="1" applyBorder="1" applyAlignment="1">
      <alignment horizontal="center"/>
    </xf>
    <xf numFmtId="0" fontId="14" fillId="0" borderId="80" xfId="0" applyFont="1" applyBorder="1" applyAlignment="1">
      <alignment horizontal="center"/>
    </xf>
    <xf numFmtId="0" fontId="0" fillId="0" borderId="53" xfId="0" applyBorder="1"/>
    <xf numFmtId="0" fontId="0" fillId="0" borderId="54" xfId="0" applyBorder="1"/>
    <xf numFmtId="0" fontId="0" fillId="0" borderId="55" xfId="0" applyBorder="1"/>
    <xf numFmtId="0" fontId="0" fillId="0" borderId="43" xfId="0" applyBorder="1"/>
    <xf numFmtId="0" fontId="0" fillId="0" borderId="60" xfId="0" applyBorder="1"/>
    <xf numFmtId="0" fontId="0" fillId="0" borderId="61" xfId="0" applyBorder="1"/>
    <xf numFmtId="9" fontId="0" fillId="0" borderId="0" xfId="0" applyNumberFormat="1"/>
    <xf numFmtId="0" fontId="14" fillId="14" borderId="77" xfId="0" applyFont="1" applyFill="1" applyBorder="1" applyAlignment="1">
      <alignment horizontal="center"/>
    </xf>
    <xf numFmtId="0" fontId="0" fillId="32" borderId="57" xfId="0" applyFill="1" applyBorder="1"/>
    <xf numFmtId="0" fontId="0" fillId="32" borderId="59" xfId="0" applyFill="1" applyBorder="1"/>
    <xf numFmtId="0" fontId="14" fillId="0" borderId="57" xfId="0" applyFont="1" applyBorder="1" applyAlignment="1">
      <alignment horizontal="center"/>
    </xf>
    <xf numFmtId="0" fontId="0" fillId="30" borderId="58" xfId="0" applyFill="1" applyBorder="1"/>
    <xf numFmtId="0" fontId="28" fillId="30" borderId="58" xfId="0" applyFont="1" applyFill="1" applyBorder="1" applyAlignment="1">
      <alignment horizontal="left"/>
    </xf>
    <xf numFmtId="185" fontId="28" fillId="30" borderId="59" xfId="0" applyNumberFormat="1" applyFont="1" applyFill="1" applyBorder="1" applyAlignment="1">
      <alignment horizontal="center" vertical="center"/>
    </xf>
    <xf numFmtId="0" fontId="14" fillId="17" borderId="88" xfId="0" applyFont="1" applyFill="1" applyBorder="1"/>
    <xf numFmtId="0" fontId="14" fillId="17" borderId="90" xfId="0" applyFont="1" applyFill="1" applyBorder="1"/>
    <xf numFmtId="0" fontId="28" fillId="31" borderId="93" xfId="0" applyFont="1" applyFill="1" applyBorder="1" applyAlignment="1">
      <alignment horizontal="center"/>
    </xf>
    <xf numFmtId="0" fontId="0" fillId="31" borderId="94" xfId="0" applyFill="1" applyBorder="1"/>
    <xf numFmtId="0" fontId="28" fillId="31" borderId="88" xfId="0" applyFont="1" applyFill="1" applyBorder="1" applyAlignment="1">
      <alignment horizontal="center"/>
    </xf>
    <xf numFmtId="0" fontId="0" fillId="31" borderId="85" xfId="0" applyFill="1" applyBorder="1"/>
    <xf numFmtId="0" fontId="14" fillId="0" borderId="86" xfId="0" applyFont="1" applyBorder="1" applyAlignment="1">
      <alignment horizontal="left" vertical="center"/>
    </xf>
    <xf numFmtId="0" fontId="47" fillId="5" borderId="57" xfId="0" applyFont="1" applyFill="1" applyBorder="1" applyAlignment="1">
      <alignment horizontal="left" vertical="center"/>
    </xf>
    <xf numFmtId="0" fontId="47" fillId="30" borderId="57" xfId="0" applyFont="1" applyFill="1" applyBorder="1" applyAlignment="1">
      <alignment horizontal="left" vertical="center"/>
    </xf>
    <xf numFmtId="0" fontId="14" fillId="8" borderId="86" xfId="0" applyFont="1" applyFill="1" applyBorder="1" applyAlignment="1">
      <alignment horizontal="left" vertical="center"/>
    </xf>
    <xf numFmtId="0" fontId="0" fillId="30" borderId="58" xfId="0" applyFill="1" applyBorder="1" applyAlignment="1">
      <alignment horizontal="center"/>
    </xf>
    <xf numFmtId="0" fontId="50" fillId="5" borderId="50" xfId="0" applyFont="1" applyFill="1" applyBorder="1" applyAlignment="1">
      <alignment horizontal="center"/>
    </xf>
    <xf numFmtId="0" fontId="50" fillId="5" borderId="50" xfId="0" applyFont="1" applyFill="1" applyBorder="1"/>
    <xf numFmtId="0" fontId="30" fillId="0" borderId="10" xfId="26" applyFont="1" applyBorder="1" applyAlignment="1">
      <alignment horizontal="center"/>
    </xf>
    <xf numFmtId="0" fontId="30" fillId="0" borderId="15" xfId="26" applyFont="1" applyBorder="1" applyAlignment="1">
      <alignment horizontal="center"/>
    </xf>
    <xf numFmtId="0" fontId="30" fillId="0" borderId="10" xfId="26" applyFont="1" applyBorder="1" applyAlignment="1">
      <alignment horizontal="center" vertical="center"/>
    </xf>
    <xf numFmtId="0" fontId="30" fillId="0" borderId="15" xfId="26" applyFont="1" applyBorder="1" applyAlignment="1">
      <alignment horizontal="center" vertical="center"/>
    </xf>
    <xf numFmtId="0" fontId="30" fillId="0" borderId="14" xfId="26" applyFont="1" applyBorder="1" applyAlignment="1">
      <alignment horizontal="center"/>
    </xf>
    <xf numFmtId="0" fontId="30" fillId="0" borderId="16" xfId="26" applyFont="1" applyBorder="1" applyAlignment="1">
      <alignment horizontal="center"/>
    </xf>
    <xf numFmtId="0" fontId="51" fillId="5" borderId="97" xfId="4" applyFont="1" applyFill="1" applyBorder="1" applyAlignment="1">
      <alignment horizontal="center" vertical="center"/>
    </xf>
    <xf numFmtId="0" fontId="51" fillId="5" borderId="97" xfId="3" applyFont="1" applyFill="1" applyBorder="1" applyAlignment="1">
      <alignment horizontal="center" vertical="center" wrapText="1"/>
    </xf>
    <xf numFmtId="0" fontId="51" fillId="5" borderId="97" xfId="3" applyFont="1" applyFill="1" applyBorder="1" applyAlignment="1">
      <alignment horizontal="center" vertical="center"/>
    </xf>
    <xf numFmtId="0" fontId="9" fillId="3" borderId="97" xfId="10" applyFont="1" applyBorder="1" applyAlignment="1">
      <alignment horizontal="center" vertical="center"/>
    </xf>
    <xf numFmtId="184" fontId="9" fillId="8" borderId="97" xfId="6" applyFont="1" applyFill="1" applyBorder="1" applyAlignment="1">
      <alignment horizontal="right" vertical="center" wrapText="1"/>
    </xf>
    <xf numFmtId="0" fontId="30" fillId="3" borderId="97" xfId="10" applyFont="1" applyBorder="1" applyAlignment="1">
      <alignment vertical="center"/>
    </xf>
    <xf numFmtId="184" fontId="9" fillId="3" borderId="97" xfId="6" applyFont="1" applyBorder="1" applyAlignment="1">
      <alignment horizontal="right" vertical="center" wrapText="1"/>
    </xf>
    <xf numFmtId="0" fontId="30" fillId="3" borderId="97" xfId="10" applyFont="1" applyBorder="1" applyAlignment="1">
      <alignment horizontal="center" vertical="center"/>
    </xf>
    <xf numFmtId="3" fontId="14" fillId="33" borderId="99" xfId="5" applyFont="1" applyFill="1" applyBorder="1" applyAlignment="1">
      <alignment horizontal="center" vertical="center"/>
    </xf>
    <xf numFmtId="0" fontId="14" fillId="0" borderId="0" xfId="26" applyFont="1" applyAlignment="1">
      <alignment vertical="center"/>
    </xf>
    <xf numFmtId="0" fontId="9" fillId="12" borderId="0" xfId="26" applyFill="1" applyAlignment="1">
      <alignment vertical="center"/>
    </xf>
    <xf numFmtId="0" fontId="29" fillId="0" borderId="97" xfId="9" applyFont="1" applyFill="1" applyBorder="1" applyAlignment="1">
      <alignment horizontal="center" vertical="center"/>
    </xf>
    <xf numFmtId="3" fontId="52" fillId="33" borderId="98" xfId="5" applyFont="1" applyFill="1" applyBorder="1" applyAlignment="1">
      <alignment horizontal="right" vertical="center"/>
    </xf>
    <xf numFmtId="3" fontId="52" fillId="33" borderId="99" xfId="5" applyFont="1" applyFill="1" applyBorder="1" applyAlignment="1">
      <alignment horizontal="right" vertical="center"/>
    </xf>
    <xf numFmtId="3" fontId="52" fillId="33" borderId="100" xfId="5" applyFont="1" applyFill="1" applyBorder="1" applyAlignment="1">
      <alignment horizontal="right" vertical="center"/>
    </xf>
    <xf numFmtId="184" fontId="9" fillId="3" borderId="97" xfId="6" applyFont="1" applyBorder="1" applyAlignment="1">
      <alignment horizontal="center" vertical="center"/>
    </xf>
    <xf numFmtId="0" fontId="0" fillId="33" borderId="99" xfId="0" applyFill="1" applyBorder="1" applyAlignment="1">
      <alignment horizontal="center" vertical="center"/>
    </xf>
    <xf numFmtId="4" fontId="9" fillId="33" borderId="99" xfId="7" applyFont="1" applyFill="1" applyBorder="1" applyAlignment="1">
      <alignment horizontal="right" vertical="center"/>
    </xf>
    <xf numFmtId="3" fontId="14" fillId="33" borderId="100" xfId="5" applyFont="1" applyFill="1" applyBorder="1" applyAlignment="1">
      <alignment horizontal="right" vertical="center" wrapText="1"/>
    </xf>
    <xf numFmtId="4" fontId="9" fillId="8" borderId="97" xfId="7" applyFont="1" applyFill="1" applyBorder="1" applyAlignment="1">
      <alignment horizontal="right" vertical="center" wrapText="1"/>
    </xf>
    <xf numFmtId="4" fontId="9" fillId="3" borderId="97" xfId="7" applyFont="1" applyBorder="1" applyAlignment="1">
      <alignment horizontal="center" vertical="center"/>
    </xf>
    <xf numFmtId="4" fontId="9" fillId="3" borderId="97" xfId="7" applyFont="1" applyBorder="1" applyAlignment="1">
      <alignment horizontal="right" vertical="center" wrapText="1"/>
    </xf>
    <xf numFmtId="0" fontId="30" fillId="0" borderId="97" xfId="10" applyFont="1" applyFill="1" applyBorder="1" applyAlignment="1">
      <alignment vertical="center"/>
    </xf>
    <xf numFmtId="0" fontId="9" fillId="0" borderId="97" xfId="10" applyFont="1" applyFill="1" applyBorder="1" applyAlignment="1">
      <alignment horizontal="center" vertical="center"/>
    </xf>
    <xf numFmtId="3" fontId="14" fillId="33" borderId="98" xfId="5" applyFont="1" applyFill="1" applyBorder="1" applyAlignment="1">
      <alignment horizontal="right" vertical="center"/>
    </xf>
    <xf numFmtId="4" fontId="9" fillId="6" borderId="97" xfId="7" applyFont="1" applyFill="1" applyBorder="1" applyAlignment="1">
      <alignment horizontal="right" vertical="center"/>
    </xf>
    <xf numFmtId="4" fontId="9" fillId="6" borderId="97" xfId="7" applyFont="1" applyFill="1" applyBorder="1" applyAlignment="1">
      <alignment horizontal="center" vertical="center"/>
    </xf>
    <xf numFmtId="4" fontId="9" fillId="0" borderId="97" xfId="7" applyFont="1" applyFill="1" applyBorder="1" applyAlignment="1">
      <alignment horizontal="right" vertical="center" wrapText="1"/>
    </xf>
    <xf numFmtId="4" fontId="9" fillId="0" borderId="97" xfId="7" applyFont="1" applyFill="1" applyBorder="1" applyAlignment="1">
      <alignment horizontal="center" vertical="center"/>
    </xf>
    <xf numFmtId="0" fontId="51" fillId="31" borderId="97" xfId="3" applyFont="1" applyFill="1" applyBorder="1" applyAlignment="1">
      <alignment horizontal="center" vertical="center" wrapText="1"/>
    </xf>
    <xf numFmtId="0" fontId="9" fillId="0" borderId="97" xfId="26" applyBorder="1"/>
    <xf numFmtId="0" fontId="9" fillId="0" borderId="97" xfId="26" applyBorder="1" applyAlignment="1">
      <alignment vertical="center"/>
    </xf>
    <xf numFmtId="0" fontId="36" fillId="12" borderId="97" xfId="26" applyFont="1" applyFill="1" applyBorder="1" applyAlignment="1">
      <alignment horizontal="center" vertical="center"/>
    </xf>
    <xf numFmtId="0" fontId="54" fillId="0" borderId="0" xfId="0" applyFont="1"/>
    <xf numFmtId="0" fontId="56" fillId="0" borderId="0" xfId="0" applyFont="1"/>
    <xf numFmtId="0" fontId="14" fillId="0" borderId="32" xfId="0" applyFont="1" applyBorder="1" applyAlignment="1">
      <alignment horizontal="center"/>
    </xf>
    <xf numFmtId="0" fontId="14" fillId="0" borderId="30" xfId="0" applyFont="1" applyBorder="1" applyAlignment="1">
      <alignment horizontal="center"/>
    </xf>
    <xf numFmtId="0" fontId="56" fillId="0" borderId="32" xfId="0" applyFont="1" applyBorder="1" applyAlignment="1">
      <alignment horizontal="center"/>
    </xf>
    <xf numFmtId="0" fontId="56" fillId="0" borderId="30" xfId="0" applyFont="1" applyBorder="1" applyAlignment="1">
      <alignment horizontal="center"/>
    </xf>
    <xf numFmtId="0" fontId="56" fillId="0" borderId="26" xfId="0" applyFont="1" applyBorder="1"/>
    <xf numFmtId="0" fontId="56" fillId="0" borderId="102" xfId="0" applyFont="1" applyBorder="1" applyAlignment="1">
      <alignment horizontal="center" vertical="center"/>
    </xf>
    <xf numFmtId="0" fontId="56" fillId="0" borderId="106" xfId="0" applyFont="1" applyBorder="1" applyAlignment="1">
      <alignment horizontal="center" vertical="center"/>
    </xf>
    <xf numFmtId="0" fontId="9" fillId="0" borderId="26" xfId="0" applyFont="1" applyBorder="1"/>
    <xf numFmtId="0" fontId="14" fillId="12" borderId="109" xfId="0" applyFont="1" applyFill="1" applyBorder="1" applyAlignment="1">
      <alignment horizontal="center"/>
    </xf>
    <xf numFmtId="0" fontId="56" fillId="12" borderId="109" xfId="0" applyFont="1" applyFill="1" applyBorder="1"/>
    <xf numFmtId="0" fontId="56" fillId="12" borderId="115" xfId="0" applyFont="1" applyFill="1" applyBorder="1"/>
    <xf numFmtId="0" fontId="54" fillId="12" borderId="115" xfId="0" applyFont="1" applyFill="1" applyBorder="1"/>
    <xf numFmtId="10" fontId="0" fillId="0" borderId="112" xfId="0" applyNumberFormat="1" applyBorder="1" applyAlignment="1">
      <alignment horizontal="center" vertical="center"/>
    </xf>
    <xf numFmtId="10" fontId="0" fillId="0" borderId="116" xfId="0" applyNumberFormat="1" applyBorder="1" applyAlignment="1">
      <alignment horizontal="center" vertical="center"/>
    </xf>
    <xf numFmtId="10" fontId="0" fillId="0" borderId="118" xfId="0" applyNumberFormat="1" applyBorder="1" applyAlignment="1">
      <alignment horizontal="center" vertical="center"/>
    </xf>
    <xf numFmtId="0" fontId="56" fillId="0" borderId="119" xfId="0" applyFont="1" applyBorder="1" applyAlignment="1">
      <alignment horizontal="center" vertical="center"/>
    </xf>
    <xf numFmtId="0" fontId="56" fillId="0" borderId="120" xfId="0" applyFont="1" applyBorder="1" applyAlignment="1">
      <alignment horizontal="center" vertical="center"/>
    </xf>
    <xf numFmtId="0" fontId="28" fillId="5" borderId="8" xfId="26" applyFont="1" applyFill="1" applyBorder="1" applyAlignment="1">
      <alignment horizontal="center"/>
    </xf>
    <xf numFmtId="0" fontId="9" fillId="36" borderId="26" xfId="0" applyFont="1" applyFill="1" applyBorder="1"/>
    <xf numFmtId="0" fontId="56" fillId="0" borderId="125" xfId="0" applyFont="1" applyBorder="1" applyAlignment="1">
      <alignment horizontal="center"/>
    </xf>
    <xf numFmtId="0" fontId="54" fillId="12" borderId="126" xfId="0" applyFont="1" applyFill="1" applyBorder="1" applyAlignment="1">
      <alignment horizontal="center"/>
    </xf>
    <xf numFmtId="0" fontId="9" fillId="38" borderId="126" xfId="0" applyFont="1" applyFill="1" applyBorder="1"/>
    <xf numFmtId="0" fontId="56" fillId="0" borderId="127" xfId="0" applyFont="1" applyBorder="1" applyAlignment="1">
      <alignment horizontal="center"/>
    </xf>
    <xf numFmtId="0" fontId="57" fillId="0" borderId="128" xfId="0" applyFont="1" applyBorder="1" applyAlignment="1">
      <alignment horizontal="center"/>
    </xf>
    <xf numFmtId="0" fontId="14" fillId="0" borderId="129" xfId="0" applyFont="1" applyBorder="1" applyAlignment="1">
      <alignment horizontal="center"/>
    </xf>
    <xf numFmtId="0" fontId="14" fillId="0" borderId="132" xfId="0" applyFont="1" applyBorder="1" applyAlignment="1">
      <alignment horizontal="center"/>
    </xf>
    <xf numFmtId="0" fontId="9" fillId="38" borderId="0" xfId="0" applyFont="1" applyFill="1"/>
    <xf numFmtId="0" fontId="14" fillId="40" borderId="26" xfId="0" quotePrefix="1" applyFont="1" applyFill="1" applyBorder="1"/>
    <xf numFmtId="0" fontId="14" fillId="40" borderId="0" xfId="0" quotePrefix="1" applyFont="1" applyFill="1"/>
    <xf numFmtId="0" fontId="54" fillId="38" borderId="0" xfId="0" applyFont="1" applyFill="1"/>
    <xf numFmtId="0" fontId="14" fillId="36" borderId="26" xfId="0" applyFont="1" applyFill="1" applyBorder="1"/>
    <xf numFmtId="0" fontId="9" fillId="0" borderId="142" xfId="0" applyFont="1" applyBorder="1"/>
    <xf numFmtId="0" fontId="14" fillId="0" borderId="143" xfId="0" applyFont="1" applyBorder="1" applyAlignment="1">
      <alignment horizontal="center"/>
    </xf>
    <xf numFmtId="0" fontId="14" fillId="0" borderId="34" xfId="0" applyFont="1" applyBorder="1" applyAlignment="1">
      <alignment horizontal="center"/>
    </xf>
    <xf numFmtId="0" fontId="14" fillId="0" borderId="144" xfId="0" applyFont="1" applyBorder="1" applyAlignment="1">
      <alignment horizontal="center"/>
    </xf>
    <xf numFmtId="0" fontId="14" fillId="0" borderId="135" xfId="0" applyFont="1" applyBorder="1" applyAlignment="1">
      <alignment horizontal="center"/>
    </xf>
    <xf numFmtId="0" fontId="9" fillId="38" borderId="110" xfId="0" applyFont="1" applyFill="1" applyBorder="1"/>
    <xf numFmtId="10" fontId="0" fillId="0" borderId="0" xfId="16" applyNumberFormat="1" applyFont="1"/>
    <xf numFmtId="9" fontId="34" fillId="37" borderId="137" xfId="16" applyFont="1" applyFill="1" applyBorder="1" applyAlignment="1">
      <alignment horizontal="center" vertical="center"/>
    </xf>
    <xf numFmtId="3" fontId="24" fillId="0" borderId="0" xfId="0" applyNumberFormat="1" applyFont="1" applyAlignment="1">
      <alignment horizontal="center" vertical="center"/>
    </xf>
    <xf numFmtId="3" fontId="36" fillId="19" borderId="0" xfId="0" applyNumberFormat="1" applyFont="1" applyFill="1" applyAlignment="1">
      <alignment horizontal="center" vertical="center"/>
    </xf>
    <xf numFmtId="182" fontId="34" fillId="42" borderId="138" xfId="30" applyNumberFormat="1" applyFont="1" applyFill="1" applyBorder="1" applyAlignment="1">
      <alignment horizontal="center" vertical="center"/>
    </xf>
    <xf numFmtId="3" fontId="59" fillId="39" borderId="38" xfId="0" applyNumberFormat="1" applyFont="1" applyFill="1" applyBorder="1" applyAlignment="1">
      <alignment horizontal="center" vertical="center"/>
    </xf>
    <xf numFmtId="3" fontId="59" fillId="39" borderId="140" xfId="0" applyNumberFormat="1" applyFont="1" applyFill="1" applyBorder="1" applyAlignment="1">
      <alignment horizontal="center" vertical="center"/>
    </xf>
    <xf numFmtId="9" fontId="39" fillId="0" borderId="0" xfId="16" applyFont="1"/>
    <xf numFmtId="9" fontId="0" fillId="0" borderId="79" xfId="0" applyNumberFormat="1" applyBorder="1" applyAlignment="1">
      <alignment horizontal="center"/>
    </xf>
    <xf numFmtId="9" fontId="14" fillId="0" borderId="58" xfId="0" applyNumberFormat="1" applyFont="1" applyBorder="1" applyAlignment="1">
      <alignment horizontal="center"/>
    </xf>
    <xf numFmtId="3" fontId="0" fillId="0" borderId="0" xfId="0" applyNumberFormat="1"/>
    <xf numFmtId="10" fontId="0" fillId="0" borderId="0" xfId="0" applyNumberFormat="1"/>
    <xf numFmtId="4" fontId="9" fillId="0" borderId="0" xfId="7" applyFont="1" applyFill="1" applyBorder="1">
      <alignment horizontal="right"/>
    </xf>
    <xf numFmtId="4" fontId="33" fillId="0" borderId="0" xfId="7" applyFont="1" applyFill="1" applyBorder="1">
      <alignment horizontal="right"/>
    </xf>
    <xf numFmtId="3" fontId="59" fillId="39" borderId="140" xfId="0" quotePrefix="1" applyNumberFormat="1" applyFont="1" applyFill="1" applyBorder="1" applyAlignment="1">
      <alignment horizontal="center" vertical="center"/>
    </xf>
    <xf numFmtId="4" fontId="6" fillId="0" borderId="38" xfId="29" applyNumberFormat="1" applyBorder="1" applyAlignment="1">
      <alignment horizontal="center"/>
    </xf>
    <xf numFmtId="0" fontId="27" fillId="0" borderId="0" xfId="0" applyFont="1" applyAlignment="1">
      <alignment horizontal="center"/>
    </xf>
    <xf numFmtId="0" fontId="65" fillId="0" borderId="0" xfId="0" applyFont="1"/>
    <xf numFmtId="0" fontId="0" fillId="0" borderId="38" xfId="0" applyBorder="1"/>
    <xf numFmtId="0" fontId="64" fillId="0" borderId="0" xfId="0" applyFont="1"/>
    <xf numFmtId="3" fontId="54" fillId="0" borderId="32" xfId="0" applyNumberFormat="1" applyFont="1" applyBorder="1" applyAlignment="1">
      <alignment horizontal="center" vertical="center"/>
    </xf>
    <xf numFmtId="3" fontId="62" fillId="37" borderId="38" xfId="0" applyNumberFormat="1" applyFont="1" applyFill="1" applyBorder="1" applyAlignment="1">
      <alignment horizontal="center" vertical="center"/>
    </xf>
    <xf numFmtId="182" fontId="34" fillId="37" borderId="140" xfId="16" applyNumberFormat="1" applyFont="1" applyFill="1" applyBorder="1" applyAlignment="1">
      <alignment horizontal="center" vertical="center"/>
    </xf>
    <xf numFmtId="3" fontId="62" fillId="0" borderId="140" xfId="0" applyNumberFormat="1" applyFont="1" applyBorder="1" applyAlignment="1">
      <alignment horizontal="center" vertical="center"/>
    </xf>
    <xf numFmtId="3" fontId="62" fillId="37" borderId="140" xfId="0" applyNumberFormat="1" applyFont="1" applyFill="1" applyBorder="1" applyAlignment="1">
      <alignment horizontal="center" vertical="center"/>
    </xf>
    <xf numFmtId="182" fontId="34" fillId="37" borderId="36" xfId="16" applyNumberFormat="1" applyFont="1" applyFill="1" applyBorder="1" applyAlignment="1">
      <alignment horizontal="center" vertical="center"/>
    </xf>
    <xf numFmtId="3" fontId="62" fillId="37" borderId="36" xfId="0" applyNumberFormat="1" applyFont="1" applyFill="1" applyBorder="1" applyAlignment="1">
      <alignment horizontal="center" vertical="center"/>
    </xf>
    <xf numFmtId="1" fontId="54" fillId="39" borderId="38" xfId="0" applyNumberFormat="1" applyFont="1" applyFill="1" applyBorder="1" applyAlignment="1">
      <alignment horizontal="center" vertical="center"/>
    </xf>
    <xf numFmtId="1" fontId="54" fillId="39" borderId="140" xfId="0" applyNumberFormat="1" applyFont="1" applyFill="1" applyBorder="1" applyAlignment="1">
      <alignment horizontal="center" vertical="center"/>
    </xf>
    <xf numFmtId="1" fontId="54" fillId="39" borderId="36" xfId="0" applyNumberFormat="1" applyFont="1" applyFill="1" applyBorder="1" applyAlignment="1">
      <alignment horizontal="center" vertical="center"/>
    </xf>
    <xf numFmtId="4" fontId="6" fillId="0" borderId="140" xfId="29" applyNumberFormat="1" applyBorder="1" applyAlignment="1">
      <alignment horizontal="center"/>
    </xf>
    <xf numFmtId="4" fontId="6" fillId="0" borderId="131" xfId="29" applyNumberFormat="1" applyBorder="1" applyAlignment="1">
      <alignment horizontal="center"/>
    </xf>
    <xf numFmtId="9" fontId="0" fillId="0" borderId="0" xfId="16" applyFont="1" applyBorder="1" applyAlignment="1">
      <alignment horizontal="left"/>
    </xf>
    <xf numFmtId="3" fontId="59" fillId="0" borderId="38" xfId="0" applyNumberFormat="1" applyFont="1" applyBorder="1" applyAlignment="1">
      <alignment horizontal="center" vertical="center"/>
    </xf>
    <xf numFmtId="3" fontId="59" fillId="0" borderId="140" xfId="0" applyNumberFormat="1" applyFont="1" applyBorder="1" applyAlignment="1">
      <alignment horizontal="center" vertical="center"/>
    </xf>
    <xf numFmtId="2" fontId="9" fillId="23" borderId="17" xfId="0" applyNumberFormat="1" applyFont="1" applyFill="1" applyBorder="1" applyAlignment="1">
      <alignment horizontal="center"/>
    </xf>
    <xf numFmtId="0" fontId="24" fillId="0" borderId="0" xfId="0" applyFont="1" applyAlignment="1">
      <alignment horizontal="center" vertical="center"/>
    </xf>
    <xf numFmtId="3" fontId="37" fillId="19" borderId="0" xfId="0" applyNumberFormat="1" applyFont="1" applyFill="1" applyAlignment="1">
      <alignment horizontal="center" vertical="center"/>
    </xf>
    <xf numFmtId="3" fontId="36" fillId="0" borderId="0" xfId="0" applyNumberFormat="1" applyFont="1" applyAlignment="1">
      <alignment horizontal="center" vertical="center"/>
    </xf>
    <xf numFmtId="184" fontId="24" fillId="0" borderId="0" xfId="0" applyNumberFormat="1" applyFont="1" applyAlignment="1">
      <alignment horizontal="center" vertical="center"/>
    </xf>
    <xf numFmtId="4" fontId="36" fillId="19" borderId="0" xfId="0" applyNumberFormat="1" applyFont="1" applyFill="1" applyAlignment="1">
      <alignment horizontal="center" vertical="center"/>
    </xf>
    <xf numFmtId="3" fontId="24" fillId="19" borderId="0" xfId="0" applyNumberFormat="1" applyFont="1" applyFill="1" applyAlignment="1">
      <alignment horizontal="center" vertical="center"/>
    </xf>
    <xf numFmtId="0" fontId="0" fillId="0" borderId="0" xfId="0" applyAlignment="1">
      <alignment horizontal="center" vertical="center"/>
    </xf>
    <xf numFmtId="0" fontId="27" fillId="0" borderId="0" xfId="0" applyFont="1" applyAlignment="1">
      <alignment horizontal="center" vertical="center"/>
    </xf>
    <xf numFmtId="0" fontId="47" fillId="9" borderId="57" xfId="0" applyFont="1" applyFill="1" applyBorder="1" applyAlignment="1">
      <alignment horizontal="center" vertical="center" wrapText="1"/>
    </xf>
    <xf numFmtId="0" fontId="47" fillId="10" borderId="58" xfId="0" applyFont="1" applyFill="1" applyBorder="1" applyAlignment="1">
      <alignment horizontal="center" vertical="center" wrapText="1"/>
    </xf>
    <xf numFmtId="0" fontId="47" fillId="11" borderId="58" xfId="0" applyFont="1" applyFill="1" applyBorder="1" applyAlignment="1">
      <alignment horizontal="center" vertical="center" wrapText="1"/>
    </xf>
    <xf numFmtId="0" fontId="47" fillId="15" borderId="58" xfId="0" applyFont="1" applyFill="1" applyBorder="1" applyAlignment="1">
      <alignment horizontal="center" vertical="center" wrapText="1"/>
    </xf>
    <xf numFmtId="0" fontId="47" fillId="11" borderId="50" xfId="0" applyFont="1" applyFill="1" applyBorder="1" applyAlignment="1">
      <alignment horizontal="center" vertical="center" wrapText="1"/>
    </xf>
    <xf numFmtId="0" fontId="47" fillId="15" borderId="50" xfId="0" applyFont="1" applyFill="1" applyBorder="1" applyAlignment="1">
      <alignment horizontal="center" vertical="center" wrapText="1"/>
    </xf>
    <xf numFmtId="0" fontId="56" fillId="0" borderId="0" xfId="0" applyFont="1" applyAlignment="1">
      <alignment horizontal="center" vertical="center"/>
    </xf>
    <xf numFmtId="0" fontId="0" fillId="0" borderId="0" xfId="0" applyAlignment="1">
      <alignment horizontal="left"/>
    </xf>
    <xf numFmtId="2" fontId="9" fillId="23" borderId="44" xfId="0" applyNumberFormat="1" applyFont="1" applyFill="1" applyBorder="1" applyAlignment="1">
      <alignment horizontal="center"/>
    </xf>
    <xf numFmtId="2" fontId="34" fillId="23" borderId="44" xfId="16" applyNumberFormat="1" applyFont="1" applyFill="1" applyBorder="1" applyAlignment="1">
      <alignment horizontal="center"/>
    </xf>
    <xf numFmtId="0" fontId="9" fillId="7" borderId="158" xfId="0" applyFont="1" applyFill="1" applyBorder="1"/>
    <xf numFmtId="0" fontId="9" fillId="0" borderId="0" xfId="0" applyFont="1" applyAlignment="1">
      <alignment horizontal="center"/>
    </xf>
    <xf numFmtId="182" fontId="64" fillId="0" borderId="38" xfId="16" applyNumberFormat="1" applyFont="1" applyBorder="1" applyAlignment="1">
      <alignment horizontal="center"/>
    </xf>
    <xf numFmtId="0" fontId="64" fillId="0" borderId="38" xfId="0" applyFont="1" applyBorder="1"/>
    <xf numFmtId="9" fontId="0" fillId="0" borderId="0" xfId="16" applyFont="1" applyAlignment="1">
      <alignment horizontal="left"/>
    </xf>
    <xf numFmtId="4" fontId="6" fillId="0" borderId="37" xfId="29" applyNumberFormat="1" applyBorder="1" applyAlignment="1">
      <alignment horizontal="center"/>
    </xf>
    <xf numFmtId="0" fontId="54" fillId="0" borderId="159" xfId="0" applyFont="1" applyBorder="1"/>
    <xf numFmtId="0" fontId="54" fillId="0" borderId="29" xfId="0" applyFont="1" applyBorder="1"/>
    <xf numFmtId="3" fontId="67" fillId="0" borderId="140" xfId="0" quotePrefix="1" applyNumberFormat="1" applyFont="1" applyBorder="1" applyAlignment="1">
      <alignment horizontal="center" vertical="center"/>
    </xf>
    <xf numFmtId="3" fontId="67" fillId="0" borderId="38" xfId="0" quotePrefix="1" applyNumberFormat="1" applyFont="1" applyBorder="1" applyAlignment="1">
      <alignment horizontal="center" vertical="center"/>
    </xf>
    <xf numFmtId="3" fontId="67" fillId="0" borderId="131" xfId="0" quotePrefix="1" applyNumberFormat="1" applyFont="1" applyBorder="1" applyAlignment="1">
      <alignment horizontal="center" vertical="center"/>
    </xf>
    <xf numFmtId="0" fontId="54" fillId="39" borderId="129" xfId="0" applyFont="1" applyFill="1" applyBorder="1" applyAlignment="1">
      <alignment horizontal="center" vertical="center"/>
    </xf>
    <xf numFmtId="0" fontId="54" fillId="39" borderId="2" xfId="0" applyFont="1" applyFill="1" applyBorder="1" applyAlignment="1">
      <alignment horizontal="center" vertical="center"/>
    </xf>
    <xf numFmtId="3" fontId="59" fillId="40" borderId="162" xfId="0" applyNumberFormat="1" applyFont="1" applyFill="1" applyBorder="1" applyAlignment="1">
      <alignment horizontal="center" vertical="center"/>
    </xf>
    <xf numFmtId="3" fontId="59" fillId="40" borderId="3" xfId="0" applyNumberFormat="1" applyFont="1" applyFill="1" applyBorder="1" applyAlignment="1">
      <alignment horizontal="center" vertical="center"/>
    </xf>
    <xf numFmtId="3" fontId="59" fillId="40" borderId="28"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63" xfId="0" applyNumberFormat="1" applyFont="1" applyFill="1" applyBorder="1" applyAlignment="1">
      <alignment horizontal="center" vertical="center"/>
    </xf>
    <xf numFmtId="0" fontId="0" fillId="36" borderId="26" xfId="0" applyFill="1" applyBorder="1"/>
    <xf numFmtId="0" fontId="64" fillId="0" borderId="0" xfId="29" applyFont="1" applyAlignment="1">
      <alignment horizontal="center" vertical="center"/>
    </xf>
    <xf numFmtId="0" fontId="6" fillId="0" borderId="0" xfId="29"/>
    <xf numFmtId="0" fontId="54" fillId="0" borderId="164" xfId="0" applyFont="1" applyBorder="1"/>
    <xf numFmtId="0" fontId="56" fillId="0" borderId="104" xfId="0" applyFont="1" applyBorder="1" applyAlignment="1">
      <alignment horizontal="center" vertical="center"/>
    </xf>
    <xf numFmtId="0" fontId="56" fillId="0" borderId="105" xfId="0" applyFont="1" applyBorder="1" applyAlignment="1">
      <alignment horizontal="center" vertical="center"/>
    </xf>
    <xf numFmtId="0" fontId="54" fillId="0" borderId="165" xfId="0" applyFont="1" applyBorder="1"/>
    <xf numFmtId="0" fontId="54" fillId="0" borderId="103" xfId="0" applyFont="1" applyBorder="1" applyAlignment="1">
      <alignment horizontal="center" vertical="center"/>
    </xf>
    <xf numFmtId="0" fontId="54" fillId="0" borderId="166" xfId="0" applyFont="1" applyBorder="1"/>
    <xf numFmtId="0" fontId="54" fillId="0" borderId="107" xfId="0" applyFont="1" applyBorder="1" applyAlignment="1">
      <alignment horizontal="center" vertical="center"/>
    </xf>
    <xf numFmtId="10" fontId="0" fillId="0" borderId="0" xfId="0" applyNumberFormat="1" applyAlignment="1">
      <alignment horizontal="center" vertical="center"/>
    </xf>
    <xf numFmtId="0" fontId="54" fillId="0" borderId="104" xfId="0" applyFont="1" applyBorder="1" applyAlignment="1">
      <alignment horizontal="center" vertical="center"/>
    </xf>
    <xf numFmtId="0" fontId="54" fillId="0" borderId="103" xfId="0" applyFont="1" applyBorder="1"/>
    <xf numFmtId="0" fontId="56" fillId="0" borderId="38" xfId="0" applyFont="1" applyBorder="1"/>
    <xf numFmtId="9" fontId="24" fillId="0" borderId="0" xfId="16" applyFont="1" applyAlignment="1">
      <alignment horizontal="center" vertical="center"/>
    </xf>
    <xf numFmtId="3" fontId="0" fillId="0" borderId="38" xfId="0" applyNumberFormat="1" applyBorder="1" applyAlignment="1">
      <alignment horizontal="center" vertical="center"/>
    </xf>
    <xf numFmtId="182" fontId="39" fillId="0" borderId="0" xfId="0" applyNumberFormat="1" applyFont="1"/>
    <xf numFmtId="3" fontId="67" fillId="0" borderId="140" xfId="0" applyNumberFormat="1" applyFont="1" applyBorder="1" applyAlignment="1">
      <alignment horizontal="center" vertical="center"/>
    </xf>
    <xf numFmtId="187" fontId="9" fillId="0" borderId="97" xfId="26" applyNumberFormat="1" applyBorder="1"/>
    <xf numFmtId="3" fontId="67" fillId="37" borderId="140" xfId="0" quotePrefix="1" applyNumberFormat="1" applyFont="1" applyFill="1" applyBorder="1" applyAlignment="1">
      <alignment horizontal="center" vertical="center"/>
    </xf>
    <xf numFmtId="3" fontId="67" fillId="37" borderId="38" xfId="0" quotePrefix="1" applyNumberFormat="1" applyFont="1" applyFill="1" applyBorder="1" applyAlignment="1">
      <alignment horizontal="center" vertical="center"/>
    </xf>
    <xf numFmtId="3" fontId="67" fillId="37" borderId="36" xfId="0" quotePrefix="1" applyNumberFormat="1" applyFont="1" applyFill="1" applyBorder="1" applyAlignment="1">
      <alignment horizontal="center" vertical="center"/>
    </xf>
    <xf numFmtId="3" fontId="26" fillId="37" borderId="140" xfId="0" applyNumberFormat="1" applyFont="1" applyFill="1" applyBorder="1" applyAlignment="1">
      <alignment horizontal="center" vertical="center"/>
    </xf>
    <xf numFmtId="3" fontId="26" fillId="37" borderId="38" xfId="0" applyNumberFormat="1" applyFont="1" applyFill="1" applyBorder="1" applyAlignment="1">
      <alignment horizontal="center" vertical="center"/>
    </xf>
    <xf numFmtId="3" fontId="26" fillId="37" borderId="36" xfId="0" applyNumberFormat="1" applyFont="1" applyFill="1" applyBorder="1" applyAlignment="1">
      <alignment horizontal="center" vertical="center"/>
    </xf>
    <xf numFmtId="0" fontId="65" fillId="0" borderId="0" xfId="0" applyFont="1" applyAlignment="1">
      <alignment horizontal="center"/>
    </xf>
    <xf numFmtId="1" fontId="65" fillId="0" borderId="0" xfId="0" applyNumberFormat="1" applyFont="1" applyAlignment="1">
      <alignment horizontal="center"/>
    </xf>
    <xf numFmtId="1" fontId="70" fillId="0" borderId="0" xfId="0" applyNumberFormat="1" applyFont="1" applyAlignment="1">
      <alignment horizontal="left"/>
    </xf>
    <xf numFmtId="0" fontId="9" fillId="0" borderId="0" xfId="26" applyAlignment="1">
      <alignment vertical="center" wrapText="1"/>
    </xf>
    <xf numFmtId="3" fontId="52" fillId="33" borderId="99" xfId="5" applyFont="1" applyFill="1" applyBorder="1" applyAlignment="1">
      <alignment horizontal="right" vertical="center" wrapText="1"/>
    </xf>
    <xf numFmtId="4" fontId="9" fillId="33" borderId="99" xfId="7" applyFont="1" applyFill="1" applyBorder="1" applyAlignment="1">
      <alignment horizontal="right" vertical="center" wrapText="1"/>
    </xf>
    <xf numFmtId="0" fontId="9" fillId="0" borderId="97" xfId="10" applyFont="1" applyFill="1" applyBorder="1" applyAlignment="1">
      <alignment horizontal="right" vertical="center" wrapText="1"/>
    </xf>
    <xf numFmtId="0" fontId="21" fillId="0" borderId="0" xfId="8" applyFill="1" applyBorder="1" applyAlignment="1">
      <alignment wrapText="1"/>
    </xf>
    <xf numFmtId="0" fontId="9" fillId="0" borderId="0" xfId="26" applyAlignment="1">
      <alignment wrapText="1"/>
    </xf>
    <xf numFmtId="0" fontId="0" fillId="0" borderId="0" xfId="0" applyAlignment="1">
      <alignment wrapText="1"/>
    </xf>
    <xf numFmtId="0" fontId="0" fillId="0" borderId="0" xfId="26" applyFont="1"/>
    <xf numFmtId="2" fontId="9" fillId="0" borderId="0" xfId="26" applyNumberFormat="1"/>
    <xf numFmtId="2" fontId="0" fillId="0" borderId="0" xfId="26" applyNumberFormat="1" applyFont="1"/>
    <xf numFmtId="0" fontId="59" fillId="0" borderId="0" xfId="0" applyFont="1"/>
    <xf numFmtId="0" fontId="59" fillId="0" borderId="0" xfId="0" applyFont="1" applyAlignment="1">
      <alignment horizontal="center"/>
    </xf>
    <xf numFmtId="181" fontId="9" fillId="0" borderId="0" xfId="0" applyNumberFormat="1" applyFont="1"/>
    <xf numFmtId="180" fontId="9" fillId="0" borderId="0" xfId="0" applyNumberFormat="1" applyFont="1"/>
    <xf numFmtId="181" fontId="27" fillId="0" borderId="0" xfId="0" applyNumberFormat="1" applyFont="1"/>
    <xf numFmtId="182" fontId="9" fillId="23" borderId="17" xfId="16" applyNumberFormat="1" applyFont="1" applyFill="1" applyBorder="1" applyAlignment="1">
      <alignment horizontal="center"/>
    </xf>
    <xf numFmtId="0" fontId="47" fillId="30" borderId="57" xfId="0" applyFont="1" applyFill="1" applyBorder="1" applyAlignment="1">
      <alignment horizontal="center" vertical="center"/>
    </xf>
    <xf numFmtId="0" fontId="47" fillId="5" borderId="125" xfId="0" applyFont="1" applyFill="1" applyBorder="1" applyAlignment="1">
      <alignment horizontal="center"/>
    </xf>
    <xf numFmtId="0" fontId="47" fillId="5" borderId="110" xfId="0" applyFont="1" applyFill="1" applyBorder="1" applyAlignment="1">
      <alignment horizontal="center"/>
    </xf>
    <xf numFmtId="0" fontId="14" fillId="17" borderId="87" xfId="0" applyFont="1" applyFill="1" applyBorder="1" applyAlignment="1">
      <alignment horizontal="left" vertical="center"/>
    </xf>
    <xf numFmtId="0" fontId="14" fillId="17" borderId="88" xfId="0" applyFont="1" applyFill="1" applyBorder="1" applyAlignment="1">
      <alignment horizontal="left" vertical="center"/>
    </xf>
    <xf numFmtId="9" fontId="0" fillId="17" borderId="85" xfId="16" applyFont="1" applyFill="1" applyBorder="1" applyAlignment="1">
      <alignment horizontal="center"/>
    </xf>
    <xf numFmtId="2" fontId="0" fillId="17" borderId="85" xfId="0" applyNumberFormat="1" applyFill="1" applyBorder="1" applyAlignment="1">
      <alignment horizontal="center"/>
    </xf>
    <xf numFmtId="0" fontId="14" fillId="17" borderId="86" xfId="0" applyFont="1" applyFill="1" applyBorder="1" applyAlignment="1">
      <alignment horizontal="left" vertical="center"/>
    </xf>
    <xf numFmtId="2" fontId="0" fillId="17" borderId="83" xfId="0" applyNumberFormat="1" applyFill="1" applyBorder="1" applyAlignment="1">
      <alignment horizontal="center"/>
    </xf>
    <xf numFmtId="2" fontId="9" fillId="17" borderId="85" xfId="0" applyNumberFormat="1" applyFont="1" applyFill="1" applyBorder="1" applyAlignment="1">
      <alignment horizontal="center"/>
    </xf>
    <xf numFmtId="183" fontId="0" fillId="17" borderId="85" xfId="0" applyNumberFormat="1" applyFill="1" applyBorder="1" applyAlignment="1">
      <alignment horizontal="center"/>
    </xf>
    <xf numFmtId="9" fontId="0" fillId="0" borderId="83" xfId="16" applyFont="1" applyFill="1" applyBorder="1" applyAlignment="1">
      <alignment horizontal="center"/>
    </xf>
    <xf numFmtId="0" fontId="14" fillId="0" borderId="88" xfId="0" applyFont="1" applyBorder="1" applyAlignment="1">
      <alignment horizontal="left" vertical="center"/>
    </xf>
    <xf numFmtId="2" fontId="0" fillId="0" borderId="83" xfId="0" applyNumberFormat="1" applyBorder="1" applyAlignment="1">
      <alignment horizontal="center"/>
    </xf>
    <xf numFmtId="0" fontId="14" fillId="0" borderId="87" xfId="0" applyFont="1" applyBorder="1" applyAlignment="1">
      <alignment horizontal="left" vertical="center"/>
    </xf>
    <xf numFmtId="2" fontId="0" fillId="0" borderId="85" xfId="0" applyNumberFormat="1" applyBorder="1" applyAlignment="1">
      <alignment horizontal="center"/>
    </xf>
    <xf numFmtId="2" fontId="0" fillId="17" borderId="84" xfId="0" applyNumberFormat="1" applyFill="1" applyBorder="1" applyAlignment="1">
      <alignment horizontal="center"/>
    </xf>
    <xf numFmtId="0" fontId="15" fillId="17" borderId="88" xfId="0" applyFont="1" applyFill="1" applyBorder="1" applyAlignment="1">
      <alignment horizontal="left" vertical="center"/>
    </xf>
    <xf numFmtId="2" fontId="0" fillId="17" borderId="85" xfId="16" applyNumberFormat="1" applyFont="1" applyFill="1" applyBorder="1" applyAlignment="1">
      <alignment horizontal="center"/>
    </xf>
    <xf numFmtId="0" fontId="14" fillId="0" borderId="90" xfId="0" applyFont="1" applyBorder="1" applyAlignment="1">
      <alignment horizontal="left" vertical="center"/>
    </xf>
    <xf numFmtId="9" fontId="0" fillId="0" borderId="91" xfId="16" applyFont="1" applyFill="1" applyBorder="1" applyAlignment="1">
      <alignment horizontal="center"/>
    </xf>
    <xf numFmtId="183" fontId="0" fillId="0" borderId="84" xfId="0" applyNumberFormat="1" applyBorder="1" applyAlignment="1">
      <alignment horizontal="center"/>
    </xf>
    <xf numFmtId="183" fontId="0" fillId="0" borderId="83" xfId="0" applyNumberFormat="1" applyBorder="1" applyAlignment="1">
      <alignment horizontal="center"/>
    </xf>
    <xf numFmtId="183" fontId="0" fillId="0" borderId="85" xfId="0" applyNumberFormat="1" applyBorder="1" applyAlignment="1">
      <alignment horizontal="center"/>
    </xf>
    <xf numFmtId="186" fontId="27" fillId="18" borderId="175" xfId="0" applyNumberFormat="1" applyFont="1" applyFill="1" applyBorder="1" applyAlignment="1">
      <alignment horizontal="center"/>
    </xf>
    <xf numFmtId="9" fontId="27" fillId="30" borderId="59" xfId="16" applyFont="1" applyFill="1" applyBorder="1" applyAlignment="1">
      <alignment horizontal="center" vertical="center"/>
    </xf>
    <xf numFmtId="9" fontId="27" fillId="18" borderId="174" xfId="16" applyFont="1" applyFill="1" applyBorder="1" applyAlignment="1">
      <alignment horizontal="center"/>
    </xf>
    <xf numFmtId="0" fontId="27" fillId="30" borderId="59" xfId="0" applyFont="1" applyFill="1" applyBorder="1" applyAlignment="1">
      <alignment horizontal="center" vertical="center"/>
    </xf>
    <xf numFmtId="2" fontId="27" fillId="18" borderId="89" xfId="0" applyNumberFormat="1" applyFont="1" applyFill="1" applyBorder="1" applyAlignment="1">
      <alignment horizontal="center"/>
    </xf>
    <xf numFmtId="2" fontId="27" fillId="30" borderId="59" xfId="16" applyNumberFormat="1" applyFont="1" applyFill="1" applyBorder="1" applyAlignment="1">
      <alignment horizontal="center" vertical="center"/>
    </xf>
    <xf numFmtId="2" fontId="27" fillId="18" borderId="174" xfId="0" applyNumberFormat="1" applyFont="1" applyFill="1" applyBorder="1" applyAlignment="1">
      <alignment horizontal="center"/>
    </xf>
    <xf numFmtId="10" fontId="27" fillId="30" borderId="59" xfId="0" applyNumberFormat="1" applyFont="1" applyFill="1" applyBorder="1" applyAlignment="1">
      <alignment horizontal="center" vertical="center"/>
    </xf>
    <xf numFmtId="185" fontId="27" fillId="30" borderId="59" xfId="19" applyNumberFormat="1" applyFont="1" applyFill="1" applyBorder="1" applyAlignment="1">
      <alignment horizontal="center" vertical="center"/>
    </xf>
    <xf numFmtId="0" fontId="27" fillId="30" borderId="59" xfId="0" applyFont="1" applyFill="1" applyBorder="1" applyAlignment="1">
      <alignment horizontal="center"/>
    </xf>
    <xf numFmtId="9" fontId="27" fillId="18" borderId="61" xfId="16" applyFont="1" applyFill="1" applyBorder="1" applyAlignment="1">
      <alignment horizontal="center"/>
    </xf>
    <xf numFmtId="0" fontId="14" fillId="0" borderId="78" xfId="0" applyFont="1" applyBorder="1" applyAlignment="1">
      <alignment horizontal="left"/>
    </xf>
    <xf numFmtId="3" fontId="54" fillId="0" borderId="129" xfId="0" applyNumberFormat="1" applyFont="1" applyBorder="1" applyAlignment="1">
      <alignment horizontal="center" vertical="center"/>
    </xf>
    <xf numFmtId="3" fontId="54" fillId="8" borderId="130" xfId="0" applyNumberFormat="1" applyFont="1" applyFill="1" applyBorder="1" applyAlignment="1">
      <alignment horizontal="center" vertical="center"/>
    </xf>
    <xf numFmtId="0" fontId="54" fillId="0" borderId="177" xfId="0" applyFont="1" applyBorder="1"/>
    <xf numFmtId="4" fontId="6" fillId="0" borderId="178" xfId="29" applyNumberFormat="1" applyBorder="1" applyAlignment="1">
      <alignment horizontal="center"/>
    </xf>
    <xf numFmtId="0" fontId="54" fillId="0" borderId="35" xfId="0" applyFont="1" applyBorder="1"/>
    <xf numFmtId="10" fontId="6" fillId="0" borderId="0" xfId="29" quotePrefix="1" applyNumberFormat="1" applyAlignment="1">
      <alignment horizontal="right"/>
    </xf>
    <xf numFmtId="3" fontId="59" fillId="39" borderId="131" xfId="0" applyNumberFormat="1" applyFont="1" applyFill="1" applyBorder="1" applyAlignment="1">
      <alignment horizontal="center" vertical="center"/>
    </xf>
    <xf numFmtId="3" fontId="59" fillId="39" borderId="131" xfId="0" quotePrefix="1" applyNumberFormat="1" applyFont="1" applyFill="1" applyBorder="1" applyAlignment="1">
      <alignment horizontal="center" vertical="center"/>
    </xf>
    <xf numFmtId="3" fontId="59" fillId="0" borderId="131" xfId="0" applyNumberFormat="1" applyFont="1" applyBorder="1" applyAlignment="1">
      <alignment horizontal="center" vertical="center"/>
    </xf>
    <xf numFmtId="3" fontId="59" fillId="40" borderId="167" xfId="0" applyNumberFormat="1" applyFont="1" applyFill="1" applyBorder="1" applyAlignment="1">
      <alignment horizontal="center" vertical="center"/>
    </xf>
    <xf numFmtId="4" fontId="6" fillId="0" borderId="167" xfId="29" applyNumberFormat="1" applyBorder="1" applyAlignment="1">
      <alignment horizontal="center"/>
    </xf>
    <xf numFmtId="4" fontId="6" fillId="0" borderId="162" xfId="29" applyNumberFormat="1" applyBorder="1" applyAlignment="1">
      <alignment horizontal="center"/>
    </xf>
    <xf numFmtId="4" fontId="6" fillId="0" borderId="3" xfId="29" applyNumberFormat="1" applyBorder="1" applyAlignment="1">
      <alignment horizontal="center"/>
    </xf>
    <xf numFmtId="4" fontId="6" fillId="0" borderId="29" xfId="29" applyNumberFormat="1" applyBorder="1" applyAlignment="1">
      <alignment horizontal="center"/>
    </xf>
    <xf numFmtId="0" fontId="28" fillId="0" borderId="0" xfId="26" applyFont="1" applyAlignment="1">
      <alignment horizontal="center" vertical="center"/>
    </xf>
    <xf numFmtId="4" fontId="26" fillId="0" borderId="0" xfId="7" applyFont="1" applyFill="1" applyBorder="1">
      <alignment horizontal="right"/>
    </xf>
    <xf numFmtId="0" fontId="47" fillId="30" borderId="51" xfId="0" applyFont="1" applyFill="1" applyBorder="1" applyAlignment="1">
      <alignment horizontal="left" vertical="center"/>
    </xf>
    <xf numFmtId="10" fontId="0" fillId="0" borderId="43" xfId="0" applyNumberFormat="1" applyBorder="1" applyAlignment="1">
      <alignment horizontal="center" vertical="center"/>
    </xf>
    <xf numFmtId="0" fontId="47" fillId="0" borderId="0" xfId="0" applyFont="1" applyAlignment="1">
      <alignment horizontal="left" vertical="center"/>
    </xf>
    <xf numFmtId="0" fontId="58" fillId="35" borderId="61" xfId="0" applyFont="1" applyFill="1" applyBorder="1" applyAlignment="1">
      <alignment horizontal="center" vertical="center"/>
    </xf>
    <xf numFmtId="186" fontId="0" fillId="17" borderId="175" xfId="0" applyNumberFormat="1" applyFill="1" applyBorder="1" applyAlignment="1">
      <alignment horizontal="center"/>
    </xf>
    <xf numFmtId="0" fontId="0" fillId="30" borderId="59" xfId="0" applyFill="1" applyBorder="1" applyAlignment="1">
      <alignment horizontal="center"/>
    </xf>
    <xf numFmtId="9" fontId="0" fillId="0" borderId="174" xfId="16" applyFont="1" applyFill="1" applyBorder="1" applyAlignment="1">
      <alignment horizontal="center"/>
    </xf>
    <xf numFmtId="9" fontId="0" fillId="17" borderId="89" xfId="16" applyFont="1" applyFill="1" applyBorder="1" applyAlignment="1">
      <alignment horizontal="center"/>
    </xf>
    <xf numFmtId="9" fontId="0" fillId="0" borderId="89" xfId="16" applyFont="1" applyFill="1" applyBorder="1" applyAlignment="1">
      <alignment horizontal="center"/>
    </xf>
    <xf numFmtId="9" fontId="0" fillId="17" borderId="175" xfId="16" applyFont="1" applyFill="1" applyBorder="1" applyAlignment="1">
      <alignment horizontal="center"/>
    </xf>
    <xf numFmtId="2" fontId="0" fillId="0" borderId="174" xfId="0" applyNumberFormat="1" applyBorder="1" applyAlignment="1">
      <alignment horizontal="center"/>
    </xf>
    <xf numFmtId="2" fontId="0" fillId="17" borderId="89" xfId="0" applyNumberFormat="1" applyFill="1" applyBorder="1" applyAlignment="1">
      <alignment horizontal="center"/>
    </xf>
    <xf numFmtId="2" fontId="0" fillId="0" borderId="175" xfId="0" applyNumberFormat="1" applyBorder="1" applyAlignment="1">
      <alignment horizontal="center"/>
    </xf>
    <xf numFmtId="2" fontId="0" fillId="17" borderId="174" xfId="0" applyNumberFormat="1" applyFill="1" applyBorder="1" applyAlignment="1">
      <alignment horizontal="center"/>
    </xf>
    <xf numFmtId="2" fontId="0" fillId="0" borderId="89" xfId="0" applyNumberFormat="1" applyBorder="1" applyAlignment="1">
      <alignment horizontal="center"/>
    </xf>
    <xf numFmtId="183" fontId="0" fillId="0" borderId="174" xfId="0" applyNumberFormat="1" applyBorder="1" applyAlignment="1">
      <alignment horizontal="center"/>
    </xf>
    <xf numFmtId="183" fontId="0" fillId="17" borderId="89" xfId="0" applyNumberFormat="1" applyFill="1" applyBorder="1" applyAlignment="1">
      <alignment horizontal="center"/>
    </xf>
    <xf numFmtId="183" fontId="0" fillId="0" borderId="89" xfId="0" applyNumberFormat="1" applyBorder="1" applyAlignment="1">
      <alignment horizontal="center"/>
    </xf>
    <xf numFmtId="183" fontId="0" fillId="0" borderId="175" xfId="0" applyNumberFormat="1" applyBorder="1" applyAlignment="1">
      <alignment horizontal="center"/>
    </xf>
    <xf numFmtId="2" fontId="0" fillId="17" borderId="89" xfId="16" applyNumberFormat="1" applyFont="1" applyFill="1" applyBorder="1" applyAlignment="1">
      <alignment horizontal="center"/>
    </xf>
    <xf numFmtId="9" fontId="0" fillId="0" borderId="92" xfId="16" applyFont="1" applyFill="1" applyBorder="1" applyAlignment="1">
      <alignment horizontal="center"/>
    </xf>
    <xf numFmtId="0" fontId="72" fillId="35" borderId="59" xfId="0" applyFont="1" applyFill="1" applyBorder="1" applyAlignment="1">
      <alignment horizontal="center" vertical="center" wrapText="1"/>
    </xf>
    <xf numFmtId="0" fontId="28" fillId="5" borderId="183" xfId="26" applyFont="1" applyFill="1" applyBorder="1" applyAlignment="1">
      <alignment horizontal="center" vertical="center"/>
    </xf>
    <xf numFmtId="4" fontId="26" fillId="27" borderId="184" xfId="7" applyFont="1" applyFill="1" applyBorder="1">
      <alignment horizontal="right"/>
    </xf>
    <xf numFmtId="4" fontId="9" fillId="12" borderId="184" xfId="7" applyFont="1" applyFill="1" applyBorder="1">
      <alignment horizontal="right"/>
    </xf>
    <xf numFmtId="4" fontId="33" fillId="9" borderId="185" xfId="7" applyFont="1" applyFill="1" applyBorder="1">
      <alignment horizontal="right"/>
    </xf>
    <xf numFmtId="0" fontId="58" fillId="35" borderId="0" xfId="24" applyFont="1" applyFill="1"/>
    <xf numFmtId="0" fontId="73" fillId="35" borderId="0" xfId="24" applyFont="1" applyFill="1" applyAlignment="1">
      <alignment horizontal="left" vertical="center"/>
    </xf>
    <xf numFmtId="0" fontId="73" fillId="35" borderId="0" xfId="24" applyFont="1" applyFill="1" applyAlignment="1">
      <alignment horizontal="center" vertical="center"/>
    </xf>
    <xf numFmtId="0" fontId="9" fillId="30" borderId="0" xfId="24" applyFill="1"/>
    <xf numFmtId="0" fontId="9" fillId="0" borderId="0" xfId="24"/>
    <xf numFmtId="10" fontId="0" fillId="0" borderId="0" xfId="16" applyNumberFormat="1" applyFont="1" applyAlignment="1">
      <alignment horizontal="left"/>
    </xf>
    <xf numFmtId="0" fontId="14" fillId="0" borderId="0" xfId="24" applyFont="1"/>
    <xf numFmtId="0" fontId="9" fillId="8" borderId="0" xfId="24" applyFill="1"/>
    <xf numFmtId="10" fontId="9" fillId="8" borderId="0" xfId="24" applyNumberFormat="1" applyFill="1"/>
    <xf numFmtId="0" fontId="9" fillId="0" borderId="0" xfId="24" applyAlignment="1">
      <alignment horizontal="left"/>
    </xf>
    <xf numFmtId="10" fontId="74" fillId="0" borderId="0" xfId="24" applyNumberFormat="1" applyFont="1" applyAlignment="1">
      <alignment horizontal="center"/>
    </xf>
    <xf numFmtId="10" fontId="9" fillId="0" borderId="0" xfId="24" applyNumberFormat="1"/>
    <xf numFmtId="182" fontId="0" fillId="0" borderId="0" xfId="16" applyNumberFormat="1" applyFont="1"/>
    <xf numFmtId="0" fontId="50" fillId="30" borderId="0" xfId="24" applyFont="1" applyFill="1"/>
    <xf numFmtId="0" fontId="57" fillId="0" borderId="0" xfId="24" applyFont="1" applyAlignment="1">
      <alignment horizontal="center"/>
    </xf>
    <xf numFmtId="0" fontId="9" fillId="23" borderId="0" xfId="0" applyFont="1" applyFill="1" applyAlignment="1">
      <alignment horizontal="center" vertical="center"/>
    </xf>
    <xf numFmtId="190" fontId="75" fillId="45" borderId="0" xfId="16" applyNumberFormat="1" applyFont="1" applyFill="1" applyBorder="1" applyAlignment="1">
      <alignment horizontal="center"/>
    </xf>
    <xf numFmtId="0" fontId="58" fillId="0" borderId="0" xfId="24" applyFont="1"/>
    <xf numFmtId="0" fontId="73" fillId="0" borderId="0" xfId="24" applyFont="1" applyAlignment="1">
      <alignment horizontal="center" vertical="center"/>
    </xf>
    <xf numFmtId="0" fontId="14" fillId="8" borderId="0" xfId="24" applyFont="1" applyFill="1" applyAlignment="1">
      <alignment horizontal="center" vertical="center"/>
    </xf>
    <xf numFmtId="0" fontId="0" fillId="0" borderId="104" xfId="0" applyBorder="1" applyAlignment="1">
      <alignment horizontal="center"/>
    </xf>
    <xf numFmtId="0" fontId="64" fillId="34" borderId="103" xfId="0" applyFont="1" applyFill="1" applyBorder="1" applyAlignment="1">
      <alignment horizontal="center" vertical="center"/>
    </xf>
    <xf numFmtId="9" fontId="64" fillId="34" borderId="106" xfId="16" applyFont="1" applyFill="1" applyBorder="1" applyAlignment="1">
      <alignment horizontal="center" vertical="center" wrapText="1"/>
    </xf>
    <xf numFmtId="0" fontId="64" fillId="34" borderId="106" xfId="16" applyNumberFormat="1" applyFont="1" applyFill="1" applyBorder="1" applyAlignment="1">
      <alignment horizontal="center" vertical="center" wrapText="1"/>
    </xf>
    <xf numFmtId="191" fontId="64" fillId="34" borderId="106" xfId="16" applyNumberFormat="1" applyFont="1" applyFill="1" applyBorder="1" applyAlignment="1">
      <alignment horizontal="center" vertical="center" wrapText="1"/>
    </xf>
    <xf numFmtId="9" fontId="64" fillId="34" borderId="103" xfId="16" applyFont="1" applyFill="1" applyBorder="1" applyAlignment="1">
      <alignment horizontal="center" vertical="center" wrapText="1"/>
    </xf>
    <xf numFmtId="0" fontId="64" fillId="34" borderId="103" xfId="0" applyFont="1" applyFill="1" applyBorder="1" applyAlignment="1">
      <alignment horizontal="center" vertical="center" wrapText="1"/>
    </xf>
    <xf numFmtId="0" fontId="0" fillId="8" borderId="0" xfId="0" applyFill="1" applyAlignment="1">
      <alignment horizontal="center" vertical="center"/>
    </xf>
    <xf numFmtId="192" fontId="0" fillId="0" borderId="0" xfId="0" applyNumberFormat="1" applyAlignment="1">
      <alignment vertical="center"/>
    </xf>
    <xf numFmtId="0" fontId="0" fillId="0" borderId="0" xfId="0" applyAlignment="1">
      <alignment vertical="center"/>
    </xf>
    <xf numFmtId="0" fontId="0" fillId="0" borderId="38" xfId="0" applyBorder="1" applyAlignment="1">
      <alignment horizontal="center" vertical="center"/>
    </xf>
    <xf numFmtId="2" fontId="0" fillId="0" borderId="38" xfId="0" applyNumberFormat="1" applyBorder="1" applyAlignment="1">
      <alignment horizontal="center" vertical="center"/>
    </xf>
    <xf numFmtId="2" fontId="64" fillId="0" borderId="38" xfId="0" applyNumberFormat="1" applyFont="1" applyBorder="1" applyAlignment="1">
      <alignment horizontal="center" vertical="center"/>
    </xf>
    <xf numFmtId="0" fontId="0" fillId="0" borderId="107" xfId="0" applyBorder="1" applyAlignment="1">
      <alignment horizontal="center"/>
    </xf>
    <xf numFmtId="9" fontId="76" fillId="34" borderId="38" xfId="16" applyFont="1" applyFill="1" applyBorder="1" applyAlignment="1">
      <alignment horizontal="center" vertical="center" wrapText="1"/>
    </xf>
    <xf numFmtId="9" fontId="76" fillId="34" borderId="38" xfId="16" applyFont="1" applyFill="1" applyBorder="1" applyAlignment="1">
      <alignment horizontal="center" vertical="center"/>
    </xf>
    <xf numFmtId="0" fontId="14" fillId="0" borderId="0" xfId="0" applyFont="1" applyAlignment="1">
      <alignment horizontal="left" vertical="center"/>
    </xf>
    <xf numFmtId="0" fontId="27" fillId="8" borderId="0" xfId="0" applyFont="1" applyFill="1" applyAlignment="1">
      <alignment horizontal="center" vertical="center"/>
    </xf>
    <xf numFmtId="0" fontId="78" fillId="31" borderId="103" xfId="0" applyFont="1" applyFill="1" applyBorder="1" applyAlignment="1">
      <alignment horizontal="left" vertical="center"/>
    </xf>
    <xf numFmtId="0" fontId="0" fillId="0" borderId="104" xfId="0" applyBorder="1" applyAlignment="1">
      <alignment horizontal="center" vertical="center"/>
    </xf>
    <xf numFmtId="0" fontId="0" fillId="0" borderId="103" xfId="0" applyBorder="1" applyAlignment="1">
      <alignment horizontal="center" vertical="center"/>
    </xf>
    <xf numFmtId="0" fontId="28" fillId="31" borderId="0" xfId="0" applyFont="1" applyFill="1" applyAlignment="1">
      <alignment vertical="center"/>
    </xf>
    <xf numFmtId="0" fontId="0" fillId="0" borderId="164" xfId="0" applyBorder="1" applyAlignment="1">
      <alignment horizontal="center" vertical="center"/>
    </xf>
    <xf numFmtId="0" fontId="0" fillId="0" borderId="190" xfId="0" applyBorder="1" applyAlignment="1">
      <alignment horizontal="center" vertical="center"/>
    </xf>
    <xf numFmtId="0" fontId="0" fillId="0" borderId="107" xfId="0" applyBorder="1" applyAlignment="1">
      <alignment horizontal="center" vertical="center"/>
    </xf>
    <xf numFmtId="0" fontId="78" fillId="31" borderId="0" xfId="0" applyFont="1" applyFill="1" applyAlignment="1">
      <alignment horizontal="left" vertical="center"/>
    </xf>
    <xf numFmtId="0" fontId="0" fillId="0" borderId="192" xfId="0" applyBorder="1" applyAlignment="1">
      <alignment horizontal="center" vertical="center"/>
    </xf>
    <xf numFmtId="0" fontId="0" fillId="8" borderId="0" xfId="0" applyFill="1" applyAlignment="1">
      <alignment vertical="center"/>
    </xf>
    <xf numFmtId="0" fontId="14" fillId="0" borderId="0" xfId="0" applyFont="1" applyAlignment="1">
      <alignment vertical="center"/>
    </xf>
    <xf numFmtId="0" fontId="0" fillId="0" borderId="106" xfId="0" applyBorder="1" applyAlignment="1">
      <alignment horizontal="center" vertical="center"/>
    </xf>
    <xf numFmtId="0" fontId="0" fillId="0" borderId="168" xfId="0" applyBorder="1" applyAlignment="1">
      <alignment horizontal="center" vertical="center"/>
    </xf>
    <xf numFmtId="193" fontId="0" fillId="0" borderId="38" xfId="0" applyNumberFormat="1" applyBorder="1" applyAlignment="1">
      <alignment horizontal="center" vertical="center"/>
    </xf>
    <xf numFmtId="9" fontId="64" fillId="12" borderId="103" xfId="16" applyFont="1" applyFill="1" applyBorder="1" applyAlignment="1">
      <alignment horizontal="center" vertical="center" wrapText="1"/>
    </xf>
    <xf numFmtId="0" fontId="64" fillId="12" borderId="103" xfId="16" applyNumberFormat="1" applyFont="1" applyFill="1" applyBorder="1" applyAlignment="1">
      <alignment horizontal="center" vertical="center" wrapText="1"/>
    </xf>
    <xf numFmtId="9" fontId="76" fillId="12" borderId="38" xfId="16" applyFont="1" applyFill="1" applyBorder="1" applyAlignment="1">
      <alignment horizontal="center" vertical="center" wrapText="1"/>
    </xf>
    <xf numFmtId="3" fontId="62" fillId="37" borderId="157" xfId="0" applyNumberFormat="1" applyFont="1" applyFill="1" applyBorder="1" applyAlignment="1">
      <alignment horizontal="center" vertical="center"/>
    </xf>
    <xf numFmtId="190" fontId="75" fillId="45" borderId="0" xfId="16" applyNumberFormat="1" applyFont="1" applyFill="1" applyAlignment="1">
      <alignment horizontal="center"/>
    </xf>
    <xf numFmtId="4" fontId="6" fillId="0" borderId="160" xfId="29" applyNumberFormat="1" applyBorder="1" applyAlignment="1">
      <alignment horizontal="center"/>
    </xf>
    <xf numFmtId="3" fontId="5" fillId="42" borderId="140" xfId="30" applyNumberFormat="1" applyFill="1" applyBorder="1" applyAlignment="1">
      <alignment horizontal="center" vertical="center"/>
    </xf>
    <xf numFmtId="0" fontId="74" fillId="0" borderId="0" xfId="24" applyFont="1" applyAlignment="1">
      <alignment horizontal="center"/>
    </xf>
    <xf numFmtId="14" fontId="84" fillId="0" borderId="0" xfId="0" applyNumberFormat="1" applyFont="1"/>
    <xf numFmtId="0" fontId="34" fillId="8" borderId="0" xfId="0" applyFont="1" applyFill="1"/>
    <xf numFmtId="3" fontId="85" fillId="0" borderId="0" xfId="0" applyNumberFormat="1" applyFont="1" applyAlignment="1">
      <alignment horizontal="center" vertical="center"/>
    </xf>
    <xf numFmtId="0" fontId="9" fillId="8" borderId="0" xfId="0" applyFont="1" applyFill="1" applyAlignment="1">
      <alignment wrapText="1"/>
    </xf>
    <xf numFmtId="0" fontId="9" fillId="8" borderId="20" xfId="0" applyFont="1" applyFill="1" applyBorder="1" applyAlignment="1">
      <alignment horizontal="center" vertical="center" wrapText="1"/>
    </xf>
    <xf numFmtId="14" fontId="14" fillId="0" borderId="200" xfId="0" applyNumberFormat="1" applyFont="1" applyBorder="1" applyAlignment="1">
      <alignment horizontal="center" vertical="center"/>
    </xf>
    <xf numFmtId="14" fontId="14" fillId="0" borderId="201" xfId="0" applyNumberFormat="1" applyFont="1" applyBorder="1" applyAlignment="1">
      <alignment horizontal="center" vertical="center"/>
    </xf>
    <xf numFmtId="0" fontId="9" fillId="0" borderId="205" xfId="0" applyFont="1" applyBorder="1" applyAlignment="1">
      <alignment horizontal="center" vertical="center"/>
    </xf>
    <xf numFmtId="0" fontId="0" fillId="0" borderId="206" xfId="0" applyBorder="1" applyAlignment="1">
      <alignment horizontal="center" vertical="center"/>
    </xf>
    <xf numFmtId="0" fontId="0" fillId="0" borderId="207" xfId="0" applyBorder="1"/>
    <xf numFmtId="0" fontId="0" fillId="0" borderId="207" xfId="0" quotePrefix="1" applyBorder="1"/>
    <xf numFmtId="2" fontId="0" fillId="23" borderId="211" xfId="16" applyNumberFormat="1" applyFont="1" applyFill="1" applyBorder="1" applyAlignment="1">
      <alignment horizontal="center"/>
    </xf>
    <xf numFmtId="182" fontId="0" fillId="23" borderId="211" xfId="16" applyNumberFormat="1" applyFont="1" applyFill="1" applyBorder="1" applyAlignment="1">
      <alignment horizontal="center"/>
    </xf>
    <xf numFmtId="183" fontId="0" fillId="23" borderId="211" xfId="16" applyNumberFormat="1" applyFont="1" applyFill="1" applyBorder="1" applyAlignment="1">
      <alignment horizontal="center"/>
    </xf>
    <xf numFmtId="183" fontId="0" fillId="23" borderId="211" xfId="0" applyNumberFormat="1" applyFill="1" applyBorder="1" applyAlignment="1">
      <alignment horizontal="center"/>
    </xf>
    <xf numFmtId="0" fontId="14" fillId="0" borderId="207" xfId="0" applyFont="1" applyBorder="1" applyAlignment="1">
      <alignment horizontal="center"/>
    </xf>
    <xf numFmtId="0" fontId="0" fillId="7" borderId="0" xfId="0" applyFill="1"/>
    <xf numFmtId="182" fontId="0" fillId="8" borderId="211" xfId="16" quotePrefix="1" applyNumberFormat="1" applyFont="1" applyFill="1" applyBorder="1" applyAlignment="1">
      <alignment horizontal="center"/>
    </xf>
    <xf numFmtId="182" fontId="0" fillId="8" borderId="211" xfId="25" applyNumberFormat="1" applyFont="1" applyFill="1" applyBorder="1" applyAlignment="1">
      <alignment horizontal="center"/>
    </xf>
    <xf numFmtId="10" fontId="0" fillId="8" borderId="211" xfId="25" applyNumberFormat="1" applyFont="1" applyFill="1" applyBorder="1" applyAlignment="1">
      <alignment horizontal="center"/>
    </xf>
    <xf numFmtId="0" fontId="28" fillId="31" borderId="42" xfId="0" applyFont="1" applyFill="1" applyBorder="1" applyAlignment="1">
      <alignment horizontal="center"/>
    </xf>
    <xf numFmtId="0" fontId="28" fillId="31" borderId="214" xfId="0" applyFont="1" applyFill="1" applyBorder="1" applyAlignment="1">
      <alignment horizontal="center"/>
    </xf>
    <xf numFmtId="0" fontId="28" fillId="31" borderId="219" xfId="0" applyFont="1" applyFill="1" applyBorder="1" applyAlignment="1">
      <alignment horizontal="center"/>
    </xf>
    <xf numFmtId="0" fontId="28" fillId="31" borderId="220" xfId="0" applyFont="1" applyFill="1" applyBorder="1" applyAlignment="1">
      <alignment horizontal="center"/>
    </xf>
    <xf numFmtId="0" fontId="14" fillId="0" borderId="219" xfId="0" applyFont="1" applyBorder="1" applyAlignment="1">
      <alignment horizontal="center"/>
    </xf>
    <xf numFmtId="0" fontId="14" fillId="0" borderId="220" xfId="0" applyFont="1" applyBorder="1" applyAlignment="1">
      <alignment horizontal="center"/>
    </xf>
    <xf numFmtId="181" fontId="0" fillId="23" borderId="211" xfId="0" applyNumberFormat="1" applyFill="1" applyBorder="1" applyAlignment="1">
      <alignment horizontal="center"/>
    </xf>
    <xf numFmtId="0" fontId="0" fillId="0" borderId="219" xfId="0" applyBorder="1" applyAlignment="1">
      <alignment horizontal="center"/>
    </xf>
    <xf numFmtId="181" fontId="14" fillId="23" borderId="211" xfId="0" applyNumberFormat="1" applyFont="1" applyFill="1" applyBorder="1" applyAlignment="1">
      <alignment horizontal="center"/>
    </xf>
    <xf numFmtId="2" fontId="0" fillId="23" borderId="220" xfId="0" applyNumberFormat="1" applyFill="1" applyBorder="1" applyAlignment="1">
      <alignment horizontal="center"/>
    </xf>
    <xf numFmtId="2" fontId="34" fillId="23" borderId="220" xfId="16" applyNumberFormat="1" applyFont="1" applyFill="1" applyBorder="1" applyAlignment="1">
      <alignment horizontal="center"/>
    </xf>
    <xf numFmtId="0" fontId="36" fillId="12" borderId="97" xfId="26" applyFont="1" applyFill="1" applyBorder="1" applyAlignment="1">
      <alignment horizontal="center" vertical="center" wrapText="1"/>
    </xf>
    <xf numFmtId="0" fontId="88" fillId="12" borderId="97" xfId="26" applyFont="1" applyFill="1" applyBorder="1" applyAlignment="1">
      <alignment horizontal="center" vertical="center" wrapText="1"/>
    </xf>
    <xf numFmtId="194" fontId="0" fillId="31" borderId="85" xfId="0" applyNumberFormat="1" applyFill="1" applyBorder="1"/>
    <xf numFmtId="10" fontId="54" fillId="0" borderId="0" xfId="0" applyNumberFormat="1" applyFont="1"/>
    <xf numFmtId="10" fontId="9" fillId="0" borderId="0" xfId="26" applyNumberFormat="1"/>
    <xf numFmtId="9" fontId="9" fillId="0" borderId="0" xfId="26" applyNumberFormat="1"/>
    <xf numFmtId="195" fontId="0" fillId="31" borderId="85" xfId="0" applyNumberFormat="1" applyFill="1" applyBorder="1"/>
    <xf numFmtId="0" fontId="89" fillId="0" borderId="0" xfId="0" applyFont="1" applyAlignment="1">
      <alignment horizontal="right"/>
    </xf>
    <xf numFmtId="0" fontId="0" fillId="30" borderId="54" xfId="0" applyFill="1" applyBorder="1" applyAlignment="1">
      <alignment horizontal="center"/>
    </xf>
    <xf numFmtId="0" fontId="14" fillId="8" borderId="88" xfId="0" applyFont="1" applyFill="1" applyBorder="1" applyAlignment="1">
      <alignment horizontal="left" vertical="center"/>
    </xf>
    <xf numFmtId="10" fontId="0" fillId="8" borderId="89" xfId="16" applyNumberFormat="1" applyFont="1" applyFill="1" applyBorder="1" applyAlignment="1">
      <alignment horizontal="center" vertical="center"/>
    </xf>
    <xf numFmtId="9" fontId="9" fillId="0" borderId="0" xfId="24" applyNumberFormat="1"/>
    <xf numFmtId="182" fontId="9" fillId="0" borderId="0" xfId="24" applyNumberFormat="1"/>
    <xf numFmtId="10" fontId="9" fillId="0" borderId="0" xfId="16" applyNumberFormat="1"/>
    <xf numFmtId="0" fontId="9" fillId="0" borderId="0" xfId="24" quotePrefix="1"/>
    <xf numFmtId="3" fontId="6" fillId="0" borderId="131" xfId="29" applyNumberFormat="1" applyBorder="1" applyAlignment="1">
      <alignment horizontal="center"/>
    </xf>
    <xf numFmtId="38" fontId="107" fillId="77" borderId="229" xfId="74" applyNumberFormat="1" applyFont="1" applyFill="1" applyBorder="1" applyAlignment="1">
      <alignment horizontal="right" wrapText="1"/>
    </xf>
    <xf numFmtId="38" fontId="107" fillId="78" borderId="229" xfId="74" applyNumberFormat="1" applyFont="1" applyFill="1" applyBorder="1" applyAlignment="1">
      <alignment horizontal="right" wrapText="1"/>
    </xf>
    <xf numFmtId="10" fontId="9" fillId="0" borderId="0" xfId="26" applyNumberFormat="1" applyAlignment="1">
      <alignment wrapText="1"/>
    </xf>
    <xf numFmtId="10" fontId="0" fillId="0" borderId="0" xfId="0" applyNumberFormat="1" applyAlignment="1">
      <alignment wrapText="1"/>
    </xf>
    <xf numFmtId="0" fontId="0" fillId="0" borderId="50" xfId="0" applyBorder="1" applyAlignment="1">
      <alignment vertical="center"/>
    </xf>
    <xf numFmtId="0" fontId="0" fillId="0" borderId="50" xfId="0" applyBorder="1" applyAlignment="1">
      <alignment horizontal="center" vertical="center"/>
    </xf>
    <xf numFmtId="10" fontId="0" fillId="8" borderId="94" xfId="16" applyNumberFormat="1" applyFont="1" applyFill="1" applyBorder="1" applyAlignment="1">
      <alignment horizontal="center" vertical="center"/>
    </xf>
    <xf numFmtId="180" fontId="0" fillId="0" borderId="79" xfId="0" applyNumberFormat="1" applyBorder="1" applyAlignment="1">
      <alignment horizontal="center"/>
    </xf>
    <xf numFmtId="16" fontId="9" fillId="0" borderId="0" xfId="26" applyNumberFormat="1"/>
    <xf numFmtId="0" fontId="14" fillId="0" borderId="81" xfId="0" applyFont="1" applyBorder="1" applyAlignment="1">
      <alignment horizontal="left"/>
    </xf>
    <xf numFmtId="180" fontId="0" fillId="0" borderId="43" xfId="0" applyNumberFormat="1" applyBorder="1" applyAlignment="1">
      <alignment horizontal="center"/>
    </xf>
    <xf numFmtId="9" fontId="0" fillId="0" borderId="0" xfId="16" applyFont="1" applyBorder="1"/>
    <xf numFmtId="10" fontId="0" fillId="32" borderId="0" xfId="0" applyNumberFormat="1" applyFill="1"/>
    <xf numFmtId="9" fontId="9" fillId="0" borderId="0" xfId="0" applyNumberFormat="1" applyFont="1" applyAlignment="1">
      <alignment horizontal="center"/>
    </xf>
    <xf numFmtId="0" fontId="109" fillId="8" borderId="0" xfId="0" applyFont="1" applyFill="1" applyAlignment="1">
      <alignment wrapText="1"/>
    </xf>
    <xf numFmtId="0" fontId="9" fillId="0" borderId="0" xfId="26" applyAlignment="1">
      <alignment horizontal="center" vertical="center"/>
    </xf>
    <xf numFmtId="186" fontId="0" fillId="8" borderId="174" xfId="0" applyNumberFormat="1" applyFill="1" applyBorder="1" applyAlignment="1">
      <alignment horizontal="center"/>
    </xf>
    <xf numFmtId="0" fontId="9" fillId="8" borderId="0" xfId="0" applyFont="1" applyFill="1"/>
    <xf numFmtId="9" fontId="0" fillId="8" borderId="83" xfId="16" applyFont="1" applyFill="1" applyBorder="1" applyAlignment="1">
      <alignment horizontal="center"/>
    </xf>
    <xf numFmtId="0" fontId="0" fillId="0" borderId="0" xfId="26" applyFont="1" applyAlignment="1">
      <alignment horizontal="center" vertical="center"/>
    </xf>
    <xf numFmtId="182" fontId="0" fillId="8" borderId="83" xfId="16" applyNumberFormat="1" applyFont="1" applyFill="1" applyBorder="1" applyAlignment="1">
      <alignment horizontal="center"/>
    </xf>
    <xf numFmtId="182" fontId="0" fillId="8" borderId="174" xfId="16" applyNumberFormat="1" applyFont="1" applyFill="1" applyBorder="1" applyAlignment="1">
      <alignment horizontal="center"/>
    </xf>
    <xf numFmtId="186" fontId="27" fillId="18" borderId="174" xfId="0" applyNumberFormat="1" applyFont="1" applyFill="1" applyBorder="1" applyAlignment="1">
      <alignment horizontal="center"/>
    </xf>
    <xf numFmtId="0" fontId="80" fillId="0" borderId="37" xfId="0" applyFont="1" applyBorder="1"/>
    <xf numFmtId="0" fontId="0" fillId="79" borderId="2" xfId="0" applyFill="1" applyBorder="1"/>
    <xf numFmtId="3" fontId="67" fillId="37" borderId="140" xfId="0" applyNumberFormat="1" applyFont="1" applyFill="1" applyBorder="1" applyAlignment="1">
      <alignment horizontal="center" vertical="center"/>
    </xf>
    <xf numFmtId="10" fontId="40" fillId="0" borderId="0" xfId="0" applyNumberFormat="1" applyFont="1" applyAlignment="1">
      <alignment horizontal="center"/>
    </xf>
    <xf numFmtId="10" fontId="39" fillId="0" borderId="0" xfId="0" applyNumberFormat="1" applyFont="1"/>
    <xf numFmtId="0" fontId="77" fillId="5" borderId="98" xfId="4" applyFont="1" applyFill="1" applyBorder="1" applyAlignment="1">
      <alignment horizontal="center" vertical="center"/>
    </xf>
    <xf numFmtId="196" fontId="69" fillId="34" borderId="97" xfId="26" applyNumberFormat="1" applyFont="1" applyFill="1" applyBorder="1"/>
    <xf numFmtId="196" fontId="69" fillId="34" borderId="97" xfId="26" applyNumberFormat="1" applyFont="1" applyFill="1" applyBorder="1" applyAlignment="1">
      <alignment horizontal="center" vertical="center"/>
    </xf>
    <xf numFmtId="4" fontId="9" fillId="0" borderId="97" xfId="26" applyNumberFormat="1" applyBorder="1" applyAlignment="1">
      <alignment vertical="center"/>
    </xf>
    <xf numFmtId="4" fontId="9" fillId="0" borderId="0" xfId="26" applyNumberFormat="1" applyAlignment="1">
      <alignment horizontal="center" vertical="center"/>
    </xf>
    <xf numFmtId="0" fontId="9" fillId="0" borderId="97" xfId="26" applyBorder="1" applyAlignment="1">
      <alignment horizontal="center" vertical="center" wrapText="1"/>
    </xf>
    <xf numFmtId="0" fontId="90" fillId="8" borderId="229" xfId="0" applyFont="1" applyFill="1" applyBorder="1" applyAlignment="1">
      <alignment horizontal="center" vertical="center" wrapText="1"/>
    </xf>
    <xf numFmtId="0" fontId="26" fillId="12" borderId="17" xfId="0" applyFont="1" applyFill="1" applyBorder="1" applyAlignment="1">
      <alignment horizontal="center"/>
    </xf>
    <xf numFmtId="0" fontId="9" fillId="12" borderId="17" xfId="0" applyFont="1" applyFill="1" applyBorder="1" applyAlignment="1">
      <alignment horizontal="center"/>
    </xf>
    <xf numFmtId="0" fontId="111" fillId="0" borderId="0" xfId="0" applyFont="1"/>
    <xf numFmtId="3" fontId="54" fillId="0" borderId="131" xfId="0" applyNumberFormat="1" applyFont="1" applyBorder="1" applyAlignment="1">
      <alignment horizontal="center" vertical="center"/>
    </xf>
    <xf numFmtId="3" fontId="54" fillId="0" borderId="160" xfId="0" applyNumberFormat="1" applyFont="1" applyBorder="1" applyAlignment="1">
      <alignment horizontal="center" vertical="center"/>
    </xf>
    <xf numFmtId="3" fontId="54" fillId="0" borderId="140" xfId="0" applyNumberFormat="1" applyFont="1" applyBorder="1" applyAlignment="1">
      <alignment horizontal="center" vertical="center"/>
    </xf>
    <xf numFmtId="3" fontId="54" fillId="0" borderId="38" xfId="0" applyNumberFormat="1" applyFont="1" applyBorder="1" applyAlignment="1">
      <alignment horizontal="center" vertical="center"/>
    </xf>
    <xf numFmtId="3" fontId="26" fillId="0" borderId="140" xfId="0" applyNumberFormat="1" applyFont="1" applyBorder="1" applyAlignment="1">
      <alignment horizontal="center" vertical="center"/>
    </xf>
    <xf numFmtId="3" fontId="26" fillId="0" borderId="38" xfId="0" applyNumberFormat="1" applyFont="1" applyBorder="1" applyAlignment="1">
      <alignment horizontal="center" vertical="center"/>
    </xf>
    <xf numFmtId="3" fontId="26" fillId="0" borderId="131" xfId="0" applyNumberFormat="1" applyFont="1" applyBorder="1" applyAlignment="1">
      <alignment horizontal="center" vertical="center"/>
    </xf>
    <xf numFmtId="3" fontId="67" fillId="0" borderId="38" xfId="0" applyNumberFormat="1" applyFont="1" applyBorder="1" applyAlignment="1">
      <alignment horizontal="center" vertical="center"/>
    </xf>
    <xf numFmtId="3" fontId="67" fillId="0" borderId="131" xfId="0" applyNumberFormat="1" applyFont="1" applyBorder="1" applyAlignment="1">
      <alignment horizontal="center" vertical="center"/>
    </xf>
    <xf numFmtId="3" fontId="62" fillId="0" borderId="38" xfId="0" applyNumberFormat="1" applyFont="1" applyBorder="1" applyAlignment="1">
      <alignment horizontal="center" vertical="center"/>
    </xf>
    <xf numFmtId="3" fontId="62" fillId="0" borderId="131" xfId="0" applyNumberFormat="1" applyFont="1" applyBorder="1" applyAlignment="1">
      <alignment horizontal="center" vertical="center"/>
    </xf>
    <xf numFmtId="3" fontId="62" fillId="37" borderId="141" xfId="0" applyNumberFormat="1" applyFont="1" applyFill="1" applyBorder="1" applyAlignment="1">
      <alignment horizontal="center" vertical="center"/>
    </xf>
    <xf numFmtId="3" fontId="62" fillId="37" borderId="154" xfId="0" applyNumberFormat="1" applyFont="1" applyFill="1" applyBorder="1" applyAlignment="1">
      <alignment horizontal="center" vertical="center"/>
    </xf>
    <xf numFmtId="3" fontId="62" fillId="37" borderId="155" xfId="0" applyNumberFormat="1" applyFont="1" applyFill="1" applyBorder="1" applyAlignment="1">
      <alignment horizontal="center" vertical="center"/>
    </xf>
    <xf numFmtId="3" fontId="59" fillId="40" borderId="129" xfId="0" applyNumberFormat="1" applyFont="1" applyFill="1" applyBorder="1" applyAlignment="1">
      <alignment horizontal="center" vertical="center"/>
    </xf>
    <xf numFmtId="3" fontId="59" fillId="40" borderId="2" xfId="0" applyNumberFormat="1" applyFont="1" applyFill="1" applyBorder="1" applyAlignment="1">
      <alignment horizontal="center" vertical="center"/>
    </xf>
    <xf numFmtId="3" fontId="59" fillId="40" borderId="31" xfId="0" applyNumberFormat="1" applyFont="1" applyFill="1" applyBorder="1" applyAlignment="1">
      <alignment horizontal="center" vertical="center"/>
    </xf>
    <xf numFmtId="3" fontId="59" fillId="40" borderId="160" xfId="0" applyNumberFormat="1" applyFont="1" applyFill="1" applyBorder="1" applyAlignment="1">
      <alignment horizontal="center" vertical="center"/>
    </xf>
    <xf numFmtId="3" fontId="59" fillId="0" borderId="36" xfId="0" applyNumberFormat="1" applyFont="1" applyBorder="1" applyAlignment="1">
      <alignment horizontal="center" vertical="center"/>
    </xf>
    <xf numFmtId="3" fontId="59" fillId="40" borderId="140" xfId="0" applyNumberFormat="1" applyFont="1" applyFill="1" applyBorder="1" applyAlignment="1">
      <alignment horizontal="center" vertical="center"/>
    </xf>
    <xf numFmtId="3" fontId="59" fillId="40" borderId="38" xfId="0" applyNumberFormat="1" applyFont="1" applyFill="1" applyBorder="1" applyAlignment="1">
      <alignment horizontal="center" vertical="center"/>
    </xf>
    <xf numFmtId="3" fontId="59" fillId="40" borderId="36" xfId="0" applyNumberFormat="1" applyFont="1" applyFill="1" applyBorder="1" applyAlignment="1">
      <alignment horizontal="center" vertical="center"/>
    </xf>
    <xf numFmtId="3" fontId="59" fillId="40" borderId="131" xfId="0" applyNumberFormat="1" applyFont="1" applyFill="1" applyBorder="1" applyAlignment="1">
      <alignment horizontal="center" vertical="center"/>
    </xf>
    <xf numFmtId="3" fontId="9" fillId="0" borderId="140" xfId="0" quotePrefix="1" applyNumberFormat="1" applyFont="1" applyBorder="1" applyAlignment="1">
      <alignment horizontal="center" vertical="center"/>
    </xf>
    <xf numFmtId="3" fontId="9" fillId="0" borderId="38" xfId="0" quotePrefix="1" applyNumberFormat="1" applyFont="1" applyBorder="1" applyAlignment="1">
      <alignment horizontal="center" vertical="center"/>
    </xf>
    <xf numFmtId="3" fontId="9" fillId="0" borderId="36" xfId="0" quotePrefix="1" applyNumberFormat="1" applyFont="1" applyBorder="1" applyAlignment="1">
      <alignment horizontal="center" vertical="center"/>
    </xf>
    <xf numFmtId="3" fontId="9" fillId="0" borderId="131" xfId="0" quotePrefix="1" applyNumberFormat="1" applyFont="1" applyBorder="1" applyAlignment="1">
      <alignment horizontal="center" vertical="center"/>
    </xf>
    <xf numFmtId="3" fontId="59" fillId="0" borderId="129" xfId="0" applyNumberFormat="1" applyFont="1" applyBorder="1" applyAlignment="1">
      <alignment horizontal="center" vertical="center"/>
    </xf>
    <xf numFmtId="3" fontId="59" fillId="0" borderId="2" xfId="0" applyNumberFormat="1" applyFont="1" applyBorder="1" applyAlignment="1">
      <alignment horizontal="center" vertical="center"/>
    </xf>
    <xf numFmtId="3" fontId="59" fillId="0" borderId="160" xfId="0" applyNumberFormat="1" applyFont="1" applyBorder="1" applyAlignment="1">
      <alignment horizontal="center" vertical="center"/>
    </xf>
    <xf numFmtId="3" fontId="54" fillId="39" borderId="179" xfId="0" applyNumberFormat="1" applyFont="1" applyFill="1" applyBorder="1" applyAlignment="1">
      <alignment horizontal="center" vertical="center"/>
    </xf>
    <xf numFmtId="3" fontId="54" fillId="39" borderId="106" xfId="0" applyNumberFormat="1" applyFont="1" applyFill="1" applyBorder="1" applyAlignment="1">
      <alignment horizontal="center" vertical="center"/>
    </xf>
    <xf numFmtId="3" fontId="54" fillId="39" borderId="161" xfId="0" applyNumberFormat="1" applyFont="1" applyFill="1" applyBorder="1" applyAlignment="1">
      <alignment horizontal="center" vertical="center"/>
    </xf>
    <xf numFmtId="3" fontId="54" fillId="39" borderId="129" xfId="0" applyNumberFormat="1" applyFont="1" applyFill="1" applyBorder="1" applyAlignment="1">
      <alignment horizontal="center" vertical="center"/>
    </xf>
    <xf numFmtId="3" fontId="54" fillId="39" borderId="32" xfId="0" applyNumberFormat="1" applyFont="1" applyFill="1" applyBorder="1" applyAlignment="1">
      <alignment horizontal="center" vertical="center"/>
    </xf>
    <xf numFmtId="3" fontId="54" fillId="39" borderId="130" xfId="0" applyNumberFormat="1" applyFont="1" applyFill="1" applyBorder="1" applyAlignment="1">
      <alignment horizontal="center" vertical="center"/>
    </xf>
    <xf numFmtId="3" fontId="54" fillId="39" borderId="132" xfId="0" applyNumberFormat="1" applyFont="1" applyFill="1" applyBorder="1" applyAlignment="1">
      <alignment horizontal="center" vertical="center"/>
    </xf>
    <xf numFmtId="3" fontId="54" fillId="39" borderId="133" xfId="0" applyNumberFormat="1" applyFont="1" applyFill="1" applyBorder="1" applyAlignment="1">
      <alignment horizontal="center" vertical="center"/>
    </xf>
    <xf numFmtId="3" fontId="54" fillId="39" borderId="134" xfId="0" applyNumberFormat="1" applyFont="1" applyFill="1" applyBorder="1" applyAlignment="1">
      <alignment horizontal="center" vertical="center"/>
    </xf>
    <xf numFmtId="3" fontId="65" fillId="0" borderId="0" xfId="0" applyNumberFormat="1" applyFont="1" applyAlignment="1">
      <alignment horizontal="center"/>
    </xf>
    <xf numFmtId="3" fontId="54" fillId="0" borderId="2" xfId="0" applyNumberFormat="1" applyFont="1" applyBorder="1" applyAlignment="1">
      <alignment horizontal="center" vertical="center"/>
    </xf>
    <xf numFmtId="3" fontId="54" fillId="0" borderId="195" xfId="0" applyNumberFormat="1" applyFont="1" applyBorder="1" applyAlignment="1">
      <alignment horizontal="center" vertical="center"/>
    </xf>
    <xf numFmtId="3" fontId="54" fillId="0" borderId="37" xfId="0" applyNumberFormat="1" applyFont="1" applyBorder="1" applyAlignment="1">
      <alignment horizontal="center" vertical="center"/>
    </xf>
    <xf numFmtId="3" fontId="54" fillId="0" borderId="1" xfId="0" applyNumberFormat="1" applyFont="1" applyBorder="1" applyAlignment="1">
      <alignment horizontal="center" vertical="center"/>
    </xf>
    <xf numFmtId="3" fontId="54" fillId="0" borderId="196" xfId="0" applyNumberFormat="1" applyFont="1" applyBorder="1" applyAlignment="1">
      <alignment horizontal="center" vertical="center"/>
    </xf>
    <xf numFmtId="3" fontId="54" fillId="0" borderId="130" xfId="0" applyNumberFormat="1" applyFont="1" applyBorder="1" applyAlignment="1">
      <alignment horizontal="center" vertical="center"/>
    </xf>
    <xf numFmtId="10" fontId="36" fillId="0" borderId="0" xfId="0" applyNumberFormat="1" applyFont="1"/>
    <xf numFmtId="3" fontId="67" fillId="37" borderId="38" xfId="0" applyNumberFormat="1" applyFont="1" applyFill="1" applyBorder="1" applyAlignment="1">
      <alignment horizontal="center" vertical="center"/>
    </xf>
    <xf numFmtId="3" fontId="67" fillId="37" borderId="36" xfId="0" applyNumberFormat="1" applyFont="1" applyFill="1" applyBorder="1" applyAlignment="1">
      <alignment horizontal="center" vertical="center"/>
    </xf>
    <xf numFmtId="3" fontId="62" fillId="0" borderId="36" xfId="0" applyNumberFormat="1" applyFont="1" applyBorder="1" applyAlignment="1">
      <alignment horizontal="center" vertical="center"/>
    </xf>
    <xf numFmtId="3" fontId="54" fillId="39" borderId="137" xfId="0" applyNumberFormat="1" applyFont="1" applyFill="1" applyBorder="1" applyAlignment="1">
      <alignment horizontal="center" vertical="center"/>
    </xf>
    <xf numFmtId="3" fontId="54" fillId="39" borderId="140" xfId="0" applyNumberFormat="1" applyFont="1" applyFill="1" applyBorder="1" applyAlignment="1">
      <alignment horizontal="center" vertical="center"/>
    </xf>
    <xf numFmtId="3" fontId="54" fillId="39" borderId="38" xfId="0" applyNumberFormat="1" applyFont="1" applyFill="1" applyBorder="1" applyAlignment="1">
      <alignment horizontal="center" vertical="center"/>
    </xf>
    <xf numFmtId="3" fontId="54" fillId="39" borderId="36" xfId="0" applyNumberFormat="1" applyFont="1" applyFill="1" applyBorder="1" applyAlignment="1">
      <alignment horizontal="center" vertical="center"/>
    </xf>
    <xf numFmtId="3" fontId="54" fillId="39" borderId="162" xfId="0" applyNumberFormat="1" applyFont="1" applyFill="1" applyBorder="1" applyAlignment="1">
      <alignment horizontal="center" vertical="center"/>
    </xf>
    <xf numFmtId="3" fontId="54" fillId="39" borderId="28" xfId="0" applyNumberFormat="1" applyFont="1" applyFill="1" applyBorder="1" applyAlignment="1">
      <alignment horizontal="center" vertical="center"/>
    </xf>
    <xf numFmtId="0" fontId="54" fillId="0" borderId="250" xfId="0" applyFont="1" applyBorder="1"/>
    <xf numFmtId="9" fontId="39" fillId="0" borderId="0" xfId="0" applyNumberFormat="1" applyFont="1"/>
    <xf numFmtId="0" fontId="39" fillId="12" borderId="0" xfId="0" applyFont="1" applyFill="1"/>
    <xf numFmtId="9" fontId="39" fillId="12" borderId="0" xfId="16" applyFont="1" applyFill="1"/>
    <xf numFmtId="9" fontId="54" fillId="0" borderId="0" xfId="16" applyFont="1"/>
    <xf numFmtId="9" fontId="54" fillId="0" borderId="0" xfId="0" applyNumberFormat="1" applyFont="1"/>
    <xf numFmtId="9" fontId="36" fillId="0" borderId="0" xfId="16" applyFont="1"/>
    <xf numFmtId="9" fontId="36" fillId="0" borderId="0" xfId="0" applyNumberFormat="1" applyFont="1"/>
    <xf numFmtId="10" fontId="0" fillId="0" borderId="0" xfId="16" applyNumberFormat="1" applyFont="1" applyAlignment="1">
      <alignment horizontal="center"/>
    </xf>
    <xf numFmtId="0" fontId="47" fillId="30" borderId="53" xfId="0" applyFont="1" applyFill="1" applyBorder="1" applyAlignment="1">
      <alignment horizontal="left" vertical="center"/>
    </xf>
    <xf numFmtId="197" fontId="9" fillId="23" borderId="17" xfId="76" applyNumberFormat="1" applyFont="1" applyFill="1" applyBorder="1" applyAlignment="1">
      <alignment horizontal="center" vertical="center"/>
    </xf>
    <xf numFmtId="0" fontId="14" fillId="8" borderId="212" xfId="0" applyFont="1" applyFill="1" applyBorder="1" applyAlignment="1">
      <alignment horizontal="center" vertical="center" wrapText="1"/>
    </xf>
    <xf numFmtId="0" fontId="14" fillId="8" borderId="248" xfId="0" applyFont="1" applyFill="1" applyBorder="1" applyAlignment="1">
      <alignment horizontal="center" vertical="center" wrapText="1"/>
    </xf>
    <xf numFmtId="0" fontId="14" fillId="0" borderId="249" xfId="0" applyFont="1" applyBorder="1" applyAlignment="1">
      <alignment horizontal="center" vertical="center" wrapText="1"/>
    </xf>
    <xf numFmtId="9" fontId="27" fillId="18" borderId="174" xfId="16" quotePrefix="1" applyFont="1" applyFill="1" applyBorder="1" applyAlignment="1">
      <alignment horizontal="center"/>
    </xf>
    <xf numFmtId="189" fontId="0" fillId="8" borderId="89" xfId="0" applyNumberFormat="1" applyFill="1" applyBorder="1" applyAlignment="1">
      <alignment horizontal="center" vertical="center"/>
    </xf>
    <xf numFmtId="0" fontId="14" fillId="0" borderId="53" xfId="0" applyFont="1" applyBorder="1"/>
    <xf numFmtId="0" fontId="0" fillId="8" borderId="0" xfId="0" applyFill="1" applyAlignment="1">
      <alignment wrapText="1"/>
    </xf>
    <xf numFmtId="0" fontId="47" fillId="13" borderId="59" xfId="0" applyFont="1" applyFill="1" applyBorder="1" applyAlignment="1">
      <alignment horizontal="center" vertical="center"/>
    </xf>
    <xf numFmtId="10" fontId="74" fillId="0" borderId="0" xfId="24" quotePrefix="1" applyNumberFormat="1" applyFont="1" applyAlignment="1">
      <alignment horizontal="center"/>
    </xf>
    <xf numFmtId="0" fontId="113" fillId="0" borderId="0" xfId="0" applyFont="1" applyAlignment="1">
      <alignment horizontal="center"/>
    </xf>
    <xf numFmtId="184" fontId="9" fillId="3" borderId="98" xfId="6" applyFont="1" applyBorder="1" applyAlignment="1">
      <alignment horizontal="center" vertical="center"/>
    </xf>
    <xf numFmtId="0" fontId="14" fillId="0" borderId="0" xfId="24" applyFont="1" applyAlignment="1">
      <alignment horizontal="center" vertical="center"/>
    </xf>
    <xf numFmtId="0" fontId="30" fillId="33" borderId="99" xfId="0" applyFont="1" applyFill="1" applyBorder="1" applyAlignment="1">
      <alignment horizontal="center" vertical="center"/>
    </xf>
    <xf numFmtId="184" fontId="36" fillId="19" borderId="0" xfId="0" applyNumberFormat="1" applyFont="1" applyFill="1" applyAlignment="1">
      <alignment horizontal="center" vertical="center"/>
    </xf>
    <xf numFmtId="184" fontId="59" fillId="0" borderId="137" xfId="0" applyNumberFormat="1" applyFont="1" applyBorder="1" applyAlignment="1">
      <alignment horizontal="center" vertical="center"/>
    </xf>
    <xf numFmtId="184" fontId="59" fillId="0" borderId="138" xfId="0" applyNumberFormat="1" applyFont="1" applyBorder="1" applyAlignment="1">
      <alignment horizontal="center" vertical="center"/>
    </xf>
    <xf numFmtId="184" fontId="59" fillId="0" borderId="139" xfId="0" applyNumberFormat="1" applyFont="1" applyBorder="1" applyAlignment="1">
      <alignment horizontal="center" vertical="center"/>
    </xf>
    <xf numFmtId="184" fontId="59" fillId="0" borderId="140" xfId="0" applyNumberFormat="1" applyFont="1" applyBorder="1" applyAlignment="1">
      <alignment horizontal="center" vertical="center"/>
    </xf>
    <xf numFmtId="184" fontId="59" fillId="0" borderId="38" xfId="0" applyNumberFormat="1" applyFont="1" applyBorder="1" applyAlignment="1">
      <alignment horizontal="center" vertical="center"/>
    </xf>
    <xf numFmtId="184" fontId="59" fillId="0" borderId="131" xfId="0" applyNumberFormat="1" applyFont="1" applyBorder="1" applyAlignment="1">
      <alignment horizontal="center" vertical="center"/>
    </xf>
    <xf numFmtId="0" fontId="54" fillId="0" borderId="191" xfId="0" applyFont="1" applyBorder="1" applyAlignment="1">
      <alignment horizontal="center" vertical="center"/>
    </xf>
    <xf numFmtId="0" fontId="14" fillId="0" borderId="0" xfId="26" applyFont="1"/>
    <xf numFmtId="9" fontId="0" fillId="8" borderId="255" xfId="16" applyFont="1" applyFill="1" applyBorder="1" applyAlignment="1">
      <alignment horizontal="center" vertical="center"/>
    </xf>
    <xf numFmtId="2" fontId="0" fillId="0" borderId="0" xfId="26" applyNumberFormat="1" applyFont="1" applyAlignment="1">
      <alignment horizontal="center"/>
    </xf>
    <xf numFmtId="0" fontId="0" fillId="0" borderId="0" xfId="26" applyFont="1" applyAlignment="1">
      <alignment horizontal="center"/>
    </xf>
    <xf numFmtId="3" fontId="59" fillId="0" borderId="256" xfId="0" applyNumberFormat="1" applyFont="1" applyBorder="1" applyAlignment="1">
      <alignment horizontal="center" vertical="center"/>
    </xf>
    <xf numFmtId="0" fontId="90" fillId="85" borderId="229" xfId="0" applyFont="1" applyFill="1" applyBorder="1" applyAlignment="1">
      <alignment horizontal="right" wrapText="1"/>
    </xf>
    <xf numFmtId="0" fontId="90" fillId="86" borderId="229" xfId="0" applyFont="1" applyFill="1" applyBorder="1" applyAlignment="1">
      <alignment horizontal="right" wrapText="1"/>
    </xf>
    <xf numFmtId="0" fontId="90" fillId="0" borderId="229" xfId="0" applyFont="1" applyBorder="1" applyAlignment="1">
      <alignment horizontal="right" wrapText="1"/>
    </xf>
    <xf numFmtId="0" fontId="90" fillId="0" borderId="229" xfId="0" applyFont="1" applyBorder="1" applyAlignment="1">
      <alignment wrapText="1"/>
    </xf>
    <xf numFmtId="0" fontId="115" fillId="0" borderId="229" xfId="0" applyFont="1" applyBorder="1" applyAlignment="1">
      <alignment wrapText="1"/>
    </xf>
    <xf numFmtId="0" fontId="90" fillId="86" borderId="229" xfId="0" applyFont="1" applyFill="1" applyBorder="1" applyAlignment="1">
      <alignment wrapText="1"/>
    </xf>
    <xf numFmtId="0" fontId="90" fillId="86" borderId="229" xfId="0" quotePrefix="1" applyFont="1" applyFill="1" applyBorder="1" applyAlignment="1">
      <alignment wrapText="1"/>
    </xf>
    <xf numFmtId="0" fontId="90" fillId="85" borderId="229" xfId="0" applyFont="1" applyFill="1" applyBorder="1" applyAlignment="1">
      <alignment wrapText="1"/>
    </xf>
    <xf numFmtId="0" fontId="90" fillId="85" borderId="229" xfId="0" quotePrefix="1" applyFont="1" applyFill="1" applyBorder="1" applyAlignment="1">
      <alignment wrapText="1"/>
    </xf>
    <xf numFmtId="0" fontId="0" fillId="87" borderId="0" xfId="0" applyFill="1"/>
    <xf numFmtId="0" fontId="115" fillId="86" borderId="229" xfId="0" applyFont="1" applyFill="1" applyBorder="1" applyAlignment="1">
      <alignment wrapText="1"/>
    </xf>
    <xf numFmtId="0" fontId="90" fillId="0" borderId="229" xfId="0" quotePrefix="1" applyFont="1" applyBorder="1" applyAlignment="1">
      <alignment wrapText="1"/>
    </xf>
    <xf numFmtId="0" fontId="90" fillId="86" borderId="257" xfId="0" applyFont="1" applyFill="1" applyBorder="1"/>
    <xf numFmtId="0" fontId="90" fillId="88" borderId="257" xfId="0" applyFont="1" applyFill="1" applyBorder="1"/>
    <xf numFmtId="0" fontId="115" fillId="85" borderId="229" xfId="0" applyFont="1" applyFill="1" applyBorder="1" applyAlignment="1">
      <alignment wrapText="1"/>
    </xf>
    <xf numFmtId="198" fontId="9" fillId="8" borderId="44" xfId="0" applyNumberFormat="1" applyFont="1" applyFill="1" applyBorder="1" applyAlignment="1">
      <alignment horizontal="center"/>
    </xf>
    <xf numFmtId="0" fontId="116" fillId="0" borderId="0" xfId="0" applyFont="1"/>
    <xf numFmtId="3" fontId="116" fillId="0" borderId="0" xfId="0" applyNumberFormat="1" applyFont="1"/>
    <xf numFmtId="4" fontId="117" fillId="0" borderId="0" xfId="0" applyNumberFormat="1" applyFont="1"/>
    <xf numFmtId="4" fontId="116" fillId="0" borderId="0" xfId="0" applyNumberFormat="1" applyFont="1"/>
    <xf numFmtId="0" fontId="28" fillId="0" borderId="0" xfId="0" applyFont="1" applyAlignment="1">
      <alignment vertical="center"/>
    </xf>
    <xf numFmtId="0" fontId="34" fillId="0" borderId="0" xfId="0" applyFont="1"/>
    <xf numFmtId="184" fontId="36" fillId="0" borderId="0" xfId="0" applyNumberFormat="1" applyFont="1" applyAlignment="1">
      <alignment horizontal="center" vertical="center"/>
    </xf>
    <xf numFmtId="184" fontId="37" fillId="0" borderId="0" xfId="0" applyNumberFormat="1" applyFont="1" applyAlignment="1">
      <alignment horizontal="center" vertical="center"/>
    </xf>
    <xf numFmtId="184" fontId="36" fillId="0" borderId="0" xfId="0" applyNumberFormat="1" applyFont="1"/>
    <xf numFmtId="184" fontId="24" fillId="19" borderId="0" xfId="0" applyNumberFormat="1" applyFont="1" applyFill="1" applyAlignment="1">
      <alignment horizontal="center" vertical="center"/>
    </xf>
    <xf numFmtId="184" fontId="24" fillId="0" borderId="0" xfId="0" applyNumberFormat="1" applyFont="1" applyAlignment="1">
      <alignment horizontal="center"/>
    </xf>
    <xf numFmtId="184" fontId="36" fillId="19" borderId="0" xfId="0" applyNumberFormat="1" applyFont="1" applyFill="1" applyAlignment="1">
      <alignment horizontal="center"/>
    </xf>
    <xf numFmtId="184" fontId="0" fillId="22" borderId="0" xfId="0" applyNumberFormat="1" applyFill="1"/>
    <xf numFmtId="1" fontId="24" fillId="0" borderId="0" xfId="76" applyNumberFormat="1" applyFont="1" applyAlignment="1">
      <alignment horizontal="center"/>
    </xf>
    <xf numFmtId="0" fontId="9" fillId="0" borderId="0" xfId="0" applyFont="1" applyAlignment="1">
      <alignment horizontal="center" vertical="center"/>
    </xf>
    <xf numFmtId="0" fontId="64" fillId="0" borderId="258" xfId="0" applyFont="1" applyBorder="1"/>
    <xf numFmtId="0" fontId="64" fillId="0" borderId="259" xfId="0" applyFont="1" applyBorder="1"/>
    <xf numFmtId="10" fontId="56" fillId="0" borderId="259" xfId="0" applyNumberFormat="1" applyFont="1" applyBorder="1"/>
    <xf numFmtId="3" fontId="64" fillId="0" borderId="259" xfId="0" applyNumberFormat="1" applyFont="1" applyBorder="1"/>
    <xf numFmtId="4" fontId="64" fillId="0" borderId="259" xfId="0" applyNumberFormat="1" applyFont="1" applyBorder="1"/>
    <xf numFmtId="10" fontId="56" fillId="0" borderId="260" xfId="0" applyNumberFormat="1" applyFont="1" applyBorder="1"/>
    <xf numFmtId="0" fontId="28" fillId="5" borderId="186" xfId="26" applyFont="1" applyFill="1" applyBorder="1" applyAlignment="1">
      <alignment horizontal="center" vertical="center"/>
    </xf>
    <xf numFmtId="0" fontId="28" fillId="5" borderId="187" xfId="26" applyFont="1" applyFill="1" applyBorder="1" applyAlignment="1">
      <alignment horizontal="center" vertical="center"/>
    </xf>
    <xf numFmtId="0" fontId="28" fillId="5" borderId="188" xfId="26" applyFont="1" applyFill="1" applyBorder="1" applyAlignment="1">
      <alignment horizontal="center" vertical="center"/>
    </xf>
    <xf numFmtId="0" fontId="47" fillId="84" borderId="50" xfId="0" applyFont="1" applyFill="1" applyBorder="1" applyAlignment="1">
      <alignment horizontal="center" vertical="center" wrapText="1"/>
    </xf>
    <xf numFmtId="176" fontId="47" fillId="10" borderId="50" xfId="77" applyFont="1" applyFill="1" applyBorder="1" applyAlignment="1">
      <alignment horizontal="center" vertical="center" wrapText="1"/>
    </xf>
    <xf numFmtId="0" fontId="47" fillId="16" borderId="50" xfId="0" applyFont="1" applyFill="1" applyBorder="1" applyAlignment="1">
      <alignment horizontal="center" vertical="center" wrapText="1"/>
    </xf>
    <xf numFmtId="0" fontId="14" fillId="4" borderId="86" xfId="0" applyFont="1" applyFill="1" applyBorder="1" applyAlignment="1">
      <alignment horizontal="left" vertical="center"/>
    </xf>
    <xf numFmtId="0" fontId="14" fillId="4" borderId="88" xfId="0" applyFont="1" applyFill="1" applyBorder="1" applyAlignment="1">
      <alignment horizontal="left" vertical="center"/>
    </xf>
    <xf numFmtId="9" fontId="9" fillId="4" borderId="85" xfId="16" applyFont="1" applyFill="1" applyBorder="1" applyAlignment="1">
      <alignment horizontal="center" vertical="center"/>
    </xf>
    <xf numFmtId="0" fontId="11" fillId="0" borderId="0" xfId="11" applyAlignment="1" applyProtection="1"/>
    <xf numFmtId="0" fontId="0" fillId="0" borderId="267" xfId="0" applyBorder="1" applyAlignment="1">
      <alignment horizontal="center" vertical="center"/>
    </xf>
    <xf numFmtId="0" fontId="0" fillId="0" borderId="268" xfId="0" applyBorder="1" applyAlignment="1">
      <alignment horizontal="center" vertical="center"/>
    </xf>
    <xf numFmtId="0" fontId="0" fillId="0" borderId="267" xfId="0" applyBorder="1" applyAlignment="1">
      <alignment horizontal="center"/>
    </xf>
    <xf numFmtId="0" fontId="28" fillId="31" borderId="26" xfId="0" applyFont="1" applyFill="1" applyBorder="1" applyAlignment="1">
      <alignment vertical="center"/>
    </xf>
    <xf numFmtId="0" fontId="116" fillId="0" borderId="26" xfId="0" applyFont="1" applyBorder="1"/>
    <xf numFmtId="10" fontId="54" fillId="0" borderId="26" xfId="0" applyNumberFormat="1" applyFont="1" applyBorder="1"/>
    <xf numFmtId="3" fontId="116" fillId="0" borderId="26" xfId="0" applyNumberFormat="1" applyFont="1" applyBorder="1"/>
    <xf numFmtId="10" fontId="54" fillId="0" borderId="268" xfId="0" applyNumberFormat="1" applyFont="1" applyBorder="1"/>
    <xf numFmtId="9" fontId="64" fillId="34" borderId="250" xfId="16" applyFont="1" applyFill="1" applyBorder="1" applyAlignment="1">
      <alignment horizontal="center" vertical="center" wrapText="1"/>
    </xf>
    <xf numFmtId="0" fontId="9" fillId="0" borderId="192" xfId="0" applyFont="1" applyBorder="1" applyAlignment="1">
      <alignment horizontal="center" vertical="center"/>
    </xf>
    <xf numFmtId="0" fontId="9" fillId="0" borderId="107" xfId="0" applyFont="1" applyBorder="1" applyAlignment="1">
      <alignment horizontal="center" vertical="center"/>
    </xf>
    <xf numFmtId="0" fontId="9" fillId="0" borderId="269" xfId="0" applyFont="1" applyBorder="1" applyAlignment="1">
      <alignment horizontal="center" vertical="center"/>
    </xf>
    <xf numFmtId="4" fontId="36" fillId="19" borderId="0" xfId="0" applyNumberFormat="1" applyFont="1" applyFill="1"/>
    <xf numFmtId="4" fontId="36" fillId="19" borderId="0" xfId="0" applyNumberFormat="1" applyFont="1" applyFill="1" applyAlignment="1">
      <alignment horizontal="center"/>
    </xf>
    <xf numFmtId="4" fontId="0" fillId="24" borderId="1" xfId="16" applyNumberFormat="1" applyFont="1" applyFill="1" applyBorder="1" applyAlignment="1">
      <alignment horizontal="center"/>
    </xf>
    <xf numFmtId="4" fontId="0" fillId="24" borderId="37" xfId="16" applyNumberFormat="1" applyFont="1" applyFill="1" applyBorder="1" applyAlignment="1">
      <alignment horizontal="center"/>
    </xf>
    <xf numFmtId="10" fontId="36" fillId="19" borderId="0" xfId="16" applyNumberFormat="1" applyFont="1" applyFill="1" applyAlignment="1">
      <alignment horizontal="center"/>
    </xf>
    <xf numFmtId="4" fontId="36" fillId="19" borderId="0" xfId="21" applyNumberFormat="1" applyFont="1" applyFill="1" applyAlignment="1">
      <alignment horizontal="center" vertical="center"/>
    </xf>
    <xf numFmtId="0" fontId="24" fillId="12" borderId="0" xfId="0" applyFont="1" applyFill="1"/>
    <xf numFmtId="10" fontId="36" fillId="19" borderId="0" xfId="0" applyNumberFormat="1" applyFont="1" applyFill="1" applyAlignment="1">
      <alignment horizontal="center"/>
    </xf>
    <xf numFmtId="0" fontId="120" fillId="0" borderId="0" xfId="0" applyFont="1"/>
    <xf numFmtId="14" fontId="120" fillId="0" borderId="0" xfId="0" applyNumberFormat="1" applyFont="1"/>
    <xf numFmtId="0" fontId="119" fillId="0" borderId="0" xfId="0" applyFont="1"/>
    <xf numFmtId="0" fontId="0" fillId="8" borderId="17" xfId="0" applyFill="1" applyBorder="1" applyAlignment="1">
      <alignment horizontal="center" vertical="center" wrapText="1"/>
    </xf>
    <xf numFmtId="0" fontId="121" fillId="0" borderId="0" xfId="11" applyFont="1" applyAlignment="1" applyProtection="1"/>
    <xf numFmtId="201" fontId="0" fillId="23" borderId="85" xfId="0" applyNumberFormat="1" applyFill="1" applyBorder="1" applyAlignment="1">
      <alignment horizontal="center"/>
    </xf>
    <xf numFmtId="201" fontId="0" fillId="0" borderId="85" xfId="0" applyNumberFormat="1" applyBorder="1" applyAlignment="1">
      <alignment horizontal="center"/>
    </xf>
    <xf numFmtId="201" fontId="0" fillId="8" borderId="85" xfId="0" applyNumberFormat="1" applyFill="1" applyBorder="1" applyAlignment="1">
      <alignment horizontal="center"/>
    </xf>
    <xf numFmtId="199" fontId="0" fillId="0" borderId="85" xfId="0" applyNumberFormat="1" applyBorder="1" applyAlignment="1">
      <alignment horizontal="center"/>
    </xf>
    <xf numFmtId="202" fontId="0" fillId="23" borderId="85" xfId="0" applyNumberFormat="1" applyFill="1" applyBorder="1" applyAlignment="1">
      <alignment horizontal="center"/>
    </xf>
    <xf numFmtId="201" fontId="9" fillId="0" borderId="85" xfId="0" applyNumberFormat="1" applyFont="1" applyBorder="1" applyAlignment="1">
      <alignment horizontal="center"/>
    </xf>
    <xf numFmtId="201" fontId="0" fillId="3" borderId="85" xfId="0" applyNumberFormat="1" applyFill="1" applyBorder="1" applyAlignment="1">
      <alignment horizontal="center"/>
    </xf>
    <xf numFmtId="201" fontId="0" fillId="23" borderId="91" xfId="0" applyNumberFormat="1" applyFill="1" applyBorder="1" applyAlignment="1">
      <alignment horizontal="center"/>
    </xf>
    <xf numFmtId="201" fontId="0" fillId="3" borderId="91" xfId="0" applyNumberFormat="1" applyFill="1" applyBorder="1" applyAlignment="1">
      <alignment horizontal="center"/>
    </xf>
    <xf numFmtId="201" fontId="0" fillId="8" borderId="83" xfId="0" applyNumberFormat="1" applyFill="1" applyBorder="1" applyAlignment="1">
      <alignment horizontal="center"/>
    </xf>
    <xf numFmtId="201" fontId="0" fillId="17" borderId="84" xfId="0" applyNumberFormat="1" applyFill="1" applyBorder="1" applyAlignment="1">
      <alignment horizontal="center"/>
    </xf>
    <xf numFmtId="201" fontId="9" fillId="23" borderId="17" xfId="0" applyNumberFormat="1" applyFont="1" applyFill="1" applyBorder="1" applyAlignment="1">
      <alignment horizontal="center"/>
    </xf>
    <xf numFmtId="199" fontId="9" fillId="23" borderId="17" xfId="0" applyNumberFormat="1" applyFont="1" applyFill="1" applyBorder="1" applyAlignment="1">
      <alignment horizontal="center"/>
    </xf>
    <xf numFmtId="199" fontId="0" fillId="0" borderId="38" xfId="0" applyNumberFormat="1" applyBorder="1" applyAlignment="1">
      <alignment horizontal="center"/>
    </xf>
    <xf numFmtId="199" fontId="64" fillId="0" borderId="38" xfId="0" applyNumberFormat="1" applyFont="1" applyBorder="1" applyAlignment="1">
      <alignment horizontal="center"/>
    </xf>
    <xf numFmtId="199" fontId="1" fillId="0" borderId="38" xfId="0" applyNumberFormat="1" applyFont="1" applyBorder="1" applyAlignment="1">
      <alignment horizontal="center"/>
    </xf>
    <xf numFmtId="0" fontId="14" fillId="8" borderId="90" xfId="0" applyFont="1" applyFill="1" applyBorder="1" applyAlignment="1">
      <alignment horizontal="left" vertical="center"/>
    </xf>
    <xf numFmtId="10" fontId="0" fillId="8" borderId="91" xfId="16" applyNumberFormat="1" applyFont="1" applyFill="1" applyBorder="1" applyAlignment="1">
      <alignment horizontal="center" vertical="center"/>
    </xf>
    <xf numFmtId="10" fontId="0" fillId="8" borderId="83" xfId="16" applyNumberFormat="1" applyFont="1" applyFill="1" applyBorder="1" applyAlignment="1">
      <alignment horizontal="center"/>
    </xf>
    <xf numFmtId="182" fontId="9" fillId="8" borderId="83" xfId="16" applyNumberFormat="1" applyFont="1" applyFill="1" applyBorder="1" applyAlignment="1">
      <alignment horizontal="center"/>
    </xf>
    <xf numFmtId="2" fontId="0" fillId="8" borderId="89" xfId="16" applyNumberFormat="1" applyFont="1" applyFill="1" applyBorder="1" applyAlignment="1">
      <alignment horizontal="center"/>
    </xf>
    <xf numFmtId="201" fontId="0" fillId="0" borderId="0" xfId="0" applyNumberFormat="1" applyAlignment="1">
      <alignment horizontal="center"/>
    </xf>
    <xf numFmtId="9" fontId="0" fillId="84" borderId="83" xfId="16" applyFont="1" applyFill="1" applyBorder="1" applyAlignment="1">
      <alignment horizontal="center"/>
    </xf>
    <xf numFmtId="9" fontId="0" fillId="84" borderId="85" xfId="16" applyFont="1" applyFill="1" applyBorder="1" applyAlignment="1">
      <alignment horizontal="center"/>
    </xf>
    <xf numFmtId="9" fontId="9" fillId="84" borderId="84" xfId="16" applyFont="1" applyFill="1" applyBorder="1" applyAlignment="1">
      <alignment horizontal="center"/>
    </xf>
    <xf numFmtId="2" fontId="0" fillId="84" borderId="85" xfId="0" applyNumberFormat="1" applyFill="1" applyBorder="1" applyAlignment="1">
      <alignment horizontal="center"/>
    </xf>
    <xf numFmtId="183" fontId="0" fillId="84" borderId="84" xfId="0" applyNumberFormat="1" applyFill="1" applyBorder="1" applyAlignment="1">
      <alignment horizontal="center"/>
    </xf>
    <xf numFmtId="199" fontId="0" fillId="4" borderId="83" xfId="0" applyNumberFormat="1" applyFill="1" applyBorder="1" applyAlignment="1">
      <alignment horizontal="center"/>
    </xf>
    <xf numFmtId="199" fontId="9" fillId="4" borderId="83" xfId="0" applyNumberFormat="1" applyFont="1" applyFill="1" applyBorder="1" applyAlignment="1">
      <alignment horizontal="center"/>
    </xf>
    <xf numFmtId="4" fontId="36" fillId="0" borderId="0" xfId="0" applyNumberFormat="1" applyFont="1"/>
    <xf numFmtId="4" fontId="1" fillId="0" borderId="0" xfId="0" applyNumberFormat="1" applyFont="1"/>
    <xf numFmtId="4" fontId="1" fillId="0" borderId="26" xfId="0" applyNumberFormat="1" applyFont="1" applyBorder="1"/>
    <xf numFmtId="3" fontId="1" fillId="42" borderId="36" xfId="30" applyNumberFormat="1" applyFont="1" applyFill="1" applyBorder="1" applyAlignment="1">
      <alignment horizontal="center" vertical="center"/>
    </xf>
    <xf numFmtId="0" fontId="1" fillId="0" borderId="38" xfId="0" applyFont="1" applyBorder="1"/>
    <xf numFmtId="180" fontId="1" fillId="0" borderId="0" xfId="0" applyNumberFormat="1" applyFont="1" applyAlignment="1">
      <alignment horizontal="center"/>
    </xf>
    <xf numFmtId="0" fontId="123" fillId="0" borderId="0" xfId="0" applyFont="1"/>
    <xf numFmtId="0" fontId="124" fillId="0" borderId="0" xfId="0" applyFont="1"/>
    <xf numFmtId="4" fontId="0" fillId="12" borderId="184" xfId="7" applyFont="1" applyFill="1" applyBorder="1">
      <alignment horizontal="right"/>
    </xf>
    <xf numFmtId="4" fontId="0" fillId="24" borderId="1" xfId="0" applyNumberFormat="1" applyFill="1" applyBorder="1" applyAlignment="1">
      <alignment horizontal="center"/>
    </xf>
    <xf numFmtId="10" fontId="9" fillId="8" borderId="94" xfId="16" applyNumberFormat="1" applyFont="1" applyFill="1" applyBorder="1" applyAlignment="1">
      <alignment horizontal="center" vertical="center"/>
    </xf>
    <xf numFmtId="0" fontId="35" fillId="0" borderId="0" xfId="0" applyFont="1" applyAlignment="1">
      <alignment wrapText="1"/>
    </xf>
    <xf numFmtId="180" fontId="0" fillId="0" borderId="0" xfId="0" applyNumberFormat="1" applyAlignment="1">
      <alignment horizontal="center"/>
    </xf>
    <xf numFmtId="10" fontId="9" fillId="0" borderId="108" xfId="0" applyNumberFormat="1" applyFont="1" applyBorder="1" applyAlignment="1">
      <alignment horizontal="center" vertical="center"/>
    </xf>
    <xf numFmtId="10" fontId="0" fillId="0" borderId="254" xfId="0" applyNumberFormat="1" applyBorder="1" applyAlignment="1">
      <alignment horizontal="center" vertical="center"/>
    </xf>
    <xf numFmtId="10" fontId="0" fillId="0" borderId="251" xfId="0" applyNumberFormat="1" applyBorder="1" applyAlignment="1">
      <alignment horizontal="center" vertical="center"/>
    </xf>
    <xf numFmtId="10" fontId="0" fillId="0" borderId="117" xfId="0" applyNumberFormat="1" applyBorder="1" applyAlignment="1">
      <alignment horizontal="center" vertical="center"/>
    </xf>
    <xf numFmtId="0" fontId="9" fillId="3" borderId="274" xfId="10" applyFont="1" applyBorder="1" applyAlignment="1">
      <alignment horizontal="center" vertical="center"/>
    </xf>
    <xf numFmtId="184" fontId="9" fillId="3" borderId="274" xfId="6" applyFont="1" applyBorder="1" applyAlignment="1">
      <alignment horizontal="center" vertical="center"/>
    </xf>
    <xf numFmtId="0" fontId="9" fillId="3" borderId="98" xfId="10" applyFont="1" applyBorder="1" applyAlignment="1">
      <alignment horizontal="center" vertical="center"/>
    </xf>
    <xf numFmtId="4" fontId="26" fillId="27" borderId="275" xfId="7" applyFont="1" applyFill="1" applyBorder="1">
      <alignment horizontal="right"/>
    </xf>
    <xf numFmtId="0" fontId="9" fillId="3" borderId="276" xfId="10" applyFont="1" applyBorder="1" applyAlignment="1">
      <alignment horizontal="center" vertical="center"/>
    </xf>
    <xf numFmtId="184" fontId="9" fillId="3" borderId="276" xfId="6" applyFont="1" applyBorder="1" applyAlignment="1">
      <alignment horizontal="center" vertical="center"/>
    </xf>
    <xf numFmtId="187" fontId="69" fillId="0" borderId="100" xfId="26" applyNumberFormat="1" applyFont="1" applyBorder="1" applyAlignment="1">
      <alignment horizontal="center" vertical="center"/>
    </xf>
    <xf numFmtId="4" fontId="69" fillId="0" borderId="100" xfId="26" applyNumberFormat="1" applyFont="1" applyBorder="1" applyAlignment="1">
      <alignment horizontal="center" vertical="center"/>
    </xf>
    <xf numFmtId="9" fontId="0" fillId="0" borderId="0" xfId="0" applyNumberFormat="1" applyAlignment="1">
      <alignment horizontal="center"/>
    </xf>
    <xf numFmtId="14" fontId="14" fillId="0" borderId="202" xfId="0" applyNumberFormat="1" applyFont="1" applyBorder="1" applyAlignment="1">
      <alignment horizontal="center" vertical="center"/>
    </xf>
    <xf numFmtId="3" fontId="54" fillId="39" borderId="31" xfId="76" applyNumberFormat="1" applyFont="1" applyFill="1" applyBorder="1" applyAlignment="1">
      <alignment horizontal="center" vertical="center"/>
    </xf>
    <xf numFmtId="3" fontId="54" fillId="39" borderId="157" xfId="76" applyNumberFormat="1" applyFont="1" applyFill="1" applyBorder="1" applyAlignment="1">
      <alignment horizontal="center" vertical="center"/>
    </xf>
    <xf numFmtId="1" fontId="59" fillId="39" borderId="141" xfId="0" applyNumberFormat="1" applyFont="1" applyFill="1" applyBorder="1" applyAlignment="1">
      <alignment horizontal="center" vertical="center"/>
    </xf>
    <xf numFmtId="1" fontId="59" fillId="39" borderId="154" xfId="0" applyNumberFormat="1" applyFont="1" applyFill="1" applyBorder="1" applyAlignment="1">
      <alignment horizontal="center" vertical="center"/>
    </xf>
    <xf numFmtId="0" fontId="48" fillId="81" borderId="51" xfId="0" applyFont="1" applyFill="1" applyBorder="1" applyAlignment="1">
      <alignment horizontal="center" vertical="center" wrapText="1"/>
    </xf>
    <xf numFmtId="0" fontId="47" fillId="83" borderId="58" xfId="0" applyFont="1" applyFill="1" applyBorder="1" applyAlignment="1">
      <alignment horizontal="center" vertical="center" wrapText="1"/>
    </xf>
    <xf numFmtId="0" fontId="47" fillId="84" borderId="277" xfId="0" applyFont="1" applyFill="1" applyBorder="1" applyAlignment="1">
      <alignment horizontal="center" vertical="center" wrapText="1"/>
    </xf>
    <xf numFmtId="10" fontId="56" fillId="0" borderId="279" xfId="0" applyNumberFormat="1" applyFont="1" applyBorder="1" applyAlignment="1">
      <alignment horizontal="center" vertical="center"/>
    </xf>
    <xf numFmtId="10" fontId="56" fillId="0" borderId="279" xfId="0" applyNumberFormat="1" applyFont="1" applyBorder="1" applyAlignment="1">
      <alignment horizontal="center" vertical="center" wrapText="1"/>
    </xf>
    <xf numFmtId="10" fontId="56" fillId="0" borderId="278" xfId="0" applyNumberFormat="1" applyFont="1" applyBorder="1" applyAlignment="1">
      <alignment horizontal="center" vertical="center"/>
    </xf>
    <xf numFmtId="10" fontId="0" fillId="32" borderId="61" xfId="0" applyNumberFormat="1" applyFill="1" applyBorder="1"/>
    <xf numFmtId="180" fontId="14" fillId="0" borderId="280" xfId="0" applyNumberFormat="1" applyFont="1" applyBorder="1" applyAlignment="1">
      <alignment horizontal="center"/>
    </xf>
    <xf numFmtId="180" fontId="14" fillId="0" borderId="281" xfId="0" applyNumberFormat="1" applyFont="1" applyBorder="1" applyAlignment="1">
      <alignment horizontal="center"/>
    </xf>
    <xf numFmtId="180" fontId="14" fillId="0" borderId="282" xfId="0" applyNumberFormat="1" applyFont="1" applyBorder="1" applyAlignment="1">
      <alignment horizontal="center"/>
    </xf>
    <xf numFmtId="9" fontId="0" fillId="0" borderId="43" xfId="0" applyNumberFormat="1" applyBorder="1" applyAlignment="1">
      <alignment horizontal="center"/>
    </xf>
    <xf numFmtId="4" fontId="33" fillId="9" borderId="283" xfId="7" applyFont="1" applyFill="1" applyBorder="1">
      <alignment horizontal="right"/>
    </xf>
    <xf numFmtId="0" fontId="14" fillId="0" borderId="285" xfId="0" applyFont="1" applyBorder="1" applyAlignment="1">
      <alignment horizontal="center"/>
    </xf>
    <xf numFmtId="9" fontId="0" fillId="0" borderId="284" xfId="16" applyFont="1" applyBorder="1"/>
    <xf numFmtId="0" fontId="14" fillId="0" borderId="284" xfId="0" applyFont="1" applyBorder="1" applyAlignment="1">
      <alignment horizontal="left"/>
    </xf>
    <xf numFmtId="182" fontId="9" fillId="8" borderId="17" xfId="16" applyNumberFormat="1" applyFont="1" applyFill="1" applyBorder="1" applyAlignment="1">
      <alignment horizontal="center"/>
    </xf>
    <xf numFmtId="182" fontId="0" fillId="8" borderId="17" xfId="16" applyNumberFormat="1" applyFont="1" applyFill="1" applyBorder="1" applyAlignment="1">
      <alignment horizontal="center"/>
    </xf>
    <xf numFmtId="0" fontId="82" fillId="0" borderId="286" xfId="0" applyFont="1" applyBorder="1" applyAlignment="1">
      <alignment horizontal="center" vertical="center" wrapText="1"/>
    </xf>
    <xf numFmtId="203" fontId="83" fillId="0" borderId="0" xfId="0" applyNumberFormat="1" applyFont="1"/>
    <xf numFmtId="10" fontId="0" fillId="0" borderId="61" xfId="0" applyNumberFormat="1" applyBorder="1" applyAlignment="1">
      <alignment horizontal="center" vertical="center"/>
    </xf>
    <xf numFmtId="0" fontId="0" fillId="31" borderId="287" xfId="0" applyFill="1" applyBorder="1"/>
    <xf numFmtId="201" fontId="0" fillId="0" borderId="89" xfId="0" applyNumberFormat="1" applyBorder="1" applyAlignment="1">
      <alignment horizontal="center"/>
    </xf>
    <xf numFmtId="0" fontId="0" fillId="31" borderId="89" xfId="0" applyFill="1" applyBorder="1"/>
    <xf numFmtId="201" fontId="0" fillId="3" borderId="92" xfId="0" applyNumberFormat="1" applyFill="1" applyBorder="1" applyAlignment="1">
      <alignment horizontal="center"/>
    </xf>
    <xf numFmtId="0" fontId="50" fillId="5" borderId="288" xfId="0" applyFont="1" applyFill="1" applyBorder="1" applyAlignment="1">
      <alignment horizontal="center"/>
    </xf>
    <xf numFmtId="3" fontId="62" fillId="0" borderId="37" xfId="0" applyNumberFormat="1" applyFont="1" applyBorder="1" applyAlignment="1">
      <alignment horizontal="center" vertical="center"/>
    </xf>
    <xf numFmtId="182" fontId="34" fillId="42" borderId="139" xfId="30" applyNumberFormat="1" applyFont="1" applyFill="1" applyBorder="1" applyAlignment="1">
      <alignment horizontal="center" vertical="center"/>
    </xf>
    <xf numFmtId="3" fontId="1" fillId="42" borderId="131" xfId="30" applyNumberFormat="1" applyFont="1" applyFill="1" applyBorder="1" applyAlignment="1">
      <alignment horizontal="center" vertical="center"/>
    </xf>
    <xf numFmtId="182" fontId="62" fillId="0" borderId="38" xfId="0" applyNumberFormat="1" applyFont="1" applyBorder="1" applyAlignment="1">
      <alignment horizontal="center" vertical="center"/>
    </xf>
    <xf numFmtId="182" fontId="34" fillId="0" borderId="38" xfId="16" applyNumberFormat="1" applyFont="1" applyFill="1" applyBorder="1" applyAlignment="1">
      <alignment horizontal="center" vertical="center"/>
    </xf>
    <xf numFmtId="3" fontId="59" fillId="0" borderId="137" xfId="0" applyNumberFormat="1" applyFont="1" applyBorder="1" applyAlignment="1">
      <alignment horizontal="center" vertical="center"/>
    </xf>
    <xf numFmtId="3" fontId="59" fillId="0" borderId="138" xfId="0" applyNumberFormat="1" applyFont="1" applyBorder="1" applyAlignment="1">
      <alignment horizontal="center" vertical="center"/>
    </xf>
    <xf numFmtId="3" fontId="59" fillId="0" borderId="156" xfId="0" applyNumberFormat="1" applyFont="1" applyBorder="1" applyAlignment="1">
      <alignment horizontal="center" vertical="center"/>
    </xf>
    <xf numFmtId="3" fontId="59" fillId="0" borderId="139" xfId="0" applyNumberFormat="1" applyFont="1" applyBorder="1" applyAlignment="1">
      <alignment horizontal="center" vertical="center"/>
    </xf>
    <xf numFmtId="3" fontId="59" fillId="0" borderId="141" xfId="0" applyNumberFormat="1" applyFont="1" applyBorder="1" applyAlignment="1">
      <alignment horizontal="center" vertical="center"/>
    </xf>
    <xf numFmtId="3" fontId="59" fillId="0" borderId="154" xfId="0" applyNumberFormat="1" applyFont="1" applyBorder="1" applyAlignment="1">
      <alignment horizontal="center" vertical="center"/>
    </xf>
    <xf numFmtId="3" fontId="59" fillId="0" borderId="155" xfId="0" applyNumberFormat="1" applyFont="1" applyBorder="1" applyAlignment="1">
      <alignment horizontal="center" vertical="center"/>
    </xf>
    <xf numFmtId="3" fontId="59" fillId="0" borderId="162" xfId="0" applyNumberFormat="1" applyFont="1" applyBorder="1" applyAlignment="1">
      <alignment horizontal="center" vertical="center"/>
    </xf>
    <xf numFmtId="3" fontId="59" fillId="0" borderId="289" xfId="0" applyNumberFormat="1" applyFont="1" applyBorder="1" applyAlignment="1">
      <alignment horizontal="center" vertical="center"/>
    </xf>
    <xf numFmtId="3" fontId="59" fillId="0" borderId="290" xfId="0" applyNumberFormat="1" applyFont="1" applyBorder="1" applyAlignment="1">
      <alignment horizontal="center" vertical="center"/>
    </xf>
    <xf numFmtId="204" fontId="0" fillId="0" borderId="0" xfId="0" applyNumberFormat="1"/>
    <xf numFmtId="2" fontId="0" fillId="0" borderId="0" xfId="0" applyNumberFormat="1"/>
    <xf numFmtId="3" fontId="62" fillId="0" borderId="256" xfId="0" applyNumberFormat="1" applyFont="1" applyBorder="1" applyAlignment="1">
      <alignment horizontal="center" vertical="center"/>
    </xf>
    <xf numFmtId="3" fontId="67" fillId="37" borderId="256" xfId="0" applyNumberFormat="1" applyFont="1" applyFill="1" applyBorder="1" applyAlignment="1">
      <alignment horizontal="center" vertical="center"/>
    </xf>
    <xf numFmtId="3" fontId="67" fillId="37" borderId="37" xfId="0" applyNumberFormat="1" applyFont="1" applyFill="1" applyBorder="1" applyAlignment="1">
      <alignment horizontal="center" vertical="center"/>
    </xf>
    <xf numFmtId="182" fontId="34" fillId="37" borderId="3" xfId="16" applyNumberFormat="1" applyFont="1" applyFill="1" applyBorder="1" applyAlignment="1">
      <alignment horizontal="center" vertical="center"/>
    </xf>
    <xf numFmtId="182" fontId="62" fillId="0" borderId="256" xfId="0" applyNumberFormat="1" applyFont="1" applyBorder="1" applyAlignment="1">
      <alignment horizontal="center" vertical="center"/>
    </xf>
    <xf numFmtId="3" fontId="59" fillId="0" borderId="3" xfId="0" applyNumberFormat="1" applyFont="1" applyBorder="1" applyAlignment="1">
      <alignment horizontal="center" vertical="center"/>
    </xf>
    <xf numFmtId="3" fontId="59" fillId="39" borderId="37" xfId="0" quotePrefix="1" applyNumberFormat="1" applyFont="1" applyFill="1" applyBorder="1" applyAlignment="1">
      <alignment horizontal="center" vertical="center"/>
    </xf>
    <xf numFmtId="3" fontId="59" fillId="39" borderId="37" xfId="0" applyNumberFormat="1" applyFont="1" applyFill="1" applyBorder="1" applyAlignment="1">
      <alignment horizontal="center" vertical="center"/>
    </xf>
    <xf numFmtId="0" fontId="34" fillId="8" borderId="0" xfId="24" applyFont="1" applyFill="1"/>
    <xf numFmtId="0" fontId="34" fillId="0" borderId="0" xfId="24" applyFont="1"/>
    <xf numFmtId="0" fontId="128" fillId="14" borderId="2" xfId="0" applyFont="1" applyFill="1" applyBorder="1" applyAlignment="1">
      <alignment horizontal="center"/>
    </xf>
    <xf numFmtId="0" fontId="127" fillId="14" borderId="2" xfId="24" applyFont="1" applyFill="1" applyBorder="1" applyAlignment="1">
      <alignment horizontal="center"/>
    </xf>
    <xf numFmtId="0" fontId="34" fillId="14" borderId="31" xfId="24" applyFont="1" applyFill="1" applyBorder="1" applyAlignment="1">
      <alignment horizontal="center"/>
    </xf>
    <xf numFmtId="182" fontId="126" fillId="8" borderId="38" xfId="16" applyNumberFormat="1" applyFont="1" applyFill="1" applyBorder="1" applyAlignment="1">
      <alignment horizontal="center" vertical="center"/>
    </xf>
    <xf numFmtId="182" fontId="126" fillId="8" borderId="36" xfId="16" applyNumberFormat="1" applyFont="1" applyFill="1" applyBorder="1" applyAlignment="1">
      <alignment horizontal="center" vertical="center"/>
    </xf>
    <xf numFmtId="182" fontId="34" fillId="8" borderId="38" xfId="16" applyNumberFormat="1" applyFont="1" applyFill="1" applyBorder="1" applyAlignment="1">
      <alignment horizontal="center" vertical="center"/>
    </xf>
    <xf numFmtId="182" fontId="34" fillId="8" borderId="36" xfId="16" applyNumberFormat="1" applyFont="1" applyFill="1" applyBorder="1" applyAlignment="1">
      <alignment horizontal="center" vertical="center"/>
    </xf>
    <xf numFmtId="182" fontId="126" fillId="8" borderId="3" xfId="16" applyNumberFormat="1" applyFont="1" applyFill="1" applyBorder="1" applyAlignment="1">
      <alignment horizontal="center" vertical="center"/>
    </xf>
    <xf numFmtId="182" fontId="126" fillId="8" borderId="3" xfId="16" quotePrefix="1" applyNumberFormat="1" applyFont="1" applyFill="1" applyBorder="1" applyAlignment="1">
      <alignment horizontal="center" vertical="center"/>
    </xf>
    <xf numFmtId="182" fontId="126" fillId="8" borderId="28" xfId="16" quotePrefix="1" applyNumberFormat="1" applyFont="1" applyFill="1" applyBorder="1" applyAlignment="1">
      <alignment horizontal="center" vertical="center"/>
    </xf>
    <xf numFmtId="0" fontId="9" fillId="8" borderId="38" xfId="24" quotePrefix="1" applyFill="1" applyBorder="1" applyAlignment="1">
      <alignment horizontal="center" vertical="center"/>
    </xf>
    <xf numFmtId="10" fontId="120" fillId="8" borderId="0" xfId="16" applyNumberFormat="1" applyFont="1" applyFill="1" applyBorder="1"/>
    <xf numFmtId="197" fontId="119" fillId="8" borderId="38" xfId="0" applyNumberFormat="1" applyFont="1" applyFill="1" applyBorder="1" applyAlignment="1">
      <alignment horizontal="center"/>
    </xf>
    <xf numFmtId="10" fontId="34" fillId="14" borderId="0" xfId="16" applyNumberFormat="1" applyFont="1" applyFill="1" applyAlignment="1">
      <alignment horizontal="center"/>
    </xf>
    <xf numFmtId="0" fontId="34" fillId="14" borderId="32" xfId="24" applyFont="1" applyFill="1" applyBorder="1" applyAlignment="1">
      <alignment horizontal="center"/>
    </xf>
    <xf numFmtId="0" fontId="34" fillId="14" borderId="30" xfId="24" applyFont="1" applyFill="1" applyBorder="1" applyAlignment="1">
      <alignment horizontal="center"/>
    </xf>
    <xf numFmtId="0" fontId="34" fillId="14" borderId="2" xfId="24" applyFont="1" applyFill="1" applyBorder="1" applyAlignment="1">
      <alignment horizontal="center"/>
    </xf>
    <xf numFmtId="0" fontId="0" fillId="0" borderId="142" xfId="0" applyBorder="1"/>
    <xf numFmtId="0" fontId="74" fillId="0" borderId="293" xfId="0" applyFont="1" applyBorder="1" applyAlignment="1">
      <alignment horizontal="center"/>
    </xf>
    <xf numFmtId="0" fontId="0" fillId="89" borderId="142" xfId="0" applyFill="1" applyBorder="1"/>
    <xf numFmtId="0" fontId="74" fillId="0" borderId="26" xfId="0" applyFont="1" applyBorder="1" applyAlignment="1">
      <alignment horizontal="center"/>
    </xf>
    <xf numFmtId="0" fontId="119" fillId="8" borderId="38" xfId="24" applyFont="1" applyFill="1" applyBorder="1" applyAlignment="1">
      <alignment horizontal="center"/>
    </xf>
    <xf numFmtId="3" fontId="119" fillId="8" borderId="38" xfId="0" applyNumberFormat="1" applyFont="1" applyFill="1" applyBorder="1" applyAlignment="1">
      <alignment horizontal="center"/>
    </xf>
    <xf numFmtId="184" fontId="34" fillId="8" borderId="26" xfId="0" applyNumberFormat="1" applyFont="1" applyFill="1" applyBorder="1" applyAlignment="1">
      <alignment horizontal="center"/>
    </xf>
    <xf numFmtId="178" fontId="119" fillId="8" borderId="26" xfId="0" applyNumberFormat="1" applyFont="1" applyFill="1" applyBorder="1" applyAlignment="1">
      <alignment horizontal="center"/>
    </xf>
    <xf numFmtId="184" fontId="119" fillId="8" borderId="26" xfId="0" applyNumberFormat="1" applyFont="1" applyFill="1" applyBorder="1" applyAlignment="1">
      <alignment horizontal="center"/>
    </xf>
    <xf numFmtId="184" fontId="34" fillId="8" borderId="0" xfId="0" applyNumberFormat="1" applyFont="1" applyFill="1" applyAlignment="1">
      <alignment horizontal="center"/>
    </xf>
    <xf numFmtId="0" fontId="0" fillId="90" borderId="142" xfId="0" applyFill="1" applyBorder="1"/>
    <xf numFmtId="0" fontId="9" fillId="0" borderId="0" xfId="24" applyAlignment="1">
      <alignment horizontal="center" vertical="center"/>
    </xf>
    <xf numFmtId="0" fontId="34" fillId="14" borderId="32" xfId="24" applyFont="1" applyFill="1" applyBorder="1" applyAlignment="1">
      <alignment horizontal="center" vertical="center"/>
    </xf>
    <xf numFmtId="0" fontId="9" fillId="8" borderId="38" xfId="24" applyFill="1" applyBorder="1" applyAlignment="1">
      <alignment vertical="center"/>
    </xf>
    <xf numFmtId="0" fontId="9" fillId="8" borderId="0" xfId="24" applyFill="1" applyAlignment="1">
      <alignment vertical="center"/>
    </xf>
    <xf numFmtId="0" fontId="34" fillId="14" borderId="2" xfId="24" applyFont="1" applyFill="1" applyBorder="1" applyAlignment="1">
      <alignment horizontal="center" vertical="center"/>
    </xf>
    <xf numFmtId="0" fontId="9" fillId="8" borderId="38" xfId="24" applyFill="1" applyBorder="1" applyAlignment="1">
      <alignment horizontal="center" vertical="center"/>
    </xf>
    <xf numFmtId="10" fontId="34" fillId="17" borderId="3" xfId="16" applyNumberFormat="1" applyFont="1" applyFill="1" applyBorder="1" applyAlignment="1">
      <alignment horizontal="center" vertical="center"/>
    </xf>
    <xf numFmtId="0" fontId="9" fillId="0" borderId="0" xfId="24" applyAlignment="1">
      <alignment vertical="center"/>
    </xf>
    <xf numFmtId="14" fontId="120" fillId="0" borderId="0" xfId="0" applyNumberFormat="1" applyFont="1" applyAlignment="1">
      <alignment vertical="center"/>
    </xf>
    <xf numFmtId="0" fontId="34" fillId="8" borderId="38" xfId="24" applyFont="1" applyFill="1" applyBorder="1" applyAlignment="1">
      <alignment horizontal="center" vertical="center"/>
    </xf>
    <xf numFmtId="0" fontId="34" fillId="17" borderId="38" xfId="24" applyFont="1" applyFill="1" applyBorder="1" applyAlignment="1">
      <alignment horizontal="center" vertical="center"/>
    </xf>
    <xf numFmtId="0" fontId="34" fillId="14" borderId="30" xfId="24" applyFont="1" applyFill="1" applyBorder="1" applyAlignment="1">
      <alignment horizontal="center" vertical="center"/>
    </xf>
    <xf numFmtId="0" fontId="9" fillId="8" borderId="0" xfId="24" applyFill="1" applyAlignment="1">
      <alignment horizontal="center" vertical="center"/>
    </xf>
    <xf numFmtId="14" fontId="120" fillId="0" borderId="0" xfId="0" applyNumberFormat="1" applyFont="1" applyAlignment="1">
      <alignment horizontal="center" vertical="center"/>
    </xf>
    <xf numFmtId="0" fontId="119" fillId="8" borderId="38" xfId="0" applyFont="1" applyFill="1" applyBorder="1" applyAlignment="1">
      <alignment vertical="center"/>
    </xf>
    <xf numFmtId="0" fontId="9" fillId="8" borderId="37" xfId="24" applyFill="1" applyBorder="1" applyAlignment="1">
      <alignment vertical="center"/>
    </xf>
    <xf numFmtId="10" fontId="34" fillId="17" borderId="29" xfId="16" applyNumberFormat="1" applyFont="1" applyFill="1" applyBorder="1" applyAlignment="1">
      <alignment horizontal="right" vertical="center"/>
    </xf>
    <xf numFmtId="0" fontId="34" fillId="8" borderId="37" xfId="24" applyFont="1" applyFill="1" applyBorder="1" applyAlignment="1">
      <alignment vertical="center"/>
    </xf>
    <xf numFmtId="0" fontId="34" fillId="17" borderId="37" xfId="24" applyFont="1" applyFill="1" applyBorder="1" applyAlignment="1">
      <alignment horizontal="right" vertical="center"/>
    </xf>
    <xf numFmtId="0" fontId="34" fillId="8" borderId="0" xfId="24" applyFont="1" applyFill="1" applyAlignment="1">
      <alignment vertical="center"/>
    </xf>
    <xf numFmtId="0" fontId="14" fillId="0" borderId="0" xfId="24" applyFont="1" applyAlignment="1">
      <alignment vertical="center"/>
    </xf>
    <xf numFmtId="14" fontId="119" fillId="8" borderId="26" xfId="24" applyNumberFormat="1" applyFont="1" applyFill="1" applyBorder="1" applyAlignment="1">
      <alignment horizontal="center" vertical="center"/>
    </xf>
    <xf numFmtId="0" fontId="74" fillId="0" borderId="26" xfId="0" applyFont="1" applyBorder="1" applyAlignment="1">
      <alignment horizontal="center" vertical="center"/>
    </xf>
    <xf numFmtId="0" fontId="9" fillId="0" borderId="0" xfId="0" applyFont="1" applyAlignment="1">
      <alignment vertical="center"/>
    </xf>
    <xf numFmtId="0" fontId="9" fillId="0" borderId="142" xfId="0" applyFont="1" applyBorder="1" applyAlignment="1">
      <alignment vertical="center"/>
    </xf>
    <xf numFmtId="0" fontId="74" fillId="0" borderId="293" xfId="0" applyFont="1" applyBorder="1" applyAlignment="1">
      <alignment horizontal="center" vertical="center"/>
    </xf>
    <xf numFmtId="0" fontId="0" fillId="0" borderId="142" xfId="0" applyBorder="1" applyAlignment="1">
      <alignment vertical="center"/>
    </xf>
    <xf numFmtId="10" fontId="34" fillId="0" borderId="38" xfId="16" applyNumberFormat="1" applyFont="1" applyFill="1" applyBorder="1" applyAlignment="1">
      <alignment horizontal="left" vertical="center"/>
    </xf>
    <xf numFmtId="0" fontId="9" fillId="0" borderId="38" xfId="24" applyBorder="1" applyAlignment="1">
      <alignment horizontal="center" vertical="center"/>
    </xf>
    <xf numFmtId="10" fontId="34" fillId="17" borderId="38" xfId="16" applyNumberFormat="1" applyFont="1" applyFill="1" applyBorder="1" applyAlignment="1">
      <alignment horizontal="right" vertical="center"/>
    </xf>
    <xf numFmtId="10" fontId="34" fillId="17" borderId="38" xfId="16" applyNumberFormat="1" applyFont="1" applyFill="1" applyBorder="1" applyAlignment="1">
      <alignment horizontal="center" vertical="center"/>
    </xf>
    <xf numFmtId="0" fontId="127" fillId="14" borderId="32" xfId="24" applyFont="1" applyFill="1" applyBorder="1" applyAlignment="1">
      <alignment horizontal="center" vertical="center"/>
    </xf>
    <xf numFmtId="14" fontId="126" fillId="8" borderId="37" xfId="0" applyNumberFormat="1" applyFont="1" applyFill="1" applyBorder="1" applyAlignment="1">
      <alignment vertical="center"/>
    </xf>
    <xf numFmtId="14" fontId="126" fillId="8" borderId="29" xfId="0" applyNumberFormat="1" applyFont="1" applyFill="1" applyBorder="1" applyAlignment="1">
      <alignment vertical="center"/>
    </xf>
    <xf numFmtId="0" fontId="9" fillId="8" borderId="38" xfId="24" applyFill="1" applyBorder="1" applyAlignment="1">
      <alignment horizontal="left" vertical="center"/>
    </xf>
    <xf numFmtId="14" fontId="119" fillId="8" borderId="38" xfId="0" applyNumberFormat="1" applyFont="1" applyFill="1" applyBorder="1" applyAlignment="1">
      <alignment horizontal="left" vertical="center"/>
    </xf>
    <xf numFmtId="14" fontId="119" fillId="8" borderId="38" xfId="24" applyNumberFormat="1" applyFont="1" applyFill="1" applyBorder="1" applyAlignment="1">
      <alignment horizontal="left" vertical="center"/>
    </xf>
    <xf numFmtId="3" fontId="14" fillId="8" borderId="37" xfId="24" applyNumberFormat="1" applyFont="1" applyFill="1" applyBorder="1" applyAlignment="1">
      <alignment horizontal="left" vertical="center"/>
    </xf>
    <xf numFmtId="3" fontId="14" fillId="8" borderId="29" xfId="24" applyNumberFormat="1" applyFont="1" applyFill="1" applyBorder="1" applyAlignment="1">
      <alignment horizontal="left" vertical="center"/>
    </xf>
    <xf numFmtId="0" fontId="0" fillId="0" borderId="0" xfId="0" applyAlignment="1">
      <alignment horizontal="left" vertical="center"/>
    </xf>
    <xf numFmtId="0" fontId="126" fillId="8" borderId="0" xfId="24" applyFont="1" applyFill="1" applyAlignment="1">
      <alignment horizontal="center" vertical="center"/>
    </xf>
    <xf numFmtId="14" fontId="9" fillId="0" borderId="142" xfId="0" applyNumberFormat="1" applyFont="1" applyBorder="1" applyAlignment="1">
      <alignment vertical="center"/>
    </xf>
    <xf numFmtId="14" fontId="74" fillId="0" borderId="293" xfId="0" applyNumberFormat="1" applyFont="1" applyBorder="1" applyAlignment="1">
      <alignment horizontal="center"/>
    </xf>
    <xf numFmtId="3" fontId="9" fillId="0" borderId="0" xfId="24" applyNumberFormat="1"/>
    <xf numFmtId="0" fontId="34" fillId="14" borderId="2" xfId="0" applyFont="1" applyFill="1" applyBorder="1" applyAlignment="1">
      <alignment horizontal="center" vertical="center"/>
    </xf>
    <xf numFmtId="0" fontId="34" fillId="14" borderId="31" xfId="0" applyFont="1" applyFill="1" applyBorder="1" applyAlignment="1">
      <alignment horizontal="center" vertical="center"/>
    </xf>
    <xf numFmtId="3" fontId="119" fillId="8" borderId="38" xfId="0" applyNumberFormat="1" applyFont="1" applyFill="1" applyBorder="1" applyAlignment="1">
      <alignment horizontal="center" vertical="center"/>
    </xf>
    <xf numFmtId="3" fontId="9" fillId="8" borderId="38" xfId="24" applyNumberFormat="1" applyFill="1" applyBorder="1" applyAlignment="1">
      <alignment horizontal="center" vertical="center"/>
    </xf>
    <xf numFmtId="3" fontId="9" fillId="8" borderId="36" xfId="24" applyNumberFormat="1" applyFill="1" applyBorder="1" applyAlignment="1">
      <alignment horizontal="center" vertical="center"/>
    </xf>
    <xf numFmtId="3" fontId="9" fillId="21" borderId="2" xfId="24" applyNumberFormat="1" applyFill="1" applyBorder="1" applyAlignment="1">
      <alignment horizontal="center" vertical="center"/>
    </xf>
    <xf numFmtId="3" fontId="119" fillId="8" borderId="3" xfId="0" applyNumberFormat="1" applyFont="1" applyFill="1" applyBorder="1" applyAlignment="1">
      <alignment horizontal="center" vertical="center"/>
    </xf>
    <xf numFmtId="3" fontId="119" fillId="8" borderId="28" xfId="0" applyNumberFormat="1" applyFont="1" applyFill="1" applyBorder="1" applyAlignment="1">
      <alignment horizontal="center" vertical="center"/>
    </xf>
    <xf numFmtId="3" fontId="34" fillId="21" borderId="294" xfId="24" applyNumberFormat="1" applyFont="1" applyFill="1" applyBorder="1" applyAlignment="1">
      <alignment horizontal="center" vertical="center"/>
    </xf>
    <xf numFmtId="10" fontId="119" fillId="17" borderId="3" xfId="0" applyNumberFormat="1" applyFont="1" applyFill="1" applyBorder="1" applyAlignment="1">
      <alignment horizontal="center" vertical="center"/>
    </xf>
    <xf numFmtId="0" fontId="127" fillId="17" borderId="29" xfId="0" applyFont="1" applyFill="1" applyBorder="1" applyAlignment="1">
      <alignment horizontal="left" vertical="center"/>
    </xf>
    <xf numFmtId="14" fontId="129" fillId="0" borderId="0" xfId="0" applyNumberFormat="1" applyFont="1" applyAlignment="1">
      <alignment vertical="center"/>
    </xf>
    <xf numFmtId="0" fontId="130" fillId="0" borderId="0" xfId="0" applyFont="1"/>
    <xf numFmtId="0" fontId="27" fillId="0" borderId="0" xfId="24" applyFont="1"/>
    <xf numFmtId="0" fontId="34" fillId="8" borderId="38" xfId="24" applyFont="1" applyFill="1" applyBorder="1" applyAlignment="1">
      <alignment vertical="center"/>
    </xf>
    <xf numFmtId="0" fontId="127" fillId="14" borderId="38" xfId="24" applyFont="1" applyFill="1" applyBorder="1" applyAlignment="1">
      <alignment horizontal="center" vertical="center"/>
    </xf>
    <xf numFmtId="0" fontId="11" fillId="0" borderId="0" xfId="11" applyAlignment="1" applyProtection="1">
      <alignment horizontal="center"/>
    </xf>
    <xf numFmtId="0" fontId="0" fillId="0" borderId="0" xfId="0" applyAlignment="1">
      <alignment horizontal="left" vertical="center" wrapText="1"/>
    </xf>
    <xf numFmtId="3" fontId="0" fillId="0" borderId="0" xfId="0" applyNumberFormat="1" applyAlignment="1">
      <alignment horizontal="right" vertical="center"/>
    </xf>
    <xf numFmtId="3" fontId="119" fillId="0" borderId="0" xfId="0" applyNumberFormat="1" applyFont="1"/>
    <xf numFmtId="14" fontId="129" fillId="0" borderId="0" xfId="0" applyNumberFormat="1" applyFont="1"/>
    <xf numFmtId="2" fontId="129" fillId="0" borderId="0" xfId="0" applyNumberFormat="1" applyFont="1"/>
    <xf numFmtId="2" fontId="130" fillId="0" borderId="0" xfId="0" applyNumberFormat="1" applyFont="1"/>
    <xf numFmtId="2" fontId="27" fillId="0" borderId="0" xfId="24" applyNumberFormat="1" applyFont="1"/>
    <xf numFmtId="0" fontId="129" fillId="0" borderId="0" xfId="0" applyFont="1"/>
    <xf numFmtId="3" fontId="130" fillId="0" borderId="0" xfId="0" applyNumberFormat="1" applyFont="1"/>
    <xf numFmtId="3" fontId="27" fillId="0" borderId="0" xfId="24" applyNumberFormat="1" applyFont="1"/>
    <xf numFmtId="0" fontId="9" fillId="0" borderId="38" xfId="24" quotePrefix="1" applyBorder="1" applyAlignment="1">
      <alignment horizontal="center" vertical="center"/>
    </xf>
    <xf numFmtId="0" fontId="126" fillId="92" borderId="38" xfId="24" applyFont="1" applyFill="1" applyBorder="1" applyAlignment="1">
      <alignment horizontal="left" vertical="center"/>
    </xf>
    <xf numFmtId="0" fontId="9" fillId="93" borderId="38" xfId="24" applyFill="1" applyBorder="1" applyAlignment="1">
      <alignment horizontal="left" vertical="center"/>
    </xf>
    <xf numFmtId="0" fontId="9" fillId="91" borderId="38" xfId="24" applyFill="1" applyBorder="1" applyAlignment="1">
      <alignment horizontal="left" vertical="center"/>
    </xf>
    <xf numFmtId="0" fontId="119" fillId="17" borderId="3" xfId="0" applyFont="1" applyFill="1" applyBorder="1" applyAlignment="1">
      <alignment horizontal="center" vertical="center"/>
    </xf>
    <xf numFmtId="10" fontId="9" fillId="17" borderId="4" xfId="16" applyNumberFormat="1" applyFill="1" applyBorder="1" applyAlignment="1">
      <alignment horizontal="center"/>
    </xf>
    <xf numFmtId="0" fontId="0" fillId="0" borderId="0" xfId="24" applyFont="1"/>
    <xf numFmtId="10" fontId="9" fillId="0" borderId="0" xfId="24" applyNumberFormat="1" applyAlignment="1">
      <alignment horizontal="center"/>
    </xf>
    <xf numFmtId="10" fontId="0" fillId="0" borderId="0" xfId="24" applyNumberFormat="1" applyFont="1" applyAlignment="1">
      <alignment horizontal="center"/>
    </xf>
    <xf numFmtId="10" fontId="9" fillId="17" borderId="37" xfId="16" applyNumberFormat="1" applyFill="1" applyBorder="1" applyAlignment="1">
      <alignment horizontal="center" vertical="center"/>
    </xf>
    <xf numFmtId="10" fontId="9" fillId="17" borderId="38" xfId="16" applyNumberFormat="1" applyFill="1" applyBorder="1" applyAlignment="1">
      <alignment horizontal="center" vertical="center"/>
    </xf>
    <xf numFmtId="10" fontId="9" fillId="17" borderId="36" xfId="16" applyNumberFormat="1" applyFill="1" applyBorder="1" applyAlignment="1">
      <alignment horizontal="center" vertical="center"/>
    </xf>
    <xf numFmtId="3" fontId="0" fillId="21" borderId="29" xfId="16" applyNumberFormat="1" applyFont="1" applyFill="1" applyBorder="1" applyAlignment="1">
      <alignment horizontal="center" vertical="center"/>
    </xf>
    <xf numFmtId="201" fontId="0" fillId="17" borderId="29" xfId="16" applyNumberFormat="1" applyFont="1" applyFill="1" applyBorder="1" applyAlignment="1">
      <alignment horizontal="center" vertical="center"/>
    </xf>
    <xf numFmtId="201" fontId="9" fillId="17" borderId="29" xfId="16" applyNumberFormat="1" applyFill="1" applyBorder="1" applyAlignment="1">
      <alignment horizontal="center" vertical="center"/>
    </xf>
    <xf numFmtId="10" fontId="9" fillId="17" borderId="37" xfId="24" applyNumberFormat="1" applyFill="1" applyBorder="1" applyAlignment="1">
      <alignment horizontal="center" vertical="center"/>
    </xf>
    <xf numFmtId="0" fontId="9" fillId="0" borderId="38" xfId="24" applyBorder="1" applyAlignment="1">
      <alignment horizontal="left" vertical="center"/>
    </xf>
    <xf numFmtId="10" fontId="9" fillId="0" borderId="38" xfId="24" applyNumberFormat="1" applyBorder="1" applyAlignment="1">
      <alignment horizontal="left" vertical="center"/>
    </xf>
    <xf numFmtId="0" fontId="0" fillId="0" borderId="38" xfId="24" quotePrefix="1" applyFont="1" applyBorder="1" applyAlignment="1">
      <alignment horizontal="center" vertical="center"/>
    </xf>
    <xf numFmtId="14" fontId="120" fillId="0" borderId="0" xfId="0" applyNumberFormat="1" applyFont="1" applyAlignment="1">
      <alignment horizontal="left"/>
    </xf>
    <xf numFmtId="0" fontId="36" fillId="0" borderId="0" xfId="24" applyFont="1"/>
    <xf numFmtId="0" fontId="24" fillId="0" borderId="38" xfId="24" applyFont="1" applyBorder="1"/>
    <xf numFmtId="2" fontId="24" fillId="0" borderId="38" xfId="16" applyNumberFormat="1" applyFont="1" applyBorder="1"/>
    <xf numFmtId="3" fontId="24" fillId="0" borderId="2" xfId="24" applyNumberFormat="1" applyFont="1" applyBorder="1"/>
    <xf numFmtId="2" fontId="24" fillId="0" borderId="38" xfId="16" applyNumberFormat="1" applyFont="1" applyBorder="1" applyAlignment="1">
      <alignment horizontal="right"/>
    </xf>
    <xf numFmtId="9" fontId="0" fillId="8" borderId="79" xfId="0" applyNumberFormat="1" applyFill="1" applyBorder="1" applyAlignment="1">
      <alignment horizontal="center"/>
    </xf>
    <xf numFmtId="0" fontId="9" fillId="8" borderId="17" xfId="0" applyFont="1" applyFill="1" applyBorder="1" applyAlignment="1">
      <alignment horizontal="center" vertical="center" wrapText="1"/>
    </xf>
    <xf numFmtId="201" fontId="9" fillId="0" borderId="0" xfId="24" applyNumberFormat="1"/>
    <xf numFmtId="9" fontId="9" fillId="0" borderId="0" xfId="16"/>
    <xf numFmtId="182" fontId="9" fillId="0" borderId="0" xfId="16" applyNumberFormat="1"/>
    <xf numFmtId="9" fontId="9" fillId="0" borderId="38" xfId="24" applyNumberFormat="1" applyBorder="1"/>
    <xf numFmtId="10" fontId="9" fillId="8" borderId="38" xfId="16" applyNumberFormat="1" applyFill="1" applyBorder="1" applyAlignment="1">
      <alignment horizontal="center" vertical="center"/>
    </xf>
    <xf numFmtId="10" fontId="9" fillId="21" borderId="38" xfId="16" applyNumberFormat="1" applyFill="1" applyBorder="1" applyAlignment="1">
      <alignment horizontal="center" vertical="center"/>
    </xf>
    <xf numFmtId="10" fontId="0" fillId="21" borderId="38" xfId="16" applyNumberFormat="1" applyFont="1" applyFill="1" applyBorder="1" applyAlignment="1">
      <alignment horizontal="center" vertical="center"/>
    </xf>
    <xf numFmtId="0" fontId="34" fillId="0" borderId="0" xfId="24" applyFont="1" applyAlignment="1">
      <alignment vertical="center"/>
    </xf>
    <xf numFmtId="0" fontId="34" fillId="14" borderId="26" xfId="24" applyFont="1" applyFill="1" applyBorder="1" applyAlignment="1">
      <alignment horizontal="center" vertical="center"/>
    </xf>
    <xf numFmtId="0" fontId="119" fillId="8" borderId="38" xfId="0" applyFont="1" applyFill="1" applyBorder="1" applyAlignment="1">
      <alignment horizontal="center" vertical="center"/>
    </xf>
    <xf numFmtId="197" fontId="119" fillId="8" borderId="38" xfId="0" applyNumberFormat="1" applyFont="1" applyFill="1" applyBorder="1" applyAlignment="1">
      <alignment horizontal="center" vertical="center"/>
    </xf>
    <xf numFmtId="197" fontId="119" fillId="17" borderId="36" xfId="0" applyNumberFormat="1" applyFont="1" applyFill="1" applyBorder="1" applyAlignment="1">
      <alignment horizontal="center" vertical="center"/>
    </xf>
    <xf numFmtId="197" fontId="119" fillId="21" borderId="38" xfId="0" applyNumberFormat="1" applyFont="1" applyFill="1" applyBorder="1" applyAlignment="1">
      <alignment horizontal="center" vertical="center"/>
    </xf>
    <xf numFmtId="10" fontId="120" fillId="8" borderId="26" xfId="16" applyNumberFormat="1" applyFont="1" applyFill="1" applyBorder="1" applyAlignment="1">
      <alignment horizontal="center" vertical="center"/>
    </xf>
    <xf numFmtId="10" fontId="119" fillId="17" borderId="38" xfId="16" applyNumberFormat="1" applyFont="1" applyFill="1" applyBorder="1" applyAlignment="1">
      <alignment horizontal="center" vertical="center"/>
    </xf>
    <xf numFmtId="0" fontId="120" fillId="8" borderId="1" xfId="24" applyFont="1" applyFill="1" applyBorder="1" applyAlignment="1">
      <alignment horizontal="center" vertical="center"/>
    </xf>
    <xf numFmtId="0" fontId="120" fillId="8" borderId="1" xfId="0" applyFont="1" applyFill="1" applyBorder="1" applyAlignment="1">
      <alignment horizontal="center" vertical="center"/>
    </xf>
    <xf numFmtId="0" fontId="126" fillId="14" borderId="291" xfId="0" applyFont="1" applyFill="1" applyBorder="1" applyAlignment="1">
      <alignment horizontal="center" vertical="center"/>
    </xf>
    <xf numFmtId="0" fontId="34" fillId="14" borderId="292" xfId="24" applyFont="1" applyFill="1" applyBorder="1" applyAlignment="1">
      <alignment horizontal="center" vertical="center"/>
    </xf>
    <xf numFmtId="0" fontId="34" fillId="14" borderId="143" xfId="24" applyFont="1" applyFill="1" applyBorder="1" applyAlignment="1">
      <alignment horizontal="center" vertical="center"/>
    </xf>
    <xf numFmtId="0" fontId="34" fillId="14" borderId="0" xfId="24" applyFont="1" applyFill="1" applyAlignment="1">
      <alignment horizontal="center" vertical="center"/>
    </xf>
    <xf numFmtId="197" fontId="34" fillId="8" borderId="38" xfId="24" applyNumberFormat="1" applyFont="1" applyFill="1" applyBorder="1" applyAlignment="1">
      <alignment horizontal="center" vertical="center"/>
    </xf>
    <xf numFmtId="0" fontId="34" fillId="14" borderId="31" xfId="24" applyFont="1" applyFill="1" applyBorder="1" applyAlignment="1">
      <alignment horizontal="center" vertical="center"/>
    </xf>
    <xf numFmtId="197" fontId="9" fillId="8" borderId="38" xfId="24" applyNumberFormat="1" applyFill="1" applyBorder="1" applyAlignment="1">
      <alignment horizontal="center" vertical="center"/>
    </xf>
    <xf numFmtId="197" fontId="9" fillId="8" borderId="36" xfId="24" applyNumberFormat="1" applyFill="1" applyBorder="1" applyAlignment="1">
      <alignment horizontal="center" vertical="center"/>
    </xf>
    <xf numFmtId="197" fontId="9" fillId="17" borderId="28" xfId="24" applyNumberFormat="1" applyFill="1" applyBorder="1" applyAlignment="1">
      <alignment horizontal="center" vertical="center"/>
    </xf>
    <xf numFmtId="197" fontId="9" fillId="8" borderId="38" xfId="24" quotePrefix="1" applyNumberFormat="1" applyFill="1" applyBorder="1" applyAlignment="1">
      <alignment horizontal="center" vertical="center"/>
    </xf>
    <xf numFmtId="201" fontId="34" fillId="17" borderId="38" xfId="16" applyNumberFormat="1" applyFont="1" applyFill="1" applyBorder="1" applyAlignment="1">
      <alignment horizontal="center" vertical="center"/>
    </xf>
    <xf numFmtId="197" fontId="9" fillId="17" borderId="38" xfId="24" applyNumberFormat="1" applyFill="1" applyBorder="1" applyAlignment="1">
      <alignment horizontal="center" vertical="center"/>
    </xf>
    <xf numFmtId="10" fontId="34" fillId="8" borderId="38" xfId="16" applyNumberFormat="1" applyFont="1" applyFill="1" applyBorder="1" applyAlignment="1">
      <alignment horizontal="center" vertical="center"/>
    </xf>
    <xf numFmtId="0" fontId="34" fillId="14" borderId="0" xfId="24" quotePrefix="1" applyFont="1" applyFill="1" applyAlignment="1">
      <alignment horizontal="center" vertical="center"/>
    </xf>
    <xf numFmtId="0" fontId="34" fillId="14" borderId="30" xfId="24" quotePrefix="1" applyFont="1" applyFill="1" applyBorder="1" applyAlignment="1">
      <alignment horizontal="center" vertical="center"/>
    </xf>
    <xf numFmtId="0" fontId="24" fillId="8" borderId="38" xfId="24" applyFont="1" applyFill="1" applyBorder="1" applyAlignment="1">
      <alignment horizontal="center" vertical="center"/>
    </xf>
    <xf numFmtId="0" fontId="24" fillId="8" borderId="38" xfId="24" quotePrefix="1" applyFont="1" applyFill="1" applyBorder="1" applyAlignment="1">
      <alignment horizontal="center" vertical="center"/>
    </xf>
    <xf numFmtId="10" fontId="9" fillId="8" borderId="0" xfId="24" quotePrefix="1" applyNumberFormat="1" applyFill="1" applyAlignment="1">
      <alignment horizontal="center" vertical="center"/>
    </xf>
    <xf numFmtId="9" fontId="9" fillId="8" borderId="30" xfId="24" applyNumberFormat="1" applyFill="1" applyBorder="1" applyAlignment="1">
      <alignment horizontal="center" vertical="center"/>
    </xf>
    <xf numFmtId="0" fontId="9" fillId="8" borderId="30" xfId="24" applyFill="1" applyBorder="1" applyAlignment="1">
      <alignment horizontal="center" vertical="center"/>
    </xf>
    <xf numFmtId="10" fontId="9" fillId="8" borderId="0" xfId="24" applyNumberFormat="1" applyFill="1" applyAlignment="1">
      <alignment horizontal="center" vertical="center"/>
    </xf>
    <xf numFmtId="9" fontId="9" fillId="8" borderId="133" xfId="24" applyNumberFormat="1" applyFill="1" applyBorder="1" applyAlignment="1">
      <alignment horizontal="center" vertical="center"/>
    </xf>
    <xf numFmtId="0" fontId="14" fillId="0" borderId="38" xfId="24" applyFont="1" applyBorder="1"/>
    <xf numFmtId="10" fontId="14" fillId="0" borderId="38" xfId="24" applyNumberFormat="1" applyFont="1" applyBorder="1"/>
    <xf numFmtId="0" fontId="127" fillId="17" borderId="38" xfId="0" applyFont="1" applyFill="1" applyBorder="1" applyAlignment="1">
      <alignment horizontal="left" vertical="center"/>
    </xf>
    <xf numFmtId="201" fontId="9" fillId="0" borderId="3" xfId="24" applyNumberFormat="1" applyBorder="1" applyAlignment="1">
      <alignment horizontal="center" vertical="center"/>
    </xf>
    <xf numFmtId="201" fontId="9" fillId="21" borderId="3" xfId="24" applyNumberFormat="1" applyFill="1" applyBorder="1" applyAlignment="1">
      <alignment horizontal="center" vertical="center"/>
    </xf>
    <xf numFmtId="0" fontId="9" fillId="17" borderId="38" xfId="24" applyFill="1" applyBorder="1" applyAlignment="1">
      <alignment horizontal="center" vertical="center"/>
    </xf>
    <xf numFmtId="10" fontId="34" fillId="17" borderId="4" xfId="16" applyNumberFormat="1" applyFont="1" applyFill="1" applyBorder="1" applyAlignment="1">
      <alignment horizontal="center" vertical="center"/>
    </xf>
    <xf numFmtId="3" fontId="9" fillId="17" borderId="38" xfId="0" applyNumberFormat="1" applyFont="1" applyFill="1" applyBorder="1" applyAlignment="1">
      <alignment horizontal="center"/>
    </xf>
    <xf numFmtId="182" fontId="9" fillId="8" borderId="133" xfId="24" applyNumberFormat="1" applyFill="1" applyBorder="1" applyAlignment="1">
      <alignment horizontal="center" vertical="center"/>
    </xf>
    <xf numFmtId="182" fontId="9" fillId="8" borderId="30" xfId="24" applyNumberFormat="1" applyFill="1" applyBorder="1" applyAlignment="1">
      <alignment horizontal="center" vertical="center"/>
    </xf>
    <xf numFmtId="0" fontId="9" fillId="8" borderId="30" xfId="0" applyFont="1" applyFill="1" applyBorder="1" applyAlignment="1">
      <alignment horizontal="center" vertical="center"/>
    </xf>
    <xf numFmtId="0" fontId="34" fillId="17" borderId="38" xfId="0" applyFont="1" applyFill="1" applyBorder="1" applyAlignment="1">
      <alignment horizontal="center" vertical="center"/>
    </xf>
    <xf numFmtId="10" fontId="34" fillId="8" borderId="38" xfId="0" applyNumberFormat="1" applyFont="1" applyFill="1" applyBorder="1" applyAlignment="1">
      <alignment horizontal="center" vertical="center"/>
    </xf>
    <xf numFmtId="3" fontId="9" fillId="0" borderId="0" xfId="24" applyNumberFormat="1" applyAlignment="1">
      <alignment horizontal="center" vertical="center"/>
    </xf>
    <xf numFmtId="9" fontId="9" fillId="0" borderId="0" xfId="24" applyNumberFormat="1" applyAlignment="1">
      <alignment horizontal="center" vertical="center"/>
    </xf>
    <xf numFmtId="9" fontId="54" fillId="0" borderId="0" xfId="16" applyFont="1" applyAlignment="1">
      <alignment horizontal="center" vertical="center"/>
    </xf>
    <xf numFmtId="0" fontId="54" fillId="0" borderId="0" xfId="0" applyFont="1" applyAlignment="1">
      <alignment horizontal="center" vertical="center"/>
    </xf>
    <xf numFmtId="10" fontId="0" fillId="0" borderId="0" xfId="16" applyNumberFormat="1" applyFont="1" applyBorder="1" applyAlignment="1">
      <alignment horizontal="center"/>
    </xf>
    <xf numFmtId="10" fontId="54" fillId="90" borderId="38" xfId="16" applyNumberFormat="1" applyFont="1" applyFill="1" applyBorder="1" applyAlignment="1">
      <alignment horizontal="center" vertical="center"/>
    </xf>
    <xf numFmtId="0" fontId="54" fillId="0" borderId="38" xfId="0" applyFont="1" applyBorder="1" applyAlignment="1">
      <alignment horizontal="center" vertical="center"/>
    </xf>
    <xf numFmtId="193" fontId="69" fillId="34" borderId="97" xfId="26" applyNumberFormat="1" applyFont="1" applyFill="1" applyBorder="1" applyAlignment="1">
      <alignment horizontal="center" vertical="center"/>
    </xf>
    <xf numFmtId="9" fontId="27" fillId="0" borderId="0" xfId="16" applyFont="1"/>
    <xf numFmtId="188" fontId="27" fillId="0" borderId="0" xfId="0" applyNumberFormat="1" applyFont="1" applyAlignment="1">
      <alignment horizontal="center"/>
    </xf>
    <xf numFmtId="9" fontId="27" fillId="0" borderId="0" xfId="16" applyFont="1" applyAlignment="1">
      <alignment horizontal="center"/>
    </xf>
    <xf numFmtId="10" fontId="27" fillId="0" borderId="0" xfId="0" applyNumberFormat="1" applyFont="1" applyAlignment="1">
      <alignment horizontal="center"/>
    </xf>
    <xf numFmtId="0" fontId="65" fillId="8" borderId="0" xfId="0" applyFont="1" applyFill="1"/>
    <xf numFmtId="0" fontId="27" fillId="41" borderId="0" xfId="0" applyFont="1" applyFill="1"/>
    <xf numFmtId="9" fontId="65" fillId="0" borderId="0" xfId="16" applyFont="1"/>
    <xf numFmtId="0" fontId="27" fillId="0" borderId="142" xfId="0" applyFont="1" applyBorder="1"/>
    <xf numFmtId="0" fontId="0" fillId="0" borderId="38" xfId="24" applyFont="1" applyBorder="1" applyAlignment="1">
      <alignment horizontal="left" vertical="center"/>
    </xf>
    <xf numFmtId="10" fontId="0" fillId="17" borderId="37" xfId="24" applyNumberFormat="1" applyFont="1" applyFill="1" applyBorder="1" applyAlignment="1">
      <alignment horizontal="center" vertical="center"/>
    </xf>
    <xf numFmtId="9" fontId="69" fillId="8" borderId="44" xfId="16" applyFont="1" applyFill="1" applyBorder="1" applyAlignment="1">
      <alignment horizontal="center" vertical="center"/>
    </xf>
    <xf numFmtId="201" fontId="0" fillId="23" borderId="94" xfId="0" applyNumberFormat="1" applyFill="1" applyBorder="1" applyAlignment="1">
      <alignment horizontal="center"/>
    </xf>
    <xf numFmtId="201" fontId="0" fillId="0" borderId="94" xfId="0" applyNumberFormat="1" applyBorder="1" applyAlignment="1">
      <alignment horizontal="center"/>
    </xf>
    <xf numFmtId="201" fontId="0" fillId="0" borderId="287" xfId="0" applyNumberFormat="1" applyBorder="1" applyAlignment="1">
      <alignment horizontal="center"/>
    </xf>
    <xf numFmtId="201" fontId="0" fillId="0" borderId="91" xfId="0" applyNumberFormat="1" applyBorder="1" applyAlignment="1">
      <alignment horizontal="center"/>
    </xf>
    <xf numFmtId="201" fontId="0" fillId="0" borderId="92" xfId="0" applyNumberFormat="1" applyBorder="1" applyAlignment="1">
      <alignment horizontal="center"/>
    </xf>
    <xf numFmtId="2" fontId="9" fillId="84" borderId="85" xfId="0" applyNumberFormat="1" applyFont="1" applyFill="1" applyBorder="1" applyAlignment="1">
      <alignment horizontal="center"/>
    </xf>
    <xf numFmtId="183" fontId="0" fillId="84" borderId="83" xfId="0" applyNumberFormat="1" applyFill="1" applyBorder="1" applyAlignment="1">
      <alignment horizontal="center"/>
    </xf>
    <xf numFmtId="2" fontId="0" fillId="84" borderId="84" xfId="0" applyNumberFormat="1" applyFill="1" applyBorder="1" applyAlignment="1">
      <alignment horizontal="center"/>
    </xf>
    <xf numFmtId="0" fontId="133" fillId="0" borderId="0" xfId="0" applyFont="1"/>
    <xf numFmtId="0" fontId="66" fillId="0" borderId="0" xfId="0" applyFont="1"/>
    <xf numFmtId="0" fontId="27" fillId="0" borderId="0" xfId="24" applyFont="1" applyAlignment="1">
      <alignment horizontal="center"/>
    </xf>
    <xf numFmtId="0" fontId="27" fillId="0" borderId="0" xfId="24" quotePrefix="1" applyFont="1" applyAlignment="1">
      <alignment horizontal="center"/>
    </xf>
    <xf numFmtId="10" fontId="27" fillId="0" borderId="0" xfId="24" applyNumberFormat="1" applyFont="1"/>
    <xf numFmtId="10" fontId="27" fillId="0" borderId="0" xfId="16" applyNumberFormat="1" applyFont="1" applyAlignment="1">
      <alignment horizontal="center"/>
    </xf>
    <xf numFmtId="3" fontId="34" fillId="0" borderId="0" xfId="0" applyNumberFormat="1" applyFont="1" applyAlignment="1">
      <alignment horizontal="center"/>
    </xf>
    <xf numFmtId="2" fontId="62" fillId="0" borderId="0" xfId="16" applyNumberFormat="1" applyFont="1"/>
    <xf numFmtId="2" fontId="62" fillId="0" borderId="0" xfId="0" applyNumberFormat="1" applyFont="1"/>
    <xf numFmtId="182" fontId="9" fillId="8" borderId="38" xfId="24" applyNumberFormat="1" applyFill="1" applyBorder="1" applyAlignment="1">
      <alignment horizontal="center" vertical="center"/>
    </xf>
    <xf numFmtId="182" fontId="9" fillId="8" borderId="38" xfId="16" applyNumberFormat="1" applyFill="1" applyBorder="1" applyAlignment="1">
      <alignment horizontal="center" vertical="center"/>
    </xf>
    <xf numFmtId="0" fontId="9" fillId="95" borderId="30" xfId="24" applyFill="1" applyBorder="1" applyAlignment="1">
      <alignment horizontal="center" vertical="center"/>
    </xf>
    <xf numFmtId="10" fontId="9" fillId="95" borderId="0" xfId="24" applyNumberFormat="1" applyFill="1" applyAlignment="1">
      <alignment horizontal="center" vertical="center"/>
    </xf>
    <xf numFmtId="0" fontId="9" fillId="96" borderId="133" xfId="24" applyFill="1" applyBorder="1" applyAlignment="1">
      <alignment horizontal="center" vertical="center"/>
    </xf>
    <xf numFmtId="10" fontId="9" fillId="96" borderId="142" xfId="24" applyNumberFormat="1" applyFill="1" applyBorder="1" applyAlignment="1">
      <alignment horizontal="center" vertical="center"/>
    </xf>
    <xf numFmtId="0" fontId="9" fillId="93" borderId="30" xfId="24" applyFill="1" applyBorder="1" applyAlignment="1">
      <alignment horizontal="center" vertical="center"/>
    </xf>
    <xf numFmtId="10" fontId="9" fillId="93" borderId="0" xfId="24" applyNumberFormat="1" applyFill="1" applyAlignment="1">
      <alignment horizontal="center" vertical="center"/>
    </xf>
    <xf numFmtId="14" fontId="135" fillId="14" borderId="2" xfId="0" applyNumberFormat="1" applyFont="1" applyFill="1" applyBorder="1" applyAlignment="1">
      <alignment horizontal="center" vertical="center"/>
    </xf>
    <xf numFmtId="0" fontId="135" fillId="14" borderId="2" xfId="0" applyFont="1" applyFill="1" applyBorder="1" applyAlignment="1">
      <alignment horizontal="center" vertical="center"/>
    </xf>
    <xf numFmtId="0" fontId="134" fillId="14" borderId="2" xfId="24" applyFont="1" applyFill="1" applyBorder="1" applyAlignment="1">
      <alignment horizontal="center" vertical="center"/>
    </xf>
    <xf numFmtId="14" fontId="136" fillId="0" borderId="0" xfId="0" applyNumberFormat="1" applyFont="1"/>
    <xf numFmtId="0" fontId="0" fillId="0" borderId="142" xfId="0" applyBorder="1" applyAlignment="1">
      <alignment horizontal="center" vertical="center"/>
    </xf>
    <xf numFmtId="0" fontId="14" fillId="0" borderId="142" xfId="24" applyFont="1" applyBorder="1" applyAlignment="1">
      <alignment vertical="center"/>
    </xf>
    <xf numFmtId="0" fontId="9" fillId="0" borderId="142" xfId="24" applyBorder="1" applyAlignment="1">
      <alignment horizontal="center" vertical="center"/>
    </xf>
    <xf numFmtId="184" fontId="9" fillId="8" borderId="97" xfId="6" applyFont="1" applyFill="1" applyBorder="1" applyAlignment="1">
      <alignment horizontal="center" vertical="center" wrapText="1"/>
    </xf>
    <xf numFmtId="4" fontId="9" fillId="33" borderId="99" xfId="7" applyFont="1" applyFill="1" applyBorder="1" applyAlignment="1">
      <alignment horizontal="center" vertical="center" wrapText="1"/>
    </xf>
    <xf numFmtId="4" fontId="34" fillId="0" borderId="97" xfId="7" applyFont="1" applyFill="1" applyBorder="1" applyAlignment="1">
      <alignment horizontal="center" vertical="center" wrapText="1"/>
    </xf>
    <xf numFmtId="4" fontId="34" fillId="0" borderId="100" xfId="7" applyFont="1" applyFill="1" applyBorder="1" applyAlignment="1">
      <alignment horizontal="center" vertical="center" wrapText="1"/>
    </xf>
    <xf numFmtId="0" fontId="35" fillId="0" borderId="0" xfId="0" applyFont="1" applyAlignment="1">
      <alignment horizontal="right" vertical="center" wrapText="1"/>
    </xf>
    <xf numFmtId="0" fontId="9" fillId="8" borderId="97" xfId="27" quotePrefix="1" applyFont="1" applyFill="1" applyBorder="1" applyAlignment="1">
      <alignment horizontal="right" vertical="center" wrapText="1"/>
    </xf>
    <xf numFmtId="184" fontId="9" fillId="8" borderId="97" xfId="6" quotePrefix="1" applyFont="1" applyFill="1" applyBorder="1" applyAlignment="1">
      <alignment horizontal="right" vertical="center" wrapText="1"/>
    </xf>
    <xf numFmtId="0" fontId="9" fillId="3" borderId="97" xfId="10" applyFont="1" applyBorder="1" applyAlignment="1">
      <alignment horizontal="right" vertical="center"/>
    </xf>
    <xf numFmtId="3" fontId="66" fillId="0" borderId="97" xfId="26" applyNumberFormat="1" applyFont="1" applyBorder="1" applyAlignment="1">
      <alignment horizontal="center" vertical="center"/>
    </xf>
    <xf numFmtId="3" fontId="137" fillId="0" borderId="0" xfId="0" applyNumberFormat="1" applyFont="1" applyAlignment="1">
      <alignment horizontal="center" vertical="center"/>
    </xf>
    <xf numFmtId="4" fontId="66" fillId="0" borderId="98" xfId="26" applyNumberFormat="1" applyFont="1" applyBorder="1" applyAlignment="1">
      <alignment horizontal="center" vertical="center"/>
    </xf>
    <xf numFmtId="2" fontId="138" fillId="18" borderId="83" xfId="16" applyNumberFormat="1" applyFont="1" applyFill="1" applyBorder="1" applyAlignment="1">
      <alignment horizontal="center" vertical="center"/>
    </xf>
    <xf numFmtId="4" fontId="26" fillId="27" borderId="274" xfId="7" applyFont="1" applyFill="1" applyBorder="1">
      <alignment horizontal="right"/>
    </xf>
    <xf numFmtId="4" fontId="33" fillId="9" borderId="184" xfId="7" applyFont="1" applyFill="1" applyBorder="1">
      <alignment horizontal="right"/>
    </xf>
    <xf numFmtId="0" fontId="9" fillId="3" borderId="97" xfId="10" applyFont="1" applyBorder="1" applyAlignment="1">
      <alignment horizontal="right" vertical="center" wrapText="1"/>
    </xf>
    <xf numFmtId="0" fontId="139" fillId="3" borderId="97" xfId="10" applyFont="1" applyBorder="1" applyAlignment="1">
      <alignment vertical="center" wrapText="1"/>
    </xf>
    <xf numFmtId="182" fontId="34" fillId="0" borderId="137" xfId="16" applyNumberFormat="1" applyFont="1" applyBorder="1" applyAlignment="1">
      <alignment horizontal="center" vertical="center"/>
    </xf>
    <xf numFmtId="182" fontId="34" fillId="0" borderId="138" xfId="16" applyNumberFormat="1" applyFont="1" applyBorder="1" applyAlignment="1">
      <alignment horizontal="center" vertical="center"/>
    </xf>
    <xf numFmtId="182" fontId="34" fillId="0" borderId="139" xfId="16" applyNumberFormat="1" applyFont="1" applyBorder="1" applyAlignment="1">
      <alignment horizontal="center" vertical="center"/>
    </xf>
    <xf numFmtId="182" fontId="34" fillId="0" borderId="131" xfId="16" applyNumberFormat="1" applyFont="1" applyFill="1" applyBorder="1" applyAlignment="1">
      <alignment horizontal="center" vertical="center"/>
    </xf>
    <xf numFmtId="182" fontId="34" fillId="0" borderId="37" xfId="16" applyNumberFormat="1" applyFont="1" applyFill="1" applyBorder="1" applyAlignment="1">
      <alignment horizontal="center" vertical="center"/>
    </xf>
    <xf numFmtId="0" fontId="34" fillId="8" borderId="26" xfId="24" applyFont="1" applyFill="1" applyBorder="1" applyAlignment="1">
      <alignment horizontal="center" vertical="center"/>
    </xf>
    <xf numFmtId="0" fontId="9" fillId="0" borderId="38" xfId="24" applyBorder="1" applyAlignment="1">
      <alignment vertical="center"/>
    </xf>
    <xf numFmtId="0" fontId="34" fillId="8" borderId="36" xfId="24" applyFont="1" applyFill="1" applyBorder="1" applyAlignment="1">
      <alignment vertical="center"/>
    </xf>
    <xf numFmtId="0" fontId="127" fillId="14" borderId="32" xfId="24" applyFont="1" applyFill="1" applyBorder="1" applyAlignment="1">
      <alignment horizontal="center" vertical="center" wrapText="1"/>
    </xf>
    <xf numFmtId="0" fontId="9" fillId="8" borderId="29" xfId="24" applyFill="1" applyBorder="1" applyAlignment="1">
      <alignment wrapText="1"/>
    </xf>
    <xf numFmtId="0" fontId="134" fillId="14" borderId="32" xfId="24" quotePrefix="1" applyFont="1" applyFill="1" applyBorder="1" applyAlignment="1">
      <alignment horizontal="center" vertical="center" wrapText="1"/>
    </xf>
    <xf numFmtId="181" fontId="9" fillId="8" borderId="38" xfId="0" applyNumberFormat="1" applyFont="1" applyFill="1" applyBorder="1" applyAlignment="1">
      <alignment horizontal="center"/>
    </xf>
    <xf numFmtId="0" fontId="74" fillId="0" borderId="1" xfId="0" applyFont="1" applyBorder="1" applyAlignment="1">
      <alignment horizontal="center"/>
    </xf>
    <xf numFmtId="0" fontId="74" fillId="0" borderId="1" xfId="0" applyFont="1" applyBorder="1" applyAlignment="1">
      <alignment horizontal="center" vertical="center"/>
    </xf>
    <xf numFmtId="0" fontId="128" fillId="94" borderId="2" xfId="0" applyFont="1" applyFill="1" applyBorder="1" applyAlignment="1">
      <alignment horizontal="center" vertical="center" wrapText="1"/>
    </xf>
    <xf numFmtId="0" fontId="88" fillId="0" borderId="38" xfId="24" applyFont="1" applyBorder="1" applyAlignment="1">
      <alignment wrapText="1"/>
    </xf>
    <xf numFmtId="0" fontId="34" fillId="14" borderId="32" xfId="24" quotePrefix="1" applyFont="1" applyFill="1" applyBorder="1" applyAlignment="1">
      <alignment horizontal="center" vertical="center" wrapText="1"/>
    </xf>
    <xf numFmtId="0" fontId="127" fillId="14" borderId="38" xfId="24" quotePrefix="1" applyFont="1" applyFill="1" applyBorder="1" applyAlignment="1">
      <alignment horizontal="center" vertical="center" wrapText="1"/>
    </xf>
    <xf numFmtId="0" fontId="34" fillId="14" borderId="32" xfId="24" applyFont="1" applyFill="1" applyBorder="1" applyAlignment="1">
      <alignment horizontal="center" vertical="center" wrapText="1"/>
    </xf>
    <xf numFmtId="183" fontId="39" fillId="0" borderId="0" xfId="0" applyNumberFormat="1" applyFont="1"/>
    <xf numFmtId="9" fontId="34" fillId="0" borderId="0" xfId="16" applyFont="1"/>
    <xf numFmtId="10" fontId="59" fillId="0" borderId="0" xfId="0" applyNumberFormat="1" applyFont="1"/>
    <xf numFmtId="9" fontId="0" fillId="84" borderId="84" xfId="16" applyFont="1" applyFill="1" applyBorder="1" applyAlignment="1">
      <alignment horizontal="center"/>
    </xf>
    <xf numFmtId="0" fontId="71" fillId="0" borderId="0" xfId="0" applyFont="1" applyAlignment="1">
      <alignment horizontal="center" vertical="center" wrapText="1"/>
    </xf>
    <xf numFmtId="2" fontId="0" fillId="8" borderId="83" xfId="16" applyNumberFormat="1" applyFont="1" applyFill="1" applyBorder="1" applyAlignment="1">
      <alignment horizontal="center"/>
    </xf>
    <xf numFmtId="2" fontId="0" fillId="0" borderId="83" xfId="16" applyNumberFormat="1" applyFont="1" applyFill="1" applyBorder="1" applyAlignment="1">
      <alignment horizontal="center"/>
    </xf>
    <xf numFmtId="0" fontId="14" fillId="17" borderId="93" xfId="0" applyFont="1" applyFill="1" applyBorder="1"/>
    <xf numFmtId="193" fontId="140" fillId="0" borderId="0" xfId="0" applyNumberFormat="1" applyFont="1" applyAlignment="1">
      <alignment wrapText="1"/>
    </xf>
    <xf numFmtId="193" fontId="140" fillId="97" borderId="5" xfId="0" applyNumberFormat="1" applyFont="1" applyFill="1" applyBorder="1" applyAlignment="1">
      <alignment wrapText="1"/>
    </xf>
    <xf numFmtId="193" fontId="140" fillId="97" borderId="0" xfId="0" applyNumberFormat="1" applyFont="1" applyFill="1" applyAlignment="1">
      <alignment wrapText="1"/>
    </xf>
    <xf numFmtId="193" fontId="140" fillId="97" borderId="26" xfId="0" applyNumberFormat="1" applyFont="1" applyFill="1" applyBorder="1" applyAlignment="1">
      <alignment wrapText="1"/>
    </xf>
    <xf numFmtId="193" fontId="140" fillId="98" borderId="38" xfId="0" applyNumberFormat="1" applyFont="1" applyFill="1" applyBorder="1" applyAlignment="1">
      <alignment horizontal="left"/>
    </xf>
    <xf numFmtId="193" fontId="141" fillId="99" borderId="38" xfId="0" applyNumberFormat="1" applyFont="1" applyFill="1" applyBorder="1" applyAlignment="1">
      <alignment horizontal="left"/>
    </xf>
    <xf numFmtId="190" fontId="141" fillId="99" borderId="38" xfId="0" applyNumberFormat="1" applyFont="1" applyFill="1" applyBorder="1" applyAlignment="1">
      <alignment horizontal="left"/>
    </xf>
    <xf numFmtId="193" fontId="140" fillId="97" borderId="1" xfId="0" applyNumberFormat="1" applyFont="1" applyFill="1" applyBorder="1" applyAlignment="1">
      <alignment wrapText="1"/>
    </xf>
    <xf numFmtId="193" fontId="140" fillId="100" borderId="38" xfId="0" applyNumberFormat="1" applyFont="1" applyFill="1" applyBorder="1" applyAlignment="1">
      <alignment wrapText="1"/>
    </xf>
    <xf numFmtId="193" fontId="140" fillId="98" borderId="38" xfId="0" applyNumberFormat="1" applyFont="1" applyFill="1" applyBorder="1" applyAlignment="1">
      <alignment horizontal="right"/>
    </xf>
    <xf numFmtId="190" fontId="141" fillId="99" borderId="38" xfId="0" applyNumberFormat="1" applyFont="1" applyFill="1" applyBorder="1" applyAlignment="1">
      <alignment horizontal="right"/>
    </xf>
    <xf numFmtId="190" fontId="142" fillId="99" borderId="38" xfId="0" applyNumberFormat="1" applyFont="1" applyFill="1" applyBorder="1" applyAlignment="1">
      <alignment horizontal="right"/>
    </xf>
    <xf numFmtId="193" fontId="141" fillId="99" borderId="38" xfId="0" applyNumberFormat="1" applyFont="1" applyFill="1" applyBorder="1" applyAlignment="1">
      <alignment horizontal="right"/>
    </xf>
    <xf numFmtId="190" fontId="143" fillId="99" borderId="38" xfId="0" applyNumberFormat="1" applyFont="1" applyFill="1" applyBorder="1" applyAlignment="1">
      <alignment horizontal="right"/>
    </xf>
    <xf numFmtId="190" fontId="140" fillId="98" borderId="38" xfId="0" applyNumberFormat="1" applyFont="1" applyFill="1" applyBorder="1" applyAlignment="1">
      <alignment horizontal="right"/>
    </xf>
    <xf numFmtId="193" fontId="140" fillId="97" borderId="37" xfId="0" applyNumberFormat="1" applyFont="1" applyFill="1" applyBorder="1" applyAlignment="1">
      <alignment wrapText="1"/>
    </xf>
    <xf numFmtId="193" fontId="140" fillId="97" borderId="38" xfId="0" applyNumberFormat="1" applyFont="1" applyFill="1" applyBorder="1" applyAlignment="1">
      <alignment wrapText="1"/>
    </xf>
    <xf numFmtId="9" fontId="0" fillId="9" borderId="83" xfId="16" applyFont="1" applyFill="1" applyBorder="1" applyAlignment="1">
      <alignment horizontal="center"/>
    </xf>
    <xf numFmtId="9" fontId="0" fillId="12" borderId="85" xfId="16" applyFont="1" applyFill="1" applyBorder="1" applyAlignment="1">
      <alignment horizontal="center"/>
    </xf>
    <xf numFmtId="9" fontId="0" fillId="12" borderId="84" xfId="16" applyFont="1" applyFill="1" applyBorder="1" applyAlignment="1">
      <alignment horizontal="center"/>
    </xf>
    <xf numFmtId="2" fontId="0" fillId="84" borderId="83" xfId="0" applyNumberFormat="1" applyFill="1" applyBorder="1" applyAlignment="1">
      <alignment horizontal="center"/>
    </xf>
    <xf numFmtId="183" fontId="0" fillId="12" borderId="83" xfId="0" applyNumberFormat="1" applyFill="1" applyBorder="1" applyAlignment="1">
      <alignment horizontal="center"/>
    </xf>
    <xf numFmtId="183" fontId="0" fillId="12" borderId="85" xfId="0" applyNumberFormat="1" applyFill="1" applyBorder="1" applyAlignment="1">
      <alignment horizontal="center"/>
    </xf>
    <xf numFmtId="10" fontId="9" fillId="12" borderId="37" xfId="24" applyNumberFormat="1" applyFill="1" applyBorder="1" applyAlignment="1">
      <alignment horizontal="center" vertical="center"/>
    </xf>
    <xf numFmtId="201" fontId="9" fillId="23" borderId="85" xfId="0" applyNumberFormat="1" applyFont="1" applyFill="1" applyBorder="1" applyAlignment="1">
      <alignment horizontal="center"/>
    </xf>
    <xf numFmtId="183" fontId="0" fillId="12" borderId="84" xfId="0" applyNumberFormat="1" applyFill="1" applyBorder="1" applyAlignment="1">
      <alignment horizontal="center"/>
    </xf>
    <xf numFmtId="0" fontId="35" fillId="0" borderId="150" xfId="0" applyFont="1" applyBorder="1" applyAlignment="1">
      <alignment horizontal="left" vertical="center" wrapText="1"/>
    </xf>
    <xf numFmtId="0" fontId="35" fillId="0" borderId="145" xfId="0" applyFont="1" applyBorder="1" applyAlignment="1">
      <alignment horizontal="left" vertical="center" wrapText="1"/>
    </xf>
    <xf numFmtId="0" fontId="35" fillId="0" borderId="146" xfId="0" applyFont="1" applyBorder="1" applyAlignment="1">
      <alignment horizontal="left" vertical="center" wrapText="1"/>
    </xf>
    <xf numFmtId="0" fontId="35" fillId="0" borderId="151" xfId="0" applyFont="1" applyBorder="1" applyAlignment="1">
      <alignment horizontal="left" vertical="center" wrapText="1"/>
    </xf>
    <xf numFmtId="0" fontId="35" fillId="0" borderId="0" xfId="0" applyFont="1" applyAlignment="1">
      <alignment horizontal="left" vertical="center" wrapText="1"/>
    </xf>
    <xf numFmtId="0" fontId="35" fillId="0" borderId="147" xfId="0" applyFont="1" applyBorder="1" applyAlignment="1">
      <alignment horizontal="left" vertical="center" wrapText="1"/>
    </xf>
    <xf numFmtId="0" fontId="35" fillId="0" borderId="152" xfId="0" applyFont="1" applyBorder="1" applyAlignment="1">
      <alignment horizontal="left" vertical="center" wrapText="1"/>
    </xf>
    <xf numFmtId="0" fontId="35" fillId="0" borderId="148" xfId="0" applyFont="1" applyBorder="1" applyAlignment="1">
      <alignment horizontal="left" vertical="center" wrapText="1"/>
    </xf>
    <xf numFmtId="0" fontId="35" fillId="0" borderId="149" xfId="0" applyFont="1" applyBorder="1" applyAlignment="1">
      <alignment horizontal="left" vertical="center" wrapText="1"/>
    </xf>
    <xf numFmtId="0" fontId="47" fillId="5" borderId="44" xfId="0" applyFont="1" applyFill="1" applyBorder="1" applyAlignment="1">
      <alignment horizontal="center"/>
    </xf>
    <xf numFmtId="0" fontId="47" fillId="5" borderId="220" xfId="0" applyFont="1" applyFill="1" applyBorder="1" applyAlignment="1">
      <alignment horizontal="center"/>
    </xf>
    <xf numFmtId="0" fontId="14" fillId="8" borderId="20" xfId="16" applyNumberFormat="1" applyFont="1" applyFill="1" applyBorder="1" applyAlignment="1">
      <alignment horizontal="left"/>
    </xf>
    <xf numFmtId="0" fontId="14" fillId="8" borderId="19" xfId="16" applyNumberFormat="1" applyFont="1" applyFill="1" applyBorder="1" applyAlignment="1">
      <alignment horizontal="left"/>
    </xf>
    <xf numFmtId="182" fontId="45" fillId="12" borderId="114" xfId="16" applyNumberFormat="1" applyFont="1" applyFill="1" applyBorder="1" applyAlignment="1">
      <alignment horizontal="center" vertical="center"/>
    </xf>
    <xf numFmtId="182" fontId="45" fillId="12" borderId="111" xfId="16" applyNumberFormat="1" applyFont="1" applyFill="1" applyBorder="1" applyAlignment="1">
      <alignment horizontal="center" vertical="center"/>
    </xf>
    <xf numFmtId="182" fontId="45" fillId="12" borderId="270" xfId="16" applyNumberFormat="1" applyFont="1" applyFill="1" applyBorder="1" applyAlignment="1">
      <alignment horizontal="center" vertical="center"/>
    </xf>
    <xf numFmtId="0" fontId="35" fillId="8" borderId="170" xfId="0" applyFont="1" applyFill="1" applyBorder="1" applyAlignment="1">
      <alignment horizontal="center" vertical="center" wrapText="1"/>
    </xf>
    <xf numFmtId="0" fontId="0" fillId="8" borderId="171" xfId="0" applyFill="1" applyBorder="1" applyAlignment="1">
      <alignment horizontal="center" vertical="center" wrapText="1"/>
    </xf>
    <xf numFmtId="0" fontId="0" fillId="8" borderId="172" xfId="0" applyFill="1" applyBorder="1" applyAlignment="1">
      <alignment horizontal="center" vertical="center" wrapText="1"/>
    </xf>
    <xf numFmtId="0" fontId="35" fillId="8" borderId="112" xfId="0" applyFont="1" applyFill="1" applyBorder="1" applyAlignment="1">
      <alignment horizontal="center" vertical="center" wrapText="1"/>
    </xf>
    <xf numFmtId="0" fontId="35" fillId="8" borderId="126" xfId="0" applyFont="1" applyFill="1" applyBorder="1" applyAlignment="1">
      <alignment horizontal="center" vertical="center" wrapText="1"/>
    </xf>
    <xf numFmtId="0" fontId="35" fillId="8" borderId="136" xfId="0" applyFont="1" applyFill="1" applyBorder="1" applyAlignment="1">
      <alignment horizontal="center" vertical="center" wrapText="1"/>
    </xf>
    <xf numFmtId="0" fontId="9" fillId="8" borderId="115" xfId="0" applyFont="1" applyFill="1" applyBorder="1" applyAlignment="1">
      <alignment horizontal="center" vertical="center" wrapText="1"/>
    </xf>
    <xf numFmtId="0" fontId="9" fillId="8" borderId="169" xfId="0" applyFont="1" applyFill="1" applyBorder="1" applyAlignment="1">
      <alignment horizontal="center" vertical="center" wrapText="1"/>
    </xf>
    <xf numFmtId="0" fontId="9" fillId="8" borderId="135" xfId="0" applyFont="1" applyFill="1" applyBorder="1" applyAlignment="1">
      <alignment horizontal="center" vertical="center" wrapText="1"/>
    </xf>
    <xf numFmtId="200" fontId="10" fillId="12" borderId="135" xfId="0" applyNumberFormat="1" applyFont="1" applyFill="1" applyBorder="1" applyAlignment="1">
      <alignment horizontal="center" vertical="center"/>
    </xf>
    <xf numFmtId="200" fontId="10" fillId="12" borderId="110" xfId="0" applyNumberFormat="1" applyFont="1" applyFill="1" applyBorder="1" applyAlignment="1">
      <alignment horizontal="center" vertical="center"/>
    </xf>
    <xf numFmtId="200" fontId="10" fillId="12" borderId="136" xfId="0" applyNumberFormat="1" applyFont="1" applyFill="1" applyBorder="1" applyAlignment="1">
      <alignment horizontal="center" vertical="center"/>
    </xf>
    <xf numFmtId="0" fontId="47" fillId="5" borderId="212" xfId="0" applyFont="1" applyFill="1" applyBorder="1" applyAlignment="1">
      <alignment horizontal="center"/>
    </xf>
    <xf numFmtId="0" fontId="47" fillId="5" borderId="109" xfId="0" applyFont="1" applyFill="1" applyBorder="1" applyAlignment="1">
      <alignment horizontal="center"/>
    </xf>
    <xf numFmtId="0" fontId="46" fillId="18" borderId="42" xfId="0" applyFont="1" applyFill="1" applyBorder="1" applyAlignment="1">
      <alignment horizontal="center"/>
    </xf>
    <xf numFmtId="0" fontId="46" fillId="18" borderId="0" xfId="0" applyFont="1" applyFill="1" applyAlignment="1">
      <alignment horizontal="center"/>
    </xf>
    <xf numFmtId="0" fontId="46" fillId="18" borderId="43" xfId="0" applyFont="1" applyFill="1" applyBorder="1" applyAlignment="1">
      <alignment horizontal="center"/>
    </xf>
    <xf numFmtId="0" fontId="28" fillId="31" borderId="219" xfId="0" applyFont="1" applyFill="1" applyBorder="1" applyAlignment="1">
      <alignment horizontal="center"/>
    </xf>
    <xf numFmtId="0" fontId="28" fillId="31" borderId="44" xfId="0" applyFont="1" applyFill="1" applyBorder="1" applyAlignment="1">
      <alignment horizontal="center"/>
    </xf>
    <xf numFmtId="0" fontId="28" fillId="31" borderId="220" xfId="0" applyFont="1" applyFill="1" applyBorder="1" applyAlignment="1">
      <alignment horizontal="center"/>
    </xf>
    <xf numFmtId="0" fontId="14" fillId="0" borderId="115" xfId="0" applyFont="1" applyBorder="1" applyAlignment="1">
      <alignment horizontal="center" vertical="center" wrapText="1"/>
    </xf>
    <xf numFmtId="0" fontId="14" fillId="0" borderId="169" xfId="0" applyFont="1" applyBorder="1" applyAlignment="1">
      <alignment horizontal="center" vertical="center" wrapText="1"/>
    </xf>
    <xf numFmtId="0" fontId="14" fillId="0" borderId="213" xfId="0" applyFont="1" applyBorder="1" applyAlignment="1">
      <alignment horizontal="center" vertical="center" wrapText="1"/>
    </xf>
    <xf numFmtId="0" fontId="14" fillId="0" borderId="113" xfId="0" applyFont="1" applyBorder="1" applyAlignment="1">
      <alignment horizontal="center" vertical="center" wrapText="1"/>
    </xf>
    <xf numFmtId="0" fontId="14" fillId="0" borderId="0" xfId="0" applyFont="1" applyAlignment="1">
      <alignment horizontal="center" vertical="center" wrapText="1"/>
    </xf>
    <xf numFmtId="0" fontId="14" fillId="0" borderId="43" xfId="0" applyFont="1" applyBorder="1" applyAlignment="1">
      <alignment horizontal="center" vertical="center" wrapText="1"/>
    </xf>
    <xf numFmtId="0" fontId="14" fillId="0" borderId="112" xfId="0" applyFont="1" applyBorder="1" applyAlignment="1">
      <alignment horizontal="center" vertical="center" wrapText="1"/>
    </xf>
    <xf numFmtId="0" fontId="14" fillId="0" borderId="126" xfId="0" applyFont="1" applyBorder="1" applyAlignment="1">
      <alignment horizontal="center" vertical="center" wrapText="1"/>
    </xf>
    <xf numFmtId="0" fontId="14" fillId="0" borderId="215" xfId="0" applyFont="1" applyBorder="1" applyAlignment="1">
      <alignment horizontal="center" vertical="center" wrapText="1"/>
    </xf>
    <xf numFmtId="0" fontId="47" fillId="5" borderId="126" xfId="0" applyFont="1" applyFill="1" applyBorder="1" applyAlignment="1">
      <alignment horizontal="center"/>
    </xf>
    <xf numFmtId="0" fontId="47" fillId="5" borderId="215" xfId="0" applyFont="1" applyFill="1" applyBorder="1" applyAlignment="1">
      <alignment horizontal="center"/>
    </xf>
    <xf numFmtId="0" fontId="9" fillId="0" borderId="48" xfId="0" applyFont="1" applyBorder="1" applyAlignment="1">
      <alignment horizontal="left"/>
    </xf>
    <xf numFmtId="0" fontId="9" fillId="0" borderId="49" xfId="0" applyFont="1" applyBorder="1" applyAlignment="1">
      <alignment horizontal="left"/>
    </xf>
    <xf numFmtId="0" fontId="9" fillId="0" borderId="48" xfId="0" applyFont="1" applyBorder="1" applyAlignment="1">
      <alignment horizontal="left" indent="1"/>
    </xf>
    <xf numFmtId="0" fontId="9" fillId="0" borderId="49" xfId="0" applyFont="1" applyBorder="1" applyAlignment="1">
      <alignment horizontal="left" indent="1"/>
    </xf>
    <xf numFmtId="0" fontId="47" fillId="5" borderId="207" xfId="0" applyFont="1" applyFill="1" applyBorder="1" applyAlignment="1">
      <alignment horizontal="center"/>
    </xf>
    <xf numFmtId="0" fontId="47" fillId="5" borderId="17" xfId="0" applyFont="1" applyFill="1" applyBorder="1" applyAlignment="1">
      <alignment horizontal="center"/>
    </xf>
    <xf numFmtId="0" fontId="47" fillId="5" borderId="27" xfId="0" applyFont="1" applyFill="1" applyBorder="1" applyAlignment="1">
      <alignment horizontal="center"/>
    </xf>
    <xf numFmtId="0" fontId="47" fillId="5" borderId="22" xfId="0" applyFont="1" applyFill="1" applyBorder="1" applyAlignment="1">
      <alignment horizontal="center"/>
    </xf>
    <xf numFmtId="0" fontId="35" fillId="0" borderId="226" xfId="0" applyFont="1" applyBorder="1" applyAlignment="1">
      <alignment horizontal="center" vertical="center" wrapText="1"/>
    </xf>
    <xf numFmtId="0" fontId="114" fillId="0" borderId="227" xfId="0" applyFont="1" applyBorder="1" applyAlignment="1">
      <alignment horizontal="center" vertical="center" wrapText="1"/>
    </xf>
    <xf numFmtId="0" fontId="114" fillId="0" borderId="228" xfId="0" applyFont="1" applyBorder="1" applyAlignment="1">
      <alignment horizontal="center" vertical="center" wrapText="1"/>
    </xf>
    <xf numFmtId="0" fontId="47" fillId="30" borderId="23" xfId="0" applyFont="1" applyFill="1" applyBorder="1" applyAlignment="1">
      <alignment horizontal="center" vertical="center" wrapText="1"/>
    </xf>
    <xf numFmtId="0" fontId="47" fillId="30" borderId="208" xfId="0" applyFont="1" applyFill="1" applyBorder="1" applyAlignment="1">
      <alignment horizontal="center" vertical="center" wrapText="1"/>
    </xf>
    <xf numFmtId="0" fontId="122" fillId="0" borderId="226" xfId="0" applyFont="1" applyBorder="1" applyAlignment="1">
      <alignment horizontal="center" vertical="center" wrapText="1"/>
    </xf>
    <xf numFmtId="0" fontId="22" fillId="0" borderId="295" xfId="0" applyFont="1" applyBorder="1" applyAlignment="1">
      <alignment horizontal="center" vertical="center" wrapText="1"/>
    </xf>
    <xf numFmtId="0" fontId="22" fillId="0" borderId="296" xfId="0" applyFont="1" applyBorder="1" applyAlignment="1">
      <alignment horizontal="center" vertical="center" wrapText="1"/>
    </xf>
    <xf numFmtId="0" fontId="22" fillId="0" borderId="42" xfId="0" applyFont="1" applyBorder="1" applyAlignment="1">
      <alignment horizontal="center" vertical="center" wrapText="1"/>
    </xf>
    <xf numFmtId="0" fontId="22" fillId="0" borderId="297" xfId="0" applyFont="1" applyBorder="1" applyAlignment="1">
      <alignment horizontal="center" vertical="center" wrapText="1"/>
    </xf>
    <xf numFmtId="0" fontId="22" fillId="0" borderId="298"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299" xfId="0" applyFont="1" applyBorder="1" applyAlignment="1">
      <alignment horizontal="center" vertical="center" wrapText="1"/>
    </xf>
    <xf numFmtId="0" fontId="22" fillId="0" borderId="19" xfId="0" applyFont="1" applyBorder="1" applyAlignment="1">
      <alignment horizontal="center" vertical="center" wrapText="1"/>
    </xf>
    <xf numFmtId="0" fontId="110" fillId="0" borderId="151" xfId="0" applyFont="1" applyBorder="1" applyAlignment="1">
      <alignment horizontal="center" vertical="center" wrapText="1"/>
    </xf>
    <xf numFmtId="0" fontId="110" fillId="0" borderId="0" xfId="0" applyFont="1" applyAlignment="1">
      <alignment horizontal="center" vertical="center" wrapText="1"/>
    </xf>
    <xf numFmtId="0" fontId="110" fillId="0" borderId="147" xfId="0" applyFont="1" applyBorder="1" applyAlignment="1">
      <alignment horizontal="center" vertical="center" wrapText="1"/>
    </xf>
    <xf numFmtId="0" fontId="35" fillId="0" borderId="197" xfId="0" applyFont="1" applyBorder="1" applyAlignment="1">
      <alignment horizontal="left" vertical="center" wrapText="1"/>
    </xf>
    <xf numFmtId="0" fontId="9" fillId="0" borderId="145" xfId="0" applyFont="1" applyBorder="1" applyAlignment="1">
      <alignment horizontal="left" vertical="center"/>
    </xf>
    <xf numFmtId="0" fontId="9" fillId="0" borderId="146" xfId="0" applyFont="1" applyBorder="1" applyAlignment="1">
      <alignment horizontal="left" vertical="center"/>
    </xf>
    <xf numFmtId="0" fontId="9" fillId="0" borderId="42" xfId="0" applyFont="1" applyBorder="1" applyAlignment="1">
      <alignment horizontal="left" vertical="center"/>
    </xf>
    <xf numFmtId="0" fontId="9" fillId="0" borderId="0" xfId="0" applyFont="1" applyAlignment="1">
      <alignment horizontal="left" vertical="center"/>
    </xf>
    <xf numFmtId="0" fontId="9" fillId="0" borderId="147" xfId="0" applyFont="1" applyBorder="1" applyAlignment="1">
      <alignment horizontal="left" vertical="center"/>
    </xf>
    <xf numFmtId="0" fontId="9" fillId="0" borderId="176" xfId="0" applyFont="1" applyBorder="1" applyAlignment="1">
      <alignment horizontal="left" vertical="center"/>
    </xf>
    <xf numFmtId="0" fontId="9" fillId="0" borderId="148" xfId="0" applyFont="1" applyBorder="1" applyAlignment="1">
      <alignment horizontal="left" vertical="center"/>
    </xf>
    <xf numFmtId="0" fontId="9" fillId="0" borderId="149" xfId="0" applyFont="1" applyBorder="1" applyAlignment="1">
      <alignment horizontal="left" vertical="center"/>
    </xf>
    <xf numFmtId="0" fontId="81" fillId="8" borderId="46" xfId="0" applyFont="1" applyFill="1" applyBorder="1" applyAlignment="1">
      <alignment horizontal="center"/>
    </xf>
    <xf numFmtId="0" fontId="28" fillId="8" borderId="46" xfId="0" applyFont="1" applyFill="1" applyBorder="1" applyAlignment="1">
      <alignment horizontal="center"/>
    </xf>
    <xf numFmtId="0" fontId="47" fillId="80" borderId="51" xfId="0" applyFont="1" applyFill="1" applyBorder="1" applyAlignment="1">
      <alignment horizontal="center" vertical="center" wrapText="1"/>
    </xf>
    <xf numFmtId="0" fontId="47" fillId="80" borderId="57" xfId="0" applyFont="1" applyFill="1" applyBorder="1" applyAlignment="1">
      <alignment horizontal="center" vertical="center" wrapText="1"/>
    </xf>
    <xf numFmtId="0" fontId="68" fillId="0" borderId="145" xfId="0" applyFont="1" applyBorder="1" applyAlignment="1">
      <alignment horizontal="left" vertical="center"/>
    </xf>
    <xf numFmtId="0" fontId="68" fillId="0" borderId="146" xfId="0" applyFont="1" applyBorder="1" applyAlignment="1">
      <alignment horizontal="left" vertical="center"/>
    </xf>
    <xf numFmtId="0" fontId="68" fillId="0" borderId="151" xfId="0" applyFont="1" applyBorder="1" applyAlignment="1">
      <alignment horizontal="left" vertical="center"/>
    </xf>
    <xf numFmtId="0" fontId="68" fillId="0" borderId="0" xfId="0" applyFont="1" applyAlignment="1">
      <alignment horizontal="left" vertical="center"/>
    </xf>
    <xf numFmtId="0" fontId="68" fillId="0" borderId="147" xfId="0" applyFont="1" applyBorder="1" applyAlignment="1">
      <alignment horizontal="left" vertical="center"/>
    </xf>
    <xf numFmtId="0" fontId="68" fillId="0" borderId="152" xfId="0" applyFont="1" applyBorder="1" applyAlignment="1">
      <alignment horizontal="left" vertical="center"/>
    </xf>
    <xf numFmtId="0" fontId="68" fillId="0" borderId="148" xfId="0" applyFont="1" applyBorder="1" applyAlignment="1">
      <alignment horizontal="left" vertical="center"/>
    </xf>
    <xf numFmtId="0" fontId="68" fillId="0" borderId="149" xfId="0" applyFont="1" applyBorder="1" applyAlignment="1">
      <alignment horizontal="left" vertical="center"/>
    </xf>
    <xf numFmtId="0" fontId="9" fillId="0" borderId="42" xfId="0" applyFont="1" applyBorder="1" applyAlignment="1">
      <alignment horizontal="left" vertical="center" wrapText="1"/>
    </xf>
    <xf numFmtId="0" fontId="0" fillId="0" borderId="2" xfId="0" applyBorder="1" applyAlignment="1">
      <alignment horizontal="left" vertical="center" wrapText="1"/>
    </xf>
    <xf numFmtId="0" fontId="0" fillId="0" borderId="47" xfId="0" applyBorder="1" applyAlignment="1">
      <alignment horizontal="left" vertical="center" wrapText="1"/>
    </xf>
    <xf numFmtId="0" fontId="0" fillId="0" borderId="222" xfId="0" applyBorder="1" applyAlignment="1">
      <alignment horizontal="left" vertical="center" wrapText="1"/>
    </xf>
    <xf numFmtId="0" fontId="0" fillId="0" borderId="38" xfId="0" applyBorder="1" applyAlignment="1">
      <alignment horizontal="left" vertical="center" wrapText="1"/>
    </xf>
    <xf numFmtId="0" fontId="0" fillId="0" borderId="45" xfId="0" applyBorder="1" applyAlignment="1">
      <alignment horizontal="left" vertical="center" wrapText="1"/>
    </xf>
    <xf numFmtId="0" fontId="0" fillId="0" borderId="223" xfId="0" applyBorder="1" applyAlignment="1">
      <alignment horizontal="left" vertical="center" wrapText="1"/>
    </xf>
    <xf numFmtId="0" fontId="0" fillId="0" borderId="224" xfId="0" applyBorder="1" applyAlignment="1">
      <alignment horizontal="left" vertical="center" wrapText="1"/>
    </xf>
    <xf numFmtId="0" fontId="0" fillId="0" borderId="225" xfId="0" applyBorder="1" applyAlignment="1">
      <alignment horizontal="left" vertical="center" wrapText="1"/>
    </xf>
    <xf numFmtId="0" fontId="47" fillId="30" borderId="219" xfId="0" applyFont="1" applyFill="1" applyBorder="1" applyAlignment="1">
      <alignment horizontal="center"/>
    </xf>
    <xf numFmtId="0" fontId="47" fillId="30" borderId="44" xfId="0" applyFont="1" applyFill="1" applyBorder="1" applyAlignment="1">
      <alignment horizontal="center"/>
    </xf>
    <xf numFmtId="0" fontId="0" fillId="0" borderId="197" xfId="0" applyBorder="1" applyAlignment="1">
      <alignment horizontal="center"/>
    </xf>
    <xf numFmtId="0" fontId="0" fillId="0" borderId="145" xfId="0" applyBorder="1" applyAlignment="1">
      <alignment horizontal="center"/>
    </xf>
    <xf numFmtId="0" fontId="0" fillId="0" borderId="221" xfId="0" applyBorder="1" applyAlignment="1">
      <alignment horizontal="center"/>
    </xf>
    <xf numFmtId="0" fontId="0" fillId="0" borderId="42" xfId="0" applyBorder="1" applyAlignment="1">
      <alignment horizontal="center"/>
    </xf>
    <xf numFmtId="0" fontId="0" fillId="0" borderId="0" xfId="0" applyAlignment="1">
      <alignment horizontal="center"/>
    </xf>
    <xf numFmtId="0" fontId="0" fillId="0" borderId="43" xfId="0" applyBorder="1" applyAlignment="1">
      <alignment horizontal="center"/>
    </xf>
    <xf numFmtId="0" fontId="0" fillId="0" borderId="56"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49" fillId="82" borderId="57" xfId="0" applyFont="1" applyFill="1" applyBorder="1" applyAlignment="1">
      <alignment horizontal="center" vertical="center" wrapText="1"/>
    </xf>
    <xf numFmtId="0" fontId="49" fillId="82" borderId="59" xfId="0" applyFont="1" applyFill="1" applyBorder="1" applyAlignment="1">
      <alignment horizontal="center" vertical="center" wrapText="1"/>
    </xf>
    <xf numFmtId="0" fontId="110" fillId="0" borderId="150" xfId="0" applyFont="1" applyBorder="1" applyAlignment="1">
      <alignment horizontal="center" vertical="center" wrapText="1"/>
    </xf>
    <xf numFmtId="0" fontId="110" fillId="0" borderId="145" xfId="0" applyFont="1" applyBorder="1" applyAlignment="1">
      <alignment horizontal="center" vertical="center" wrapText="1"/>
    </xf>
    <xf numFmtId="0" fontId="110" fillId="0" borderId="146" xfId="0" applyFont="1" applyBorder="1" applyAlignment="1">
      <alignment horizontal="center" vertical="center" wrapText="1"/>
    </xf>
    <xf numFmtId="0" fontId="110" fillId="0" borderId="151" xfId="0" applyFont="1" applyBorder="1" applyAlignment="1">
      <alignment horizontal="center" vertical="center"/>
    </xf>
    <xf numFmtId="0" fontId="110" fillId="0" borderId="0" xfId="0" applyFont="1" applyAlignment="1">
      <alignment horizontal="center" vertical="center"/>
    </xf>
    <xf numFmtId="0" fontId="110" fillId="0" borderId="147" xfId="0" applyFont="1" applyBorder="1" applyAlignment="1">
      <alignment horizontal="center" vertical="center"/>
    </xf>
    <xf numFmtId="0" fontId="10" fillId="0" borderId="203" xfId="0" applyFont="1" applyBorder="1" applyAlignment="1">
      <alignment horizontal="center" vertical="center"/>
    </xf>
    <xf numFmtId="0" fontId="10" fillId="0" borderId="54" xfId="0" applyFont="1" applyBorder="1" applyAlignment="1">
      <alignment horizontal="center" vertical="center"/>
    </xf>
    <xf numFmtId="0" fontId="10" fillId="0" borderId="204" xfId="0" applyFont="1" applyBorder="1" applyAlignment="1">
      <alignment horizontal="center" vertical="center"/>
    </xf>
    <xf numFmtId="0" fontId="28" fillId="31" borderId="27" xfId="0" applyFont="1" applyFill="1" applyBorder="1" applyAlignment="1">
      <alignment horizontal="center"/>
    </xf>
    <xf numFmtId="0" fontId="28" fillId="31" borderId="21" xfId="0" applyFont="1" applyFill="1" applyBorder="1" applyAlignment="1">
      <alignment horizontal="center"/>
    </xf>
    <xf numFmtId="0" fontId="28" fillId="31" borderId="20" xfId="0" applyFont="1" applyFill="1" applyBorder="1" applyAlignment="1">
      <alignment horizontal="center"/>
    </xf>
    <xf numFmtId="0" fontId="28" fillId="31" borderId="18" xfId="0" applyFont="1" applyFill="1" applyBorder="1" applyAlignment="1">
      <alignment horizontal="center"/>
    </xf>
    <xf numFmtId="14" fontId="14" fillId="0" borderId="20" xfId="0" applyNumberFormat="1" applyFont="1" applyBorder="1" applyAlignment="1">
      <alignment horizontal="center"/>
    </xf>
    <xf numFmtId="14" fontId="14" fillId="0" borderId="19" xfId="0" applyNumberFormat="1" applyFont="1" applyBorder="1" applyAlignment="1">
      <alignment horizontal="center"/>
    </xf>
    <xf numFmtId="0" fontId="9" fillId="0" borderId="17" xfId="0" applyFont="1" applyBorder="1" applyAlignment="1">
      <alignment horizontal="left"/>
    </xf>
    <xf numFmtId="0" fontId="9" fillId="0" borderId="17" xfId="0" quotePrefix="1" applyFont="1" applyBorder="1" applyAlignment="1">
      <alignment horizontal="left"/>
    </xf>
    <xf numFmtId="0" fontId="66" fillId="8" borderId="17" xfId="0" applyFont="1" applyFill="1" applyBorder="1" applyAlignment="1">
      <alignment horizontal="center" vertical="center" wrapText="1"/>
    </xf>
    <xf numFmtId="0" fontId="47" fillId="5" borderId="39" xfId="0" applyFont="1" applyFill="1" applyBorder="1" applyAlignment="1">
      <alignment horizontal="center"/>
    </xf>
    <xf numFmtId="0" fontId="47" fillId="5" borderId="40" xfId="0" applyFont="1" applyFill="1" applyBorder="1" applyAlignment="1">
      <alignment horizontal="center"/>
    </xf>
    <xf numFmtId="0" fontId="47" fillId="5" borderId="41" xfId="0" applyFont="1" applyFill="1" applyBorder="1" applyAlignment="1">
      <alignment horizontal="center"/>
    </xf>
    <xf numFmtId="0" fontId="28" fillId="31" borderId="198" xfId="0" applyFont="1" applyFill="1" applyBorder="1" applyAlignment="1">
      <alignment horizontal="center" vertical="center" wrapText="1"/>
    </xf>
    <xf numFmtId="0" fontId="28" fillId="31" borderId="199" xfId="0" applyFont="1" applyFill="1" applyBorder="1" applyAlignment="1">
      <alignment horizontal="center" vertical="center" wrapText="1"/>
    </xf>
    <xf numFmtId="0" fontId="28" fillId="31" borderId="209" xfId="0" applyFont="1" applyFill="1" applyBorder="1" applyAlignment="1">
      <alignment horizontal="center" vertical="center" wrapText="1"/>
    </xf>
    <xf numFmtId="0" fontId="47" fillId="5" borderId="219" xfId="0" applyFont="1" applyFill="1" applyBorder="1" applyAlignment="1">
      <alignment horizontal="center"/>
    </xf>
    <xf numFmtId="0" fontId="10" fillId="8" borderId="114" xfId="0" applyFont="1" applyFill="1" applyBorder="1" applyAlignment="1">
      <alignment horizontal="center" vertical="center" wrapText="1"/>
    </xf>
    <xf numFmtId="0" fontId="10" fillId="8" borderId="111" xfId="0" applyFont="1" applyFill="1" applyBorder="1" applyAlignment="1">
      <alignment horizontal="center" vertical="center" wrapText="1"/>
    </xf>
    <xf numFmtId="0" fontId="9" fillId="8" borderId="247" xfId="0" applyFont="1" applyFill="1" applyBorder="1" applyAlignment="1">
      <alignment horizontal="center" vertical="center" wrapText="1"/>
    </xf>
    <xf numFmtId="0" fontId="0" fillId="8" borderId="245" xfId="0" applyFill="1" applyBorder="1" applyAlignment="1">
      <alignment horizontal="center" vertical="center" wrapText="1"/>
    </xf>
    <xf numFmtId="0" fontId="0" fillId="8" borderId="246" xfId="0" applyFill="1" applyBorder="1" applyAlignment="1">
      <alignment horizontal="center" vertical="center" wrapText="1"/>
    </xf>
    <xf numFmtId="0" fontId="9" fillId="8" borderId="242" xfId="0" applyFont="1" applyFill="1" applyBorder="1" applyAlignment="1">
      <alignment horizontal="center" vertical="center" wrapText="1"/>
    </xf>
    <xf numFmtId="0" fontId="0" fillId="8" borderId="243" xfId="0" applyFill="1" applyBorder="1" applyAlignment="1">
      <alignment horizontal="center" vertical="center" wrapText="1"/>
    </xf>
    <xf numFmtId="0" fontId="0" fillId="8" borderId="244" xfId="0" applyFill="1" applyBorder="1" applyAlignment="1">
      <alignment horizontal="center" vertical="center" wrapText="1"/>
    </xf>
    <xf numFmtId="0" fontId="47" fillId="5" borderId="42" xfId="0" applyFont="1" applyFill="1" applyBorder="1" applyAlignment="1">
      <alignment horizontal="center"/>
    </xf>
    <xf numFmtId="0" fontId="47" fillId="5" borderId="0" xfId="0" applyFont="1" applyFill="1" applyAlignment="1">
      <alignment horizontal="center"/>
    </xf>
    <xf numFmtId="0" fontId="47" fillId="5" borderId="110" xfId="0" applyFont="1" applyFill="1" applyBorder="1" applyAlignment="1">
      <alignment horizontal="center"/>
    </xf>
    <xf numFmtId="0" fontId="28" fillId="31" borderId="125" xfId="0" applyFont="1" applyFill="1" applyBorder="1" applyAlignment="1">
      <alignment horizontal="center"/>
    </xf>
    <xf numFmtId="0" fontId="28" fillId="31" borderId="109" xfId="0" applyFont="1" applyFill="1" applyBorder="1" applyAlignment="1">
      <alignment horizontal="center"/>
    </xf>
    <xf numFmtId="0" fontId="28" fillId="31" borderId="173" xfId="0" applyFont="1" applyFill="1" applyBorder="1" applyAlignment="1">
      <alignment horizontal="center"/>
    </xf>
    <xf numFmtId="0" fontId="14" fillId="0" borderId="48" xfId="0" applyFont="1" applyBorder="1" applyAlignment="1">
      <alignment horizontal="left"/>
    </xf>
    <xf numFmtId="0" fontId="14" fillId="0" borderId="49" xfId="0" applyFont="1"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9" fillId="16" borderId="48" xfId="0" applyFont="1" applyFill="1" applyBorder="1" applyAlignment="1">
      <alignment horizontal="left"/>
    </xf>
    <xf numFmtId="0" fontId="9" fillId="16" borderId="49" xfId="0" applyFont="1" applyFill="1" applyBorder="1" applyAlignment="1">
      <alignment horizontal="left"/>
    </xf>
    <xf numFmtId="0" fontId="28" fillId="31" borderId="112" xfId="0" applyFont="1" applyFill="1" applyBorder="1" applyAlignment="1">
      <alignment horizontal="center"/>
    </xf>
    <xf numFmtId="0" fontId="28" fillId="31" borderId="126" xfId="0" applyFont="1" applyFill="1" applyBorder="1" applyAlignment="1">
      <alignment horizontal="center"/>
    </xf>
    <xf numFmtId="0" fontId="28" fillId="31" borderId="136" xfId="0" applyFont="1" applyFill="1" applyBorder="1" applyAlignment="1">
      <alignment horizontal="center"/>
    </xf>
    <xf numFmtId="182" fontId="45" fillId="12" borderId="115" xfId="16" applyNumberFormat="1" applyFont="1" applyFill="1" applyBorder="1" applyAlignment="1">
      <alignment horizontal="center" vertical="center"/>
    </xf>
    <xf numFmtId="182" fontId="45" fillId="12" borderId="135" xfId="16" applyNumberFormat="1" applyFont="1" applyFill="1" applyBorder="1" applyAlignment="1">
      <alignment horizontal="center" vertical="center"/>
    </xf>
    <xf numFmtId="182" fontId="45" fillId="12" borderId="112" xfId="16" applyNumberFormat="1" applyFont="1" applyFill="1" applyBorder="1" applyAlignment="1">
      <alignment horizontal="center" vertical="center"/>
    </xf>
    <xf numFmtId="182" fontId="45" fillId="12" borderId="136" xfId="16" applyNumberFormat="1" applyFont="1" applyFill="1" applyBorder="1" applyAlignment="1">
      <alignment horizontal="center" vertical="center"/>
    </xf>
    <xf numFmtId="182" fontId="45" fillId="12" borderId="113" xfId="16" applyNumberFormat="1" applyFont="1" applyFill="1" applyBorder="1" applyAlignment="1">
      <alignment horizontal="center" vertical="center"/>
    </xf>
    <xf numFmtId="182" fontId="45" fillId="12" borderId="110" xfId="16" applyNumberFormat="1" applyFont="1" applyFill="1" applyBorder="1" applyAlignment="1">
      <alignment horizontal="center" vertical="center"/>
    </xf>
    <xf numFmtId="0" fontId="47" fillId="5" borderId="21" xfId="0" applyFont="1" applyFill="1" applyBorder="1" applyAlignment="1">
      <alignment horizontal="center"/>
    </xf>
    <xf numFmtId="0" fontId="47" fillId="5" borderId="115" xfId="0" applyFont="1" applyFill="1" applyBorder="1" applyAlignment="1">
      <alignment horizontal="center"/>
    </xf>
    <xf numFmtId="0" fontId="47" fillId="5" borderId="169" xfId="0" applyFont="1" applyFill="1" applyBorder="1" applyAlignment="1">
      <alignment horizontal="center"/>
    </xf>
    <xf numFmtId="0" fontId="47" fillId="5" borderId="213" xfId="0" applyFont="1" applyFill="1" applyBorder="1" applyAlignment="1">
      <alignment horizontal="center"/>
    </xf>
    <xf numFmtId="182" fontId="10" fillId="0" borderId="114" xfId="16" applyNumberFormat="1" applyFont="1" applyBorder="1" applyAlignment="1">
      <alignment horizontal="center" vertical="center" wrapText="1"/>
    </xf>
    <xf numFmtId="182" fontId="10" fillId="0" borderId="194" xfId="16" applyNumberFormat="1" applyFont="1" applyBorder="1" applyAlignment="1">
      <alignment horizontal="center" vertical="center" wrapText="1"/>
    </xf>
    <xf numFmtId="182" fontId="10" fillId="0" borderId="111" xfId="16" applyNumberFormat="1" applyFont="1" applyBorder="1" applyAlignment="1">
      <alignment horizontal="center" vertical="center" wrapText="1"/>
    </xf>
    <xf numFmtId="182" fontId="10" fillId="0" borderId="193" xfId="16" applyNumberFormat="1" applyFont="1" applyBorder="1" applyAlignment="1">
      <alignment horizontal="center" vertical="center" wrapText="1"/>
    </xf>
    <xf numFmtId="9" fontId="45" fillId="12" borderId="216" xfId="16" applyFont="1" applyFill="1" applyBorder="1" applyAlignment="1">
      <alignment horizontal="center" vertical="center"/>
    </xf>
    <xf numFmtId="9" fontId="45" fillId="12" borderId="217" xfId="16" applyFont="1" applyFill="1" applyBorder="1" applyAlignment="1">
      <alignment horizontal="center" vertical="center"/>
    </xf>
    <xf numFmtId="9" fontId="45" fillId="12" borderId="218" xfId="16" applyFont="1" applyFill="1" applyBorder="1" applyAlignment="1">
      <alignment horizontal="center" vertical="center"/>
    </xf>
    <xf numFmtId="0" fontId="14" fillId="0" borderId="18" xfId="0" applyFont="1" applyBorder="1" applyAlignment="1">
      <alignment horizontal="center"/>
    </xf>
    <xf numFmtId="0" fontId="14" fillId="0" borderId="19" xfId="0" applyFont="1" applyBorder="1" applyAlignment="1">
      <alignment horizontal="center"/>
    </xf>
    <xf numFmtId="0" fontId="47" fillId="5" borderId="210" xfId="0" applyFont="1" applyFill="1" applyBorder="1" applyAlignment="1">
      <alignment horizontal="center"/>
    </xf>
    <xf numFmtId="0" fontId="11" fillId="0" borderId="67" xfId="11" applyBorder="1" applyAlignment="1" applyProtection="1">
      <alignment horizontal="center"/>
    </xf>
    <xf numFmtId="0" fontId="11" fillId="0" borderId="68" xfId="11" applyBorder="1" applyAlignment="1" applyProtection="1">
      <alignment horizontal="center"/>
    </xf>
    <xf numFmtId="0" fontId="14" fillId="23" borderId="62" xfId="0" applyFont="1" applyFill="1" applyBorder="1" applyAlignment="1">
      <alignment horizontal="center"/>
    </xf>
    <xf numFmtId="0" fontId="14" fillId="23" borderId="63" xfId="0" applyFont="1" applyFill="1" applyBorder="1" applyAlignment="1">
      <alignment horizontal="center"/>
    </xf>
    <xf numFmtId="0" fontId="63" fillId="0" borderId="67" xfId="0" applyFont="1" applyBorder="1" applyAlignment="1">
      <alignment horizontal="center"/>
    </xf>
    <xf numFmtId="0" fontId="14" fillId="0" borderId="69" xfId="0" applyFont="1" applyBorder="1" applyAlignment="1">
      <alignment horizontal="center"/>
    </xf>
    <xf numFmtId="0" fontId="14" fillId="0" borderId="68" xfId="0" applyFont="1" applyBorder="1" applyAlignment="1">
      <alignment horizontal="center"/>
    </xf>
    <xf numFmtId="0" fontId="14" fillId="0" borderId="67" xfId="0" applyFont="1" applyBorder="1" applyAlignment="1">
      <alignment horizontal="center" vertical="center"/>
    </xf>
    <xf numFmtId="0" fontId="14" fillId="0" borderId="68" xfId="0" applyFont="1" applyBorder="1" applyAlignment="1">
      <alignment horizontal="center" vertical="center"/>
    </xf>
    <xf numFmtId="0" fontId="14" fillId="23" borderId="64" xfId="0" applyFont="1" applyFill="1" applyBorder="1" applyAlignment="1">
      <alignment horizontal="center"/>
    </xf>
    <xf numFmtId="0" fontId="14" fillId="23" borderId="65" xfId="0" applyFont="1" applyFill="1" applyBorder="1" applyAlignment="1">
      <alignment horizontal="center"/>
    </xf>
    <xf numFmtId="0" fontId="14" fillId="23" borderId="66" xfId="0" applyFont="1" applyFill="1" applyBorder="1" applyAlignment="1">
      <alignment horizontal="center"/>
    </xf>
    <xf numFmtId="0" fontId="108" fillId="0" borderId="56" xfId="0" applyFont="1"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10" fontId="63" fillId="0" borderId="67" xfId="16" applyNumberFormat="1" applyFont="1" applyBorder="1" applyAlignment="1">
      <alignment horizontal="center"/>
    </xf>
    <xf numFmtId="10" fontId="63" fillId="0" borderId="69" xfId="16" applyNumberFormat="1" applyFont="1" applyBorder="1" applyAlignment="1">
      <alignment horizontal="center"/>
    </xf>
    <xf numFmtId="10" fontId="63" fillId="0" borderId="68" xfId="16" applyNumberFormat="1" applyFont="1" applyBorder="1" applyAlignment="1">
      <alignment horizontal="center"/>
    </xf>
    <xf numFmtId="0" fontId="63" fillId="0" borderId="69" xfId="0" applyFont="1" applyBorder="1" applyAlignment="1">
      <alignment horizontal="center"/>
    </xf>
    <xf numFmtId="0" fontId="63" fillId="0" borderId="68" xfId="0" applyFont="1" applyBorder="1" applyAlignment="1">
      <alignment horizontal="center"/>
    </xf>
    <xf numFmtId="0" fontId="131" fillId="0" borderId="53" xfId="11" applyFont="1" applyBorder="1" applyAlignment="1" applyProtection="1">
      <alignment horizontal="center" vertical="center" wrapText="1"/>
    </xf>
    <xf numFmtId="0" fontId="132" fillId="0" borderId="54" xfId="11" applyFont="1" applyBorder="1" applyAlignment="1" applyProtection="1">
      <alignment horizontal="center" vertical="center"/>
    </xf>
    <xf numFmtId="0" fontId="132" fillId="0" borderId="42" xfId="11" applyFont="1" applyBorder="1" applyAlignment="1" applyProtection="1">
      <alignment horizontal="center" vertical="center"/>
    </xf>
    <xf numFmtId="0" fontId="132" fillId="0" borderId="0" xfId="11" applyFont="1" applyBorder="1" applyAlignment="1" applyProtection="1">
      <alignment horizontal="center" vertical="center"/>
    </xf>
    <xf numFmtId="0" fontId="132" fillId="0" borderId="56" xfId="11" applyFont="1" applyBorder="1" applyAlignment="1" applyProtection="1">
      <alignment horizontal="center" vertical="center"/>
    </xf>
    <xf numFmtId="0" fontId="132" fillId="0" borderId="60" xfId="11" applyFont="1" applyBorder="1" applyAlignment="1" applyProtection="1">
      <alignment horizontal="center" vertical="center"/>
    </xf>
    <xf numFmtId="0" fontId="0" fillId="0" borderId="271" xfId="0" applyBorder="1" applyAlignment="1">
      <alignment horizontal="center" vertical="center" wrapText="1"/>
    </xf>
    <xf numFmtId="0" fontId="0" fillId="0" borderId="272" xfId="0" applyBorder="1" applyAlignment="1">
      <alignment horizontal="center" vertical="center" wrapText="1"/>
    </xf>
    <xf numFmtId="0" fontId="0" fillId="0" borderId="273" xfId="0" applyBorder="1" applyAlignment="1">
      <alignment horizontal="center" vertical="center" wrapText="1"/>
    </xf>
    <xf numFmtId="0" fontId="0" fillId="0" borderId="240" xfId="0" applyBorder="1" applyAlignment="1">
      <alignment horizontal="center" vertical="center" wrapText="1"/>
    </xf>
    <xf numFmtId="0" fontId="0" fillId="0" borderId="101" xfId="0" applyBorder="1" applyAlignment="1">
      <alignment horizontal="center" vertical="center" wrapText="1"/>
    </xf>
    <xf numFmtId="0" fontId="0" fillId="0" borderId="241" xfId="0" applyBorder="1" applyAlignment="1">
      <alignment horizontal="center" vertical="center" wrapText="1"/>
    </xf>
    <xf numFmtId="0" fontId="14" fillId="0" borderId="70" xfId="0" applyFont="1" applyBorder="1" applyAlignment="1">
      <alignment horizontal="center" vertical="center"/>
    </xf>
    <xf numFmtId="0" fontId="14" fillId="0" borderId="71" xfId="0" applyFont="1" applyBorder="1" applyAlignment="1">
      <alignment horizontal="center" vertical="center"/>
    </xf>
    <xf numFmtId="10" fontId="14" fillId="0" borderId="70" xfId="16" applyNumberFormat="1" applyFont="1" applyBorder="1" applyAlignment="1">
      <alignment horizontal="center"/>
    </xf>
    <xf numFmtId="10" fontId="14" fillId="0" borderId="72" xfId="16" applyNumberFormat="1" applyFont="1" applyBorder="1" applyAlignment="1">
      <alignment horizontal="center"/>
    </xf>
    <xf numFmtId="0" fontId="32" fillId="5" borderId="57" xfId="0" applyFont="1" applyFill="1" applyBorder="1" applyAlignment="1">
      <alignment horizontal="center"/>
    </xf>
    <xf numFmtId="0" fontId="32" fillId="5" borderId="58" xfId="0" applyFont="1" applyFill="1" applyBorder="1" applyAlignment="1">
      <alignment horizontal="center"/>
    </xf>
    <xf numFmtId="0" fontId="32" fillId="5" borderId="59" xfId="0" applyFont="1" applyFill="1" applyBorder="1" applyAlignment="1">
      <alignment horizontal="center"/>
    </xf>
    <xf numFmtId="10" fontId="14" fillId="0" borderId="71" xfId="16" applyNumberFormat="1" applyFont="1" applyBorder="1" applyAlignment="1">
      <alignment horizontal="center"/>
    </xf>
    <xf numFmtId="0" fontId="14" fillId="0" borderId="67" xfId="0" applyFont="1" applyBorder="1" applyAlignment="1">
      <alignment horizontal="center"/>
    </xf>
    <xf numFmtId="10" fontId="14" fillId="0" borderId="67" xfId="16" applyNumberFormat="1" applyFont="1" applyBorder="1" applyAlignment="1">
      <alignment horizontal="center"/>
    </xf>
    <xf numFmtId="10" fontId="14" fillId="0" borderId="69" xfId="16" applyNumberFormat="1" applyFont="1" applyBorder="1" applyAlignment="1">
      <alignment horizontal="center"/>
    </xf>
    <xf numFmtId="10" fontId="14" fillId="0" borderId="68" xfId="16" applyNumberFormat="1" applyFont="1" applyBorder="1" applyAlignment="1">
      <alignment horizontal="center"/>
    </xf>
    <xf numFmtId="10" fontId="125" fillId="0" borderId="67" xfId="16" applyNumberFormat="1" applyFont="1" applyBorder="1" applyAlignment="1">
      <alignment horizontal="center"/>
    </xf>
    <xf numFmtId="0" fontId="14" fillId="14" borderId="57" xfId="0" applyFont="1" applyFill="1" applyBorder="1" applyAlignment="1">
      <alignment horizontal="center"/>
    </xf>
    <xf numFmtId="0" fontId="14" fillId="14" borderId="58" xfId="0" applyFont="1" applyFill="1" applyBorder="1" applyAlignment="1">
      <alignment horizontal="center"/>
    </xf>
    <xf numFmtId="0" fontId="14" fillId="14" borderId="59" xfId="0" applyFont="1" applyFill="1" applyBorder="1" applyAlignment="1">
      <alignment horizontal="center"/>
    </xf>
    <xf numFmtId="0" fontId="10" fillId="0" borderId="57" xfId="0" applyFont="1" applyBorder="1" applyAlignment="1">
      <alignment horizontal="center" vertical="center"/>
    </xf>
    <xf numFmtId="0" fontId="10" fillId="0" borderId="59" xfId="0" applyFont="1" applyBorder="1" applyAlignment="1">
      <alignment horizontal="center" vertical="center"/>
    </xf>
    <xf numFmtId="0" fontId="0" fillId="0" borderId="176" xfId="0" applyBorder="1" applyAlignment="1">
      <alignment horizontal="center" vertical="center" wrapText="1"/>
    </xf>
    <xf numFmtId="0" fontId="0" fillId="0" borderId="148" xfId="0" applyBorder="1" applyAlignment="1">
      <alignment horizontal="center" vertical="center" wrapText="1"/>
    </xf>
    <xf numFmtId="0" fontId="0" fillId="0" borderId="79" xfId="0" applyBorder="1" applyAlignment="1">
      <alignment horizontal="center" vertical="center" wrapText="1"/>
    </xf>
    <xf numFmtId="0" fontId="0" fillId="0" borderId="82" xfId="0" applyBorder="1" applyAlignment="1">
      <alignment horizontal="center" vertical="center" wrapText="1"/>
    </xf>
    <xf numFmtId="0" fontId="0" fillId="0" borderId="33" xfId="0" applyBorder="1" applyAlignment="1">
      <alignment horizontal="center" vertical="center" wrapText="1"/>
    </xf>
    <xf numFmtId="0" fontId="35" fillId="0" borderId="82" xfId="0" applyFont="1" applyBorder="1" applyAlignment="1">
      <alignment horizontal="center" vertical="center" wrapText="1"/>
    </xf>
    <xf numFmtId="0" fontId="32" fillId="5" borderId="53" xfId="0" applyFont="1" applyFill="1" applyBorder="1" applyAlignment="1">
      <alignment horizontal="center"/>
    </xf>
    <xf numFmtId="0" fontId="32" fillId="5" borderId="54" xfId="0" applyFont="1" applyFill="1" applyBorder="1" applyAlignment="1">
      <alignment horizontal="center"/>
    </xf>
    <xf numFmtId="0" fontId="32" fillId="5" borderId="57" xfId="0" applyFont="1" applyFill="1" applyBorder="1" applyAlignment="1">
      <alignment horizontal="center" vertical="center"/>
    </xf>
    <xf numFmtId="0" fontId="32" fillId="5" borderId="58" xfId="0" applyFont="1" applyFill="1" applyBorder="1" applyAlignment="1">
      <alignment horizontal="center" vertical="center"/>
    </xf>
    <xf numFmtId="0" fontId="32" fillId="5" borderId="61" xfId="0" applyFont="1" applyFill="1" applyBorder="1" applyAlignment="1">
      <alignment horizontal="center" vertical="center"/>
    </xf>
    <xf numFmtId="0" fontId="14" fillId="14" borderId="53" xfId="0" applyFont="1" applyFill="1" applyBorder="1" applyAlignment="1">
      <alignment horizontal="center"/>
    </xf>
    <xf numFmtId="0" fontId="14" fillId="14" borderId="54" xfId="0" applyFont="1" applyFill="1" applyBorder="1" applyAlignment="1">
      <alignment horizontal="center"/>
    </xf>
    <xf numFmtId="0" fontId="14" fillId="14" borderId="55" xfId="0" applyFont="1" applyFill="1" applyBorder="1" applyAlignment="1">
      <alignment horizontal="center"/>
    </xf>
    <xf numFmtId="0" fontId="14" fillId="0" borderId="69" xfId="0" applyFont="1" applyBorder="1" applyAlignment="1">
      <alignment horizontal="center" vertical="center"/>
    </xf>
    <xf numFmtId="0" fontId="32" fillId="5" borderId="42" xfId="0" applyFont="1" applyFill="1" applyBorder="1" applyAlignment="1">
      <alignment horizontal="center"/>
    </xf>
    <xf numFmtId="0" fontId="32" fillId="5" borderId="0" xfId="0" applyFont="1" applyFill="1" applyAlignment="1">
      <alignment horizontal="center"/>
    </xf>
    <xf numFmtId="0" fontId="32" fillId="5" borderId="43" xfId="0" applyFont="1" applyFill="1" applyBorder="1" applyAlignment="1">
      <alignment horizontal="center"/>
    </xf>
    <xf numFmtId="0" fontId="46" fillId="5" borderId="0" xfId="0" applyFont="1" applyFill="1" applyAlignment="1">
      <alignment horizontal="center"/>
    </xf>
    <xf numFmtId="0" fontId="32" fillId="18" borderId="42" xfId="0" applyFont="1" applyFill="1" applyBorder="1" applyAlignment="1">
      <alignment horizontal="center"/>
    </xf>
    <xf numFmtId="0" fontId="32" fillId="18" borderId="0" xfId="0" applyFont="1" applyFill="1" applyAlignment="1">
      <alignment horizontal="center"/>
    </xf>
    <xf numFmtId="0" fontId="46" fillId="5" borderId="53" xfId="0" applyFont="1" applyFill="1" applyBorder="1" applyAlignment="1">
      <alignment horizontal="center"/>
    </xf>
    <xf numFmtId="0" fontId="46" fillId="5" borderId="54" xfId="0" applyFont="1" applyFill="1" applyBorder="1" applyAlignment="1">
      <alignment horizontal="center"/>
    </xf>
    <xf numFmtId="0" fontId="46" fillId="30" borderId="58" xfId="0" applyFont="1" applyFill="1" applyBorder="1" applyAlignment="1">
      <alignment horizontal="center"/>
    </xf>
    <xf numFmtId="0" fontId="46" fillId="30" borderId="59" xfId="0" applyFont="1" applyFill="1" applyBorder="1" applyAlignment="1">
      <alignment horizontal="center"/>
    </xf>
    <xf numFmtId="0" fontId="82" fillId="0" borderId="95" xfId="0" applyFont="1" applyBorder="1" applyAlignment="1">
      <alignment horizontal="center" vertical="center" wrapText="1"/>
    </xf>
    <xf numFmtId="0" fontId="36" fillId="0" borderId="96" xfId="0" applyFont="1" applyBorder="1" applyAlignment="1">
      <alignment horizontal="center" vertical="center" wrapText="1"/>
    </xf>
    <xf numFmtId="0" fontId="36" fillId="0" borderId="230" xfId="0" applyFont="1" applyBorder="1" applyAlignment="1">
      <alignment horizontal="center" vertical="center" wrapText="1"/>
    </xf>
    <xf numFmtId="0" fontId="50" fillId="5" borderId="50" xfId="0" applyFont="1" applyFill="1" applyBorder="1" applyAlignment="1">
      <alignment horizontal="center"/>
    </xf>
    <xf numFmtId="0" fontId="9" fillId="44" borderId="252" xfId="0" applyFont="1" applyFill="1" applyBorder="1" applyAlignment="1">
      <alignment horizontal="center" vertical="center" wrapText="1"/>
    </xf>
    <xf numFmtId="0" fontId="9" fillId="44" borderId="253" xfId="0" applyFont="1" applyFill="1" applyBorder="1" applyAlignment="1">
      <alignment horizontal="center" vertical="center" wrapText="1"/>
    </xf>
    <xf numFmtId="0" fontId="9" fillId="38" borderId="252" xfId="0" applyFont="1" applyFill="1" applyBorder="1" applyAlignment="1">
      <alignment horizontal="center" vertical="center" wrapText="1"/>
    </xf>
    <xf numFmtId="0" fontId="9" fillId="38" borderId="253" xfId="0" applyFont="1" applyFill="1" applyBorder="1" applyAlignment="1">
      <alignment horizontal="center" vertical="center" wrapText="1"/>
    </xf>
    <xf numFmtId="0" fontId="9" fillId="43" borderId="252" xfId="0" applyFont="1" applyFill="1" applyBorder="1" applyAlignment="1">
      <alignment horizontal="center" vertical="center" wrapText="1"/>
    </xf>
    <xf numFmtId="0" fontId="9" fillId="43" borderId="261" xfId="0" applyFont="1" applyFill="1" applyBorder="1" applyAlignment="1">
      <alignment horizontal="center" vertical="center" wrapText="1"/>
    </xf>
    <xf numFmtId="0" fontId="71" fillId="0" borderId="262" xfId="0" applyFont="1" applyBorder="1" applyAlignment="1">
      <alignment horizontal="center" vertical="center" wrapText="1"/>
    </xf>
    <xf numFmtId="0" fontId="71" fillId="0" borderId="263" xfId="0" applyFont="1" applyBorder="1" applyAlignment="1">
      <alignment horizontal="center" vertical="center" wrapText="1"/>
    </xf>
    <xf numFmtId="0" fontId="71" fillId="0" borderId="264" xfId="0" applyFont="1" applyBorder="1" applyAlignment="1">
      <alignment horizontal="center" vertical="center" wrapText="1"/>
    </xf>
    <xf numFmtId="0" fontId="71" fillId="0" borderId="265" xfId="0" applyFont="1" applyBorder="1" applyAlignment="1">
      <alignment horizontal="center" vertical="center" wrapText="1"/>
    </xf>
    <xf numFmtId="0" fontId="71" fillId="0" borderId="266" xfId="0" applyFont="1" applyBorder="1" applyAlignment="1">
      <alignment horizontal="center" vertical="center" wrapText="1"/>
    </xf>
    <xf numFmtId="0" fontId="71" fillId="0" borderId="61" xfId="0" applyFont="1" applyBorder="1" applyAlignment="1">
      <alignment horizontal="center" vertical="center" wrapText="1"/>
    </xf>
    <xf numFmtId="0" fontId="26" fillId="43" borderId="252" xfId="0" applyFont="1" applyFill="1" applyBorder="1" applyAlignment="1">
      <alignment horizontal="center" vertical="center" wrapText="1"/>
    </xf>
    <xf numFmtId="0" fontId="26" fillId="43" borderId="261" xfId="0" applyFont="1" applyFill="1" applyBorder="1" applyAlignment="1">
      <alignment horizontal="center" vertical="center" wrapText="1"/>
    </xf>
    <xf numFmtId="9" fontId="79" fillId="30" borderId="166" xfId="16" applyFont="1" applyFill="1" applyBorder="1" applyAlignment="1">
      <alignment horizontal="center" vertical="center"/>
    </xf>
    <xf numFmtId="9" fontId="79" fillId="30" borderId="101" xfId="16" applyFont="1" applyFill="1" applyBorder="1" applyAlignment="1">
      <alignment horizontal="center" vertical="center"/>
    </xf>
    <xf numFmtId="9" fontId="79" fillId="30" borderId="191" xfId="16" applyFont="1" applyFill="1" applyBorder="1" applyAlignment="1">
      <alignment horizontal="center" vertical="center"/>
    </xf>
    <xf numFmtId="9" fontId="79" fillId="30" borderId="102" xfId="16" applyFont="1" applyFill="1" applyBorder="1" applyAlignment="1">
      <alignment horizontal="center" vertical="center"/>
    </xf>
    <xf numFmtId="9" fontId="79" fillId="30" borderId="189" xfId="16" applyFont="1" applyFill="1" applyBorder="1" applyAlignment="1">
      <alignment horizontal="center" vertical="center"/>
    </xf>
    <xf numFmtId="9" fontId="79" fillId="30" borderId="168" xfId="16" applyFont="1" applyFill="1" applyBorder="1" applyAlignment="1">
      <alignment horizontal="center" vertical="center"/>
    </xf>
    <xf numFmtId="0" fontId="79" fillId="30" borderId="102" xfId="0" applyFont="1" applyFill="1" applyBorder="1" applyAlignment="1">
      <alignment horizontal="center" vertical="center"/>
    </xf>
    <xf numFmtId="0" fontId="79" fillId="30" borderId="189" xfId="0" applyFont="1" applyFill="1" applyBorder="1" applyAlignment="1">
      <alignment horizontal="center" vertical="center"/>
    </xf>
    <xf numFmtId="0" fontId="79" fillId="30" borderId="38" xfId="0" applyFont="1" applyFill="1" applyBorder="1" applyAlignment="1">
      <alignment horizontal="center" vertical="center"/>
    </xf>
    <xf numFmtId="0" fontId="79" fillId="30" borderId="38" xfId="33" applyFont="1" applyFill="1" applyBorder="1" applyAlignment="1">
      <alignment horizontal="center" vertical="center"/>
    </xf>
    <xf numFmtId="9" fontId="76" fillId="34" borderId="36" xfId="16" quotePrefix="1" applyFont="1" applyFill="1" applyBorder="1" applyAlignment="1">
      <alignment horizontal="center" vertical="center" wrapText="1"/>
    </xf>
    <xf numFmtId="9" fontId="76" fillId="34" borderId="37" xfId="16" applyFont="1" applyFill="1" applyBorder="1" applyAlignment="1">
      <alignment horizontal="center" vertical="center" wrapText="1"/>
    </xf>
    <xf numFmtId="191" fontId="0" fillId="0" borderId="36" xfId="0" applyNumberFormat="1" applyBorder="1" applyAlignment="1">
      <alignment horizontal="center" vertical="center"/>
    </xf>
    <xf numFmtId="191" fontId="0" fillId="0" borderId="37" xfId="0" applyNumberFormat="1" applyBorder="1" applyAlignment="1">
      <alignment horizontal="center" vertical="center"/>
    </xf>
    <xf numFmtId="0" fontId="64" fillId="0" borderId="36" xfId="0" applyFont="1" applyBorder="1" applyAlignment="1">
      <alignment horizontal="center" vertical="center"/>
    </xf>
    <xf numFmtId="0" fontId="64" fillId="0" borderId="1" xfId="0" applyFont="1" applyBorder="1" applyAlignment="1">
      <alignment horizontal="center" vertical="center"/>
    </xf>
    <xf numFmtId="0" fontId="64" fillId="0" borderId="37" xfId="0" applyFont="1" applyBorder="1" applyAlignment="1">
      <alignment horizontal="center" vertical="center"/>
    </xf>
    <xf numFmtId="0" fontId="79" fillId="30" borderId="28" xfId="0" applyFont="1" applyFill="1" applyBorder="1" applyAlignment="1">
      <alignment horizontal="center" vertical="center"/>
    </xf>
    <xf numFmtId="0" fontId="79" fillId="30" borderId="5" xfId="0" applyFont="1" applyFill="1" applyBorder="1" applyAlignment="1">
      <alignment horizontal="center" vertical="center"/>
    </xf>
    <xf numFmtId="0" fontId="79" fillId="30" borderId="29" xfId="0" applyFont="1" applyFill="1" applyBorder="1" applyAlignment="1">
      <alignment horizontal="center" vertical="center"/>
    </xf>
    <xf numFmtId="9" fontId="76" fillId="12" borderId="32" xfId="16" applyFont="1" applyFill="1" applyBorder="1" applyAlignment="1">
      <alignment horizontal="center" vertical="center"/>
    </xf>
    <xf numFmtId="9" fontId="76" fillId="12" borderId="2" xfId="16" applyFont="1" applyFill="1" applyBorder="1" applyAlignment="1">
      <alignment horizontal="center" vertical="center"/>
    </xf>
    <xf numFmtId="0" fontId="79" fillId="30" borderId="3" xfId="0" applyFont="1" applyFill="1" applyBorder="1" applyAlignment="1">
      <alignment horizontal="center" vertical="center"/>
    </xf>
    <xf numFmtId="0" fontId="79" fillId="30" borderId="3" xfId="0" quotePrefix="1" applyFont="1" applyFill="1" applyBorder="1" applyAlignment="1">
      <alignment horizontal="center" vertical="center"/>
    </xf>
    <xf numFmtId="2" fontId="76" fillId="12" borderId="2" xfId="0" applyNumberFormat="1" applyFont="1" applyFill="1" applyBorder="1" applyAlignment="1">
      <alignment horizontal="center" vertical="center"/>
    </xf>
    <xf numFmtId="0" fontId="17" fillId="18" borderId="97" xfId="1" applyFill="1" applyBorder="1" applyAlignment="1">
      <alignment horizontal="center" vertical="center" readingOrder="1"/>
    </xf>
    <xf numFmtId="0" fontId="53" fillId="18" borderId="97" xfId="26" applyFont="1" applyFill="1" applyBorder="1" applyAlignment="1">
      <alignment horizontal="center"/>
    </xf>
    <xf numFmtId="0" fontId="28" fillId="5" borderId="121" xfId="26" applyFont="1" applyFill="1" applyBorder="1" applyAlignment="1">
      <alignment horizontal="center" vertical="center"/>
    </xf>
    <xf numFmtId="0" fontId="28" fillId="5" borderId="24" xfId="26" applyFont="1" applyFill="1" applyBorder="1" applyAlignment="1">
      <alignment horizontal="center" vertical="center"/>
    </xf>
    <xf numFmtId="0" fontId="28" fillId="5" borderId="25" xfId="26" applyFont="1" applyFill="1" applyBorder="1" applyAlignment="1">
      <alignment horizontal="center" vertical="center"/>
    </xf>
    <xf numFmtId="0" fontId="30" fillId="0" borderId="122" xfId="26" applyFont="1" applyBorder="1" applyAlignment="1">
      <alignment horizontal="center" vertical="center" wrapText="1"/>
    </xf>
    <xf numFmtId="0" fontId="30" fillId="0" borderId="123" xfId="26" applyFont="1" applyBorder="1" applyAlignment="1">
      <alignment horizontal="center" vertical="center" wrapText="1"/>
    </xf>
    <xf numFmtId="0" fontId="30" fillId="0" borderId="124" xfId="26" applyFont="1" applyBorder="1" applyAlignment="1">
      <alignment horizontal="center" vertical="center" wrapText="1"/>
    </xf>
    <xf numFmtId="0" fontId="9" fillId="38" borderId="180" xfId="0" applyFont="1" applyFill="1" applyBorder="1" applyAlignment="1">
      <alignment horizontal="center"/>
    </xf>
    <xf numFmtId="0" fontId="9" fillId="38" borderId="181" xfId="0" applyFont="1" applyFill="1" applyBorder="1" applyAlignment="1">
      <alignment horizontal="center"/>
    </xf>
    <xf numFmtId="0" fontId="9" fillId="38" borderId="163" xfId="0" applyFont="1" applyFill="1" applyBorder="1" applyAlignment="1">
      <alignment horizontal="center"/>
    </xf>
    <xf numFmtId="0" fontId="64" fillId="0" borderId="3" xfId="29" applyFont="1" applyBorder="1" applyAlignment="1">
      <alignment horizontal="center" vertical="center"/>
    </xf>
    <xf numFmtId="0" fontId="64" fillId="0" borderId="2" xfId="29" applyFont="1" applyBorder="1" applyAlignment="1">
      <alignment horizontal="center" vertical="center"/>
    </xf>
    <xf numFmtId="0" fontId="55" fillId="35" borderId="0" xfId="0" applyFont="1" applyFill="1" applyAlignment="1">
      <alignment horizontal="left" vertical="center"/>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2" xfId="0" applyFont="1" applyBorder="1" applyAlignment="1">
      <alignment horizontal="center" vertical="center"/>
    </xf>
    <xf numFmtId="0" fontId="56" fillId="0" borderId="114" xfId="0" applyFont="1" applyBorder="1" applyAlignment="1">
      <alignment horizontal="center" vertical="center" wrapText="1"/>
    </xf>
    <xf numFmtId="0" fontId="56" fillId="0" borderId="111" xfId="0" applyFont="1" applyBorder="1" applyAlignment="1">
      <alignment horizontal="center" vertical="center" wrapText="1"/>
    </xf>
    <xf numFmtId="0" fontId="61" fillId="27" borderId="113" xfId="0" applyFont="1" applyFill="1" applyBorder="1" applyAlignment="1">
      <alignment horizontal="center"/>
    </xf>
    <xf numFmtId="0" fontId="61" fillId="27" borderId="125" xfId="0" applyFont="1" applyFill="1" applyBorder="1" applyAlignment="1">
      <alignment horizontal="center"/>
    </xf>
    <xf numFmtId="0" fontId="54" fillId="12" borderId="180" xfId="0" applyFont="1" applyFill="1" applyBorder="1" applyAlignment="1">
      <alignment horizontal="center"/>
    </xf>
    <xf numFmtId="0" fontId="54" fillId="12" borderId="181" xfId="0" applyFont="1" applyFill="1" applyBorder="1" applyAlignment="1">
      <alignment horizontal="center"/>
    </xf>
    <xf numFmtId="0" fontId="54" fillId="12" borderId="163" xfId="0" applyFont="1" applyFill="1" applyBorder="1" applyAlignment="1">
      <alignment horizontal="center"/>
    </xf>
    <xf numFmtId="0" fontId="54" fillId="38" borderId="180" xfId="0" applyFont="1" applyFill="1" applyBorder="1" applyAlignment="1">
      <alignment horizontal="center"/>
    </xf>
    <xf numFmtId="0" fontId="54" fillId="38" borderId="181" xfId="0" applyFont="1" applyFill="1" applyBorder="1" applyAlignment="1">
      <alignment horizontal="center"/>
    </xf>
    <xf numFmtId="0" fontId="54" fillId="38" borderId="163" xfId="0" applyFont="1" applyFill="1" applyBorder="1" applyAlignment="1">
      <alignment horizontal="center"/>
    </xf>
    <xf numFmtId="0" fontId="56" fillId="0" borderId="111" xfId="0" applyFont="1" applyBorder="1" applyAlignment="1">
      <alignment horizontal="center" vertical="center"/>
    </xf>
    <xf numFmtId="0" fontId="56" fillId="0" borderId="114" xfId="0" applyFont="1" applyBorder="1" applyAlignment="1">
      <alignment horizontal="center" vertical="center"/>
    </xf>
    <xf numFmtId="0" fontId="56" fillId="0" borderId="182" xfId="0" applyFont="1" applyBorder="1" applyAlignment="1">
      <alignment horizontal="center" vertical="center"/>
    </xf>
    <xf numFmtId="0" fontId="56" fillId="0" borderId="153" xfId="0" applyFont="1" applyBorder="1" applyAlignment="1">
      <alignment horizontal="center" vertical="center"/>
    </xf>
    <xf numFmtId="0" fontId="56" fillId="0" borderId="103" xfId="0" applyFont="1" applyBorder="1" applyAlignment="1">
      <alignment horizontal="center" vertical="center"/>
    </xf>
    <xf numFmtId="0" fontId="11" fillId="0" borderId="38" xfId="11" applyBorder="1" applyAlignment="1" applyProtection="1">
      <alignment horizontal="center"/>
    </xf>
    <xf numFmtId="10" fontId="63" fillId="0" borderId="38" xfId="16" applyNumberFormat="1" applyFont="1" applyBorder="1" applyAlignment="1">
      <alignment horizontal="center"/>
    </xf>
    <xf numFmtId="0" fontId="63" fillId="0" borderId="38" xfId="0" applyFont="1" applyBorder="1" applyAlignment="1">
      <alignment horizontal="center"/>
    </xf>
    <xf numFmtId="0" fontId="14" fillId="0" borderId="38" xfId="0" applyFont="1" applyBorder="1" applyAlignment="1">
      <alignment horizontal="center"/>
    </xf>
    <xf numFmtId="10" fontId="14" fillId="0" borderId="38" xfId="16" applyNumberFormat="1" applyFont="1" applyBorder="1" applyAlignment="1">
      <alignment horizontal="center"/>
    </xf>
    <xf numFmtId="10" fontId="125" fillId="0" borderId="38" xfId="16" applyNumberFormat="1" applyFont="1" applyBorder="1" applyAlignment="1">
      <alignment horizontal="center"/>
    </xf>
    <xf numFmtId="0" fontId="76" fillId="7" borderId="0" xfId="0" applyFont="1" applyFill="1" applyAlignment="1">
      <alignment horizontal="center"/>
    </xf>
    <xf numFmtId="14" fontId="120" fillId="0" borderId="0" xfId="0" applyNumberFormat="1" applyFont="1" applyAlignment="1">
      <alignment horizontal="center" wrapText="1"/>
    </xf>
    <xf numFmtId="14" fontId="120" fillId="0" borderId="142" xfId="0" applyNumberFormat="1" applyFont="1" applyBorder="1" applyAlignment="1">
      <alignment horizontal="center" wrapText="1"/>
    </xf>
    <xf numFmtId="0" fontId="14" fillId="0" borderId="0" xfId="24" applyFont="1" applyAlignment="1">
      <alignment horizontal="center" wrapText="1"/>
    </xf>
    <xf numFmtId="0" fontId="14" fillId="0" borderId="142" xfId="24" applyFont="1" applyBorder="1" applyAlignment="1">
      <alignment horizontal="center" wrapText="1"/>
    </xf>
    <xf numFmtId="0" fontId="44" fillId="0" borderId="0" xfId="0" applyFont="1" applyAlignment="1">
      <alignment horizontal="center"/>
    </xf>
    <xf numFmtId="0" fontId="10" fillId="0" borderId="0" xfId="0" applyFont="1" applyAlignment="1">
      <alignment horizontal="center"/>
    </xf>
    <xf numFmtId="0" fontId="40" fillId="0" borderId="0" xfId="0" applyFont="1" applyAlignment="1">
      <alignment horizontal="center"/>
    </xf>
    <xf numFmtId="0" fontId="14" fillId="0" borderId="3" xfId="0" applyFont="1" applyBorder="1" applyAlignment="1">
      <alignment horizontal="center"/>
    </xf>
    <xf numFmtId="0" fontId="14" fillId="0" borderId="2" xfId="0" applyFont="1" applyBorder="1" applyAlignment="1">
      <alignment horizontal="center"/>
    </xf>
    <xf numFmtId="0" fontId="14" fillId="0" borderId="28" xfId="0" applyFont="1" applyBorder="1" applyAlignment="1">
      <alignment horizontal="center"/>
    </xf>
    <xf numFmtId="0" fontId="14" fillId="0" borderId="5" xfId="0" applyFont="1" applyBorder="1" applyAlignment="1">
      <alignment horizontal="center"/>
    </xf>
    <xf numFmtId="0" fontId="14" fillId="0" borderId="29" xfId="0" applyFont="1" applyBorder="1" applyAlignment="1">
      <alignment horizontal="center"/>
    </xf>
    <xf numFmtId="184" fontId="36" fillId="19" borderId="0" xfId="0" applyNumberFormat="1" applyFont="1" applyFill="1" applyAlignment="1">
      <alignment horizontal="center"/>
    </xf>
    <xf numFmtId="0" fontId="36" fillId="0" borderId="0" xfId="0" applyFont="1" applyAlignment="1">
      <alignment horizontal="center"/>
    </xf>
    <xf numFmtId="0" fontId="24" fillId="0" borderId="0" xfId="0" applyFont="1" applyAlignment="1">
      <alignment horizontal="center"/>
    </xf>
    <xf numFmtId="184" fontId="24" fillId="0" borderId="0" xfId="0" applyNumberFormat="1" applyFont="1" applyAlignment="1">
      <alignment horizontal="center"/>
    </xf>
  </cellXfs>
  <cellStyles count="78">
    <cellStyle name="20% - 着色 1" xfId="51" builtinId="30" customBuiltin="1"/>
    <cellStyle name="20% - 着色 2" xfId="55" builtinId="34" customBuiltin="1"/>
    <cellStyle name="20% - 着色 3" xfId="59" builtinId="38" customBuiltin="1"/>
    <cellStyle name="20% - 着色 4" xfId="63" builtinId="42" customBuiltin="1"/>
    <cellStyle name="20% - 着色 5" xfId="67" builtinId="46" customBuiltin="1"/>
    <cellStyle name="20% - 着色 6" xfId="71" builtinId="50" customBuiltin="1"/>
    <cellStyle name="40% - 着色 1" xfId="52" builtinId="31" customBuiltin="1"/>
    <cellStyle name="40% - 着色 2" xfId="56" builtinId="35" customBuiltin="1"/>
    <cellStyle name="40% - 着色 3" xfId="60" builtinId="39" customBuiltin="1"/>
    <cellStyle name="40% - 着色 4" xfId="64" builtinId="43" customBuiltin="1"/>
    <cellStyle name="40% - 着色 5" xfId="68" builtinId="47" customBuiltin="1"/>
    <cellStyle name="40% - 着色 6" xfId="72" builtinId="51" customBuiltin="1"/>
    <cellStyle name="60% - 着色 1" xfId="53" builtinId="32" customBuiltin="1"/>
    <cellStyle name="60% - 着色 2" xfId="57" builtinId="36" customBuiltin="1"/>
    <cellStyle name="60% - 着色 3" xfId="61" builtinId="40" customBuiltin="1"/>
    <cellStyle name="60% - 着色 4" xfId="65" builtinId="44" customBuiltin="1"/>
    <cellStyle name="60% - 着色 5" xfId="69" builtinId="48" customBuiltin="1"/>
    <cellStyle name="60% - 着色 6" xfId="73" builtinId="52" customBuiltin="1"/>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Moneda 2" xfId="12" xr:uid="{00000000-0005-0000-0000-00000B000000}"/>
    <cellStyle name="Moneda 2 2" xfId="13" xr:uid="{00000000-0005-0000-0000-00000C00000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4" xfId="74" xr:uid="{73A91F6A-58AC-44E8-A0A0-B8E0C82FA265}"/>
    <cellStyle name="Normal 5" xfId="30" xr:uid="{E3BE1569-E214-4855-8BF5-B868B88B5743}"/>
    <cellStyle name="Normal 9" xfId="33" xr:uid="{CACD4D4E-2C7F-4816-9692-26D0FDD559DC}"/>
    <cellStyle name="Nota 2" xfId="75" xr:uid="{85989609-6E36-447B-9036-00DC4C6EA92B}"/>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 name="百分比" xfId="16" builtinId="5"/>
    <cellStyle name="标题" xfId="34" builtinId="15" customBuiltin="1"/>
    <cellStyle name="标题 1" xfId="35" builtinId="16" customBuiltin="1"/>
    <cellStyle name="标题 2" xfId="36" builtinId="17" customBuiltin="1"/>
    <cellStyle name="标题 3" xfId="37" builtinId="18" customBuiltin="1"/>
    <cellStyle name="标题 4" xfId="38" builtinId="19" customBuiltin="1"/>
    <cellStyle name="差" xfId="40" builtinId="27" customBuiltin="1"/>
    <cellStyle name="常规" xfId="0" builtinId="0"/>
    <cellStyle name="超链接" xfId="11" builtinId="8"/>
    <cellStyle name="好" xfId="39" builtinId="26" customBuiltin="1"/>
    <cellStyle name="汇总" xfId="49" builtinId="25" customBuiltin="1"/>
    <cellStyle name="货币" xfId="77" builtinId="4"/>
    <cellStyle name="计算" xfId="44" builtinId="22" customBuiltin="1"/>
    <cellStyle name="检查单元格" xfId="46" builtinId="23" customBuiltin="1"/>
    <cellStyle name="解释性文本" xfId="48" builtinId="53" customBuiltin="1"/>
    <cellStyle name="警告文本" xfId="47" builtinId="11" customBuiltin="1"/>
    <cellStyle name="链接单元格" xfId="45" builtinId="24" customBuiltin="1"/>
    <cellStyle name="千位分隔" xfId="76" builtinId="3"/>
    <cellStyle name="适中" xfId="41" builtinId="28" customBuiltin="1"/>
    <cellStyle name="输出" xfId="43" builtinId="21" customBuiltin="1"/>
    <cellStyle name="输入" xfId="42" builtinId="20" customBuiltin="1"/>
    <cellStyle name="着色 1" xfId="50" builtinId="29" customBuiltin="1"/>
    <cellStyle name="着色 2" xfId="54" builtinId="33" customBuiltin="1"/>
    <cellStyle name="着色 3" xfId="58" builtinId="37" customBuiltin="1"/>
    <cellStyle name="着色 4" xfId="62" builtinId="41" customBuiltin="1"/>
    <cellStyle name="着色 5" xfId="66" builtinId="45" customBuiltin="1"/>
    <cellStyle name="着色 6" xfId="70" builtinId="49" customBuiltin="1"/>
  </cellStyles>
  <dxfs count="598">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7" tint="0.59999389629810485"/>
        </patternFill>
      </fill>
      <alignment horizontal="center" vertical="center" textRotation="0" wrapText="0" indent="0" justifyLastLine="0" shrinkToFit="0" readingOrder="0"/>
    </dxf>
    <dxf>
      <font>
        <strike val="0"/>
        <outline val="0"/>
        <shadow val="0"/>
        <u val="none"/>
        <vertAlign val="baseline"/>
        <sz val="10"/>
        <color theme="1"/>
        <name val="Arial"/>
        <family val="2"/>
        <scheme val="none"/>
      </font>
      <fill>
        <patternFill patternType="solid">
          <fgColor indexed="64"/>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97" formatCode="#,##0_ ;\-#,##0\ "/>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 formatCode="#,##0"/>
      <fill>
        <patternFill patternType="solid">
          <fgColor indexed="64"/>
          <bgColor theme="0"/>
        </patternFill>
      </fill>
      <alignment horizontal="center" vertical="bottom" textRotation="0" wrapText="0" indent="0" justifyLastLine="0" shrinkToFit="0" readingOrder="0"/>
      <border>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color rgb="FF000000"/>
        <name val="Helvetica Neue"/>
        <family val="2"/>
      </font>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Helvetica Neue"/>
        <family val="2"/>
        <scheme val="none"/>
      </font>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font>
      <numFmt numFmtId="3" formatCode="#,##0"/>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4"/>
        <color theme="1"/>
      </font>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dxf>
    <dxf>
      <numFmt numFmtId="14" formatCode="0.00%"/>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78" formatCode="_-&quot;€&quot;* #,##0.00_-;\-&quot;€&quot;* #,##0.00_-;_-&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205" formatCode="dd/mm/yyyy"/>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val="0"/>
        <family val="2"/>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97"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Helvetica Neue"/>
        <family val="2"/>
        <scheme val="none"/>
      </font>
      <numFmt numFmtId="182"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Helvetica Neue"/>
        <family val="2"/>
        <scheme val="none"/>
      </font>
      <numFmt numFmtId="182"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Helvetica Neue"/>
        <family val="2"/>
        <scheme val="none"/>
      </font>
      <numFmt numFmtId="182"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Helvetica Neue"/>
        <family val="2"/>
        <scheme val="none"/>
      </font>
      <numFmt numFmtId="182" formatCode="0.0%"/>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Helvetica Neue"/>
        <family val="2"/>
        <scheme val="none"/>
      </font>
      <numFmt numFmtId="205" formatCode="dd/mm/yyyy"/>
      <fill>
        <patternFill>
          <fgColor indexed="64"/>
          <bgColor theme="0"/>
        </patternFill>
      </fill>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Helvetica Neue"/>
        <family val="2"/>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0"/>
        <color theme="1"/>
      </font>
      <fill>
        <patternFill patternType="solid">
          <fgColor indexed="64"/>
          <bgColor theme="3" tint="0.79998168889431442"/>
        </patternFill>
      </fill>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theme="1"/>
        <family val="2"/>
      </font>
      <numFmt numFmtId="197"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0"/>
        </patternFill>
      </fill>
      <alignment vertical="center" textRotation="0" wrapText="0" indent="0" justifyLastLine="0" shrinkToFit="0" readingOrder="0"/>
    </dxf>
    <dxf>
      <font>
        <strike val="0"/>
        <outline val="0"/>
        <shadow val="0"/>
        <u val="none"/>
        <vertAlign val="baseline"/>
        <sz val="10"/>
        <color theme="1"/>
      </font>
      <fill>
        <patternFill patternType="solid">
          <fgColor indexed="64"/>
          <bgColor theme="3" tint="0.79998168889431442"/>
        </patternFill>
      </fill>
      <alignment horizontal="center"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FF0000"/>
      <color rgb="FFFFEC9C"/>
      <color rgb="FFFFC7CE"/>
      <color rgb="FFC6F0CE"/>
      <color rgb="FF1F497D"/>
      <color rgb="FF00B050"/>
      <color rgb="FFFFFFFF"/>
      <color rgb="FFF2F2F2"/>
      <color rgb="FF4D4D4D"/>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Structure" Target="richData/rdrichvaluestructure.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Segments!$C$15:$C$16</c:f>
              <c:strCache>
                <c:ptCount val="2"/>
                <c:pt idx="0">
                  <c:v>Spodumene</c:v>
                </c:pt>
                <c:pt idx="1">
                  <c:v>Tantalite</c:v>
                </c:pt>
              </c:strCache>
            </c:strRef>
          </c:cat>
          <c:val>
            <c:numRef>
              <c:f>Segments!$D$15:$D$16</c:f>
              <c:numCache>
                <c:formatCode>"$"#,##0.00</c:formatCode>
                <c:ptCount val="2"/>
                <c:pt idx="0">
                  <c:v>4315.5330000000004</c:v>
                </c:pt>
                <c:pt idx="1">
                  <c:v>2.0630000000000002</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3975159355080616"/>
          <c:y val="0.73646744865654679"/>
          <c:w val="0.72049681289838774"/>
          <c:h val="0.22165110804448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Pilgan</c:v>
                </c:pt>
                <c:pt idx="1">
                  <c:v>Ngungaju</c:v>
                </c:pt>
              </c:strCache>
            </c:strRef>
          </c:cat>
          <c:val>
            <c:numRef>
              <c:f>Segments!$D$5:$D$6</c:f>
              <c:numCache>
                <c:formatCode>"$"#,##0.00</c:formatCode>
                <c:ptCount val="2"/>
                <c:pt idx="0">
                  <c:v>2829.4811724137935</c:v>
                </c:pt>
                <c:pt idx="1">
                  <c:v>1488.114827586207</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Peers!$C$22</c:f>
              <c:numCache>
                <c:formatCode>0.00</c:formatCode>
                <c:ptCount val="1"/>
                <c:pt idx="0">
                  <c:v>-0.92509762158324449</c:v>
                </c:pt>
              </c:numCache>
            </c:numRef>
          </c:xVal>
          <c:yVal>
            <c:numRef>
              <c:f>Peers!$C$41</c:f>
              <c:numCache>
                <c:formatCode>0.0</c:formatCode>
                <c:ptCount val="1"/>
                <c:pt idx="0">
                  <c:v>1.9515909897699035</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ALBEMARLE CORPORATION (XNYS:ALB)</c:v>
                </c:pt>
              </c:strCache>
            </c:strRef>
          </c:tx>
          <c:spPr>
            <a:ln w="25400" cap="rnd">
              <a:solidFill>
                <a:srgbClr val="FFFFFF"/>
              </a:solidFill>
              <a:prstDash val="solid"/>
              <a:round/>
            </a:ln>
            <a:effectLst/>
          </c:spPr>
          <c:marker>
            <c:symbol val="circle"/>
            <c:size val="5"/>
            <c:spPr>
              <a:solidFill>
                <a:srgbClr val="00B0F0"/>
              </a:solidFill>
              <a:ln w="9525">
                <a:solidFill>
                  <a:srgbClr val="00B0F0"/>
                </a:solidFill>
                <a:prstDash val="solid"/>
              </a:ln>
              <a:effectLst/>
            </c:spPr>
          </c:marker>
          <c:xVal>
            <c:numRef>
              <c:f>Peers!$D$22</c:f>
              <c:numCache>
                <c:formatCode>0.00</c:formatCode>
                <c:ptCount val="1"/>
                <c:pt idx="0">
                  <c:v>3.6234939759036147</c:v>
                </c:pt>
              </c:numCache>
            </c:numRef>
          </c:xVal>
          <c:yVal>
            <c:numRef>
              <c:f>Peers!$D$41</c:f>
              <c:numCache>
                <c:formatCode>0.0</c:formatCode>
                <c:ptCount val="1"/>
                <c:pt idx="0">
                  <c:v>17.590124090854292</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Peers!$E$22</c:f>
              <c:numCache>
                <c:formatCode>0.00</c:formatCode>
                <c:ptCount val="1"/>
                <c:pt idx="0">
                  <c:v>1.1779179810725553</c:v>
                </c:pt>
              </c:numCache>
            </c:numRef>
          </c:xVal>
          <c:yVal>
            <c:numRef>
              <c:f>Peers!$E$41</c:f>
              <c:numCache>
                <c:formatCode>0.0</c:formatCode>
                <c:ptCount val="1"/>
                <c:pt idx="0">
                  <c:v>4.5350691577287066</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Peers!$F$22</c:f>
              <c:numCache>
                <c:formatCode>0.00</c:formatCode>
                <c:ptCount val="1"/>
                <c:pt idx="0">
                  <c:v>1.0566757803599909</c:v>
                </c:pt>
              </c:numCache>
            </c:numRef>
          </c:xVal>
          <c:yVal>
            <c:numRef>
              <c:f>Peers!$F$41</c:f>
              <c:numCache>
                <c:formatCode>0.0</c:formatCode>
                <c:ptCount val="1"/>
                <c:pt idx="0">
                  <c:v>5.3629363180678977</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Arcadium Lithium (XASX:LTM)</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Peers!$G$22</c:f>
              <c:numCache>
                <c:formatCode>0.00</c:formatCode>
                <c:ptCount val="1"/>
                <c:pt idx="0">
                  <c:v>-0.54726735598227472</c:v>
                </c:pt>
              </c:numCache>
            </c:numRef>
          </c:xVal>
          <c:yVal>
            <c:numRef>
              <c:f>Peers!$G$41</c:f>
              <c:numCache>
                <c:formatCode>0.0</c:formatCode>
                <c:ptCount val="1"/>
                <c:pt idx="0">
                  <c:v>3.7098485967503696</c:v>
                </c:pt>
              </c:numCache>
            </c:numRef>
          </c:yVal>
          <c:smooth val="0"/>
          <c:extLst xmlns:c15="http://schemas.microsoft.com/office/drawing/2012/chart">
            <c:ext xmlns:c16="http://schemas.microsoft.com/office/drawing/2014/chart" uri="{C3380CC4-5D6E-409C-BE32-E72D297353CC}">
              <c16:uniqueId val="{00000005-B547-4DF9-892F-3129917FB3B3}"/>
            </c:ext>
          </c:extLst>
        </c:ser>
        <c:dLbls>
          <c:showLegendKey val="0"/>
          <c:showVal val="0"/>
          <c:showCatName val="0"/>
          <c:showSerName val="0"/>
          <c:showPercent val="0"/>
          <c:showBubbleSize val="0"/>
        </c:dLbls>
        <c:axId val="1571673951"/>
        <c:axId val="1289766175"/>
        <c:extLst>
          <c:ext xmlns:c15="http://schemas.microsoft.com/office/drawing/2012/chart" uri="{02D57815-91ED-43cb-92C2-25804820EDAC}">
            <c15:filteredScatterSeries>
              <c15:ser>
                <c:idx val="5"/>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6-B547-4DF9-892F-3129917FB3B3}"/>
                  </c:ext>
                </c:extLst>
              </c15:ser>
            </c15:filteredScatterSeries>
          </c:ext>
        </c:extLst>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Peers!$C$48</c:f>
              <c:numCache>
                <c:formatCode>0%</c:formatCode>
                <c:ptCount val="1"/>
                <c:pt idx="0">
                  <c:v>2.0096153846153846</c:v>
                </c:pt>
              </c:numCache>
            </c:numRef>
          </c:xVal>
          <c:yVal>
            <c:numRef>
              <c:f>Peers!$C$53</c:f>
              <c:numCache>
                <c:formatCode>0.00%</c:formatCode>
                <c:ptCount val="1"/>
                <c:pt idx="0">
                  <c:v>-182.93157894736842</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ALBEMARLE CORPORATION (XNYS:ALB)</c:v>
                </c:pt>
              </c:strCache>
            </c:strRef>
          </c:tx>
          <c:spPr>
            <a:ln w="25400" cap="rnd">
              <a:noFill/>
              <a:round/>
            </a:ln>
            <a:effectLst/>
          </c:spPr>
          <c:marker>
            <c:symbol val="circle"/>
            <c:size val="5"/>
            <c:spPr>
              <a:solidFill>
                <a:srgbClr val="00B0F0"/>
              </a:solidFill>
              <a:ln w="9525">
                <a:solidFill>
                  <a:srgbClr val="00B0F0"/>
                </a:solidFill>
                <a:prstDash val="solid"/>
              </a:ln>
              <a:effectLst/>
            </c:spPr>
          </c:marker>
          <c:xVal>
            <c:numRef>
              <c:f>Peers!$D$48</c:f>
              <c:numCache>
                <c:formatCode>0%</c:formatCode>
                <c:ptCount val="1"/>
                <c:pt idx="0">
                  <c:v>-0.30973307455397459</c:v>
                </c:pt>
              </c:numCache>
            </c:numRef>
          </c:xVal>
          <c:yVal>
            <c:numRef>
              <c:f>Peers!$D$53</c:f>
              <c:numCache>
                <c:formatCode>0.00%</c:formatCode>
                <c:ptCount val="1"/>
                <c:pt idx="0">
                  <c:v>1.7491322460199576</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Peers!$E$48</c:f>
              <c:numCache>
                <c:formatCode>0%</c:formatCode>
                <c:ptCount val="1"/>
                <c:pt idx="0">
                  <c:v>-0.31637806265512947</c:v>
                </c:pt>
              </c:numCache>
            </c:numRef>
          </c:xVal>
          <c:yVal>
            <c:numRef>
              <c:f>Peers!$E$53</c:f>
              <c:numCache>
                <c:formatCode>0.00%</c:formatCode>
                <c:ptCount val="1"/>
                <c:pt idx="0">
                  <c:v>8.8994731002558591</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Peers!$F$48</c:f>
              <c:numCache>
                <c:formatCode>0%</c:formatCode>
                <c:ptCount val="1"/>
                <c:pt idx="0">
                  <c:v>-6.2017434620174394E-2</c:v>
                </c:pt>
              </c:numCache>
            </c:numRef>
          </c:xVal>
          <c:yVal>
            <c:numRef>
              <c:f>Peers!$F$53</c:f>
              <c:numCache>
                <c:formatCode>0.00%</c:formatCode>
                <c:ptCount val="1"/>
                <c:pt idx="0">
                  <c:v>1.2766565758493105</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Arcadium Lithium (XASX:LTM)</c:v>
                </c:pt>
              </c:strCache>
            </c:strRef>
          </c:tx>
          <c:spPr>
            <a:ln w="25400" cap="rnd">
              <a:noFill/>
              <a:round/>
            </a:ln>
            <a:effectLst/>
          </c:spPr>
          <c:marker>
            <c:symbol val="circle"/>
            <c:size val="2"/>
            <c:spPr>
              <a:noFill/>
              <a:ln w="25400">
                <a:noFill/>
              </a:ln>
              <a:effectLst/>
            </c:spPr>
          </c:marker>
          <c:xVal>
            <c:numRef>
              <c:f>Peers!$G$48</c:f>
              <c:numCache>
                <c:formatCode>0%</c:formatCode>
                <c:ptCount val="1"/>
                <c:pt idx="0">
                  <c:v>-0.19405940594059401</c:v>
                </c:pt>
              </c:numCache>
            </c:numRef>
          </c:xVal>
          <c:yVal>
            <c:numRef>
              <c:f>Peers!$G$53</c:f>
              <c:numCache>
                <c:formatCode>0.00%</c:formatCode>
                <c:ptCount val="1"/>
                <c:pt idx="0">
                  <c:v>-27.807935076645627</c:v>
                </c:pt>
              </c:numCache>
            </c:numRef>
          </c:yVal>
          <c:smooth val="0"/>
          <c:extLst>
            <c:ext xmlns:c16="http://schemas.microsoft.com/office/drawing/2014/chart" uri="{C3380CC4-5D6E-409C-BE32-E72D297353CC}">
              <c16:uniqueId val="{00000005-A0AB-4E28-9E73-D8DF3D5B0514}"/>
            </c:ext>
          </c:extLst>
        </c:ser>
        <c:dLbls>
          <c:showLegendKey val="0"/>
          <c:showVal val="0"/>
          <c:showCatName val="0"/>
          <c:showSerName val="0"/>
          <c:showPercent val="0"/>
          <c:showBubbleSize val="0"/>
        </c:dLbls>
        <c:axId val="581212960"/>
        <c:axId val="581217120"/>
        <c:extLst>
          <c:ext xmlns:c15="http://schemas.microsoft.com/office/drawing/2012/chart" uri="{02D57815-91ED-43cb-92C2-25804820EDAC}">
            <c15:filteredScatterSeries>
              <c15:ser>
                <c:idx val="6"/>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2"/>
                  <c:spPr>
                    <a:noFill/>
                    <a:ln w="25400">
                      <a:no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6-A0AB-4E28-9E73-D8DF3D5B0514}"/>
                  </c:ext>
                </c:extLst>
              </c15:ser>
            </c15:filteredScatterSeries>
          </c:ext>
        </c:extLst>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9729146861805613"/>
          <c:h val="0.58915776036680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 (TTM)'!$C$8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 (TTM)'!$C$22</c:f>
              <c:numCache>
                <c:formatCode>0.00</c:formatCode>
                <c:ptCount val="1"/>
                <c:pt idx="0">
                  <c:v>-0.81506067835286788</c:v>
                </c:pt>
              </c:numCache>
            </c:numRef>
          </c:xVal>
          <c:yVal>
            <c:numRef>
              <c:f>'Peers (TTM)'!$C$41</c:f>
              <c:numCache>
                <c:formatCode>0.0</c:formatCode>
                <c:ptCount val="1"/>
                <c:pt idx="0">
                  <c:v>3.80790115133285</c:v>
                </c:pt>
              </c:numCache>
            </c:numRef>
          </c:yVal>
          <c:smooth val="0"/>
          <c:extLst>
            <c:ext xmlns:c16="http://schemas.microsoft.com/office/drawing/2014/chart" uri="{C3380CC4-5D6E-409C-BE32-E72D297353CC}">
              <c16:uniqueId val="{00000000-D248-49DA-94B6-F942258BD5F2}"/>
            </c:ext>
          </c:extLst>
        </c:ser>
        <c:ser>
          <c:idx val="1"/>
          <c:order val="1"/>
          <c:tx>
            <c:strRef>
              <c:f>'Peers (TTM)'!$D$8</c:f>
              <c:strCache>
                <c:ptCount val="1"/>
                <c:pt idx="0">
                  <c:v>ALBEMARLE CORPORATION (XNYS:ALB)</c:v>
                </c:pt>
              </c:strCache>
            </c:strRef>
          </c:tx>
          <c:spPr>
            <a:ln w="25400" cap="rnd">
              <a:solidFill>
                <a:srgbClr val="FFFFFF"/>
              </a:solidFill>
              <a:prstDash val="solid"/>
              <a:round/>
            </a:ln>
            <a:effectLst/>
          </c:spPr>
          <c:marker>
            <c:symbol val="circle"/>
            <c:size val="5"/>
            <c:spPr>
              <a:solidFill>
                <a:srgbClr val="00B0F0"/>
              </a:solidFill>
              <a:ln w="9525">
                <a:solidFill>
                  <a:srgbClr val="00B0F0"/>
                </a:solidFill>
                <a:prstDash val="solid"/>
              </a:ln>
              <a:effectLst/>
            </c:spPr>
          </c:marker>
          <c:xVal>
            <c:numRef>
              <c:f>'Peers (TTM)'!$D$22</c:f>
              <c:numCache>
                <c:formatCode>0.00</c:formatCode>
                <c:ptCount val="1"/>
                <c:pt idx="0">
                  <c:v>3.6234939759036147</c:v>
                </c:pt>
              </c:numCache>
            </c:numRef>
          </c:xVal>
          <c:yVal>
            <c:numRef>
              <c:f>'Peers (TTM)'!$D$41</c:f>
              <c:numCache>
                <c:formatCode>0.0</c:formatCode>
                <c:ptCount val="1"/>
                <c:pt idx="0">
                  <c:v>17.590124090854292</c:v>
                </c:pt>
              </c:numCache>
            </c:numRef>
          </c:yVal>
          <c:smooth val="0"/>
          <c:extLst>
            <c:ext xmlns:c16="http://schemas.microsoft.com/office/drawing/2014/chart" uri="{C3380CC4-5D6E-409C-BE32-E72D297353CC}">
              <c16:uniqueId val="{00000001-D248-49DA-94B6-F942258BD5F2}"/>
            </c:ext>
          </c:extLst>
        </c:ser>
        <c:ser>
          <c:idx val="2"/>
          <c:order val="2"/>
          <c:tx>
            <c:strRef>
              <c:f>'Peers (TTM)'!$E$8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 (TTM)'!$E$22</c:f>
              <c:numCache>
                <c:formatCode>0.00</c:formatCode>
                <c:ptCount val="1"/>
                <c:pt idx="0">
                  <c:v>1.1779179810725553</c:v>
                </c:pt>
              </c:numCache>
            </c:numRef>
          </c:xVal>
          <c:yVal>
            <c:numRef>
              <c:f>'Peers (TTM)'!$E$41</c:f>
              <c:numCache>
                <c:formatCode>0.0</c:formatCode>
                <c:ptCount val="1"/>
                <c:pt idx="0">
                  <c:v>4.5350691577287066</c:v>
                </c:pt>
              </c:numCache>
            </c:numRef>
          </c:yVal>
          <c:smooth val="0"/>
          <c:extLst>
            <c:ext xmlns:c16="http://schemas.microsoft.com/office/drawing/2014/chart" uri="{C3380CC4-5D6E-409C-BE32-E72D297353CC}">
              <c16:uniqueId val="{00000002-D248-49DA-94B6-F942258BD5F2}"/>
            </c:ext>
          </c:extLst>
        </c:ser>
        <c:ser>
          <c:idx val="3"/>
          <c:order val="3"/>
          <c:tx>
            <c:strRef>
              <c:f>'Peers (TTM)'!$F$8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 (TTM)'!$F$22</c:f>
              <c:numCache>
                <c:formatCode>0.00</c:formatCode>
                <c:ptCount val="1"/>
                <c:pt idx="0">
                  <c:v>2.5873513750091179</c:v>
                </c:pt>
              </c:numCache>
            </c:numRef>
          </c:xVal>
          <c:yVal>
            <c:numRef>
              <c:f>'Peers (TTM)'!$F$41</c:f>
              <c:numCache>
                <c:formatCode>0.0</c:formatCode>
                <c:ptCount val="1"/>
                <c:pt idx="0">
                  <c:v>8.1020285943540742</c:v>
                </c:pt>
              </c:numCache>
            </c:numRef>
          </c:yVal>
          <c:smooth val="0"/>
          <c:extLst>
            <c:ext xmlns:c16="http://schemas.microsoft.com/office/drawing/2014/chart" uri="{C3380CC4-5D6E-409C-BE32-E72D297353CC}">
              <c16:uniqueId val="{00000003-D248-49DA-94B6-F942258BD5F2}"/>
            </c:ext>
          </c:extLst>
        </c:ser>
        <c:ser>
          <c:idx val="4"/>
          <c:order val="4"/>
          <c:tx>
            <c:strRef>
              <c:f>'Peers (TTM)'!$G$8</c:f>
              <c:strCache>
                <c:ptCount val="1"/>
                <c:pt idx="0">
                  <c:v>Arcadium Lithium (XASX:LTM)</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 (TTM)'!$G$22</c:f>
              <c:numCache>
                <c:formatCode>0.00</c:formatCode>
                <c:ptCount val="1"/>
                <c:pt idx="0">
                  <c:v>-0.54726735598227472</c:v>
                </c:pt>
              </c:numCache>
            </c:numRef>
          </c:xVal>
          <c:yVal>
            <c:numRef>
              <c:f>'Peers (TTM)'!$G$41</c:f>
              <c:numCache>
                <c:formatCode>0.0</c:formatCode>
                <c:ptCount val="1"/>
                <c:pt idx="0">
                  <c:v>3.7098485967503696</c:v>
                </c:pt>
              </c:numCache>
            </c:numRef>
          </c:yVal>
          <c:smooth val="0"/>
          <c:extLst xmlns:c15="http://schemas.microsoft.com/office/drawing/2012/chart">
            <c:ext xmlns:c16="http://schemas.microsoft.com/office/drawing/2014/chart" uri="{C3380CC4-5D6E-409C-BE32-E72D297353CC}">
              <c16:uniqueId val="{00000004-D248-49DA-94B6-F942258BD5F2}"/>
            </c:ext>
          </c:extLst>
        </c:ser>
        <c:dLbls>
          <c:showLegendKey val="0"/>
          <c:showVal val="0"/>
          <c:showCatName val="0"/>
          <c:showSerName val="0"/>
          <c:showPercent val="0"/>
          <c:showBubbleSize val="0"/>
        </c:dLbls>
        <c:axId val="1571673951"/>
        <c:axId val="1289766175"/>
        <c:extLst>
          <c:ext xmlns:c15="http://schemas.microsoft.com/office/drawing/2012/chart" uri="{02D57815-91ED-43cb-92C2-25804820EDAC}">
            <c15:filteredScatterSeries>
              <c15:ser>
                <c:idx val="5"/>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5-D248-49DA-94B6-F942258BD5F2}"/>
                  </c:ext>
                </c:extLst>
              </c15:ser>
            </c15:filteredScatterSeries>
          </c:ext>
        </c:extLst>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 (TTM)'!$C$8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 (TTM)'!$C$48</c:f>
              <c:numCache>
                <c:formatCode>0%</c:formatCode>
                <c:ptCount val="1"/>
                <c:pt idx="0">
                  <c:v>2.0096153846153846</c:v>
                </c:pt>
              </c:numCache>
            </c:numRef>
          </c:xVal>
          <c:yVal>
            <c:numRef>
              <c:f>'Peers (TTM)'!$C$53</c:f>
              <c:numCache>
                <c:formatCode>0.00%</c:formatCode>
                <c:ptCount val="1"/>
                <c:pt idx="0">
                  <c:v>-182.93157894736842</c:v>
                </c:pt>
              </c:numCache>
            </c:numRef>
          </c:yVal>
          <c:smooth val="0"/>
          <c:extLst>
            <c:ext xmlns:c16="http://schemas.microsoft.com/office/drawing/2014/chart" uri="{C3380CC4-5D6E-409C-BE32-E72D297353CC}">
              <c16:uniqueId val="{00000000-8D9C-4740-9F4C-CCE19313A5AF}"/>
            </c:ext>
          </c:extLst>
        </c:ser>
        <c:ser>
          <c:idx val="1"/>
          <c:order val="1"/>
          <c:tx>
            <c:strRef>
              <c:f>'Peers (TTM)'!$D$8</c:f>
              <c:strCache>
                <c:ptCount val="1"/>
                <c:pt idx="0">
                  <c:v>ALBEMARLE CORPORATION (XNYS:ALB)</c:v>
                </c:pt>
              </c:strCache>
            </c:strRef>
          </c:tx>
          <c:spPr>
            <a:ln w="25400" cap="rnd">
              <a:noFill/>
              <a:round/>
            </a:ln>
            <a:effectLst/>
          </c:spPr>
          <c:marker>
            <c:symbol val="circle"/>
            <c:size val="5"/>
            <c:spPr>
              <a:solidFill>
                <a:srgbClr val="00B0F0"/>
              </a:solidFill>
              <a:ln w="9525">
                <a:solidFill>
                  <a:srgbClr val="00B0F0"/>
                </a:solidFill>
                <a:prstDash val="solid"/>
              </a:ln>
              <a:effectLst/>
            </c:spPr>
          </c:marker>
          <c:xVal>
            <c:numRef>
              <c:f>'Peers (TTM)'!$D$48</c:f>
              <c:numCache>
                <c:formatCode>0%</c:formatCode>
                <c:ptCount val="1"/>
                <c:pt idx="0">
                  <c:v>-0.30973307455397459</c:v>
                </c:pt>
              </c:numCache>
            </c:numRef>
          </c:xVal>
          <c:yVal>
            <c:numRef>
              <c:f>'Peers (TTM)'!$D$53</c:f>
              <c:numCache>
                <c:formatCode>0.00%</c:formatCode>
                <c:ptCount val="1"/>
                <c:pt idx="0">
                  <c:v>1.7491322460199576</c:v>
                </c:pt>
              </c:numCache>
            </c:numRef>
          </c:yVal>
          <c:smooth val="0"/>
          <c:extLst>
            <c:ext xmlns:c16="http://schemas.microsoft.com/office/drawing/2014/chart" uri="{C3380CC4-5D6E-409C-BE32-E72D297353CC}">
              <c16:uniqueId val="{00000001-8D9C-4740-9F4C-CCE19313A5AF}"/>
            </c:ext>
          </c:extLst>
        </c:ser>
        <c:ser>
          <c:idx val="2"/>
          <c:order val="2"/>
          <c:tx>
            <c:strRef>
              <c:f>'Peers (TTM)'!$E$8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 (TTM)'!$E$48</c:f>
              <c:numCache>
                <c:formatCode>0%</c:formatCode>
                <c:ptCount val="1"/>
                <c:pt idx="0">
                  <c:v>-0.31637806265512947</c:v>
                </c:pt>
              </c:numCache>
            </c:numRef>
          </c:xVal>
          <c:yVal>
            <c:numRef>
              <c:f>'Peers (TTM)'!$E$53</c:f>
              <c:numCache>
                <c:formatCode>0.00%</c:formatCode>
                <c:ptCount val="1"/>
                <c:pt idx="0">
                  <c:v>8.8994731002558591</c:v>
                </c:pt>
              </c:numCache>
            </c:numRef>
          </c:yVal>
          <c:smooth val="0"/>
          <c:extLst>
            <c:ext xmlns:c16="http://schemas.microsoft.com/office/drawing/2014/chart" uri="{C3380CC4-5D6E-409C-BE32-E72D297353CC}">
              <c16:uniqueId val="{00000002-8D9C-4740-9F4C-CCE19313A5AF}"/>
            </c:ext>
          </c:extLst>
        </c:ser>
        <c:ser>
          <c:idx val="3"/>
          <c:order val="3"/>
          <c:tx>
            <c:strRef>
              <c:f>'Peers (TTM)'!$F$8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 (TTM)'!$F$48</c:f>
              <c:numCache>
                <c:formatCode>0%</c:formatCode>
                <c:ptCount val="1"/>
                <c:pt idx="0">
                  <c:v>-6.2017434620174394E-2</c:v>
                </c:pt>
              </c:numCache>
            </c:numRef>
          </c:xVal>
          <c:yVal>
            <c:numRef>
              <c:f>'Peers (TTM)'!$F$53</c:f>
              <c:numCache>
                <c:formatCode>0.00%</c:formatCode>
                <c:ptCount val="1"/>
                <c:pt idx="0">
                  <c:v>1.2766565758493105</c:v>
                </c:pt>
              </c:numCache>
            </c:numRef>
          </c:yVal>
          <c:smooth val="0"/>
          <c:extLst>
            <c:ext xmlns:c16="http://schemas.microsoft.com/office/drawing/2014/chart" uri="{C3380CC4-5D6E-409C-BE32-E72D297353CC}">
              <c16:uniqueId val="{00000003-8D9C-4740-9F4C-CCE19313A5AF}"/>
            </c:ext>
          </c:extLst>
        </c:ser>
        <c:ser>
          <c:idx val="5"/>
          <c:order val="4"/>
          <c:tx>
            <c:strRef>
              <c:f>'Peers (TTM)'!$G$8</c:f>
              <c:strCache>
                <c:ptCount val="1"/>
                <c:pt idx="0">
                  <c:v>Arcadium Lithium (XASX:LTM)</c:v>
                </c:pt>
              </c:strCache>
            </c:strRef>
          </c:tx>
          <c:spPr>
            <a:ln w="25400" cap="rnd">
              <a:noFill/>
              <a:round/>
            </a:ln>
            <a:effectLst/>
          </c:spPr>
          <c:marker>
            <c:symbol val="circle"/>
            <c:size val="2"/>
            <c:spPr>
              <a:noFill/>
              <a:ln w="25400">
                <a:noFill/>
              </a:ln>
              <a:effectLst/>
            </c:spPr>
          </c:marker>
          <c:xVal>
            <c:numRef>
              <c:f>'Peers (TTM)'!$G$48</c:f>
              <c:numCache>
                <c:formatCode>0%</c:formatCode>
                <c:ptCount val="1"/>
                <c:pt idx="0">
                  <c:v>-0.19405940594059401</c:v>
                </c:pt>
              </c:numCache>
            </c:numRef>
          </c:xVal>
          <c:yVal>
            <c:numRef>
              <c:f>'Peers (TTM)'!$G$53</c:f>
              <c:numCache>
                <c:formatCode>0.00%</c:formatCode>
                <c:ptCount val="1"/>
                <c:pt idx="0">
                  <c:v>-27.807935076645627</c:v>
                </c:pt>
              </c:numCache>
            </c:numRef>
          </c:yVal>
          <c:smooth val="0"/>
          <c:extLst>
            <c:ext xmlns:c16="http://schemas.microsoft.com/office/drawing/2014/chart" uri="{C3380CC4-5D6E-409C-BE32-E72D297353CC}">
              <c16:uniqueId val="{00000004-8D9C-4740-9F4C-CCE19313A5AF}"/>
            </c:ext>
          </c:extLst>
        </c:ser>
        <c:dLbls>
          <c:showLegendKey val="0"/>
          <c:showVal val="0"/>
          <c:showCatName val="0"/>
          <c:showSerName val="0"/>
          <c:showPercent val="0"/>
          <c:showBubbleSize val="0"/>
        </c:dLbls>
        <c:axId val="581212960"/>
        <c:axId val="581217120"/>
        <c:extLst>
          <c:ext xmlns:c15="http://schemas.microsoft.com/office/drawing/2012/chart" uri="{02D57815-91ED-43cb-92C2-25804820EDAC}">
            <c15:filteredScatterSeries>
              <c15:ser>
                <c:idx val="6"/>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2"/>
                  <c:spPr>
                    <a:noFill/>
                    <a:ln w="25400">
                      <a:no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5-8D9C-4740-9F4C-CCE19313A5AF}"/>
                  </c:ext>
                </c:extLst>
              </c15:ser>
            </c15:filteredScatterSeries>
          </c:ext>
        </c:extLst>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9729146861805613"/>
          <c:h val="0.58915776036680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 (NTM)'!$C$8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 (NTM)'!$C$21</c:f>
              <c:numCache>
                <c:formatCode>0.00</c:formatCode>
                <c:ptCount val="1"/>
                <c:pt idx="0">
                  <c:v>-4.3803543913713403</c:v>
                </c:pt>
              </c:numCache>
            </c:numRef>
          </c:xVal>
          <c:yVal>
            <c:numRef>
              <c:f>'Peers (NTM)'!$C$40</c:f>
              <c:numCache>
                <c:formatCode>0.0</c:formatCode>
                <c:ptCount val="1"/>
                <c:pt idx="0">
                  <c:v>23.089583975346688</c:v>
                </c:pt>
              </c:numCache>
            </c:numRef>
          </c:yVal>
          <c:smooth val="0"/>
          <c:extLst>
            <c:ext xmlns:c16="http://schemas.microsoft.com/office/drawing/2014/chart" uri="{C3380CC4-5D6E-409C-BE32-E72D297353CC}">
              <c16:uniqueId val="{00000000-503E-4A3B-90DF-0FF48302163F}"/>
            </c:ext>
          </c:extLst>
        </c:ser>
        <c:ser>
          <c:idx val="1"/>
          <c:order val="1"/>
          <c:tx>
            <c:strRef>
              <c:f>'Peers (NTM)'!$D$8</c:f>
              <c:strCache>
                <c:ptCount val="1"/>
                <c:pt idx="0">
                  <c:v>ALBEMARLE CORPORATION (XNYS:ALB)</c:v>
                </c:pt>
              </c:strCache>
            </c:strRef>
          </c:tx>
          <c:spPr>
            <a:ln w="25400" cap="rnd">
              <a:solidFill>
                <a:srgbClr val="FFFFFF"/>
              </a:solidFill>
              <a:prstDash val="solid"/>
              <a:round/>
            </a:ln>
            <a:effectLst/>
          </c:spPr>
          <c:marker>
            <c:symbol val="circle"/>
            <c:size val="5"/>
            <c:spPr>
              <a:solidFill>
                <a:srgbClr val="00B0F0"/>
              </a:solidFill>
              <a:ln w="9525">
                <a:solidFill>
                  <a:srgbClr val="00B0F0"/>
                </a:solidFill>
                <a:prstDash val="solid"/>
              </a:ln>
              <a:effectLst/>
            </c:spPr>
          </c:marker>
          <c:xVal>
            <c:numRef>
              <c:f>'Peers (NTM)'!$D$21</c:f>
              <c:numCache>
                <c:formatCode>0.00</c:formatCode>
                <c:ptCount val="1"/>
                <c:pt idx="0">
                  <c:v>2.8872480110931078</c:v>
                </c:pt>
              </c:numCache>
            </c:numRef>
          </c:xVal>
          <c:yVal>
            <c:numRef>
              <c:f>'Peers (NTM)'!$D$40</c:f>
              <c:numCache>
                <c:formatCode>0.0</c:formatCode>
                <c:ptCount val="1"/>
                <c:pt idx="0">
                  <c:v>12.941834298496552</c:v>
                </c:pt>
              </c:numCache>
            </c:numRef>
          </c:yVal>
          <c:smooth val="0"/>
          <c:extLst>
            <c:ext xmlns:c16="http://schemas.microsoft.com/office/drawing/2014/chart" uri="{C3380CC4-5D6E-409C-BE32-E72D297353CC}">
              <c16:uniqueId val="{00000001-503E-4A3B-90DF-0FF48302163F}"/>
            </c:ext>
          </c:extLst>
        </c:ser>
        <c:ser>
          <c:idx val="2"/>
          <c:order val="2"/>
          <c:tx>
            <c:strRef>
              <c:f>'Peers (NTM)'!$E$8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 (NTM)'!$E$21</c:f>
              <c:numCache>
                <c:formatCode>0.00</c:formatCode>
                <c:ptCount val="1"/>
                <c:pt idx="0">
                  <c:v>3.4857923513323924E-2</c:v>
                </c:pt>
              </c:numCache>
            </c:numRef>
          </c:xVal>
          <c:yVal>
            <c:numRef>
              <c:f>'Peers (NTM)'!$E$40</c:f>
              <c:numCache>
                <c:formatCode>0.0</c:formatCode>
                <c:ptCount val="1"/>
                <c:pt idx="0">
                  <c:v>4.7897311090326067</c:v>
                </c:pt>
              </c:numCache>
            </c:numRef>
          </c:yVal>
          <c:smooth val="0"/>
          <c:extLst>
            <c:ext xmlns:c16="http://schemas.microsoft.com/office/drawing/2014/chart" uri="{C3380CC4-5D6E-409C-BE32-E72D297353CC}">
              <c16:uniqueId val="{00000002-503E-4A3B-90DF-0FF48302163F}"/>
            </c:ext>
          </c:extLst>
        </c:ser>
        <c:ser>
          <c:idx val="3"/>
          <c:order val="3"/>
          <c:tx>
            <c:strRef>
              <c:f>'Peers (NTM)'!$F$8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 (NTM)'!$F$21</c:f>
              <c:numCache>
                <c:formatCode>0.00</c:formatCode>
                <c:ptCount val="1"/>
                <c:pt idx="0">
                  <c:v>4.1898375775660375</c:v>
                </c:pt>
              </c:numCache>
            </c:numRef>
          </c:xVal>
          <c:yVal>
            <c:numRef>
              <c:f>'Peers (NTM)'!$F$40</c:f>
              <c:numCache>
                <c:formatCode>0.0</c:formatCode>
                <c:ptCount val="1"/>
                <c:pt idx="0">
                  <c:v>11.118264665262055</c:v>
                </c:pt>
              </c:numCache>
            </c:numRef>
          </c:yVal>
          <c:smooth val="0"/>
          <c:extLst>
            <c:ext xmlns:c16="http://schemas.microsoft.com/office/drawing/2014/chart" uri="{C3380CC4-5D6E-409C-BE32-E72D297353CC}">
              <c16:uniqueId val="{00000003-503E-4A3B-90DF-0FF48302163F}"/>
            </c:ext>
          </c:extLst>
        </c:ser>
        <c:ser>
          <c:idx val="4"/>
          <c:order val="4"/>
          <c:tx>
            <c:strRef>
              <c:f>'Peers (NTM)'!$G$8</c:f>
              <c:strCache>
                <c:ptCount val="1"/>
                <c:pt idx="0">
                  <c:v>Arcadium Lithium (XASX:LTM)</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 (NTM)'!$G$21</c:f>
              <c:numCache>
                <c:formatCode>0.00</c:formatCode>
                <c:ptCount val="1"/>
                <c:pt idx="0">
                  <c:v>-0.7261113109509193</c:v>
                </c:pt>
              </c:numCache>
            </c:numRef>
          </c:xVal>
          <c:yVal>
            <c:numRef>
              <c:f>'Peers (NTM)'!$G$40</c:f>
              <c:numCache>
                <c:formatCode>0.0</c:formatCode>
                <c:ptCount val="1"/>
                <c:pt idx="0">
                  <c:v>7.3333877395619096</c:v>
                </c:pt>
              </c:numCache>
            </c:numRef>
          </c:yVal>
          <c:smooth val="0"/>
          <c:extLst xmlns:c15="http://schemas.microsoft.com/office/drawing/2012/chart">
            <c:ext xmlns:c16="http://schemas.microsoft.com/office/drawing/2014/chart" uri="{C3380CC4-5D6E-409C-BE32-E72D297353CC}">
              <c16:uniqueId val="{00000004-503E-4A3B-90DF-0FF48302163F}"/>
            </c:ext>
          </c:extLst>
        </c:ser>
        <c:dLbls>
          <c:showLegendKey val="0"/>
          <c:showVal val="0"/>
          <c:showCatName val="0"/>
          <c:showSerName val="0"/>
          <c:showPercent val="0"/>
          <c:showBubbleSize val="0"/>
        </c:dLbls>
        <c:axId val="1571673951"/>
        <c:axId val="1289766175"/>
        <c:extLst>
          <c:ext xmlns:c15="http://schemas.microsoft.com/office/drawing/2012/chart" uri="{02D57815-91ED-43cb-92C2-25804820EDAC}">
            <c15:filteredScatterSeries>
              <c15:ser>
                <c:idx val="5"/>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5-503E-4A3B-90DF-0FF48302163F}"/>
                  </c:ext>
                </c:extLst>
              </c15:ser>
            </c15:filteredScatterSeries>
          </c:ext>
        </c:extLst>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 (NTM)'!$C$8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 (NTM)'!$C$47</c:f>
              <c:numCache>
                <c:formatCode>0%</c:formatCode>
                <c:ptCount val="1"/>
                <c:pt idx="0">
                  <c:v>2.0096153846153846</c:v>
                </c:pt>
              </c:numCache>
            </c:numRef>
          </c:xVal>
          <c:yVal>
            <c:numRef>
              <c:f>'Peers (NTM)'!$C$52</c:f>
              <c:numCache>
                <c:formatCode>0.00%</c:formatCode>
                <c:ptCount val="1"/>
                <c:pt idx="0">
                  <c:v>-182.93157894736842</c:v>
                </c:pt>
              </c:numCache>
            </c:numRef>
          </c:yVal>
          <c:smooth val="0"/>
          <c:extLst>
            <c:ext xmlns:c16="http://schemas.microsoft.com/office/drawing/2014/chart" uri="{C3380CC4-5D6E-409C-BE32-E72D297353CC}">
              <c16:uniqueId val="{00000000-EA52-4208-8E40-8392EC388371}"/>
            </c:ext>
          </c:extLst>
        </c:ser>
        <c:ser>
          <c:idx val="1"/>
          <c:order val="1"/>
          <c:tx>
            <c:strRef>
              <c:f>'Peers (NTM)'!$D$8</c:f>
              <c:strCache>
                <c:ptCount val="1"/>
                <c:pt idx="0">
                  <c:v>ALBEMARLE CORPORATION (XNYS:ALB)</c:v>
                </c:pt>
              </c:strCache>
            </c:strRef>
          </c:tx>
          <c:spPr>
            <a:ln w="25400" cap="rnd">
              <a:noFill/>
              <a:round/>
            </a:ln>
            <a:effectLst/>
          </c:spPr>
          <c:marker>
            <c:symbol val="circle"/>
            <c:size val="5"/>
            <c:spPr>
              <a:solidFill>
                <a:srgbClr val="00B0F0"/>
              </a:solidFill>
              <a:ln w="9525">
                <a:solidFill>
                  <a:srgbClr val="00B0F0"/>
                </a:solidFill>
                <a:prstDash val="solid"/>
              </a:ln>
              <a:effectLst/>
            </c:spPr>
          </c:marker>
          <c:xVal>
            <c:numRef>
              <c:f>'Peers (NTM)'!$D$47</c:f>
              <c:numCache>
                <c:formatCode>0%</c:formatCode>
                <c:ptCount val="1"/>
                <c:pt idx="0">
                  <c:v>-0.30973307455397459</c:v>
                </c:pt>
              </c:numCache>
            </c:numRef>
          </c:xVal>
          <c:yVal>
            <c:numRef>
              <c:f>'Peers (NTM)'!$D$52</c:f>
              <c:numCache>
                <c:formatCode>0.00%</c:formatCode>
                <c:ptCount val="1"/>
                <c:pt idx="0">
                  <c:v>1.7491322460199576</c:v>
                </c:pt>
              </c:numCache>
            </c:numRef>
          </c:yVal>
          <c:smooth val="0"/>
          <c:extLst>
            <c:ext xmlns:c16="http://schemas.microsoft.com/office/drawing/2014/chart" uri="{C3380CC4-5D6E-409C-BE32-E72D297353CC}">
              <c16:uniqueId val="{00000001-EA52-4208-8E40-8392EC388371}"/>
            </c:ext>
          </c:extLst>
        </c:ser>
        <c:ser>
          <c:idx val="2"/>
          <c:order val="2"/>
          <c:tx>
            <c:strRef>
              <c:f>'Peers (NTM)'!$E$8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 (NTM)'!$E$47</c:f>
              <c:numCache>
                <c:formatCode>0%</c:formatCode>
                <c:ptCount val="1"/>
                <c:pt idx="0">
                  <c:v>-0.31637806265512947</c:v>
                </c:pt>
              </c:numCache>
            </c:numRef>
          </c:xVal>
          <c:yVal>
            <c:numRef>
              <c:f>'Peers (NTM)'!$E$52</c:f>
              <c:numCache>
                <c:formatCode>0.00%</c:formatCode>
                <c:ptCount val="1"/>
                <c:pt idx="0">
                  <c:v>8.8994731002558591</c:v>
                </c:pt>
              </c:numCache>
            </c:numRef>
          </c:yVal>
          <c:smooth val="0"/>
          <c:extLst>
            <c:ext xmlns:c16="http://schemas.microsoft.com/office/drawing/2014/chart" uri="{C3380CC4-5D6E-409C-BE32-E72D297353CC}">
              <c16:uniqueId val="{00000002-EA52-4208-8E40-8392EC388371}"/>
            </c:ext>
          </c:extLst>
        </c:ser>
        <c:ser>
          <c:idx val="3"/>
          <c:order val="3"/>
          <c:tx>
            <c:strRef>
              <c:f>'Peers (NTM)'!$F$8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 (NTM)'!$F$47</c:f>
              <c:numCache>
                <c:formatCode>0%</c:formatCode>
                <c:ptCount val="1"/>
                <c:pt idx="0">
                  <c:v>-6.2017434620174394E-2</c:v>
                </c:pt>
              </c:numCache>
            </c:numRef>
          </c:xVal>
          <c:yVal>
            <c:numRef>
              <c:f>'Peers (NTM)'!$F$52</c:f>
              <c:numCache>
                <c:formatCode>0.00%</c:formatCode>
                <c:ptCount val="1"/>
                <c:pt idx="0">
                  <c:v>1.2766565758493105</c:v>
                </c:pt>
              </c:numCache>
            </c:numRef>
          </c:yVal>
          <c:smooth val="0"/>
          <c:extLst>
            <c:ext xmlns:c16="http://schemas.microsoft.com/office/drawing/2014/chart" uri="{C3380CC4-5D6E-409C-BE32-E72D297353CC}">
              <c16:uniqueId val="{00000003-EA52-4208-8E40-8392EC388371}"/>
            </c:ext>
          </c:extLst>
        </c:ser>
        <c:ser>
          <c:idx val="5"/>
          <c:order val="4"/>
          <c:tx>
            <c:strRef>
              <c:f>'Peers (NTM)'!$G$8</c:f>
              <c:strCache>
                <c:ptCount val="1"/>
                <c:pt idx="0">
                  <c:v>Arcadium Lithium (XASX:LTM)</c:v>
                </c:pt>
              </c:strCache>
            </c:strRef>
          </c:tx>
          <c:spPr>
            <a:ln w="25400" cap="rnd">
              <a:noFill/>
              <a:round/>
            </a:ln>
            <a:effectLst/>
          </c:spPr>
          <c:marker>
            <c:symbol val="circle"/>
            <c:size val="2"/>
            <c:spPr>
              <a:noFill/>
              <a:ln w="25400">
                <a:noFill/>
              </a:ln>
              <a:effectLst/>
            </c:spPr>
          </c:marker>
          <c:xVal>
            <c:numRef>
              <c:f>'Peers (NTM)'!$G$47</c:f>
              <c:numCache>
                <c:formatCode>0%</c:formatCode>
                <c:ptCount val="1"/>
                <c:pt idx="0">
                  <c:v>-0.19405940594059401</c:v>
                </c:pt>
              </c:numCache>
            </c:numRef>
          </c:xVal>
          <c:yVal>
            <c:numRef>
              <c:f>'Peers (NTM)'!$G$52</c:f>
              <c:numCache>
                <c:formatCode>0.00%</c:formatCode>
                <c:ptCount val="1"/>
                <c:pt idx="0">
                  <c:v>-27.807935076645627</c:v>
                </c:pt>
              </c:numCache>
            </c:numRef>
          </c:yVal>
          <c:smooth val="0"/>
          <c:extLst>
            <c:ext xmlns:c16="http://schemas.microsoft.com/office/drawing/2014/chart" uri="{C3380CC4-5D6E-409C-BE32-E72D297353CC}">
              <c16:uniqueId val="{00000004-EA52-4208-8E40-8392EC388371}"/>
            </c:ext>
          </c:extLst>
        </c:ser>
        <c:dLbls>
          <c:showLegendKey val="0"/>
          <c:showVal val="0"/>
          <c:showCatName val="0"/>
          <c:showSerName val="0"/>
          <c:showPercent val="0"/>
          <c:showBubbleSize val="0"/>
        </c:dLbls>
        <c:axId val="581212960"/>
        <c:axId val="581217120"/>
        <c:extLst>
          <c:ext xmlns:c15="http://schemas.microsoft.com/office/drawing/2012/chart" uri="{02D57815-91ED-43cb-92C2-25804820EDAC}">
            <c15:filteredScatterSeries>
              <c15:ser>
                <c:idx val="6"/>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2"/>
                  <c:spPr>
                    <a:noFill/>
                    <a:ln w="25400">
                      <a:no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5-EA52-4208-8E40-8392EC388371}"/>
                  </c:ext>
                </c:extLst>
              </c15:ser>
            </c15:filteredScatterSeries>
          </c:ext>
        </c:extLst>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9729146861805613"/>
          <c:h val="0.58915776036680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on BEV</a:t>
            </a:r>
            <a:r>
              <a:rPr lang="en-GB" baseline="0"/>
              <a:t> and Ore Processed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Assumptions!$B$138</c:f>
              <c:strCache>
                <c:ptCount val="1"/>
                <c:pt idx="0">
                  <c:v>BEV (Data from the US)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1"/>
            <c:dispEq val="1"/>
            <c:trendlineLbl>
              <c:layout>
                <c:manualLayout>
                  <c:x val="2.7059930008748907E-2"/>
                  <c:y val="-4.26866433362496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Assumptions!$C$138:$O$138</c:f>
              <c:numCache>
                <c:formatCode>#,##0</c:formatCode>
                <c:ptCount val="13"/>
                <c:pt idx="0">
                  <c:v>68247</c:v>
                </c:pt>
                <c:pt idx="1">
                  <c:v>33312</c:v>
                </c:pt>
                <c:pt idx="2">
                  <c:v>70410</c:v>
                </c:pt>
                <c:pt idx="3">
                  <c:v>86010</c:v>
                </c:pt>
                <c:pt idx="4">
                  <c:v>98692</c:v>
                </c:pt>
                <c:pt idx="5">
                  <c:v>118235</c:v>
                </c:pt>
                <c:pt idx="6">
                  <c:v>122744</c:v>
                </c:pt>
                <c:pt idx="7">
                  <c:v>148691</c:v>
                </c:pt>
                <c:pt idx="8">
                  <c:v>178697</c:v>
                </c:pt>
                <c:pt idx="9">
                  <c:v>196788</c:v>
                </c:pt>
                <c:pt idx="10">
                  <c:v>205682</c:v>
                </c:pt>
                <c:pt idx="11">
                  <c:v>226789</c:v>
                </c:pt>
                <c:pt idx="12">
                  <c:v>258885</c:v>
                </c:pt>
              </c:numCache>
            </c:numRef>
          </c:val>
          <c:smooth val="0"/>
          <c:extLst>
            <c:ext xmlns:c16="http://schemas.microsoft.com/office/drawing/2014/chart" uri="{C3380CC4-5D6E-409C-BE32-E72D297353CC}">
              <c16:uniqueId val="{00000000-7F03-0446-BF42-4955D8613BF6}"/>
            </c:ext>
          </c:extLst>
        </c:ser>
        <c:ser>
          <c:idx val="1"/>
          <c:order val="1"/>
          <c:tx>
            <c:strRef>
              <c:f>Assumptions!$B$140</c:f>
              <c:strCache>
                <c:ptCount val="1"/>
                <c:pt idx="0">
                  <c:v>Ore Processed</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poly"/>
            <c:order val="2"/>
            <c:dispRSqr val="1"/>
            <c:dispEq val="1"/>
            <c:trendlineLbl>
              <c:layout>
                <c:manualLayout>
                  <c:x val="-5.4922572178477687E-2"/>
                  <c:y val="-5.59492563429571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Assumptions!$C$140:$O$140</c:f>
              <c:numCache>
                <c:formatCode>#,##0</c:formatCode>
                <c:ptCount val="13"/>
                <c:pt idx="0">
                  <c:v>202596</c:v>
                </c:pt>
                <c:pt idx="1">
                  <c:v>102251</c:v>
                </c:pt>
                <c:pt idx="2">
                  <c:v>137407</c:v>
                </c:pt>
                <c:pt idx="3">
                  <c:v>199961</c:v>
                </c:pt>
                <c:pt idx="4">
                  <c:v>360227</c:v>
                </c:pt>
                <c:pt idx="5">
                  <c:v>381973</c:v>
                </c:pt>
                <c:pt idx="6">
                  <c:v>415277</c:v>
                </c:pt>
                <c:pt idx="7">
                  <c:v>422111</c:v>
                </c:pt>
                <c:pt idx="8">
                  <c:v>443691</c:v>
                </c:pt>
                <c:pt idx="9">
                  <c:v>566027</c:v>
                </c:pt>
                <c:pt idx="10">
                  <c:v>613202</c:v>
                </c:pt>
                <c:pt idx="11">
                  <c:v>792428</c:v>
                </c:pt>
                <c:pt idx="12">
                  <c:v>801968</c:v>
                </c:pt>
              </c:numCache>
            </c:numRef>
          </c:val>
          <c:smooth val="0"/>
          <c:extLst>
            <c:ext xmlns:c16="http://schemas.microsoft.com/office/drawing/2014/chart" uri="{C3380CC4-5D6E-409C-BE32-E72D297353CC}">
              <c16:uniqueId val="{00000001-7F03-0446-BF42-4955D8613BF6}"/>
            </c:ext>
          </c:extLst>
        </c:ser>
        <c:dLbls>
          <c:showLegendKey val="0"/>
          <c:showVal val="0"/>
          <c:showCatName val="0"/>
          <c:showSerName val="0"/>
          <c:showPercent val="0"/>
          <c:showBubbleSize val="0"/>
        </c:dLbls>
        <c:smooth val="0"/>
        <c:axId val="851734016"/>
        <c:axId val="909134864"/>
      </c:lineChart>
      <c:catAx>
        <c:axId val="8517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134864"/>
        <c:crosses val="autoZero"/>
        <c:auto val="1"/>
        <c:lblAlgn val="ctr"/>
        <c:lblOffset val="100"/>
        <c:noMultiLvlLbl val="0"/>
      </c:catAx>
      <c:valAx>
        <c:axId val="909134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3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Lithium Market Price</c:v>
          </c:tx>
          <c:spPr>
            <a:ln w="28575" cap="rnd">
              <a:solidFill>
                <a:schemeClr val="accent1"/>
              </a:solidFill>
              <a:round/>
            </a:ln>
            <a:effectLst/>
          </c:spPr>
          <c:marker>
            <c:symbol val="none"/>
          </c:marker>
          <c:trendline>
            <c:spPr>
              <a:ln w="19050" cap="rnd">
                <a:solidFill>
                  <a:schemeClr val="accent1"/>
                </a:solidFill>
                <a:prstDash val="sysDot"/>
              </a:ln>
              <a:effectLst/>
            </c:spPr>
            <c:trendlineType val="poly"/>
            <c:order val="4"/>
            <c:dispRSqr val="1"/>
            <c:dispEq val="1"/>
            <c:trendlineLbl>
              <c:layout>
                <c:manualLayout>
                  <c:x val="-0.13027337509192807"/>
                  <c:y val="-0.503364174447095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Assumptions!$E$83:$AF$83</c:f>
              <c:numCache>
                <c:formatCode>[$$-C09]#,##0</c:formatCode>
                <c:ptCount val="28"/>
                <c:pt idx="0">
                  <c:v>16000</c:v>
                </c:pt>
                <c:pt idx="1">
                  <c:v>19000</c:v>
                </c:pt>
                <c:pt idx="2">
                  <c:v>23084.600000000002</c:v>
                </c:pt>
                <c:pt idx="3">
                  <c:v>25704</c:v>
                </c:pt>
                <c:pt idx="4">
                  <c:v>24460.149999999998</c:v>
                </c:pt>
                <c:pt idx="5">
                  <c:v>21795.200000000001</c:v>
                </c:pt>
                <c:pt idx="6">
                  <c:v>14406</c:v>
                </c:pt>
                <c:pt idx="7">
                  <c:v>11466.78</c:v>
                </c:pt>
                <c:pt idx="8">
                  <c:v>11441.039999999999</c:v>
                </c:pt>
                <c:pt idx="9">
                  <c:v>11068.300000000001</c:v>
                </c:pt>
                <c:pt idx="10">
                  <c:v>9262.5</c:v>
                </c:pt>
                <c:pt idx="11">
                  <c:v>7809.9999999999991</c:v>
                </c:pt>
                <c:pt idx="12">
                  <c:v>6873.5999999999995</c:v>
                </c:pt>
                <c:pt idx="13">
                  <c:v>6095.52</c:v>
                </c:pt>
                <c:pt idx="14">
                  <c:v>5675.55</c:v>
                </c:pt>
                <c:pt idx="15">
                  <c:v>6266.5</c:v>
                </c:pt>
                <c:pt idx="16">
                  <c:v>10177.200000000001</c:v>
                </c:pt>
                <c:pt idx="17">
                  <c:v>13699.8</c:v>
                </c:pt>
                <c:pt idx="18">
                  <c:v>18540</c:v>
                </c:pt>
                <c:pt idx="19">
                  <c:v>33313.200000000004</c:v>
                </c:pt>
                <c:pt idx="20">
                  <c:v>62960.000000000007</c:v>
                </c:pt>
                <c:pt idx="21">
                  <c:v>71366.399999999994</c:v>
                </c:pt>
                <c:pt idx="22">
                  <c:v>71540</c:v>
                </c:pt>
                <c:pt idx="23">
                  <c:v>78173.600000000006</c:v>
                </c:pt>
                <c:pt idx="24">
                  <c:v>56979</c:v>
                </c:pt>
                <c:pt idx="25">
                  <c:v>37102</c:v>
                </c:pt>
                <c:pt idx="26">
                  <c:v>32476.999999999996</c:v>
                </c:pt>
                <c:pt idx="27">
                  <c:v>18379.400000000001</c:v>
                </c:pt>
              </c:numCache>
            </c:numRef>
          </c:val>
          <c:smooth val="0"/>
          <c:extLst>
            <c:ext xmlns:c15="http://schemas.microsoft.com/office/drawing/2012/chart" uri="{02D57815-91ED-43cb-92C2-25804820EDAC}">
              <c15:filteredCategoryTitle>
                <c15:cat>
                  <c:strRef>
                    <c:extLst>
                      <c:ext uri="{02D57815-91ED-43cb-92C2-25804820EDAC}">
                        <c15:formulaRef>
                          <c15:sqref>Assumptions!$E$74:$AF$74</c15:sqref>
                        </c15:formulaRef>
                      </c:ext>
                    </c:extLst>
                    <c:strCache>
                      <c:ptCount val="28"/>
                      <c:pt idx="0">
                        <c:v>Q1 FY17</c:v>
                      </c:pt>
                      <c:pt idx="1">
                        <c:v>Q2 FY17</c:v>
                      </c:pt>
                      <c:pt idx="2">
                        <c:v>Q3 FY17</c:v>
                      </c:pt>
                      <c:pt idx="3">
                        <c:v>Q4 FY17</c:v>
                      </c:pt>
                      <c:pt idx="4">
                        <c:v>Q1 FY18</c:v>
                      </c:pt>
                      <c:pt idx="5">
                        <c:v>Q2 FY18</c:v>
                      </c:pt>
                      <c:pt idx="6">
                        <c:v>Q3 FY18</c:v>
                      </c:pt>
                      <c:pt idx="7">
                        <c:v>Q4 FY18</c:v>
                      </c:pt>
                      <c:pt idx="8">
                        <c:v>Q1 FY19</c:v>
                      </c:pt>
                      <c:pt idx="9">
                        <c:v>Q2 FY19</c:v>
                      </c:pt>
                      <c:pt idx="10">
                        <c:v>Q3 FY19</c:v>
                      </c:pt>
                      <c:pt idx="11">
                        <c:v>Q4 FY19</c:v>
                      </c:pt>
                      <c:pt idx="12">
                        <c:v>Q1 FY20</c:v>
                      </c:pt>
                      <c:pt idx="13">
                        <c:v>Q2 FY20</c:v>
                      </c:pt>
                      <c:pt idx="14">
                        <c:v>Q3 FY20</c:v>
                      </c:pt>
                      <c:pt idx="15">
                        <c:v>Q4 FY20</c:v>
                      </c:pt>
                      <c:pt idx="16">
                        <c:v>Q1 FY21</c:v>
                      </c:pt>
                      <c:pt idx="17">
                        <c:v>Q2 FY21</c:v>
                      </c:pt>
                      <c:pt idx="18">
                        <c:v>Q3 FY21</c:v>
                      </c:pt>
                      <c:pt idx="19">
                        <c:v>Q4 FY21</c:v>
                      </c:pt>
                      <c:pt idx="20">
                        <c:v>Q1 FY22</c:v>
                      </c:pt>
                      <c:pt idx="21">
                        <c:v>Q2 FY22</c:v>
                      </c:pt>
                      <c:pt idx="22">
                        <c:v>Q3 FY22</c:v>
                      </c:pt>
                      <c:pt idx="23">
                        <c:v>Q4 FY22</c:v>
                      </c:pt>
                      <c:pt idx="24">
                        <c:v>Q1 FY23</c:v>
                      </c:pt>
                      <c:pt idx="25">
                        <c:v>Q2 FY23</c:v>
                      </c:pt>
                      <c:pt idx="26">
                        <c:v>Q3 FY23</c:v>
                      </c:pt>
                      <c:pt idx="27">
                        <c:v>Q4 FY23</c:v>
                      </c:pt>
                    </c:strCache>
                  </c:strRef>
                </c15:cat>
              </c15:filteredCategoryTitle>
            </c:ext>
            <c:ext xmlns:c16="http://schemas.microsoft.com/office/drawing/2014/chart" uri="{C3380CC4-5D6E-409C-BE32-E72D297353CC}">
              <c16:uniqueId val="{00000000-68EC-734B-8C19-915441732C5A}"/>
            </c:ext>
          </c:extLst>
        </c:ser>
        <c:dLbls>
          <c:showLegendKey val="0"/>
          <c:showVal val="0"/>
          <c:showCatName val="0"/>
          <c:showSerName val="0"/>
          <c:showPercent val="0"/>
          <c:showBubbleSize val="0"/>
        </c:dLbls>
        <c:smooth val="0"/>
        <c:axId val="692375808"/>
        <c:axId val="682342592"/>
      </c:lineChart>
      <c:catAx>
        <c:axId val="69237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42592"/>
        <c:crosses val="autoZero"/>
        <c:auto val="1"/>
        <c:lblAlgn val="ctr"/>
        <c:lblOffset val="100"/>
        <c:noMultiLvlLbl val="0"/>
      </c:catAx>
      <c:valAx>
        <c:axId val="682342592"/>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7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17</xdr:row>
      <xdr:rowOff>0</xdr:rowOff>
    </xdr:from>
    <xdr:to>
      <xdr:col>13</xdr:col>
      <xdr:colOff>304800</xdr:colOff>
      <xdr:row>18</xdr:row>
      <xdr:rowOff>168610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17</xdr:row>
      <xdr:rowOff>0</xdr:rowOff>
    </xdr:from>
    <xdr:to>
      <xdr:col>13</xdr:col>
      <xdr:colOff>304800</xdr:colOff>
      <xdr:row>18</xdr:row>
      <xdr:rowOff>168610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517358</xdr:colOff>
      <xdr:row>3</xdr:row>
      <xdr:rowOff>163429</xdr:rowOff>
    </xdr:from>
    <xdr:to>
      <xdr:col>2</xdr:col>
      <xdr:colOff>1012658</xdr:colOff>
      <xdr:row>9</xdr:row>
      <xdr:rowOff>81212</xdr:rowOff>
    </xdr:to>
    <xdr:pic>
      <xdr:nvPicPr>
        <xdr:cNvPr id="3" name="Imagem 1">
          <a:extLst>
            <a:ext uri="{FF2B5EF4-FFF2-40B4-BE49-F238E27FC236}">
              <a16:creationId xmlns:a16="http://schemas.microsoft.com/office/drawing/2014/main" id="{F781CF58-8517-FFE1-4CED-734D4D96E1AE}"/>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545933" y="830179"/>
          <a:ext cx="1914525" cy="1889458"/>
        </a:xfrm>
        <a:prstGeom prst="rect">
          <a:avLst/>
        </a:prstGeom>
      </xdr:spPr>
    </xdr:pic>
    <xdr:clientData/>
  </xdr:twoCellAnchor>
  <xdr:twoCellAnchor editAs="oneCell">
    <xdr:from>
      <xdr:col>7</xdr:col>
      <xdr:colOff>554957</xdr:colOff>
      <xdr:row>85</xdr:row>
      <xdr:rowOff>97757</xdr:rowOff>
    </xdr:from>
    <xdr:to>
      <xdr:col>12</xdr:col>
      <xdr:colOff>1155032</xdr:colOff>
      <xdr:row>107</xdr:row>
      <xdr:rowOff>141622</xdr:rowOff>
    </xdr:to>
    <xdr:pic>
      <xdr:nvPicPr>
        <xdr:cNvPr id="6" name="Imagem 2">
          <a:extLst>
            <a:ext uri="{FF2B5EF4-FFF2-40B4-BE49-F238E27FC236}">
              <a16:creationId xmlns:a16="http://schemas.microsoft.com/office/drawing/2014/main" id="{FB2D4F7A-D31A-9ADC-0ECC-054AF3D9C87A}"/>
            </a:ext>
            <a:ext uri="{147F2762-F138-4A5C-976F-8EAC2B608ADB}">
              <a16:predDERef xmlns:a16="http://schemas.microsoft.com/office/drawing/2014/main" pred="{F781CF58-8517-FFE1-4CED-734D4D96E1AE}"/>
            </a:ext>
          </a:extLst>
        </xdr:cNvPr>
        <xdr:cNvPicPr>
          <a:picLocks noChangeAspect="1"/>
        </xdr:cNvPicPr>
      </xdr:nvPicPr>
      <xdr:blipFill>
        <a:blip xmlns:r="http://schemas.openxmlformats.org/officeDocument/2006/relationships" r:embed="rId2"/>
        <a:stretch>
          <a:fillRect/>
        </a:stretch>
      </xdr:blipFill>
      <xdr:spPr>
        <a:xfrm>
          <a:off x="9329989" y="22235862"/>
          <a:ext cx="7578390" cy="3749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22</xdr:row>
      <xdr:rowOff>76200</xdr:rowOff>
    </xdr:from>
    <xdr:to>
      <xdr:col>11</xdr:col>
      <xdr:colOff>666750</xdr:colOff>
      <xdr:row>25</xdr:row>
      <xdr:rowOff>666750</xdr:rowOff>
    </xdr:to>
    <xdr:graphicFrame macro="">
      <xdr:nvGraphicFramePr>
        <xdr:cNvPr id="2"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22</xdr:row>
      <xdr:rowOff>66675</xdr:rowOff>
    </xdr:from>
    <xdr:to>
      <xdr:col>15</xdr:col>
      <xdr:colOff>714375</xdr:colOff>
      <xdr:row>25</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21</xdr:row>
      <xdr:rowOff>247650</xdr:rowOff>
    </xdr:from>
    <xdr:to>
      <xdr:col>11</xdr:col>
      <xdr:colOff>714375</xdr:colOff>
      <xdr:row>26</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40</xdr:row>
      <xdr:rowOff>28575</xdr:rowOff>
    </xdr:from>
    <xdr:to>
      <xdr:col>15</xdr:col>
      <xdr:colOff>742950</xdr:colOff>
      <xdr:row>42</xdr:row>
      <xdr:rowOff>114300</xdr:rowOff>
    </xdr:to>
    <xdr:sp macro="" textlink="">
      <xdr:nvSpPr>
        <xdr:cNvPr id="8"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2D9F9EFF-8C8B-4839-A102-86B66E9BDF73}"/>
            </a:ext>
          </a:extLst>
        </xdr:cNvPr>
        <xdr:cNvSpPr/>
      </xdr:nvSpPr>
      <xdr:spPr bwMode="auto">
        <a:xfrm>
          <a:off x="13944600" y="9248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9</xdr:col>
      <xdr:colOff>76200</xdr:colOff>
      <xdr:row>31</xdr:row>
      <xdr:rowOff>57150</xdr:rowOff>
    </xdr:from>
    <xdr:to>
      <xdr:col>16</xdr:col>
      <xdr:colOff>1457325</xdr:colOff>
      <xdr:row>47</xdr:row>
      <xdr:rowOff>140759</xdr:rowOff>
    </xdr:to>
    <xdr:pic>
      <xdr:nvPicPr>
        <xdr:cNvPr id="6" name="Picture 5">
          <a:extLst>
            <a:ext uri="{FF2B5EF4-FFF2-40B4-BE49-F238E27FC236}">
              <a16:creationId xmlns:a16="http://schemas.microsoft.com/office/drawing/2014/main" id="{CB7DB8BF-AA07-808D-074C-5B32500B9D7B}"/>
            </a:ext>
            <a:ext uri="{147F2762-F138-4A5C-976F-8EAC2B608ADB}">
              <a16:predDERef xmlns:a16="http://schemas.microsoft.com/office/drawing/2014/main" pred="{CFD345A1-04B3-7D1E-8DCA-7D82EE779CAA}"/>
            </a:ext>
          </a:extLst>
        </xdr:cNvPr>
        <xdr:cNvPicPr>
          <a:picLocks noChangeAspect="1"/>
        </xdr:cNvPicPr>
      </xdr:nvPicPr>
      <xdr:blipFill>
        <a:blip xmlns:r="http://schemas.openxmlformats.org/officeDocument/2006/relationships" r:embed="rId3"/>
        <a:stretch>
          <a:fillRect/>
        </a:stretch>
      </xdr:blipFill>
      <xdr:spPr>
        <a:xfrm>
          <a:off x="10258425" y="8572500"/>
          <a:ext cx="6715125" cy="3343275"/>
        </a:xfrm>
        <a:prstGeom prst="rect">
          <a:avLst/>
        </a:prstGeom>
      </xdr:spPr>
    </xdr:pic>
    <xdr:clientData/>
  </xdr:twoCellAnchor>
  <xdr:twoCellAnchor editAs="oneCell">
    <xdr:from>
      <xdr:col>16</xdr:col>
      <xdr:colOff>314325</xdr:colOff>
      <xdr:row>5</xdr:row>
      <xdr:rowOff>0</xdr:rowOff>
    </xdr:from>
    <xdr:to>
      <xdr:col>24</xdr:col>
      <xdr:colOff>476250</xdr:colOff>
      <xdr:row>24</xdr:row>
      <xdr:rowOff>0</xdr:rowOff>
    </xdr:to>
    <xdr:pic>
      <xdr:nvPicPr>
        <xdr:cNvPr id="7" name="Picture 6">
          <a:extLst>
            <a:ext uri="{FF2B5EF4-FFF2-40B4-BE49-F238E27FC236}">
              <a16:creationId xmlns:a16="http://schemas.microsoft.com/office/drawing/2014/main" id="{02A59C19-13EF-5A26-3EF9-2FE96F5720A8}"/>
            </a:ext>
            <a:ext uri="{147F2762-F138-4A5C-976F-8EAC2B608ADB}">
              <a16:predDERef xmlns:a16="http://schemas.microsoft.com/office/drawing/2014/main" pred="{CB7DB8BF-AA07-808D-074C-5B32500B9D7B}"/>
            </a:ext>
          </a:extLst>
        </xdr:cNvPr>
        <xdr:cNvPicPr>
          <a:picLocks noChangeAspect="1"/>
        </xdr:cNvPicPr>
      </xdr:nvPicPr>
      <xdr:blipFill>
        <a:blip xmlns:r="http://schemas.openxmlformats.org/officeDocument/2006/relationships" r:embed="rId4"/>
        <a:stretch>
          <a:fillRect/>
        </a:stretch>
      </xdr:blipFill>
      <xdr:spPr>
        <a:xfrm>
          <a:off x="15830550" y="923925"/>
          <a:ext cx="7058025" cy="446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25</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39</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25</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39</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538302</xdr:colOff>
      <xdr:row>18</xdr:row>
      <xdr:rowOff>132229</xdr:rowOff>
    </xdr:from>
    <xdr:to>
      <xdr:col>18</xdr:col>
      <xdr:colOff>711993</xdr:colOff>
      <xdr:row>38</xdr:row>
      <xdr:rowOff>19051</xdr:rowOff>
    </xdr:to>
    <xdr:graphicFrame macro="">
      <xdr:nvGraphicFramePr>
        <xdr:cNvPr id="2" name="Chart 1">
          <a:extLst>
            <a:ext uri="{FF2B5EF4-FFF2-40B4-BE49-F238E27FC236}">
              <a16:creationId xmlns:a16="http://schemas.microsoft.com/office/drawing/2014/main" id="{F8B867AC-6A7A-4512-8C9D-97B8E534E8E4}"/>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335756</xdr:colOff>
      <xdr:row>37</xdr:row>
      <xdr:rowOff>66675</xdr:rowOff>
    </xdr:from>
    <xdr:to>
      <xdr:col>20</xdr:col>
      <xdr:colOff>721518</xdr:colOff>
      <xdr:row>55</xdr:row>
      <xdr:rowOff>76200</xdr:rowOff>
    </xdr:to>
    <xdr:graphicFrame macro="">
      <xdr:nvGraphicFramePr>
        <xdr:cNvPr id="5" name="Chart 2">
          <a:extLst>
            <a:ext uri="{FF2B5EF4-FFF2-40B4-BE49-F238E27FC236}">
              <a16:creationId xmlns:a16="http://schemas.microsoft.com/office/drawing/2014/main" id="{06EE3DBE-321E-4EF6-A0A4-D90C4883E80D}"/>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0</xdr:colOff>
      <xdr:row>14</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312F7E85-D98D-4173-9ACF-BDD846CEFC65}"/>
            </a:ext>
          </a:extLst>
        </xdr:cNvPr>
        <xdr:cNvSpPr>
          <a:spLocks noChangeAspect="1" noChangeArrowheads="1"/>
        </xdr:cNvSpPr>
      </xdr:nvSpPr>
      <xdr:spPr bwMode="auto">
        <a:xfrm>
          <a:off x="13572067" y="7560733"/>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25</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6F7DA493-CEAA-4AFD-8F69-176BC79BF918}"/>
            </a:ext>
          </a:extLst>
        </xdr:cNvPr>
        <xdr:cNvSpPr>
          <a:spLocks noChangeAspect="1" noChangeArrowheads="1"/>
        </xdr:cNvSpPr>
      </xdr:nvSpPr>
      <xdr:spPr bwMode="auto">
        <a:xfrm>
          <a:off x="13563600" y="915924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8C31E81F-00AB-4147-A715-632BE905631F}"/>
            </a:ext>
          </a:extLst>
        </xdr:cNvPr>
        <xdr:cNvSpPr>
          <a:spLocks noChangeAspect="1" noChangeArrowheads="1"/>
        </xdr:cNvSpPr>
      </xdr:nvSpPr>
      <xdr:spPr bwMode="auto">
        <a:xfrm>
          <a:off x="13563600" y="755142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39</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55FCD92D-3074-4F96-9A50-4889E574C0A0}"/>
            </a:ext>
          </a:extLst>
        </xdr:cNvPr>
        <xdr:cNvSpPr>
          <a:spLocks noChangeAspect="1" noChangeArrowheads="1"/>
        </xdr:cNvSpPr>
      </xdr:nvSpPr>
      <xdr:spPr bwMode="auto">
        <a:xfrm>
          <a:off x="13563600" y="11704320"/>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25</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52662CE-4576-470D-B802-1FA10DE3952D}"/>
            </a:ext>
          </a:extLst>
        </xdr:cNvPr>
        <xdr:cNvSpPr>
          <a:spLocks noChangeAspect="1" noChangeArrowheads="1"/>
        </xdr:cNvSpPr>
      </xdr:nvSpPr>
      <xdr:spPr bwMode="auto">
        <a:xfrm>
          <a:off x="13563600" y="9159240"/>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39</xdr:row>
      <xdr:rowOff>0</xdr:rowOff>
    </xdr:from>
    <xdr:ext cx="304800" cy="301207"/>
    <xdr:sp macro="" textlink="">
      <xdr:nvSpPr>
        <xdr:cNvPr id="6" name="AutoShape 233" descr="Resultado de imagen para beer consumption trend">
          <a:extLst>
            <a:ext uri="{FF2B5EF4-FFF2-40B4-BE49-F238E27FC236}">
              <a16:creationId xmlns:a16="http://schemas.microsoft.com/office/drawing/2014/main" id="{0141D0C1-BA49-46B6-943E-3065357745B2}"/>
            </a:ext>
          </a:extLst>
        </xdr:cNvPr>
        <xdr:cNvSpPr>
          <a:spLocks noChangeAspect="1" noChangeArrowheads="1"/>
        </xdr:cNvSpPr>
      </xdr:nvSpPr>
      <xdr:spPr bwMode="auto">
        <a:xfrm>
          <a:off x="13563600" y="11704320"/>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538302</xdr:colOff>
      <xdr:row>18</xdr:row>
      <xdr:rowOff>132229</xdr:rowOff>
    </xdr:from>
    <xdr:to>
      <xdr:col>18</xdr:col>
      <xdr:colOff>711993</xdr:colOff>
      <xdr:row>38</xdr:row>
      <xdr:rowOff>19051</xdr:rowOff>
    </xdr:to>
    <xdr:graphicFrame macro="">
      <xdr:nvGraphicFramePr>
        <xdr:cNvPr id="7" name="Chart 1">
          <a:extLst>
            <a:ext uri="{FF2B5EF4-FFF2-40B4-BE49-F238E27FC236}">
              <a16:creationId xmlns:a16="http://schemas.microsoft.com/office/drawing/2014/main" id="{3D83D01B-0626-412B-A8B5-B38A9C706C70}"/>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335756</xdr:colOff>
      <xdr:row>37</xdr:row>
      <xdr:rowOff>66675</xdr:rowOff>
    </xdr:from>
    <xdr:to>
      <xdr:col>20</xdr:col>
      <xdr:colOff>721518</xdr:colOff>
      <xdr:row>55</xdr:row>
      <xdr:rowOff>76200</xdr:rowOff>
    </xdr:to>
    <xdr:graphicFrame macro="">
      <xdr:nvGraphicFramePr>
        <xdr:cNvPr id="8" name="Chart 2">
          <a:extLst>
            <a:ext uri="{FF2B5EF4-FFF2-40B4-BE49-F238E27FC236}">
              <a16:creationId xmlns:a16="http://schemas.microsoft.com/office/drawing/2014/main" id="{CE6EB340-AEFC-4E49-88CE-C032B4F35B6B}"/>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0</xdr:colOff>
      <xdr:row>14</xdr:row>
      <xdr:rowOff>0</xdr:rowOff>
    </xdr:from>
    <xdr:ext cx="304800" cy="308437"/>
    <xdr:sp macro="" textlink="">
      <xdr:nvSpPr>
        <xdr:cNvPr id="9" name="AutoShape 232" descr="Resultado de imagen para beer consumption trend">
          <a:extLst>
            <a:ext uri="{FF2B5EF4-FFF2-40B4-BE49-F238E27FC236}">
              <a16:creationId xmlns:a16="http://schemas.microsoft.com/office/drawing/2014/main" id="{5BF6EBC2-E0D9-4EDB-B52F-03FDFE234E62}"/>
            </a:ext>
          </a:extLst>
        </xdr:cNvPr>
        <xdr:cNvSpPr>
          <a:spLocks noChangeAspect="1" noChangeArrowheads="1"/>
        </xdr:cNvSpPr>
      </xdr:nvSpPr>
      <xdr:spPr bwMode="auto">
        <a:xfrm>
          <a:off x="13563600" y="772668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24</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43BB3F28-DFB6-430F-83BE-CEC8ED92A6EA}"/>
            </a:ext>
          </a:extLst>
        </xdr:cNvPr>
        <xdr:cNvSpPr>
          <a:spLocks noChangeAspect="1" noChangeArrowheads="1"/>
        </xdr:cNvSpPr>
      </xdr:nvSpPr>
      <xdr:spPr bwMode="auto">
        <a:xfrm>
          <a:off x="14013180" y="921258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E0E2A78-9187-4E6F-A64E-7BC277A1291C}"/>
            </a:ext>
          </a:extLst>
        </xdr:cNvPr>
        <xdr:cNvSpPr>
          <a:spLocks noChangeAspect="1" noChangeArrowheads="1"/>
        </xdr:cNvSpPr>
      </xdr:nvSpPr>
      <xdr:spPr bwMode="auto">
        <a:xfrm>
          <a:off x="14013180" y="756666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A7CF8D29-BDFE-42C8-B409-00A4882AE54C}"/>
            </a:ext>
          </a:extLst>
        </xdr:cNvPr>
        <xdr:cNvSpPr>
          <a:spLocks noChangeAspect="1" noChangeArrowheads="1"/>
        </xdr:cNvSpPr>
      </xdr:nvSpPr>
      <xdr:spPr bwMode="auto">
        <a:xfrm>
          <a:off x="14013180" y="11833860"/>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24</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64BD45DC-13FB-4DC7-940B-3B2C3B327F21}"/>
            </a:ext>
          </a:extLst>
        </xdr:cNvPr>
        <xdr:cNvSpPr>
          <a:spLocks noChangeAspect="1" noChangeArrowheads="1"/>
        </xdr:cNvSpPr>
      </xdr:nvSpPr>
      <xdr:spPr bwMode="auto">
        <a:xfrm>
          <a:off x="14013180" y="9212580"/>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38</xdr:row>
      <xdr:rowOff>0</xdr:rowOff>
    </xdr:from>
    <xdr:ext cx="304800" cy="301207"/>
    <xdr:sp macro="" textlink="">
      <xdr:nvSpPr>
        <xdr:cNvPr id="6" name="AutoShape 233" descr="Resultado de imagen para beer consumption trend">
          <a:extLst>
            <a:ext uri="{FF2B5EF4-FFF2-40B4-BE49-F238E27FC236}">
              <a16:creationId xmlns:a16="http://schemas.microsoft.com/office/drawing/2014/main" id="{0BE98124-9AA5-4D84-BE8C-9FFF70BDF262}"/>
            </a:ext>
          </a:extLst>
        </xdr:cNvPr>
        <xdr:cNvSpPr>
          <a:spLocks noChangeAspect="1" noChangeArrowheads="1"/>
        </xdr:cNvSpPr>
      </xdr:nvSpPr>
      <xdr:spPr bwMode="auto">
        <a:xfrm>
          <a:off x="14013180" y="11833860"/>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538302</xdr:colOff>
      <xdr:row>18</xdr:row>
      <xdr:rowOff>132229</xdr:rowOff>
    </xdr:from>
    <xdr:to>
      <xdr:col>18</xdr:col>
      <xdr:colOff>711993</xdr:colOff>
      <xdr:row>38</xdr:row>
      <xdr:rowOff>19051</xdr:rowOff>
    </xdr:to>
    <xdr:graphicFrame macro="">
      <xdr:nvGraphicFramePr>
        <xdr:cNvPr id="7" name="Chart 1">
          <a:extLst>
            <a:ext uri="{FF2B5EF4-FFF2-40B4-BE49-F238E27FC236}">
              <a16:creationId xmlns:a16="http://schemas.microsoft.com/office/drawing/2014/main" id="{36C14DBE-90DA-4727-B735-F48916A441DD}"/>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335756</xdr:colOff>
      <xdr:row>37</xdr:row>
      <xdr:rowOff>66675</xdr:rowOff>
    </xdr:from>
    <xdr:to>
      <xdr:col>20</xdr:col>
      <xdr:colOff>721518</xdr:colOff>
      <xdr:row>55</xdr:row>
      <xdr:rowOff>76200</xdr:rowOff>
    </xdr:to>
    <xdr:graphicFrame macro="">
      <xdr:nvGraphicFramePr>
        <xdr:cNvPr id="8" name="Chart 2">
          <a:extLst>
            <a:ext uri="{FF2B5EF4-FFF2-40B4-BE49-F238E27FC236}">
              <a16:creationId xmlns:a16="http://schemas.microsoft.com/office/drawing/2014/main" id="{BB6211B6-6832-4E2B-8349-8F4A95608714}"/>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0</xdr:colOff>
      <xdr:row>13</xdr:row>
      <xdr:rowOff>0</xdr:rowOff>
    </xdr:from>
    <xdr:ext cx="304800" cy="308437"/>
    <xdr:sp macro="" textlink="">
      <xdr:nvSpPr>
        <xdr:cNvPr id="9" name="AutoShape 232" descr="Resultado de imagen para beer consumption trend">
          <a:extLst>
            <a:ext uri="{FF2B5EF4-FFF2-40B4-BE49-F238E27FC236}">
              <a16:creationId xmlns:a16="http://schemas.microsoft.com/office/drawing/2014/main" id="{C8118A04-01D4-4CE1-8DD0-623ED5C93CE7}"/>
            </a:ext>
          </a:extLst>
        </xdr:cNvPr>
        <xdr:cNvSpPr>
          <a:spLocks noChangeAspect="1" noChangeArrowheads="1"/>
        </xdr:cNvSpPr>
      </xdr:nvSpPr>
      <xdr:spPr bwMode="auto">
        <a:xfrm>
          <a:off x="14013180" y="774192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10</xdr:col>
      <xdr:colOff>85725</xdr:colOff>
      <xdr:row>28</xdr:row>
      <xdr:rowOff>57150</xdr:rowOff>
    </xdr:from>
    <xdr:to>
      <xdr:col>12</xdr:col>
      <xdr:colOff>0</xdr:colOff>
      <xdr:row>46</xdr:row>
      <xdr:rowOff>86201</xdr:rowOff>
    </xdr:to>
    <xdr:pic>
      <xdr:nvPicPr>
        <xdr:cNvPr id="4" name="Imagem 3">
          <a:extLst>
            <a:ext uri="{FF2B5EF4-FFF2-40B4-BE49-F238E27FC236}">
              <a16:creationId xmlns:a16="http://schemas.microsoft.com/office/drawing/2014/main" id="{888D7380-34DC-6A81-A88B-CCAF6C0156D6}"/>
            </a:ext>
          </a:extLst>
        </xdr:cNvPr>
        <xdr:cNvPicPr>
          <a:picLocks noChangeAspect="1"/>
        </xdr:cNvPicPr>
      </xdr:nvPicPr>
      <xdr:blipFill>
        <a:blip xmlns:r="http://schemas.openxmlformats.org/officeDocument/2006/relationships" r:embed="rId1"/>
        <a:stretch>
          <a:fillRect/>
        </a:stretch>
      </xdr:blipFill>
      <xdr:spPr>
        <a:xfrm>
          <a:off x="16706850" y="10706100"/>
          <a:ext cx="3714750" cy="36199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1131077</xdr:colOff>
      <xdr:row>35</xdr:row>
      <xdr:rowOff>150242</xdr:rowOff>
    </xdr:from>
    <xdr:to>
      <xdr:col>8</xdr:col>
      <xdr:colOff>654629</xdr:colOff>
      <xdr:row>61</xdr:row>
      <xdr:rowOff>140051</xdr:rowOff>
    </xdr:to>
    <xdr:pic>
      <xdr:nvPicPr>
        <xdr:cNvPr id="2" name="Picture 1">
          <a:extLst>
            <a:ext uri="{FF2B5EF4-FFF2-40B4-BE49-F238E27FC236}">
              <a16:creationId xmlns:a16="http://schemas.microsoft.com/office/drawing/2014/main" id="{F83E4686-656B-6F0B-0AE3-CD2D18C19D8C}"/>
            </a:ext>
          </a:extLst>
        </xdr:cNvPr>
        <xdr:cNvPicPr>
          <a:picLocks noChangeAspect="1"/>
        </xdr:cNvPicPr>
      </xdr:nvPicPr>
      <xdr:blipFill>
        <a:blip xmlns:r="http://schemas.openxmlformats.org/officeDocument/2006/relationships" r:embed="rId1"/>
        <a:stretch>
          <a:fillRect/>
        </a:stretch>
      </xdr:blipFill>
      <xdr:spPr>
        <a:xfrm>
          <a:off x="9269237" y="6078602"/>
          <a:ext cx="6945432" cy="4348449"/>
        </a:xfrm>
        <a:prstGeom prst="rect">
          <a:avLst/>
        </a:prstGeom>
      </xdr:spPr>
    </xdr:pic>
    <xdr:clientData/>
  </xdr:twoCellAnchor>
  <xdr:twoCellAnchor editAs="oneCell">
    <xdr:from>
      <xdr:col>0</xdr:col>
      <xdr:colOff>1225633</xdr:colOff>
      <xdr:row>38</xdr:row>
      <xdr:rowOff>140360</xdr:rowOff>
    </xdr:from>
    <xdr:to>
      <xdr:col>6</xdr:col>
      <xdr:colOff>321492</xdr:colOff>
      <xdr:row>63</xdr:row>
      <xdr:rowOff>90703</xdr:rowOff>
    </xdr:to>
    <xdr:pic>
      <xdr:nvPicPr>
        <xdr:cNvPr id="4" name="Picture 2">
          <a:extLst>
            <a:ext uri="{FF2B5EF4-FFF2-40B4-BE49-F238E27FC236}">
              <a16:creationId xmlns:a16="http://schemas.microsoft.com/office/drawing/2014/main" id="{E5D62FA8-86A5-7DB2-74A0-C587BA13ECA3}"/>
            </a:ext>
          </a:extLst>
        </xdr:cNvPr>
        <xdr:cNvPicPr>
          <a:picLocks noChangeAspect="1"/>
        </xdr:cNvPicPr>
      </xdr:nvPicPr>
      <xdr:blipFill>
        <a:blip xmlns:r="http://schemas.openxmlformats.org/officeDocument/2006/relationships" r:embed="rId2"/>
        <a:stretch>
          <a:fillRect/>
        </a:stretch>
      </xdr:blipFill>
      <xdr:spPr>
        <a:xfrm>
          <a:off x="1225633" y="6299860"/>
          <a:ext cx="8742029" cy="3919093"/>
        </a:xfrm>
        <a:prstGeom prst="rect">
          <a:avLst/>
        </a:prstGeom>
      </xdr:spPr>
    </xdr:pic>
    <xdr:clientData/>
  </xdr:twoCellAnchor>
  <xdr:twoCellAnchor>
    <xdr:from>
      <xdr:col>9</xdr:col>
      <xdr:colOff>165418</xdr:colOff>
      <xdr:row>159</xdr:row>
      <xdr:rowOff>118110</xdr:rowOff>
    </xdr:from>
    <xdr:to>
      <xdr:col>11</xdr:col>
      <xdr:colOff>1184049</xdr:colOff>
      <xdr:row>176</xdr:row>
      <xdr:rowOff>272</xdr:rowOff>
    </xdr:to>
    <xdr:graphicFrame macro="">
      <xdr:nvGraphicFramePr>
        <xdr:cNvPr id="7" name="Chart 6">
          <a:extLst>
            <a:ext uri="{FF2B5EF4-FFF2-40B4-BE49-F238E27FC236}">
              <a16:creationId xmlns:a16="http://schemas.microsoft.com/office/drawing/2014/main" id="{75485623-E30C-0AFC-4E8D-CA8B1A117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206715</xdr:colOff>
      <xdr:row>156</xdr:row>
      <xdr:rowOff>138330</xdr:rowOff>
    </xdr:from>
    <xdr:to>
      <xdr:col>8</xdr:col>
      <xdr:colOff>1433485</xdr:colOff>
      <xdr:row>171</xdr:row>
      <xdr:rowOff>27940</xdr:rowOff>
    </xdr:to>
    <xdr:graphicFrame macro="">
      <xdr:nvGraphicFramePr>
        <xdr:cNvPr id="10" name="Chart 2">
          <a:extLst>
            <a:ext uri="{FF2B5EF4-FFF2-40B4-BE49-F238E27FC236}">
              <a16:creationId xmlns:a16="http://schemas.microsoft.com/office/drawing/2014/main" id="{CE55B7E5-1E74-1033-632A-EFF06089B20C}"/>
            </a:ext>
            <a:ext uri="{147F2762-F138-4A5C-976F-8EAC2B608ADB}">
              <a16:predDERef xmlns:a16="http://schemas.microsoft.com/office/drawing/2014/main" pred="{75485623-E30C-0AFC-4E8D-CA8B1A117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fons\AppData\Local\Microsoft\Windows\INetCache\Content.Outlook\XHQIGWWU\LTM%20IS%20(AUD).xls" TargetMode="External"/><Relationship Id="rId1" Type="http://schemas.openxmlformats.org/officeDocument/2006/relationships/externalLinkPath" Target="file:///C:\Users\afons\AppData\Local\Microsoft\Windows\INetCache\Content.Outlook\XHQIGWWU\LTM%20IS%20(AU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cadium Lithium PLC | Income S"/>
    </sheetNames>
    <sheetDataSet>
      <sheetData sheetId="0" refreshError="1">
        <row r="38">
          <cell r="B38">
            <v>28.8</v>
          </cell>
        </row>
      </sheetData>
    </sheetDataSet>
  </externalBook>
</externalLink>
</file>

<file path=xl/persons/person.xml><?xml version="1.0" encoding="utf-8"?>
<personList xmlns="http://schemas.microsoft.com/office/spreadsheetml/2018/threadedcomments" xmlns:x="http://schemas.openxmlformats.org/spreadsheetml/2006/main">
  <person displayName="Gonçalo Torres Raposo" id="{A3FDCCA8-5BEA-C441-AE6A-3868AA545572}" userId="S::l61123@aln.iseg.ulisboa.pt::be831743-e4fe-456f-bc29-0dcd3a154b2f" providerId="AD"/>
  <person displayName="DAVID FILIPE DE SOUSA TITA" id="{6D2C5BD9-1C3E-4972-9F97-1CA81A3CC14E}" userId="S::david.tita@aln.iseg.ulisboa.pt::2b554b1a-dfdf-4fc2-8414-05963e9f059c" providerId="AD"/>
  <person displayName="VITOR MANUEL SILVA PEREIRA" id="{BEA38C63-3C5A-41E4-814F-2AAFF6D4FFD3}" userId="S::vitorpereira@aln.iseg.ulisboa.pt::ef4115d5-a5da-4591-a5cb-bde354ff32a7" providerId="AD"/>
  <person displayName="Afonso Rafael Costa Simões" id="{81FA3967-5FE6-4FF1-9D68-592095C0B127}" userId="S::afonso_simoes@aln.iseg.ulisboa.pt::7d795103-2611-439a-9d29-5532e66c07f8" providerId="AD"/>
  <person displayName="Beatriz Filipa Cardoso Lagadoiro" id="{D03EAF95-B72C-4150-BA5F-499FA4D3D7A9}" userId="S::beatrizlagadoiro@aln.iseg.ulisboa.pt::a8c570e4-6299-437b-9a9e-cfb79c303915"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https://www.bing.com/financeapi/forcetrigger?t=aa8lr7&amp;q=XASX%3aPLS&amp;form=skydnc</v>
    <v>Learn more on Bing</v>
  </rv>
  <rv s="1">
    <v>en-US</v>
    <v>aa8lr7</v>
    <v>268435456</v>
    <v>1</v>
    <v>Powered by Refinitiv</v>
    <v>0</v>
    <v>1</v>
    <v>PILBARA MINERALS LIMITED (XASX:PLS)</v>
    <v>3</v>
    <v>4</v>
    <v>Finance</v>
    <v>5</v>
    <v>4.58</v>
    <v>2.31</v>
    <v>2.0207000000000002</v>
    <v>0.17</v>
    <v>5.7431999999999997E-2</v>
    <v>AUD</v>
    <v>Pilbara Minerals Limited is an Australia-based lithium company. The Company is primarily engaged in the exploration, development, and mining of minerals in Australia. Its 100% owned Pilgangoora hard-rock lithium operation is located approximately 120 kilometers (kms) from Port Hedland in Western Australia’s resource-rich Pilbara region. The operation consists of two processing plants: the Pilgan Plant, located on the northern side of the Pilgangoora area and produces spodumene and tantalite concentrates, and the Ngungaju Plant is located to the south produces spodumene concentrate. It owns 70% of the Mt Francisco project, which is located 50 km south-west of the Pilgangoora Project and hosts the large occurrence of outcropping pegmatites located nearby to Port Hedland. It is also pursuing a proposed downstream joint venture (JV) for the development of an approximately 43,000 tons per annum (tpa) lithium carbonate equivalent (LCE) lithium chemical conversion facility in South Korea.</v>
    <v>917</v>
    <v>Australian Securities Exchange</v>
    <v>XASX</v>
    <v>XASX</v>
    <v>Level 2, 146 Colin Street, West Perth, PERTH, WESTERN AUSTRALIA, 6005 AU</v>
    <v>3.14</v>
    <v>Metals &amp; Mining</v>
    <v>Stock</v>
    <v>45608.333333333336</v>
    <v>0</v>
    <v>3.01</v>
    <v>8913995000</v>
    <v>PILBARA MINERALS LIMITED</v>
    <v>PILBARA MINERALS LIMITED</v>
    <v>3.05</v>
    <v>36.65</v>
    <v>2.96</v>
    <v>3.13</v>
    <v>3011485000</v>
    <v>PLS</v>
    <v>PILBARA MINERALS LIMITED (XASX:PLS)</v>
    <v>26134006</v>
    <v>18928330</v>
    <v>2005</v>
  </rv>
  <rv s="2">
    <v>1</v>
  </rv>
  <rv s="0">
    <v>https://www.bing.com/financeapi/forcetrigger?t=a1n977&amp;q=XNYS%3aALB&amp;form=skydnc</v>
    <v>Learn more on Bing</v>
  </rv>
  <rv s="3">
    <v>pt-BR</v>
    <v>a1n977</v>
    <v>268435456</v>
    <v>1</v>
    <v>Da plataforma Refinitiv</v>
    <v>6</v>
    <v>7</v>
    <v>ALBEMARLE CORPORATION (XNYS:ALB)</v>
    <v>3</v>
    <v>8</v>
    <v>Finance</v>
    <v>9</v>
    <v>153.53989999999999</v>
    <v>71.97</v>
    <v>XNYS</v>
    <v>117540300</v>
    <v>108.065</v>
    <v>1993</v>
    <v>102.81</v>
    <v>1.5683</v>
    <v>New York Stock Exchange</v>
    <v>12126632751</v>
    <v>A Albemarle Corporation é uma desenvolvedora, fabricante e comerciante global de produtos químicos especiais de engenharia avançada. A Companhia opera em três segmentos: Lítio e Materiais Avançados, Especialidades de Bromo e Soluções de Refino. O segmento de lítio e materiais avançados consiste em duas categorias de produtos: soluções de lítio e catalisadores de desempenho. O negócio de bromo e bromo inclui produtos usados em soluções de segurança contra incêndio e outras aplicações químicas especiais. A Companhia atende a vários mercados finais, incluindo refino de petróleo, eletrônicos de consumo, armazenamento de energia, construção, automotivo, lubrificantes, produtos farmacêuticos, proteção de culturas, segurança de alimentos e serviços de química personalizada. Em 31 de dezembro de 2016, a Companhia e suas joint ventures operavam 31 instalações de produção e pesquisa e desenvolvimento (P&amp;D), além de vários escritórios administrativos e de vendas em todo o mundo.</v>
    <v>XNYS</v>
    <v>110.49</v>
    <v>9000</v>
    <v>45608.862802904689</v>
    <v>3</v>
    <v>2457593</v>
    <v>USD</v>
    <v>ALBEMARLE CORPORATION</v>
    <v>ALBEMARLE CORPORATION</v>
    <v>106.99</v>
    <v>103.17</v>
    <v>4250 Congress Street, Suite 900, CHARLOTTE, NC, 28209 US</v>
    <v>Chemicals</v>
    <v>ALB</v>
    <v>Ações</v>
    <v>ALBEMARLE CORPORATION (XNYS:ALB)</v>
    <v>-7.32</v>
    <v>-6.6250000000000003E-2</v>
    <v>1528185</v>
  </rv>
  <rv s="2">
    <v>4</v>
  </rv>
  <rv s="0">
    <v>https://www.bing.com/financeapi/forcetrigger?t=a23ih7&amp;q=XNYS%3aSQM&amp;form=skydnc</v>
    <v>Learn more on Bing</v>
  </rv>
  <rv s="4">
    <v>pt-BR</v>
    <v>a23ih7</v>
    <v>268435456</v>
    <v>1</v>
    <v>Da plataforma Refinitiv</v>
    <v>10</v>
    <v>11</v>
    <v>Sociedad Quimica y Minera de Chile SA (XNYS:SQM)</v>
    <v>3</v>
    <v>12</v>
    <v>Finance</v>
    <v>9</v>
    <v>64.62</v>
    <v>32.24</v>
    <v>XNYS</v>
    <v>285637800</v>
    <v>37.64</v>
    <v>1968</v>
    <v>36.729999999999997</v>
    <v>1.0548</v>
    <v>New York Stock Exchange</v>
    <v>10436910000</v>
    <v>A Sociedad Química y Minera de Chile S.A. (SQM), é uma produtora de nitrato de potássio e iodo. A Companhia produz nutrientes vegetais especiais, derivados de iodo, lítio e seus derivados, cloreto de potássio, sulfato de potássio e certos produtos químicos industriais. Seus segmentos incluem nutrientes de plantas especiais, produtos químicos industriais, iodo e derivados, lítio e derivados, potássio e outros produtos e serviços. Nutrientes vegetais especiais são fertilizantes que permitem que agricultores melhorarem os rendimentos e a qualidade de certas culturas. Os produtos químicos industriais têm uma variedade de aplicações em processos químicos, como a fabricação de vidro e nitratos industriais. O iodo e seus derivados são usados nas indústrias de contraste de raios X e biocidas, entre outras. O lítio e seus derivados são usados em baterias, graxas e fritas para produção de cerâmica. O cloreto de potássio é um fertilizante commodity que é produzido e vendido pela Companhia em todo o mundo.</v>
    <v>XNYS</v>
    <v>38.19</v>
    <v>7909</v>
    <v>45608.862745647653</v>
    <v>6</v>
    <v>966116</v>
    <v>USD</v>
    <v>Sociedad Quimica y Minera de Chile SA</v>
    <v>Sociedad Quimica y Minera de Chile SA</v>
    <v>397.74919999999997</v>
    <v>37.28</v>
    <v>37.03</v>
    <v>El Trovador 4285, SANTIAGO, SANTIAGO CL</v>
    <v>Chemicals</v>
    <v>SQM</v>
    <v>Ações</v>
    <v>Sociedad Quimica y Minera de Chile SA (XNYS:SQM)</v>
    <v>-1.1599999999999999</v>
    <v>-3.0373999999999998E-2</v>
    <v>624200</v>
  </rv>
  <rv s="2">
    <v>7</v>
  </rv>
  <rv s="0">
    <v>https://www.bing.com/financeapi/forcetrigger?t=aa7ooc&amp;q=XASX%3aMIN&amp;form=skydnc</v>
    <v>Learn more on Bing</v>
  </rv>
  <rv s="4">
    <v>pt-BR</v>
    <v>aa7ooc</v>
    <v>268435456</v>
    <v>1</v>
    <v>Da plataforma Refinitiv</v>
    <v>10</v>
    <v>11</v>
    <v>Mineral (XASX:MIN)</v>
    <v>3</v>
    <v>13</v>
    <v>Finance</v>
    <v>14</v>
    <v>79.760000000000005</v>
    <v>29.51</v>
    <v>XASX</v>
    <v>196518600</v>
    <v>38.19</v>
    <v>2006</v>
    <v>36.57</v>
    <v>1.5649999999999999</v>
    <v>Australian Securities Exchange</v>
    <v>7560071000</v>
    <v>Mineral Resources Ltd is an Australia-based diversified resources company. The Company operates through six segments: Mining Services, Iron Ore, Lithium, Energy, Other Commodities, and Central. Mining Services division provides full pit-to-port solutions. The Company’s subsidiary, Crushing Mining Services (CSI), provides crushing, screening and processing solutions for the mining companies. The Company operates three iron ore hubs across Western Australia in the Yilgarn, Pilbara and Ashburton regions. Its three iron ore hubs include Onslow Iron, Yilgarn Hub, and Pilbara Hub. The Company owns two hard rock lithium mines in Western Australia, which are Mt Marion in the Goldfields region, and Wodgina in the Pilbara region. The Mt Marion lithium is located approximately 40 kilometers (km) south-west of Kalgoorlie, Western Australia. The Wodgina lithium is located 120km south of Port Hedland in the Pilbara region of Western Australia. Energy segment includes two wells in the Perth Basin.</v>
    <v>XASX</v>
    <v>36.950000000000003</v>
    <v>8456</v>
    <v>45608.333344907405</v>
    <v>9</v>
    <v>3338810</v>
    <v>AUD</v>
    <v>Mineral</v>
    <v>Mineral</v>
    <v>58.64</v>
    <v>36.6</v>
    <v>37.659999999999997</v>
    <v>20 Walters Drive, Osborne Park, PERTH, WESTERN AUSTRALIA, 6017 AU</v>
    <v>Metals &amp; Mining</v>
    <v>MIN</v>
    <v>Ações</v>
    <v>Mineral (XASX:MIN)</v>
    <v>0.71</v>
    <v>1.9214999999999999E-2</v>
    <v>2283308</v>
  </rv>
  <rv s="2">
    <v>10</v>
  </rv>
  <rv s="5">
    <v>pt-BR</v>
    <v>cbx2rw</v>
    <v>268435456</v>
    <v>1</v>
    <v>Da plataforma Refinitiv</v>
    <v>15</v>
    <v>16</v>
    <v>Arcadium Lithium (XASX:LTM)</v>
    <v>17</v>
    <v>18</v>
    <v>Finance</v>
    <v>14</v>
    <v>11.57</v>
    <v>3.3</v>
    <v>XASX</v>
    <v>1075398000</v>
    <v>8.17</v>
    <v>2023</v>
    <v>8.1199999999999992</v>
    <v>1.762</v>
    <v>Australian Securities Exchange</v>
    <v>5764135000</v>
    <v>Arcadium Lithium PLC is a global lithium chemical producer. It has various capabilities across lithium extraction processes, including hard-rock mining, conventional brine extraction and direct lithium extraction (DLE), and in lithium chemical manufacturing for high performance applications. It uses lithium metal to manufacture lithium specialty products, including high purity lithium metal (HPM) and LIOVIX, a printable lithium metal formulation, for primary battery applications and batteries. It also processes lithium metal into butyllithium, used in the manufacturing of lightweight green tires among other applications, as well as lithium specialty chemicals used in medicine, agriculture, electronics and other industries. It also offers sustainable process pathways for lithium metal production using various grades of lithium carbonate. It operates around the world, with facilities and projects in Argentina, Australia, Canada, China, Japan, the United Kingdom and the United States.</v>
    <v>XASX</v>
    <v>8.08</v>
    <v>2909</v>
    <v>45608.333344907405</v>
    <v>13404390</v>
    <v>AUD</v>
    <v>Arcadium Lithium</v>
    <v>Arcadium Lithium</v>
    <v>3.03</v>
    <v>8.1300000000000008</v>
    <v>8.14</v>
    <v>Suite 12, Gateway Hub, Shannon Airport House, SHANNON, CLARE, V14 E370 IE</v>
    <v>Chemicals</v>
    <v>LTM</v>
    <v>Ações</v>
    <v>Arcadium Lithium (XASX:LTM)</v>
    <v>0.06</v>
    <v>7.4260000000000003E-3</v>
    <v>1723198</v>
  </rv>
  <rv s="2">
    <v>12</v>
  </rv>
  <rv s="6">
    <v>0</v>
    <v>5</v>
  </rv>
  <rv s="6">
    <v>1</v>
    <v>5</v>
  </rv>
  <rv s="6">
    <v>2</v>
    <v>5</v>
  </rv>
  <rv s="6">
    <v>3</v>
    <v>5</v>
  </rv>
  <rv s="7">
    <v>12</v>
    <v>Descrição</v>
    <v>0</v>
  </rv>
  <rv s="7">
    <v>12</v>
    <v>Moeda</v>
    <v>0</v>
  </rv>
  <rv s="8">
    <v>pt-BR</v>
    <v>avykh7</v>
    <v>268435456</v>
    <v>1</v>
    <v>Da plataforma Refinitiv</v>
    <v>19</v>
    <v>20</v>
    <v>USD/AUD</v>
    <v>21</v>
    <v>22</v>
    <v>Finance</v>
    <v>23</v>
    <v>1.5772999999999999</v>
    <v>1.4400999999999999</v>
    <v>1.5348999999999999</v>
    <v>1.5195000000000001</v>
    <v>USD</v>
    <v>1.5206999999999999</v>
    <v>45608.862800925926</v>
    <v>AUD</v>
    <v>US Dollar/Australian Dollar FX Cross Rate</v>
    <v>1.5205</v>
    <v>1.5295000000000001</v>
    <v>USDAUD</v>
    <v>Par de Moedas</v>
    <v>USD/AUD</v>
    <v>8.8000000000000005E-3</v>
    <v>5.7869999999999996E-3</v>
  </rv>
  <rv s="2">
    <v>20</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ocalImage">
    <k n="_rvRel:LocalImageIdentifier" t="i"/>
    <k n="CalcOrigin" t="i"/>
  </s>
  <s t="_error">
    <k n="errorType" t="i"/>
    <k n="field" t="s"/>
    <k n="subType" t="i"/>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lto"/>
    <k n="Baixo"/>
    <k n="Da moeda" t="s"/>
    <k n="Fechamento anterior"/>
    <k n="Hora da última transação"/>
    <k n="Moeda" t="s"/>
    <k n="Nome" t="s"/>
    <k n="Pendência"/>
    <k n="Preço"/>
    <k n="Símbolo do ticker" t="s"/>
    <k n="Tipo de instrumento" t="s"/>
    <k n="UniqueName" t="s"/>
    <k n="Variação"/>
    <k n="Variação (%)"/>
  </s>
</rvStructures>
</file>

<file path=xl/richData/rdsupportingpropertybag.xml><?xml version="1.0" encoding="utf-8"?>
<supportingPropertyBags xmlns="http://schemas.microsoft.com/office/spreadsheetml/2017/richdata2">
  <spbArrays count="5">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ExchangeID</v>
      <v t="s">%ProviderInfo</v>
    </a>
    <a count="28">
      <v t="s">%EntityServiceId</v>
      <v t="s">_Format</v>
      <v t="s">%IsRefreshable</v>
      <v t="s">_CanonicalPropertyNames</v>
      <v t="s">%EntityCulture</v>
      <v t="s">%EntityId</v>
      <v t="s">_Icon</v>
      <v t="s">_Display</v>
      <v t="s">Nome</v>
      <v t="s">Preço</v>
      <v t="s">_SubLabel</v>
      <v t="s">Hora da última transação</v>
      <v t="s">Símbolo do ticker</v>
      <v t="s">Variação</v>
      <v t="s">Variação (%)</v>
      <v t="s">Moeda</v>
      <v t="s">Da moeda</v>
      <v t="s">Fechamento anterior</v>
      <v t="s">Pendência</v>
      <v t="s">Alto</v>
      <v t="s">Baixo</v>
      <v t="s">52 semanas de alta</v>
      <v t="s">52 semanas de baixa</v>
      <v t="s">Tipo de instrumento</v>
      <v t="s">_Flags</v>
      <v t="s">UniqueName</v>
      <v t="s">_DisplayString</v>
      <v t="s">%ProviderInfo</v>
    </a>
  </spbArrays>
  <spbData count="24">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Delayed 20 minutes</v>
      <v>from previous close</v>
      <v>from previous close</v>
      <v>GMT</v>
    </spb>
    <spb s="6">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10</v>
      <v>2</v>
      <v>3</v>
      <v>10</v>
      <v>10</v>
      <v>4</v>
      <v>10</v>
      <v>10</v>
      <v>4</v>
      <v>5</v>
      <v>4</v>
      <v>9</v>
      <v>10</v>
      <v>10</v>
      <v>8</v>
      <v>4</v>
      <v>10</v>
      <v>11</v>
      <v>7</v>
    </spb>
    <spb s="8">
      <v>Tempo Real Nasdaq Última venda</v>
      <v xml:space="preserve">do fechamento anterior </v>
      <v>Origem : Nasdaq Última venda</v>
      <v xml:space="preserve">do fechamento anterior </v>
      <v>GMT</v>
    </spb>
    <spb s="9">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0">
      <v>2</v>
      <v>10</v>
      <v>2</v>
      <v>3</v>
      <v>10</v>
      <v>10</v>
      <v>4</v>
      <v>10</v>
      <v>10</v>
      <v>4</v>
      <v>5</v>
      <v>4</v>
      <v>9</v>
      <v>10</v>
      <v>10</v>
      <v>8</v>
      <v>4</v>
      <v>10</v>
      <v>11</v>
      <v>7</v>
    </spb>
    <spb s="10">
      <v>2</v>
      <v>1</v>
      <v>2</v>
      <v>3</v>
      <v>1</v>
      <v>1</v>
      <v>4</v>
      <v>1</v>
      <v>1</v>
      <v>4</v>
      <v>5</v>
      <v>4</v>
      <v>9</v>
      <v>1</v>
      <v>1</v>
      <v>8</v>
      <v>4</v>
      <v>1</v>
      <v>6</v>
      <v>7</v>
    </spb>
    <spb s="11">
      <v>Atraso de 20 minutos</v>
      <v xml:space="preserve">do fechamento anterior </v>
      <v xml:space="preserve">do fechamento anterior </v>
      <v>GMT</v>
    </spb>
    <spb s="12">
      <v>P/E</v>
      <v>High</v>
      <v>Beta</v>
      <v>Name</v>
      <v>Headquarters</v>
      <v>Low</v>
      <v>Exchange</v>
      <v>Currency</v>
      <v>Price</v>
      <v>Industry</v>
      <v>Volume</v>
      <v>Change</v>
      <v>Description</v>
      <v>Open</v>
      <v>ExchangeID</v>
      <v>UniqueName</v>
      <v>Employees</v>
      <v>Official name</v>
      <v>Change (%)</v>
      <v>%ProviderInfo</v>
      <v>Volume average</v>
      <v>Ticker symbol</v>
      <v>52 week high</v>
      <v>52 week low</v>
      <v>Year incorporated</v>
      <v>Shares outstanding</v>
      <v>Previous close</v>
      <v>Instrument type</v>
      <v>Exchange abbreviation</v>
      <v>Market cap</v>
      <v>Last trade time</v>
    </spb>
    <spb s="13">
      <v>3</v>
      <v>Name</v>
    </spb>
    <spb s="14">
      <v>2</v>
      <v>2</v>
      <v>2</v>
    </spb>
    <spb s="10">
      <v>2</v>
      <v>1</v>
      <v>2</v>
      <v>3</v>
      <v>1</v>
      <v>1</v>
      <v>4</v>
      <v>1</v>
      <v>1</v>
      <v>4</v>
      <v>5</v>
      <v>4</v>
      <v>9</v>
      <v>1</v>
      <v>1</v>
      <v>8</v>
      <v>4</v>
      <v>1</v>
      <v>11</v>
      <v>7</v>
    </spb>
    <spb s="15">
      <v>High</v>
      <v>Name</v>
      <v>Low</v>
      <v>Currency</v>
      <v>Price</v>
      <v>From currency</v>
      <v>Change</v>
      <v>Open</v>
      <v>UniqueName</v>
      <v>Change (%)</v>
      <v>%ProviderInfo</v>
      <v>Ticker symbol</v>
      <v>52 week high</v>
      <v>52 week low</v>
      <v>Previous close</v>
      <v>Instrument type</v>
      <v>Last trade time</v>
    </spb>
    <spb s="13">
      <v>4</v>
      <v>Name</v>
    </spb>
    <spb s="16">
      <v>2</v>
      <v>2</v>
    </spb>
    <spb s="17">
      <v>1</v>
      <v>3</v>
      <v>1</v>
      <v>1</v>
      <v>1</v>
      <v>1</v>
      <v>5</v>
      <v>9</v>
      <v>1</v>
      <v>1</v>
      <v>1</v>
      <v>7</v>
    </spb>
    <spb s="18">
      <v>GMT</v>
    </spb>
  </spbData>
</supportingPropertyBags>
</file>

<file path=xl/richData/rdsupportingpropertybagstructure.xml><?xml version="1.0" encoding="utf-8"?>
<spbStructures xmlns="http://schemas.microsoft.com/office/spreadsheetml/2017/richdata2" count="19">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s>
  <s>
    <k n="ExchangeID" t="spb"/>
    <k n="UniqueName" t="spb"/>
    <k n="`%ProviderInfo" t="spb"/>
  </s>
  <s>
    <k n="Alto" t="s"/>
    <k n="Nome" t="s"/>
    <k n="Baixo" t="s"/>
    <k n="Moeda" t="s"/>
    <k n="Preço" t="s"/>
    <k n="Da moeda" t="s"/>
    <k n="Variação" t="s"/>
    <k n="Pendência" t="s"/>
    <k n="UniqueName" t="s"/>
    <k n="Variação (%)" t="s"/>
    <k n="%ProviderInfo" t="s"/>
    <k n="Símbolo do ticker" t="s"/>
    <k n="52 semanas de alta" t="s"/>
    <k n="52 semanas de baixa" t="s"/>
    <k n="Fechamento anterior" t="s"/>
    <k n="Tipo de instrumento" t="s"/>
    <k n="Hora da última transação" t="s"/>
  </s>
  <s>
    <k n="UniqueName" t="spb"/>
    <k n="`%ProviderInfo" t="spb"/>
  </s>
  <s>
    <k n="Alto" t="i"/>
    <k n="Nome" t="i"/>
    <k n="Baixo" t="i"/>
    <k n="Preço" t="i"/>
    <k n="Variação" t="i"/>
    <k n="Pendência" t="i"/>
    <k n="Variação (%)" t="i"/>
    <k n="`%EntityServiceId" t="i"/>
    <k n="52 semanas de alta" t="i"/>
    <k n="52 semanas de baixa" t="i"/>
    <k n="Fechamento anterior" t="i"/>
    <k n="Hora da última transação" t="i"/>
  </s>
  <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yyyy/m/d\ h:mm"/>
    </x:dxf>
    <x:dxf>
      <x:numFmt numFmtId="0" formatCode="General"/>
    </x:dxf>
  </dxfs>
  <richProperties>
    <rPr n="NumberFormat" t="s"/>
    <rPr n="IsTitleField" t="b"/>
  </richProperties>
  <richStyles>
    <rSty dxfid="6">
      <rpv i="0">_-[$$-en-AU]* #,##0.00_-;-[$$-en-AU]* #,##0.00_-;_-[$$-en-AU]* "-"??_-;_-@_-</rpv>
    </rSty>
    <rSty dxfid="0">
      <rpv i="0">#,##0.00</rpv>
    </rSty>
    <rSty>
      <rpv i="1">1</rpv>
    </rSty>
    <rSty dxfid="1">
      <rpv i="0">#,##0</rpv>
    </rSty>
    <rSty dxfid="2"/>
    <rSty dxfid="6">
      <rpv i="0">_-[$$-en-AU]* #,##0_-;-[$$-en-AU]* #,##0_-;_-[$$-en-AU]* "-"_-;_-@_-</rpv>
    </rSty>
    <rSty dxfid="5"/>
    <rSty dxfid="4">
      <rpv i="0">0</rpv>
    </rSty>
    <rSty dxfid="3">
      <rpv i="0">0.00</rpv>
    </rSty>
    <rSty dxfid="6">
      <rpv i="0">_([$$-en-US]* #,##0.00_);_([$$-en-US]* (#,##0.00);_([$$-en-US]* "-"??_);_(@_)</rpv>
    </rSty>
    <rSty dxfid="6">
      <rpv i="0">_([$$-en-US]* #,##0_);_([$$-en-US]* (#,##0);_([$$-en-US]*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392FE1-6FB1-7F4D-844E-74D260B0D314}" name="Table10" displayName="Table10" ref="A123:AB138" totalsRowCount="1" headerRowDxfId="559" dataDxfId="558" headerRowBorderDxfId="556" tableBorderDxfId="557" totalsRowBorderDxfId="555" headerRowCellStyle="Normal 3" dataCellStyle="Normal 3">
  <autoFilter ref="A123:AB137" xr:uid="{4B392FE1-6FB1-7F4D-844E-74D260B0D314}"/>
  <tableColumns count="28">
    <tableColumn id="1" xr3:uid="{CD3FFBD5-B525-F04D-A55A-BF951C8D09D3}" name="Percentage" dataDxfId="553" totalsRowDxfId="554" dataCellStyle="Normal 3"/>
    <tableColumn id="2" xr3:uid="{7BF1564A-33DC-4A4E-9A82-344CB57F2215}" name="Sensitivity Analysis" totalsRowLabel="Average" dataDxfId="551" totalsRowDxfId="552" dataCellStyle="Normal 3"/>
    <tableColumn id="3" xr3:uid="{D775465C-764E-6248-9448-28F3F7867764}" name="2024" totalsRowFunction="custom" dataDxfId="549" totalsRowDxfId="550" dataCellStyle="Normal 3">
      <totalsRowFormula>AVERAGE(C135:C137)</totalsRowFormula>
    </tableColumn>
    <tableColumn id="4" xr3:uid="{42C97816-AC6B-E14A-B73C-A0A910E202A6}" name="2025" totalsRowFunction="custom" dataDxfId="547" totalsRowDxfId="548" dataCellStyle="Normal 3">
      <totalsRowFormula>AVERAGE(D135:D137)</totalsRowFormula>
    </tableColumn>
    <tableColumn id="5" xr3:uid="{1743EC22-75CB-5549-A100-10AACB2AA2D6}" name="2026" totalsRowFunction="custom" dataDxfId="545" totalsRowDxfId="546" dataCellStyle="Normal 3">
      <totalsRowFormula>AVERAGE(E135:E137)</totalsRowFormula>
    </tableColumn>
    <tableColumn id="6" xr3:uid="{F877799F-624F-494B-84B5-52A8C5A7109D}" name="2027" totalsRowFunction="custom" dataDxfId="543" totalsRowDxfId="544" dataCellStyle="Normal 3">
      <totalsRowFormula>AVERAGE(F135:F137)</totalsRowFormula>
    </tableColumn>
    <tableColumn id="7" xr3:uid="{625F792D-9923-B34D-B3AF-8BC76D27EB7A}" name="2028" totalsRowFunction="custom" dataDxfId="541" totalsRowDxfId="542" dataCellStyle="Normal 3">
      <totalsRowFormula>AVERAGE(G135:G137)</totalsRowFormula>
    </tableColumn>
    <tableColumn id="8" xr3:uid="{F8EA5A3E-E7E2-C045-8799-6BA8005DA9CF}" name="2029" totalsRowFunction="custom" dataDxfId="539" totalsRowDxfId="540" dataCellStyle="Normal 3">
      <totalsRowFormula>AVERAGE(H135:H137)</totalsRowFormula>
    </tableColumn>
    <tableColumn id="9" xr3:uid="{745D099B-85F4-E044-9F25-0881460D6618}" name="2030" totalsRowFunction="custom" dataDxfId="537" totalsRowDxfId="538" dataCellStyle="Normal 3">
      <totalsRowFormula>AVERAGE(I135:I137)</totalsRowFormula>
    </tableColumn>
    <tableColumn id="10" xr3:uid="{2088DD1A-EED8-D94C-BB33-19E2357ED71D}" name="2031" totalsRowFunction="custom" dataDxfId="535" totalsRowDxfId="536" dataCellStyle="Normal 3">
      <totalsRowFormula>AVERAGE(J135:J137)</totalsRowFormula>
    </tableColumn>
    <tableColumn id="11" xr3:uid="{5E70CB42-2AAF-6240-A37E-9F76D6438239}" name="2032" totalsRowFunction="custom" dataDxfId="533" totalsRowDxfId="534" dataCellStyle="Normal 3">
      <totalsRowFormula>AVERAGE(K135:K137)</totalsRowFormula>
    </tableColumn>
    <tableColumn id="12" xr3:uid="{EBB57585-BC3A-C24B-8074-755D6ABED6F4}" name="2033" totalsRowFunction="custom" dataDxfId="531" totalsRowDxfId="532" dataCellStyle="Normal 3">
      <totalsRowFormula>AVERAGE(L135:L137)</totalsRowFormula>
    </tableColumn>
    <tableColumn id="13" xr3:uid="{CD1973BA-6806-584D-8FD0-4B31EA445805}" name="2034" totalsRowFunction="custom" dataDxfId="529" totalsRowDxfId="530" dataCellStyle="Normal 3">
      <totalsRowFormula>AVERAGE(M135:M137)</totalsRowFormula>
    </tableColumn>
    <tableColumn id="14" xr3:uid="{534CEAD8-F9B2-B34E-B534-0A9388A199D5}" name="2035" totalsRowFunction="custom" dataDxfId="527" totalsRowDxfId="528" dataCellStyle="Normal 3">
      <totalsRowFormula>AVERAGE(N135:N137)</totalsRowFormula>
    </tableColumn>
    <tableColumn id="15" xr3:uid="{06152C5A-2930-364C-914E-8EB51895C50F}" name="2036" totalsRowFunction="custom" dataDxfId="525" totalsRowDxfId="526" dataCellStyle="Normal 3">
      <totalsRowFormula>AVERAGE(O135:O137)</totalsRowFormula>
    </tableColumn>
    <tableColumn id="16" xr3:uid="{5A0D272D-8E49-3248-BE8A-58B833828C13}" name="2037" totalsRowFunction="custom" dataDxfId="523" totalsRowDxfId="524" dataCellStyle="Normal 3">
      <totalsRowFormula>AVERAGE(P135:P137)</totalsRowFormula>
    </tableColumn>
    <tableColumn id="17" xr3:uid="{7DFF635A-A1F3-9142-B518-64C7574F7399}" name="2038" totalsRowFunction="custom" dataDxfId="521" totalsRowDxfId="522" dataCellStyle="Normal 3">
      <totalsRowFormula>AVERAGE(Q135:Q137)</totalsRowFormula>
    </tableColumn>
    <tableColumn id="18" xr3:uid="{CB718415-58A1-E445-956B-65AA9333CF52}" name="2039" totalsRowFunction="custom" dataDxfId="519" totalsRowDxfId="520" dataCellStyle="Normal 3">
      <totalsRowFormula>AVERAGE(R135:R137)</totalsRowFormula>
    </tableColumn>
    <tableColumn id="19" xr3:uid="{A2660590-F457-CE41-9650-9802BE482DFD}" name="2040" totalsRowFunction="custom" dataDxfId="517" totalsRowDxfId="518" dataCellStyle="Normal 3">
      <totalsRowFormula>AVERAGE(S135:S137)</totalsRowFormula>
    </tableColumn>
    <tableColumn id="20" xr3:uid="{DB61D7EA-0BB7-1F46-B28F-9E5B6A8FC6C8}" name="2041" totalsRowFunction="custom" dataDxfId="515" totalsRowDxfId="516" dataCellStyle="Normal 3">
      <totalsRowFormula>AVERAGE(T135:T137)</totalsRowFormula>
    </tableColumn>
    <tableColumn id="21" xr3:uid="{226189F1-A260-C24D-A251-4C7A9A625D18}" name="2042" totalsRowFunction="custom" dataDxfId="513" totalsRowDxfId="514" dataCellStyle="Normal 3">
      <totalsRowFormula>AVERAGE(U135:U137)</totalsRowFormula>
    </tableColumn>
    <tableColumn id="22" xr3:uid="{24AD8E1E-DA9A-EB4F-87A5-60C0EE90FE62}" name="2043" totalsRowFunction="custom" dataDxfId="511" totalsRowDxfId="512" dataCellStyle="Normal 3">
      <totalsRowFormula>AVERAGE(V135:V137)</totalsRowFormula>
    </tableColumn>
    <tableColumn id="23" xr3:uid="{D1CC09EB-0058-B246-8117-92E2E914BF91}" name="2044" totalsRowFunction="custom" dataDxfId="509" totalsRowDxfId="510" dataCellStyle="Normal 3">
      <totalsRowFormula>AVERAGE(W135:W137)</totalsRowFormula>
    </tableColumn>
    <tableColumn id="24" xr3:uid="{5E876349-BCCB-3645-8E20-1B1767F64C9E}" name="2045" totalsRowFunction="custom" dataDxfId="507" totalsRowDxfId="508" dataCellStyle="Normal 3">
      <totalsRowFormula>AVERAGE(X135:X137)</totalsRowFormula>
    </tableColumn>
    <tableColumn id="25" xr3:uid="{5292DCB8-45F9-1845-8FA8-524539C35490}" name="2046" totalsRowFunction="custom" dataDxfId="505" totalsRowDxfId="506" dataCellStyle="Normal 3">
      <totalsRowFormula>AVERAGE(Y135:Y137)</totalsRowFormula>
    </tableColumn>
    <tableColumn id="26" xr3:uid="{F6429627-199C-B14D-823B-BD232C59FDDE}" name="2047" totalsRowFunction="custom" dataDxfId="503" totalsRowDxfId="504" dataCellStyle="Normal 3">
      <totalsRowFormula>AVERAGE(Z135:Z137)</totalsRowFormula>
    </tableColumn>
    <tableColumn id="27" xr3:uid="{852FF7E6-3F4D-7A47-931A-34639D1F69A6}" name="2048" totalsRowFunction="custom" dataDxfId="501" totalsRowDxfId="502" dataCellStyle="Normal 3">
      <totalsRowFormula>AVERAGE(AA135:AA137)</totalsRowFormula>
    </tableColumn>
    <tableColumn id="28" xr3:uid="{660EF726-D2E3-D747-8E96-E6CCAEFF8F78}" name="2049" totalsRowFunction="custom" dataDxfId="499" totalsRowDxfId="500" dataCellStyle="Normal 3">
      <totalsRowFormula>AVERAGE(AB135:AB137)</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3F7216-F4F4-FB46-A065-425E6FDC81F1}" name="Table2" displayName="Table2" ref="B68:AB72" totalsRowShown="0" headerRowDxfId="488" dataDxfId="487" tableBorderDxfId="486" headerRowCellStyle="Normal 3" dataCellStyle="Normal 3">
  <autoFilter ref="B68:AB72" xr:uid="{833F7216-F4F4-FB46-A065-425E6FDC81F1}"/>
  <tableColumns count="27">
    <tableColumn id="1" xr3:uid="{71A637A3-460C-5D43-86DB-29B8BF0DF356}" name="Year (Quarterly)" dataDxfId="485"/>
    <tableColumn id="2" xr3:uid="{05CF97E5-68D3-4C49-8D99-9D91B6D0B608}" name="Units" dataDxfId="484" dataCellStyle="Normal 3"/>
    <tableColumn id="3" xr3:uid="{8FACD053-C4B9-C940-915A-15DCC389BFA5}" name="April Q FY17" dataDxfId="483" dataCellStyle="Normal 3"/>
    <tableColumn id="5" xr3:uid="{8F082C91-33CF-2D47-BFFD-BCD00A60A076}" name="September Q FY17" dataDxfId="482" dataCellStyle="Normal 3"/>
    <tableColumn id="6" xr3:uid="{42F873B3-CD1D-2D44-9F9E-E98559D78907}" name="December Q FY17" dataDxfId="481" dataCellStyle="Normal 3"/>
    <tableColumn id="7" xr3:uid="{4F995E60-38FC-0A44-BDA7-810DF0B7D36B}" name="April Q FY18" dataDxfId="480" dataCellStyle="Normal 3"/>
    <tableColumn id="9" xr3:uid="{378B1417-647E-6344-A915-FF3C67CD4FE3}" name="September Q FY18" dataDxfId="479" dataCellStyle="Normal 3"/>
    <tableColumn id="10" xr3:uid="{5EAA558A-091E-4946-8EEA-81DE3B59160E}" name="December Q FY18" dataDxfId="478" dataCellStyle="Normal 3"/>
    <tableColumn id="11" xr3:uid="{DE56F713-4DFB-7240-BC5C-E63858AFEB6F}" name="April Q FY19" dataDxfId="477" dataCellStyle="Normal 3"/>
    <tableColumn id="13" xr3:uid="{20ACB9E2-1BE6-B442-83D1-12F4E94D3A33}" name="September Q FY19" dataDxfId="476" dataCellStyle="Normal 3"/>
    <tableColumn id="14" xr3:uid="{966C6140-ABC3-A046-955B-2487EAE728B5}" name="December Q FY19" dataDxfId="475" dataCellStyle="Normal 3"/>
    <tableColumn id="15" xr3:uid="{1874C1E0-CDF9-6246-8734-F2F415740C7F}" name="April Q FY20" dataDxfId="474" dataCellStyle="Normal 3"/>
    <tableColumn id="17" xr3:uid="{868FBB8B-CBCB-4042-8612-E2A84D7F9C8F}" name="September Q FY20" dataDxfId="473" dataCellStyle="Normal 3"/>
    <tableColumn id="18" xr3:uid="{758AD42B-F4CF-1443-9E92-24E9BBEE8A8B}" name="December Q FY20" dataDxfId="472" dataCellStyle="Normal 3"/>
    <tableColumn id="19" xr3:uid="{864B3B69-9A2D-AD4C-ABBB-8376356EB07A}" name="April Q FY21" dataDxfId="471" dataCellStyle="Normal 3"/>
    <tableColumn id="21" xr3:uid="{E4B64EDB-1B11-A242-8F4C-CA45DF10F114}" name="September Q FY21" dataDxfId="470" dataCellStyle="Normal 3"/>
    <tableColumn id="22" xr3:uid="{63B41F1D-D81C-CD4D-90CE-631B6474DDC0}" name="December Q FY21" dataDxfId="469" dataCellStyle="Normal 3"/>
    <tableColumn id="23" xr3:uid="{6AA450FF-E644-134C-A765-FC861110BB00}" name="April Q FY22" dataDxfId="468" dataCellStyle="Normal 3"/>
    <tableColumn id="25" xr3:uid="{6BCB2684-6352-6442-8EEE-2897525658D5}" name="September Q FY22" dataDxfId="467" dataCellStyle="Normal 3"/>
    <tableColumn id="26" xr3:uid="{DDD379EB-FA81-8E42-AC3D-43DDB232DCBE}" name="December Q FY22" dataDxfId="466" dataCellStyle="Normal 3"/>
    <tableColumn id="27" xr3:uid="{774D7972-87EF-6C44-AFE5-D2D25322FA8E}" name="April Q FY23" dataDxfId="465" dataCellStyle="Normal 3"/>
    <tableColumn id="29" xr3:uid="{6C0C9A5A-2BB8-FC4C-9CEB-B2F77FDF0635}" name="September Q FY23" dataDxfId="464" dataCellStyle="Normal 3"/>
    <tableColumn id="30" xr3:uid="{31344851-3A3F-5F4B-BF02-8C9A47F9BB59}" name="December Q FY23" dataDxfId="463" dataCellStyle="Normal 3"/>
    <tableColumn id="31" xr3:uid="{BC9EB918-7E0B-6D4C-AB48-94B907612374}" name="April Q FY24" dataDxfId="462" dataCellStyle="Normal 3"/>
    <tableColumn id="33" xr3:uid="{17B691A9-148F-BF45-8B39-5D3E6638BEBB}" name="September Q FY24" dataDxfId="461" dataCellStyle="Normal 3"/>
    <tableColumn id="34" xr3:uid="{62445E63-73EE-2341-803C-05ED3887E703}" name="December Q FY24" dataDxfId="460" dataCellStyle="Normal 3"/>
    <tableColumn id="4" xr3:uid="{29C74CDC-7B03-4C44-8450-60A03C9FA495}" name="Average" dataDxfId="459" dataCellStyle="Normal 3">
      <calculatedColumnFormula>AVERAGE(Table2[[#This Row],[April Q FY17]]:Table2[[#This Row],[December Q FY24]])</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1BED1-BB6C-514E-9BBB-7962E3C1DE39}" name="Table1" displayName="Table1" ref="B74:AI82" totalsRowShown="0" headerRowDxfId="458" dataDxfId="457" headerRowBorderDxfId="455" tableBorderDxfId="456" totalsRowBorderDxfId="454" headerRowCellStyle="Normal 3" dataCellStyle="Normal 3">
  <autoFilter ref="B74:AI82" xr:uid="{63B1BED1-BB6C-514E-9BBB-7962E3C1DE39}"/>
  <tableColumns count="34">
    <tableColumn id="1" xr3:uid="{157942A6-4817-F949-91BC-77E861358319}" name="Exploration (Quarter Basis)" dataDxfId="453" dataCellStyle="Normal 3"/>
    <tableColumn id="2" xr3:uid="{B18272AF-4E66-E044-8DD7-BB921D054E37}" name="Units" dataDxfId="452" dataCellStyle="Normal 3"/>
    <tableColumn id="34" xr3:uid="{CC7E481D-F51C-1142-B495-264D52BBB033}" name="Sparkline" dataDxfId="451" dataCellStyle="Normal 3"/>
    <tableColumn id="3" xr3:uid="{896AB175-E59F-FD4B-84FD-CAFA22E95FCF}" name="Q1 FY17" dataDxfId="450" dataCellStyle="Normal 3"/>
    <tableColumn id="4" xr3:uid="{ABD1C41A-57AB-0841-B210-CEE472B499F0}" name="Q2 FY17" dataDxfId="449" dataCellStyle="Normal 3"/>
    <tableColumn id="5" xr3:uid="{886687CC-9C09-894D-938B-56A5491C93EC}" name="Q3 FY17" dataDxfId="448" dataCellStyle="Normal 3"/>
    <tableColumn id="6" xr3:uid="{1B9426D2-3CE2-E143-BCBD-F11B5DB4C6EA}" name="Q4 FY17" dataDxfId="447" dataCellStyle="Normal 3"/>
    <tableColumn id="7" xr3:uid="{45DDD2DB-7699-F944-B54F-8E799A938A43}" name="Q1 FY18" dataDxfId="446" dataCellStyle="Normal 3"/>
    <tableColumn id="8" xr3:uid="{F4D4B296-A532-5A40-82C2-C996C7B2CE58}" name="Q2 FY18" dataDxfId="445" dataCellStyle="Normal 3"/>
    <tableColumn id="9" xr3:uid="{AF7B3887-273F-514E-BDB1-CE02F36CB243}" name="Q3 FY18" dataDxfId="444" dataCellStyle="Normal 3"/>
    <tableColumn id="10" xr3:uid="{E037D84B-AB8B-8A42-B50B-79726D931F64}" name="Q4 FY18" dataDxfId="443" dataCellStyle="Normal 3"/>
    <tableColumn id="11" xr3:uid="{23158DB9-04A7-4543-B267-07EF05EB2F88}" name="Q1 FY19" dataDxfId="442" dataCellStyle="Normal 3"/>
    <tableColumn id="12" xr3:uid="{0E901526-F3B1-014A-936E-619D83E33E98}" name="Q2 FY19" dataDxfId="441" dataCellStyle="Normal 3"/>
    <tableColumn id="13" xr3:uid="{222EAC6D-DEBD-CA46-834D-742BE135879B}" name="Q3 FY19" dataDxfId="440" dataCellStyle="Normal 3"/>
    <tableColumn id="14" xr3:uid="{6C6E0A42-3430-BA48-AE5F-1B8AEDBF68AA}" name="Q4 FY19" dataDxfId="439" dataCellStyle="Normal 3"/>
    <tableColumn id="15" xr3:uid="{502FAB96-5A80-2D46-B150-E275CF62264C}" name="Q1 FY20" dataDxfId="438" dataCellStyle="Normal 3"/>
    <tableColumn id="16" xr3:uid="{61B86250-8A24-C54D-A318-3DC17303B252}" name="Q2 FY20" dataDxfId="437" dataCellStyle="Normal 3"/>
    <tableColumn id="17" xr3:uid="{BEC8D1CB-EE56-ED40-897C-D8C7CE956639}" name="Q3 FY20" dataDxfId="436" dataCellStyle="Normal 3"/>
    <tableColumn id="18" xr3:uid="{31233E0C-2B2C-C348-B744-84BAC93DD18C}" name="Q4 FY20" dataDxfId="435" dataCellStyle="Normal 3"/>
    <tableColumn id="19" xr3:uid="{26A0673D-1496-4C49-A644-9C5713B33933}" name="Q1 FY21" dataDxfId="434" dataCellStyle="Normal 3"/>
    <tableColumn id="20" xr3:uid="{6EEB138E-C8DC-0641-8D2D-513B60679EE6}" name="Q2 FY21" dataDxfId="433" dataCellStyle="Normal 3"/>
    <tableColumn id="21" xr3:uid="{87DBDED1-80E1-A444-8A7F-0988F5B915FF}" name="Q3 FY21" dataDxfId="432" dataCellStyle="Normal 3"/>
    <tableColumn id="22" xr3:uid="{2A80FA85-41BF-4749-A75B-6ECD24729A87}" name="Q4 FY21" dataDxfId="431" dataCellStyle="Normal 3"/>
    <tableColumn id="23" xr3:uid="{C4CA5512-4355-5F42-9072-7D19068DAEF5}" name="Q1 FY22" dataDxfId="430" dataCellStyle="Normal 3"/>
    <tableColumn id="24" xr3:uid="{E96CE0C2-E553-F94E-990D-59FEF3EB840C}" name="Q2 FY22" dataDxfId="429" dataCellStyle="Normal 3"/>
    <tableColumn id="25" xr3:uid="{AA0E8374-AEE0-2744-9E93-8657C8A83C70}" name="Q3 FY22" dataDxfId="428" dataCellStyle="Normal 3"/>
    <tableColumn id="26" xr3:uid="{5D97FAB2-B1B9-1E4C-BF0C-E9CC4EA45F01}" name="Q4 FY22" dataDxfId="427" dataCellStyle="Normal 3"/>
    <tableColumn id="27" xr3:uid="{DC4BE277-2A45-A643-9AED-D04749F1E31F}" name="Q1 FY23" dataDxfId="426" dataCellStyle="Normal 3"/>
    <tableColumn id="28" xr3:uid="{CA0532E7-BE13-8343-8FDD-113F0CFF9308}" name="Q2 FY23" dataDxfId="425" dataCellStyle="Normal 3"/>
    <tableColumn id="29" xr3:uid="{477AB49D-52F9-4749-B2A8-E1617DB3BD91}" name="Q3 FY23" dataDxfId="424" dataCellStyle="Normal 3"/>
    <tableColumn id="30" xr3:uid="{99079340-396B-C647-92E0-1375114D472C}" name="Q4 FY23" dataDxfId="423" dataCellStyle="Normal 3"/>
    <tableColumn id="31" xr3:uid="{FD70F57A-EEE6-1B45-89C1-B5CEF6337E67}" name="Q1 FY24" dataDxfId="422" dataCellStyle="Normal 3"/>
    <tableColumn id="32" xr3:uid="{148DC0F7-3F73-7C4B-BAE7-2E1053698908}" name="Q2 FY24" dataDxfId="421" dataCellStyle="Normal 3"/>
    <tableColumn id="33" xr3:uid="{B5F548CB-BDF2-BB4C-82CE-8C5C76FF3EC0}" name="Total" dataDxfId="420" dataCellStyle="Normal 3">
      <calculatedColumnFormula>SUM(Table1[[#This Row],[Q1 FY17]]:Table1[[#This Row],[Q2 FY24]])</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AFDA4D-7C4D-C148-9EBC-13706F72B364}" name="Table3" displayName="Table3" ref="B109:F116" totalsRowShown="0" headerRowDxfId="419" dataDxfId="418" headerRowBorderDxfId="416" tableBorderDxfId="417" totalsRowBorderDxfId="415">
  <autoFilter ref="B109:F116" xr:uid="{98AFDA4D-7C4D-C148-9EBC-13706F72B364}"/>
  <tableColumns count="5">
    <tableColumn id="1" xr3:uid="{1DB62EFA-BA0E-4B46-814D-2FC59AD28214}" name="FY QoQ (Previous Quarter Comparison): Ore Mined" dataDxfId="414"/>
    <tableColumn id="2" xr3:uid="{77BEDA54-75AB-A245-9FAA-6F69C4721E8D}" name="Q1" dataDxfId="413"/>
    <tableColumn id="3" xr3:uid="{0609ACF6-7DBA-284B-B00B-86E42E9AF874}" name="Q2" dataDxfId="412"/>
    <tableColumn id="4" xr3:uid="{7FC64730-E000-424E-B1C4-D1EF0FA5D67E}" name="Q3" dataDxfId="411"/>
    <tableColumn id="5" xr3:uid="{2206692F-96DA-094B-8571-80A4F9559BB3}" name="Q4" dataDxfId="41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22530B-B206-4B4C-8FEF-524B6EC4BC5A}" name="Table4" displayName="Table4" ref="B92:AN100" totalsRowShown="0" headerRowDxfId="409" dataDxfId="408" headerRowBorderDxfId="406" tableBorderDxfId="407" totalsRowBorderDxfId="405" headerRowCellStyle="Normal 3">
  <autoFilter ref="B92:AN100" xr:uid="{FD22530B-B206-4B4C-8FEF-524B6EC4BC5A}"/>
  <tableColumns count="39">
    <tableColumn id="1" xr3:uid="{D5FDF731-4D8B-A144-A7EA-A4104BDF0D83}" name="Exploration (Yearly Basis)" dataDxfId="404" dataCellStyle="Normal 3"/>
    <tableColumn id="2" xr3:uid="{F940F872-A9C2-0E42-B544-CA2B07BAF7BE}" name="Units" dataDxfId="403" dataCellStyle="Normal 3"/>
    <tableColumn id="12" xr3:uid="{6B67E654-C05E-0148-9995-E427A2B62B10}" name="Sparkline" dataDxfId="402" dataCellStyle="Normal 3"/>
    <tableColumn id="3" xr3:uid="{5BBD180A-422F-C64E-903F-CAF0EE4BA8DC}" name="2017" dataDxfId="401">
      <calculatedColumnFormula>SUM(E75:H75)</calculatedColumnFormula>
    </tableColumn>
    <tableColumn id="4" xr3:uid="{CD5F2BCD-D2A6-F649-9833-7377FAC453DB}" name="2018" dataDxfId="400">
      <calculatedColumnFormula>SUM(I75:L75)</calculatedColumnFormula>
    </tableColumn>
    <tableColumn id="5" xr3:uid="{1AFA747A-B2C6-7247-942D-BAF255F821E8}" name="2019" dataDxfId="399">
      <calculatedColumnFormula>SUM(M75:P75)</calculatedColumnFormula>
    </tableColumn>
    <tableColumn id="6" xr3:uid="{C0454CF5-EFAC-1943-81DB-93A676CB1E05}" name="2020" dataDxfId="398">
      <calculatedColumnFormula>SUM(Q75:T75)</calculatedColumnFormula>
    </tableColumn>
    <tableColumn id="7" xr3:uid="{5AADB8C3-C546-DC47-BF19-79F27F8FCB3D}" name="2021" dataDxfId="397">
      <calculatedColumnFormula>SUM(U75:X75)</calculatedColumnFormula>
    </tableColumn>
    <tableColumn id="8" xr3:uid="{3F6350BD-82BB-9946-B7FE-B17795DEAC4B}" name="2022" dataDxfId="396">
      <calculatedColumnFormula>SUM(Y75:AB75)</calculatedColumnFormula>
    </tableColumn>
    <tableColumn id="9" xr3:uid="{1D7AFDF7-8B3D-7D4E-BC09-781902B2E999}" name="2023" dataDxfId="395">
      <calculatedColumnFormula>SUM(AC75:AF75)</calculatedColumnFormula>
    </tableColumn>
    <tableColumn id="10" xr3:uid="{B04A92AE-74F9-1445-8171-3F4C9099F330}" name="2024 (Q1+Q2)" dataDxfId="394">
      <calculatedColumnFormula>SUM(AG75:AH75)</calculatedColumnFormula>
    </tableColumn>
    <tableColumn id="11" xr3:uid="{D00BFD62-60A6-6A46-A5CF-DD1EC2CFE69D}" name="Total" dataDxfId="393">
      <calculatedColumnFormula>SUM(E93:L93)</calculatedColumnFormula>
    </tableColumn>
    <tableColumn id="13" xr3:uid="{41F35349-37F4-BC40-8F53-8DAFB781CCD0}" name="2024 (Q3+Q4)" dataDxfId="392"/>
    <tableColumn id="14" xr3:uid="{6EF2D089-1E6B-3D4C-8EF3-7913365119D3}" name="2025" dataDxfId="391"/>
    <tableColumn id="15" xr3:uid="{64E800A8-08EA-D442-B4E0-E84CCF5F0DAA}" name="2026" dataDxfId="390"/>
    <tableColumn id="16" xr3:uid="{C4F1D371-204E-0D4B-A0F9-EDB28B7BAB92}" name="2027" dataDxfId="389"/>
    <tableColumn id="17" xr3:uid="{1F5532C6-C904-8948-97E9-756B5D846B60}" name="2028" dataDxfId="388"/>
    <tableColumn id="18" xr3:uid="{9D74AFF8-922B-8B46-8AE9-2047E5825E5F}" name="2029" dataDxfId="387"/>
    <tableColumn id="19" xr3:uid="{F47660E5-4280-2F44-A2D8-990AE52FB1B8}" name="2030" dataDxfId="386"/>
    <tableColumn id="20" xr3:uid="{89986CF9-FBC5-2C40-BE51-ECC5BBB79A49}" name="2031" dataDxfId="385"/>
    <tableColumn id="21" xr3:uid="{D2AD117E-9EF5-DA47-A98A-BF1C794B6459}" name="2032" dataDxfId="384"/>
    <tableColumn id="22" xr3:uid="{78A69CFF-9EF3-D64E-A551-9C4AA7ACAB54}" name="2033" dataDxfId="383"/>
    <tableColumn id="23" xr3:uid="{4D1753DB-A606-7F40-9F9F-C45B82366BB7}" name="2034" dataDxfId="382"/>
    <tableColumn id="24" xr3:uid="{E5229688-767F-394E-9859-87A5725F0AB5}" name="2035" dataDxfId="381"/>
    <tableColumn id="25" xr3:uid="{12238113-DDE8-F24A-9739-592198D7632A}" name="2036" dataDxfId="380"/>
    <tableColumn id="26" xr3:uid="{22BE6D4C-4421-114B-99E8-F6C318624777}" name="2037" dataDxfId="379"/>
    <tableColumn id="27" xr3:uid="{BDEDD532-BC23-FC44-B804-52096B36A41C}" name="2038" dataDxfId="378"/>
    <tableColumn id="28" xr3:uid="{46F7570A-2C25-DA4B-AFC5-AA7422EE786F}" name="2039" dataDxfId="377"/>
    <tableColumn id="29" xr3:uid="{7B45D117-11A8-3640-A54B-820712A7E3E0}" name="2040" dataDxfId="376"/>
    <tableColumn id="30" xr3:uid="{D91CEFC8-6380-3D43-B594-5F7B49770B54}" name="2041" dataDxfId="375"/>
    <tableColumn id="31" xr3:uid="{F5E3654B-BF77-BE4B-BF2B-74B5AE1E6C7D}" name="2042" dataDxfId="374"/>
    <tableColumn id="32" xr3:uid="{33A34BB5-F895-9342-AA90-D5401ACA803A}" name="2043" dataDxfId="373"/>
    <tableColumn id="33" xr3:uid="{F01520E3-243D-1A48-A6AC-C4D7567E70E4}" name="2044" dataDxfId="372"/>
    <tableColumn id="34" xr3:uid="{0F4D32BE-DB48-7542-BA77-10324390C7B0}" name="2045" dataDxfId="371"/>
    <tableColumn id="35" xr3:uid="{6654E2D5-157E-7946-97D7-EB35A8A18F76}" name="2046" dataDxfId="370"/>
    <tableColumn id="36" xr3:uid="{1EB5B7A9-DCB5-FA46-A92F-FF70B57AD156}" name="2047" dataDxfId="369"/>
    <tableColumn id="37" xr3:uid="{2602CD84-E008-3843-B555-EB5DC564F1B8}" name="2048" dataDxfId="368"/>
    <tableColumn id="38" xr3:uid="{671F1DAD-7574-3145-B4C6-C3FDAA6953B0}" name="2049" dataDxfId="367"/>
    <tableColumn id="39" xr3:uid="{34178EA3-9BA2-C445-92D5-E059B915D2F4}" name="CAGR" dataDxfId="36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597304-1DB8-3C42-8CD5-1F2B7B4C6C73}" name="Table5" displayName="Table5" ref="B122:K127" totalsRowShown="0" headerRowDxfId="365" dataDxfId="364" headerRowBorderDxfId="363" headerRowCellStyle="Normal 3">
  <autoFilter ref="B122:K127" xr:uid="{05597304-1DB8-3C42-8CD5-1F2B7B4C6C73}"/>
  <tableColumns count="10">
    <tableColumn id="1" xr3:uid="{699FFB91-D171-464C-8AD6-6AF92795A52C}" name="Correlation Analysis" dataDxfId="362"/>
    <tableColumn id="2" xr3:uid="{280CA184-BEF1-D442-B2C4-C803027DC417}" name="2015" dataDxfId="361"/>
    <tableColumn id="3" xr3:uid="{0CC2DF49-2D2F-AE4D-ADC8-E97F6A30DA53}" name="2016" dataDxfId="360"/>
    <tableColumn id="4" xr3:uid="{D9E2839A-4C29-2C40-924A-4BB1F6392DB9}" name="2017" dataDxfId="359"/>
    <tableColumn id="5" xr3:uid="{01359A4A-8D7C-9841-91C5-2A8F9C9CB4C1}" name="2018" dataDxfId="358"/>
    <tableColumn id="6" xr3:uid="{4C9B8DF5-C4E4-0D43-9EAE-C09645DFEAD6}" name="2019" dataDxfId="357"/>
    <tableColumn id="7" xr3:uid="{35C8E67A-3714-A649-8F37-3D2E28E59963}" name="2020" dataDxfId="356"/>
    <tableColumn id="8" xr3:uid="{F6A6CE73-6491-984C-825B-0774F27ABFE2}" name="2021" dataDxfId="355"/>
    <tableColumn id="9" xr3:uid="{DFE6D07D-73CC-C54C-81E0-808FDCFE674D}" name="2022" dataDxfId="354"/>
    <tableColumn id="10" xr3:uid="{D5BFA34A-5D7A-BA41-95D3-F2D3AA2DEA6B}" name="2023" dataDxfId="35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7DBB0D-FCB7-7242-A54F-9626B7347EE3}" name="Table6" displayName="Table6" ref="B103:AL106" totalsRowShown="0" headerRowDxfId="352" dataDxfId="351">
  <autoFilter ref="B103:AL106" xr:uid="{FD7DBB0D-FCB7-7242-A54F-9626B7347EE3}"/>
  <tableColumns count="37">
    <tableColumn id="1" xr3:uid="{6CAF9465-8F13-3942-8E09-930954AC910C}" name="Exploration (Yearly Basis)" dataDxfId="350" dataCellStyle="Normal 3"/>
    <tableColumn id="2" xr3:uid="{703B2C59-8109-5545-BAB3-262B07538BC5}" name="Units" dataDxfId="349" dataCellStyle="Normal 3"/>
    <tableColumn id="12" xr3:uid="{572596AD-E810-164F-BB1C-DE6077077363}" name="Sparkline" dataDxfId="348" dataCellStyle="Normal 3"/>
    <tableColumn id="3" xr3:uid="{30657019-F5E5-7842-BA84-DBFDAC57AF2C}" name="2017" dataDxfId="347">
      <calculatedColumnFormula>IFERROR(E98/E92,"-")</calculatedColumnFormula>
    </tableColumn>
    <tableColumn id="4" xr3:uid="{A1546E26-69C7-BF40-A368-4980D75817E0}" name="2018" dataDxfId="346">
      <calculatedColumnFormula>IFERROR(F98/F92,"-")</calculatedColumnFormula>
    </tableColumn>
    <tableColumn id="5" xr3:uid="{0EA5314F-BDE5-BC40-8A89-67AF430FE660}" name="2019" dataDxfId="345">
      <calculatedColumnFormula>IFERROR(G98/G92,"-")</calculatedColumnFormula>
    </tableColumn>
    <tableColumn id="6" xr3:uid="{FE47B21E-8374-5D44-8909-93FCB6DE91D3}" name="2020" dataDxfId="344">
      <calculatedColumnFormula>IFERROR(H98/H92,"-")</calculatedColumnFormula>
    </tableColumn>
    <tableColumn id="7" xr3:uid="{89E5FBA9-962C-5E4B-B39F-A73147B1B653}" name="2021" dataDxfId="343">
      <calculatedColumnFormula>IFERROR(I98/I92,"-")</calculatedColumnFormula>
    </tableColumn>
    <tableColumn id="8" xr3:uid="{2335E6E2-6623-3E44-8508-8D1922F721F3}" name="2022" dataDxfId="342">
      <calculatedColumnFormula>IFERROR(J98/J92,"-")</calculatedColumnFormula>
    </tableColumn>
    <tableColumn id="9" xr3:uid="{08163B98-3B08-FC4B-A1FC-EFBD180E97EE}" name="2023" dataDxfId="341">
      <calculatedColumnFormula>IFERROR(K98/K92,"-")</calculatedColumnFormula>
    </tableColumn>
    <tableColumn id="10" xr3:uid="{1A72024C-9430-B948-81EF-E51ABD295B7C}" name="2024 (Q1+Q2)" dataDxfId="340">
      <calculatedColumnFormula>IFERROR(L98/L92,"-")</calculatedColumnFormula>
    </tableColumn>
    <tableColumn id="11" xr3:uid="{DA6EEA40-CC4A-2445-954B-5D34A1CE6A70}" name="2024 Q3+Q4)" dataDxfId="339"/>
    <tableColumn id="13" xr3:uid="{EF79FAAB-AF35-BE4C-8281-11F72B6966BA}" name="2025" dataDxfId="338"/>
    <tableColumn id="14" xr3:uid="{5F7AC628-61EF-F842-8B6F-9145CDC834D8}" name="2026" dataDxfId="337"/>
    <tableColumn id="15" xr3:uid="{BE91347B-D318-BF47-BACD-C12C856B0566}" name="2027" dataDxfId="336"/>
    <tableColumn id="16" xr3:uid="{8B03C456-4891-9E47-8D36-9BC5A3C9811E}" name="2028" dataDxfId="335"/>
    <tableColumn id="17" xr3:uid="{5A78BD37-6090-3B45-87B2-4E7D4974C5B0}" name="2029" dataDxfId="334"/>
    <tableColumn id="18" xr3:uid="{DEED7F39-35CF-9249-AF7B-AFC0AB437DCE}" name="2030" dataDxfId="333"/>
    <tableColumn id="19" xr3:uid="{8D1AC4F4-FD97-194E-8B35-94EAD25308D4}" name="2031" dataDxfId="332"/>
    <tableColumn id="20" xr3:uid="{D3662D8F-3734-D44D-8DB7-57120B1D6E27}" name="2032" dataDxfId="331"/>
    <tableColumn id="21" xr3:uid="{F73A50D9-1362-BC49-8979-E880F67017A5}" name="2033" dataDxfId="330"/>
    <tableColumn id="22" xr3:uid="{4E225303-50FF-9A4E-81F6-5DC01E10B484}" name="2034" dataDxfId="329"/>
    <tableColumn id="23" xr3:uid="{0A1515DA-9B08-CC4A-A201-316E79EEBB0B}" name="2035" dataDxfId="328"/>
    <tableColumn id="24" xr3:uid="{CC190A2A-1501-1A43-B004-82FB4A1E5918}" name="2036" dataDxfId="327"/>
    <tableColumn id="25" xr3:uid="{3E9F1611-4DC2-3F47-9665-1EDCE1AA0E49}" name="2037" dataDxfId="326"/>
    <tableColumn id="26" xr3:uid="{DC049DB7-7F55-BE4B-9D89-37565AAC697D}" name="2038" dataDxfId="325"/>
    <tableColumn id="27" xr3:uid="{61C57879-3FA5-B841-98E1-938B6CF3DFC2}" name="2039" dataDxfId="324"/>
    <tableColumn id="28" xr3:uid="{A767C38E-9852-4C42-A4D9-15AA18F2C463}" name="2040" dataDxfId="323"/>
    <tableColumn id="29" xr3:uid="{56C48D70-E7DC-EB49-B608-A50DC61F516E}" name="2041" dataDxfId="322"/>
    <tableColumn id="30" xr3:uid="{2F1C17C1-DE96-784B-AA85-77E492DC09E7}" name="2042" dataDxfId="321"/>
    <tableColumn id="31" xr3:uid="{CEAE2C6D-E539-5D42-BE01-CAE7214D99D5}" name="2043" dataDxfId="320"/>
    <tableColumn id="32" xr3:uid="{981A167E-66D2-134A-B83B-BB6868CE298F}" name="2044" dataDxfId="319"/>
    <tableColumn id="33" xr3:uid="{E135F1F3-E7BF-B64E-91B7-A463D1CABCE9}" name="2045" dataDxfId="318"/>
    <tableColumn id="34" xr3:uid="{3B83BBA6-A48C-AA45-BEA3-90F759D802B6}" name="2046" dataDxfId="317"/>
    <tableColumn id="35" xr3:uid="{FB9472BB-E10C-7848-8242-EEFB304C33F4}" name="2047" dataDxfId="316"/>
    <tableColumn id="36" xr3:uid="{8D5FAD5A-71F5-9B4F-951D-53F757877145}" name="2048" dataDxfId="315"/>
    <tableColumn id="37" xr3:uid="{FD25D8FF-9A1C-E94C-BF41-B08DEEA65C8B}" name="2049" dataDxfId="31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74D2AD-18E9-BE4B-8728-C61AD57E0DC1}" name="Table7" displayName="Table7" ref="B137:DS141" totalsRowCount="1" headerRowDxfId="313" dataDxfId="312" totalsRowDxfId="311" headerRowBorderDxfId="309" tableBorderDxfId="310" totalsRowBorderDxfId="308">
  <autoFilter ref="B137:DS140" xr:uid="{F874D2AD-18E9-BE4B-8728-C61AD57E0DC1}"/>
  <tableColumns count="122">
    <tableColumn id="1" xr3:uid="{0ED19CBB-FF84-CA41-8CCE-918DD2461FD1}" name="Drivers of Revenue Growth" totalsRowLabel="YoY Growth" dataDxfId="306" totalsRowDxfId="307" dataCellStyle="Normal 3">
      <calculatedColumnFormula>F130</calculatedColumnFormula>
    </tableColumn>
    <tableColumn id="2" xr3:uid="{FF10EFA5-DAAE-E047-A3D0-594F1DC0C890}" name="Q1 2020" totalsRowLabel="-" dataDxfId="304" totalsRowDxfId="305"/>
    <tableColumn id="3" xr3:uid="{473F2F5B-522A-F04C-B2A6-4B3DD816C461}" name="Q2 2020" totalsRowFunction="custom" dataDxfId="302" totalsRowDxfId="303">
      <totalsRowFormula>D140/C140-1</totalsRowFormula>
    </tableColumn>
    <tableColumn id="4" xr3:uid="{E6743EB3-20BC-0E4D-AE79-B039E8CFD862}" name="Q3 2020" totalsRowFunction="custom" dataDxfId="300" totalsRowDxfId="301">
      <totalsRowFormula>E140/D140-1</totalsRowFormula>
    </tableColumn>
    <tableColumn id="5" xr3:uid="{8F4E44FB-83CD-AD4C-AA68-4D7BD0228F11}" name="Q4 2020" totalsRowFunction="custom" dataDxfId="298" totalsRowDxfId="299">
      <totalsRowFormula>F140/E140-1</totalsRowFormula>
    </tableColumn>
    <tableColumn id="6" xr3:uid="{798457ED-8AFA-F141-B566-A1225D3E429D}" name="Q1 2021" totalsRowFunction="custom" dataDxfId="296" totalsRowDxfId="297">
      <totalsRowFormula>G140/F140-1</totalsRowFormula>
    </tableColumn>
    <tableColumn id="7" xr3:uid="{A2ECBFA9-DD66-3346-BF08-80EF80C10D9D}" name="Q2 2021" totalsRowFunction="custom" dataDxfId="294" totalsRowDxfId="295">
      <totalsRowFormula>H140/G140-1</totalsRowFormula>
    </tableColumn>
    <tableColumn id="8" xr3:uid="{1CEC58FE-2A9B-9644-A770-7B2976B1740A}" name="Q3 2021" totalsRowFunction="custom" dataDxfId="292" totalsRowDxfId="293">
      <totalsRowFormula>I140/H140-1</totalsRowFormula>
    </tableColumn>
    <tableColumn id="9" xr3:uid="{918E4559-448E-9A45-91FD-E99B63880C43}" name="Q4 2021" totalsRowFunction="custom" dataDxfId="290" totalsRowDxfId="291">
      <totalsRowFormula>J140/I140-1</totalsRowFormula>
    </tableColumn>
    <tableColumn id="10" xr3:uid="{86F59424-639D-924B-B939-780409F4F727}" name="Q1 2022" totalsRowFunction="custom" dataDxfId="288" totalsRowDxfId="289">
      <totalsRowFormula>K140/J140-1</totalsRowFormula>
    </tableColumn>
    <tableColumn id="11" xr3:uid="{6DC7AAC1-CE82-CC45-8648-2D80D45A6648}" name="Q2 2022" totalsRowFunction="custom" dataDxfId="286" totalsRowDxfId="287">
      <totalsRowFormula>L140/K140-1</totalsRowFormula>
    </tableColumn>
    <tableColumn id="12" xr3:uid="{0DEA5A61-94C1-6947-8EA6-599F8D1340BE}" name="Q3 2022" totalsRowFunction="custom" dataDxfId="284" totalsRowDxfId="285">
      <totalsRowFormula>M140/L140-1</totalsRowFormula>
    </tableColumn>
    <tableColumn id="13" xr3:uid="{466BD58D-1A16-AF4D-93D3-6F21BD227B2E}" name="Q4 2022" totalsRowFunction="custom" dataDxfId="282" totalsRowDxfId="283">
      <totalsRowFormula>N140/M140-1</totalsRowFormula>
    </tableColumn>
    <tableColumn id="14" xr3:uid="{66B57258-BB29-FD42-B889-73F294331C8B}" name="Q1 2023" totalsRowFunction="custom" dataDxfId="280" totalsRowDxfId="281">
      <totalsRowFormula>O140/N140-1</totalsRowFormula>
    </tableColumn>
    <tableColumn id="15" xr3:uid="{801A542F-4752-7743-A2DF-62FB00A0D5A5}" name="Q2 2023" totalsRowFunction="custom" dataDxfId="278" totalsRowDxfId="279" dataCellStyle="Normal 3">
      <totalsRowFormula>P140/O140-1</totalsRowFormula>
    </tableColumn>
    <tableColumn id="16" xr3:uid="{D3A87E11-5908-9D46-8186-F14F12BC44E8}" name="Q3 2023" totalsRowFunction="custom" dataDxfId="276" totalsRowDxfId="277" dataCellStyle="Normal 3">
      <totalsRowFormula>Q140/P140-1</totalsRowFormula>
    </tableColumn>
    <tableColumn id="17" xr3:uid="{B1F75B33-3121-C845-90DC-F2D62F311401}" name="Q4 2023" totalsRowFunction="custom" dataDxfId="274" totalsRowDxfId="275">
      <totalsRowFormula>R140/Q140-1</totalsRowFormula>
    </tableColumn>
    <tableColumn id="18" xr3:uid="{34D0E61F-52EB-F645-8194-249B4914000D}" name="Q1 2024" totalsRowFunction="custom" dataDxfId="272" totalsRowDxfId="273">
      <totalsRowFormula>S140/R140-1</totalsRowFormula>
    </tableColumn>
    <tableColumn id="19" xr3:uid="{278B987C-8912-094B-9A8A-3AF21AADFC56}" name="Q2 2024" totalsRowFunction="custom" dataDxfId="270" totalsRowDxfId="271">
      <totalsRowFormula>T140/S140-1</totalsRowFormula>
    </tableColumn>
    <tableColumn id="20" xr3:uid="{B695485B-5B58-F84A-8213-87B7CBA2CA66}" name="Q3 2024" totalsRowFunction="custom" dataDxfId="268" totalsRowDxfId="269">
      <totalsRowFormula>U140/T140-1</totalsRowFormula>
    </tableColumn>
    <tableColumn id="21" xr3:uid="{174C8F27-D08F-F44B-9797-9AC1D7F61941}" name="Q4 2024" totalsRowFunction="custom" dataDxfId="266" totalsRowDxfId="267">
      <totalsRowFormula>V140/U140-1</totalsRowFormula>
    </tableColumn>
    <tableColumn id="22" xr3:uid="{7C602D0F-A9C8-A440-B0A6-A475A4E9C10D}" name="Q1 2025" totalsRowFunction="custom" dataDxfId="264" totalsRowDxfId="265">
      <totalsRowFormula>W140/V140-1</totalsRowFormula>
    </tableColumn>
    <tableColumn id="23" xr3:uid="{EAACAE9D-9AAC-1B4F-AABD-73C65DDEBB6D}" name="Q2 2025" totalsRowFunction="custom" dataDxfId="262" totalsRowDxfId="263">
      <totalsRowFormula>X140/W140-1</totalsRowFormula>
    </tableColumn>
    <tableColumn id="24" xr3:uid="{C9BFD5E2-C5D7-AF48-BB78-161FFDF5FCC0}" name="Q3 2025" totalsRowFunction="custom" dataDxfId="260" totalsRowDxfId="261">
      <totalsRowFormula>Y140/X140-1</totalsRowFormula>
    </tableColumn>
    <tableColumn id="25" xr3:uid="{BD75FB9D-EC75-BF49-A42D-C2310B0B2B09}" name="Q4 2025" totalsRowFunction="custom" dataDxfId="258" totalsRowDxfId="259">
      <totalsRowFormula>Z140/Y140-1</totalsRowFormula>
    </tableColumn>
    <tableColumn id="26" xr3:uid="{C3449707-525F-564C-B47C-1E3828E6E9F7}" name="Q1 2026" totalsRowFunction="custom" dataDxfId="256" totalsRowDxfId="257">
      <totalsRowFormula>AA140/Z140-1</totalsRowFormula>
    </tableColumn>
    <tableColumn id="27" xr3:uid="{B6419556-8700-5245-A972-AE6BA9E5158F}" name="Q2 2026" totalsRowFunction="custom" dataDxfId="254" totalsRowDxfId="255">
      <totalsRowFormula>AB140/AA140-1</totalsRowFormula>
    </tableColumn>
    <tableColumn id="28" xr3:uid="{E636361D-F212-814F-BA2F-EF115AAA64F2}" name="Q3 2026" totalsRowFunction="custom" dataDxfId="252" totalsRowDxfId="253">
      <totalsRowFormula>AC140/AB140-1</totalsRowFormula>
    </tableColumn>
    <tableColumn id="29" xr3:uid="{105B4F1B-1ACA-AF4D-B964-03B2660C3E5D}" name="Q4 2026" totalsRowFunction="custom" dataDxfId="250" totalsRowDxfId="251">
      <totalsRowFormula>AD140/AC140-1</totalsRowFormula>
    </tableColumn>
    <tableColumn id="30" xr3:uid="{522C95FE-4BE9-2240-A216-862E55AD142E}" name="Q1 2027" totalsRowFunction="custom" dataDxfId="248" totalsRowDxfId="249">
      <totalsRowFormula>AE140/AD140-1</totalsRowFormula>
    </tableColumn>
    <tableColumn id="31" xr3:uid="{6175510D-EA31-E24E-BD14-BFD392CA6019}" name="Q2 2027" totalsRowFunction="custom" dataDxfId="246" totalsRowDxfId="247">
      <totalsRowFormula>AF140/AE140-1</totalsRowFormula>
    </tableColumn>
    <tableColumn id="32" xr3:uid="{DBC00604-F37C-1647-B52A-21E0BE1CD739}" name="Q3 2027" totalsRowFunction="custom" dataDxfId="244" totalsRowDxfId="245">
      <totalsRowFormula>AG140/AF140-1</totalsRowFormula>
    </tableColumn>
    <tableColumn id="33" xr3:uid="{46EAF3D9-D082-CF49-9F1C-D20A02B062FD}" name="Q4 2027" totalsRowFunction="custom" dataDxfId="242" totalsRowDxfId="243">
      <totalsRowFormula>AH140/AG140-1</totalsRowFormula>
    </tableColumn>
    <tableColumn id="34" xr3:uid="{C598F125-7EF1-694F-A9EE-EE53E3BA88C5}" name="Q1 2028" totalsRowFunction="custom" dataDxfId="240" totalsRowDxfId="241">
      <totalsRowFormula>AI140/AH140-1</totalsRowFormula>
    </tableColumn>
    <tableColumn id="35" xr3:uid="{16B751EF-A14E-5A47-9492-38F230215D7D}" name="Q2 2028" totalsRowFunction="custom" dataDxfId="238" totalsRowDxfId="239">
      <totalsRowFormula>AJ140/AI140-1</totalsRowFormula>
    </tableColumn>
    <tableColumn id="36" xr3:uid="{81DB00D9-EED1-4746-8C30-ECB416A700A1}" name="Q3 2028" totalsRowFunction="custom" dataDxfId="236" totalsRowDxfId="237">
      <totalsRowFormula>AK140/AJ140-1</totalsRowFormula>
    </tableColumn>
    <tableColumn id="37" xr3:uid="{D2A73B0C-58DC-0B4B-8530-FF927589863A}" name="Q4 2028" totalsRowFunction="custom" dataDxfId="234" totalsRowDxfId="235">
      <totalsRowFormula>AL140/AK140-1</totalsRowFormula>
    </tableColumn>
    <tableColumn id="38" xr3:uid="{747C5654-B884-8044-AD12-D8742FD811D6}" name="Q1 2029" totalsRowFunction="custom" dataDxfId="232" totalsRowDxfId="233">
      <totalsRowFormula>AM140/AL140-1</totalsRowFormula>
    </tableColumn>
    <tableColumn id="39" xr3:uid="{DFFD3A56-2EAC-D84D-962E-44A5E47589CF}" name="Q2 2029" totalsRowFunction="custom" dataDxfId="230" totalsRowDxfId="231">
      <totalsRowFormula>AN140/AM140-1</totalsRowFormula>
    </tableColumn>
    <tableColumn id="40" xr3:uid="{8EFAAA2F-31A1-7F42-91F9-F20302CAACDF}" name="Q3 2029" totalsRowFunction="custom" dataDxfId="228" totalsRowDxfId="229">
      <totalsRowFormula>AO140/AN140-1</totalsRowFormula>
    </tableColumn>
    <tableColumn id="41" xr3:uid="{22A71666-3486-0F47-87B5-F411C60DC3D3}" name="Q4 2029" totalsRowFunction="custom" dataDxfId="226" totalsRowDxfId="227">
      <totalsRowFormula>AP140/AO140-1</totalsRowFormula>
    </tableColumn>
    <tableColumn id="42" xr3:uid="{4635217C-0AFA-0547-B545-C5625D0DBB30}" name="Q1 2030" totalsRowFunction="custom" dataDxfId="224" totalsRowDxfId="225">
      <totalsRowFormula>AQ140/AP140-1</totalsRowFormula>
    </tableColumn>
    <tableColumn id="43" xr3:uid="{AB00C6B1-A7CE-8D46-B9AC-D115FAB3194A}" name="Q2 2030" totalsRowFunction="custom" dataDxfId="222" totalsRowDxfId="223">
      <totalsRowFormula>AR140/AQ140-1</totalsRowFormula>
    </tableColumn>
    <tableColumn id="44" xr3:uid="{D13B5618-CFA3-FC4F-9F48-3DA36E6896CB}" name="Q3 2030" totalsRowFunction="custom" dataDxfId="220" totalsRowDxfId="221">
      <totalsRowFormula>AS140/AR140-1</totalsRowFormula>
    </tableColumn>
    <tableColumn id="45" xr3:uid="{641028A2-B576-9043-A00F-F029AD006FFE}" name="Q4 2030" totalsRowFunction="custom" dataDxfId="218" totalsRowDxfId="219">
      <totalsRowFormula>AT140/AS140-1</totalsRowFormula>
    </tableColumn>
    <tableColumn id="46" xr3:uid="{1F85E95C-EC78-2D4E-A78B-CDD9A04ADA81}" name="Q1 2031" totalsRowFunction="custom" dataDxfId="216" totalsRowDxfId="217">
      <totalsRowFormula>AU140/AT140-1</totalsRowFormula>
    </tableColumn>
    <tableColumn id="66" xr3:uid="{84ED4086-C2D2-1F4A-AE93-BF9DF5846211}" name="Q2 2031" totalsRowFunction="custom" dataDxfId="214" totalsRowDxfId="215">
      <totalsRowFormula>AV140/AU140-1</totalsRowFormula>
    </tableColumn>
    <tableColumn id="67" xr3:uid="{75B8B435-2835-FF49-964E-1D30F66E5523}" name="Q3 2031" totalsRowFunction="custom" dataDxfId="212" totalsRowDxfId="213">
      <totalsRowFormula>AW140/AV140-1</totalsRowFormula>
    </tableColumn>
    <tableColumn id="68" xr3:uid="{6F8F869A-1564-7043-86AE-C6E4495FACD4}" name="Q4 2031" totalsRowFunction="custom" dataDxfId="210" totalsRowDxfId="211">
      <totalsRowFormula>AX140/AW140-1</totalsRowFormula>
    </tableColumn>
    <tableColumn id="69" xr3:uid="{73A8F391-227A-F947-9A20-A7AA92C41E33}" name="Q1 2032" totalsRowFunction="custom" dataDxfId="208" totalsRowDxfId="209">
      <totalsRowFormula>AY140/AX140-1</totalsRowFormula>
    </tableColumn>
    <tableColumn id="70" xr3:uid="{32C7D24F-B1A3-FD4A-BBA2-07B6D9D4CCB9}" name="Q2 2032" totalsRowFunction="custom" dataDxfId="206" totalsRowDxfId="207">
      <totalsRowFormula>AZ140/AY140-1</totalsRowFormula>
    </tableColumn>
    <tableColumn id="71" xr3:uid="{B9CF274F-ED68-7C4B-89AD-5F2F0C22045B}" name="Q3 2032" totalsRowFunction="custom" dataDxfId="204" totalsRowDxfId="205">
      <totalsRowFormula>BA140/AZ140-1</totalsRowFormula>
    </tableColumn>
    <tableColumn id="72" xr3:uid="{37167544-6775-3643-B3D0-56E25BA0B1B4}" name="Q4 2032" totalsRowFunction="custom" dataDxfId="202" totalsRowDxfId="203">
      <totalsRowFormula>BB140/BA140-1</totalsRowFormula>
    </tableColumn>
    <tableColumn id="73" xr3:uid="{370C5845-8ECD-454A-AC1D-0BA1EC3ACCCD}" name="Q1 2033" totalsRowFunction="custom" dataDxfId="200" totalsRowDxfId="201">
      <totalsRowFormula>BC140/BB140-1</totalsRowFormula>
    </tableColumn>
    <tableColumn id="74" xr3:uid="{C40A15AF-9AEE-674F-904B-2D0AE1D3E6E8}" name="Q2 2033" totalsRowFunction="custom" dataDxfId="198" totalsRowDxfId="199">
      <totalsRowFormula>BD140/BC140-1</totalsRowFormula>
    </tableColumn>
    <tableColumn id="75" xr3:uid="{F80B2CED-0F24-084A-A207-49B9C0ADC933}" name="Q3 2033" totalsRowFunction="custom" dataDxfId="196" totalsRowDxfId="197">
      <totalsRowFormula>BE140/BD140-1</totalsRowFormula>
    </tableColumn>
    <tableColumn id="86" xr3:uid="{983A8F06-D99F-084D-B74B-6DC6051B624B}" name="Q4 2033" totalsRowFunction="custom" dataDxfId="194" totalsRowDxfId="195">
      <totalsRowFormula>BF140/BE140-1</totalsRowFormula>
    </tableColumn>
    <tableColumn id="87" xr3:uid="{1F1BF308-940F-4841-8617-A0B2EA882ABC}" name="Q1 2034" totalsRowFunction="custom" dataDxfId="192" totalsRowDxfId="193">
      <totalsRowFormula>BG140/BF140-1</totalsRowFormula>
    </tableColumn>
    <tableColumn id="88" xr3:uid="{EB088407-D244-1340-A0C7-7990B835168F}" name="Q2 2034" totalsRowFunction="custom" dataDxfId="190" totalsRowDxfId="191">
      <totalsRowFormula>BH140/BG140-1</totalsRowFormula>
    </tableColumn>
    <tableColumn id="89" xr3:uid="{0B6610D8-CE48-FE4C-8247-826F17B04A36}" name="Q3 2034" totalsRowFunction="custom" dataDxfId="188" totalsRowDxfId="189">
      <totalsRowFormula>BI140/BH140-1</totalsRowFormula>
    </tableColumn>
    <tableColumn id="90" xr3:uid="{FBC3C919-6A0A-AB4F-A6F1-A3F6A29F92D9}" name="Q4 2034" totalsRowFunction="custom" dataDxfId="186" totalsRowDxfId="187">
      <totalsRowFormula>BJ140/BI140-1</totalsRowFormula>
    </tableColumn>
    <tableColumn id="91" xr3:uid="{DE4423E8-EDE8-BE4B-9F74-8C7628F3CC06}" name="Q1 2035" totalsRowFunction="custom" dataDxfId="184" totalsRowDxfId="185">
      <totalsRowFormula>BK140/BJ140-1</totalsRowFormula>
    </tableColumn>
    <tableColumn id="92" xr3:uid="{091E90A9-D970-9D47-AAE0-46CFF52E1885}" name="Q2 2035" totalsRowFunction="custom" dataDxfId="182" totalsRowDxfId="183">
      <totalsRowFormula>BL140/BK140-1</totalsRowFormula>
    </tableColumn>
    <tableColumn id="93" xr3:uid="{0DFB7DA4-E32C-C34E-820E-A7A1DCBF8721}" name="Q3 2035" totalsRowFunction="custom" dataDxfId="180" totalsRowDxfId="181">
      <totalsRowFormula>BM140/BL140-1</totalsRowFormula>
    </tableColumn>
    <tableColumn id="94" xr3:uid="{7236F353-F206-AD4B-A6EA-DFC153A369CC}" name="Q4 2035" totalsRowFunction="custom" dataDxfId="178" totalsRowDxfId="179">
      <totalsRowFormula>BN140/BM140-1</totalsRowFormula>
    </tableColumn>
    <tableColumn id="95" xr3:uid="{CD2EA701-53FE-FD48-994F-9400CE3334F8}" name="Q1 2036" totalsRowFunction="custom" dataDxfId="176" totalsRowDxfId="177">
      <totalsRowFormula>BO140/BN140-1</totalsRowFormula>
    </tableColumn>
    <tableColumn id="96" xr3:uid="{3AFCEC33-4FCE-3342-A30F-31B3A4CC04D9}" name="Q2 2036" totalsRowFunction="custom" dataDxfId="174" totalsRowDxfId="175">
      <totalsRowFormula>BP140/BO140-1</totalsRowFormula>
    </tableColumn>
    <tableColumn id="97" xr3:uid="{C3C39590-4570-E048-9548-90AC610A9463}" name="Q3 2036" totalsRowFunction="custom" dataDxfId="172" totalsRowDxfId="173">
      <totalsRowFormula>BQ140/BP140-1</totalsRowFormula>
    </tableColumn>
    <tableColumn id="98" xr3:uid="{8D18AFAC-0C2C-0F46-BB73-1BC7677B0DDE}" name="Q4 2036" totalsRowFunction="custom" dataDxfId="170" totalsRowDxfId="171">
      <totalsRowFormula>BR140/BQ140-1</totalsRowFormula>
    </tableColumn>
    <tableColumn id="99" xr3:uid="{651AFC0A-9B38-B948-93B5-585AF5FB8B20}" name="Q1 2037" totalsRowFunction="custom" dataDxfId="168" totalsRowDxfId="169">
      <totalsRowFormula>BS140/BR140-1</totalsRowFormula>
    </tableColumn>
    <tableColumn id="100" xr3:uid="{C37ACA4E-BFA0-4640-B915-DB9A18CDD9C1}" name="Q2 2037" totalsRowFunction="custom" dataDxfId="166" totalsRowDxfId="167">
      <totalsRowFormula>BT140/BS140-1</totalsRowFormula>
    </tableColumn>
    <tableColumn id="101" xr3:uid="{A97D7A40-CA27-0D40-B59F-B35C01A7E492}" name="Q3 2037" totalsRowFunction="custom" dataDxfId="164" totalsRowDxfId="165">
      <totalsRowFormula>BU140/BT140-1</totalsRowFormula>
    </tableColumn>
    <tableColumn id="102" xr3:uid="{6A0FDC48-512D-074D-9103-A9A2C492233F}" name="Q4 2037" totalsRowFunction="custom" dataDxfId="162" totalsRowDxfId="163">
      <totalsRowFormula>BV140/BU140-1</totalsRowFormula>
    </tableColumn>
    <tableColumn id="103" xr3:uid="{64969319-90DB-634F-A4C6-EF075EE01CAD}" name="Q1 2038" totalsRowFunction="custom" dataDxfId="160" totalsRowDxfId="161">
      <totalsRowFormula>BW140/BV140-1</totalsRowFormula>
    </tableColumn>
    <tableColumn id="104" xr3:uid="{340C1BF5-1B11-524C-97B6-57B6C91F10C2}" name="Q2 2038" totalsRowFunction="custom" dataDxfId="158" totalsRowDxfId="159">
      <totalsRowFormula>BX140/BW140-1</totalsRowFormula>
    </tableColumn>
    <tableColumn id="105" xr3:uid="{CEDD81C9-0802-5B47-9B8B-5376BC49A48F}" name="Q3 2038" totalsRowFunction="custom" dataDxfId="156" totalsRowDxfId="157">
      <totalsRowFormula>BY140/BX140-1</totalsRowFormula>
    </tableColumn>
    <tableColumn id="106" xr3:uid="{983A41CE-5697-434D-AA07-4855258A90FE}" name="Q4 2038" totalsRowFunction="custom" dataDxfId="154" totalsRowDxfId="155">
      <totalsRowFormula>BZ140/BY140-1</totalsRowFormula>
    </tableColumn>
    <tableColumn id="107" xr3:uid="{0527C35B-E074-7847-81FA-EA5C82DF1765}" name="Q1 2039" totalsRowFunction="custom" dataDxfId="152" totalsRowDxfId="153">
      <totalsRowFormula>CA140/BZ140-1</totalsRowFormula>
    </tableColumn>
    <tableColumn id="108" xr3:uid="{23455324-BBAF-EA49-B4DB-99452CD1A4F1}" name="Q2 2039" totalsRowFunction="custom" dataDxfId="150" totalsRowDxfId="151">
      <totalsRowFormula>CB140/CA140-1</totalsRowFormula>
    </tableColumn>
    <tableColumn id="109" xr3:uid="{F29FE8E7-C5C1-0449-989C-AA1A8A4DD513}" name="Q3 2039" totalsRowFunction="custom" dataDxfId="148" totalsRowDxfId="149">
      <totalsRowFormula>CC140/CB140-1</totalsRowFormula>
    </tableColumn>
    <tableColumn id="110" xr3:uid="{F5C757CB-6065-B44C-A34F-F22935402286}" name="Q4 2039" totalsRowFunction="custom" dataDxfId="146" totalsRowDxfId="147">
      <totalsRowFormula>CD140/CC140-1</totalsRowFormula>
    </tableColumn>
    <tableColumn id="111" xr3:uid="{252C2099-B54F-3742-B777-148C1139B229}" name="Q1 2040" totalsRowFunction="custom" dataDxfId="144" totalsRowDxfId="145">
      <totalsRowFormula>CE140/CD140-1</totalsRowFormula>
    </tableColumn>
    <tableColumn id="112" xr3:uid="{D8AC8885-59C8-E147-AB6D-C06408ED1D46}" name="Q2 2040" totalsRowFunction="custom" dataDxfId="142" totalsRowDxfId="143">
      <totalsRowFormula>CF140/CE140-1</totalsRowFormula>
    </tableColumn>
    <tableColumn id="113" xr3:uid="{9723AAA6-1961-864F-AB74-9F16DB1389B7}" name="Q3 2040" totalsRowFunction="custom" dataDxfId="140" totalsRowDxfId="141">
      <totalsRowFormula>CG140/CF140-1</totalsRowFormula>
    </tableColumn>
    <tableColumn id="114" xr3:uid="{9A6C73E4-70E2-1F44-A394-C775E5FFA141}" name="Q4 2040" totalsRowFunction="custom" dataDxfId="138" totalsRowDxfId="139">
      <totalsRowFormula>CH140/CG140-1</totalsRowFormula>
    </tableColumn>
    <tableColumn id="115" xr3:uid="{CD595F5A-E3E7-C846-A229-BB1DAA79B6BF}" name="Q1 2041" totalsRowFunction="custom" dataDxfId="136" totalsRowDxfId="137">
      <totalsRowFormula>CI140/CH140-1</totalsRowFormula>
    </tableColumn>
    <tableColumn id="116" xr3:uid="{6B51CF72-0385-4C4D-8714-2F07A25B54E7}" name="Q2 2041" totalsRowFunction="custom" dataDxfId="134" totalsRowDxfId="135">
      <totalsRowFormula>CJ140/CI140-1</totalsRowFormula>
    </tableColumn>
    <tableColumn id="117" xr3:uid="{95710F10-4762-C34E-B47B-3BDC15E4C479}" name="Q3 2041" totalsRowFunction="custom" dataDxfId="132" totalsRowDxfId="133">
      <totalsRowFormula>CK140/CJ140-1</totalsRowFormula>
    </tableColumn>
    <tableColumn id="118" xr3:uid="{20C69DF2-FA19-0342-A230-E69AAEB5F962}" name="Q4 2041" totalsRowFunction="custom" dataDxfId="130" totalsRowDxfId="131">
      <totalsRowFormula>CL140/CK140-1</totalsRowFormula>
    </tableColumn>
    <tableColumn id="119" xr3:uid="{63C71303-0693-0949-B70C-D98F1120623A}" name="Q1 2042" totalsRowFunction="custom" dataDxfId="128" totalsRowDxfId="129">
      <totalsRowFormula>CM140/CL140-1</totalsRowFormula>
    </tableColumn>
    <tableColumn id="120" xr3:uid="{0D0E7DEB-DDDC-4A4A-96FB-27537C13B292}" name="Q2 2042" totalsRowFunction="custom" dataDxfId="126" totalsRowDxfId="127">
      <totalsRowFormula>CN140/CM140-1</totalsRowFormula>
    </tableColumn>
    <tableColumn id="121" xr3:uid="{70258403-74B7-A34C-A975-0DE0261CBCD5}" name="Q3 2042" totalsRowFunction="custom" dataDxfId="124" totalsRowDxfId="125">
      <totalsRowFormula>CO140/CN140-1</totalsRowFormula>
    </tableColumn>
    <tableColumn id="122" xr3:uid="{8AF56F9D-9D5E-EA4D-811A-DA90E71F1B1F}" name="Q4 2042" totalsRowFunction="custom" dataDxfId="122" totalsRowDxfId="123">
      <totalsRowFormula>CP140/CO140-1</totalsRowFormula>
    </tableColumn>
    <tableColumn id="123" xr3:uid="{AA8EBAA3-484D-C545-8F5D-F9BB9BA11668}" name="Q1 2043" totalsRowFunction="custom" dataDxfId="120" totalsRowDxfId="121">
      <totalsRowFormula>CQ140/CP140-1</totalsRowFormula>
    </tableColumn>
    <tableColumn id="124" xr3:uid="{7D95F78C-252E-7849-B160-8BB73ABE82B8}" name="Q2 2043" totalsRowFunction="custom" dataDxfId="118" totalsRowDxfId="119">
      <totalsRowFormula>CR140/CQ140-1</totalsRowFormula>
    </tableColumn>
    <tableColumn id="125" xr3:uid="{6824987F-288E-F84E-B653-213803AE01CE}" name="Q3 2043" totalsRowFunction="custom" dataDxfId="116" totalsRowDxfId="117">
      <totalsRowFormula>CS140/CR140-1</totalsRowFormula>
    </tableColumn>
    <tableColumn id="126" xr3:uid="{068F8924-03AC-A84E-87F7-D8F9188B3A60}" name="Q4 2043" totalsRowFunction="custom" dataDxfId="114" totalsRowDxfId="115">
      <totalsRowFormula>CT140/CS140-1</totalsRowFormula>
    </tableColumn>
    <tableColumn id="127" xr3:uid="{A470AE7A-B84E-674A-ADF2-F971B7B7800F}" name="Q1 2044" totalsRowFunction="custom" dataDxfId="112" totalsRowDxfId="113">
      <totalsRowFormula>CU140/CT140-1</totalsRowFormula>
    </tableColumn>
    <tableColumn id="128" xr3:uid="{4771A513-F647-7D48-ABD1-E454F4C281D5}" name="Q2 2044" totalsRowFunction="custom" dataDxfId="110" totalsRowDxfId="111">
      <totalsRowFormula>CV140/CU140-1</totalsRowFormula>
    </tableColumn>
    <tableColumn id="129" xr3:uid="{2EB48A28-A358-3840-A6C0-E9192CD37035}" name="Q3 2044" totalsRowFunction="custom" dataDxfId="108" totalsRowDxfId="109">
      <totalsRowFormula>CW140/CV140-1</totalsRowFormula>
    </tableColumn>
    <tableColumn id="130" xr3:uid="{8FEEFA02-BDAE-454A-8ACB-75D726CB4ECE}" name="Q4 2044" totalsRowFunction="custom" dataDxfId="106" totalsRowDxfId="107">
      <totalsRowFormula>CX140/CW140-1</totalsRowFormula>
    </tableColumn>
    <tableColumn id="131" xr3:uid="{029126A4-CD2F-5141-A3F5-A17AF36A69F7}" name="Q1 2045" totalsRowFunction="custom" dataDxfId="104" totalsRowDxfId="105">
      <totalsRowFormula>CY140/CX140-1</totalsRowFormula>
    </tableColumn>
    <tableColumn id="132" xr3:uid="{E4A65D51-19D4-E24B-BCB1-1F805C8FAAA0}" name="Q2 2045" totalsRowFunction="custom" dataDxfId="102" totalsRowDxfId="103">
      <totalsRowFormula>CZ140/CY140-1</totalsRowFormula>
    </tableColumn>
    <tableColumn id="133" xr3:uid="{BF80789C-D100-564B-BB80-AAE15259B79F}" name="Q3 2045" totalsRowFunction="custom" dataDxfId="100" totalsRowDxfId="101">
      <totalsRowFormula>DA140/CZ140-1</totalsRowFormula>
    </tableColumn>
    <tableColumn id="134" xr3:uid="{2A2D2577-97D4-514C-8C4C-06184D3A0E95}" name="Q4 2045" totalsRowFunction="custom" dataDxfId="98" totalsRowDxfId="99">
      <totalsRowFormula>DB140/DA140-1</totalsRowFormula>
    </tableColumn>
    <tableColumn id="135" xr3:uid="{A3326C2C-10F8-6D42-993F-7D6CEB0D58F3}" name="Q1 2046" totalsRowFunction="custom" dataDxfId="96" totalsRowDxfId="97">
      <totalsRowFormula>DC140/DB140-1</totalsRowFormula>
    </tableColumn>
    <tableColumn id="136" xr3:uid="{F9C2066B-57FA-F349-B22F-AC7BDE9C4B4E}" name="Q2 2046" totalsRowFunction="custom" dataDxfId="94" totalsRowDxfId="95">
      <totalsRowFormula>DD140/DC140-1</totalsRowFormula>
    </tableColumn>
    <tableColumn id="137" xr3:uid="{A99C37CF-A580-4143-B646-37921A9B754C}" name="Q3 2046" totalsRowFunction="custom" dataDxfId="92" totalsRowDxfId="93">
      <totalsRowFormula>DE140/DD140-1</totalsRowFormula>
    </tableColumn>
    <tableColumn id="138" xr3:uid="{EE4BBFCF-1486-4847-8A47-9E21A708028E}" name="Q4 2046" totalsRowFunction="custom" dataDxfId="90" totalsRowDxfId="91">
      <totalsRowFormula>DF140/DE140-1</totalsRowFormula>
    </tableColumn>
    <tableColumn id="139" xr3:uid="{9F309202-EE65-BB40-AF70-6802014E435B}" name="Q1 2047" totalsRowFunction="custom" dataDxfId="88" totalsRowDxfId="89">
      <totalsRowFormula>DG140/DF140-1</totalsRowFormula>
    </tableColumn>
    <tableColumn id="140" xr3:uid="{84909ED7-B1B5-F245-AADB-BBD6E9B20C42}" name="Q2 2047" totalsRowFunction="custom" dataDxfId="86" totalsRowDxfId="87">
      <totalsRowFormula>DH140/DG140-1</totalsRowFormula>
    </tableColumn>
    <tableColumn id="141" xr3:uid="{6E973867-6A77-E947-B8A0-7F6EA7D7E2DB}" name="Q3 2047" totalsRowFunction="custom" dataDxfId="84" totalsRowDxfId="85">
      <totalsRowFormula>DI140/DH140-1</totalsRowFormula>
    </tableColumn>
    <tableColumn id="142" xr3:uid="{08DDBCAE-5C8B-EE45-9035-818554F33E63}" name="Q4 2047" totalsRowFunction="custom" dataDxfId="82" totalsRowDxfId="83">
      <totalsRowFormula>DJ140/DI140-1</totalsRowFormula>
    </tableColumn>
    <tableColumn id="143" xr3:uid="{176323D6-111A-BF42-B3F8-1D943FAEFC6D}" name="Q1 2048" totalsRowFunction="custom" dataDxfId="80" totalsRowDxfId="81">
      <totalsRowFormula>DK140/DJ140-1</totalsRowFormula>
    </tableColumn>
    <tableColumn id="144" xr3:uid="{1D9A01AB-4F62-9648-BC41-FFA3541A0D63}" name="Q2 2048" totalsRowFunction="custom" dataDxfId="78" totalsRowDxfId="79">
      <totalsRowFormula>DL140/DK140-1</totalsRowFormula>
    </tableColumn>
    <tableColumn id="145" xr3:uid="{1C1A0335-3D20-2E43-AA4B-3DFCECED123B}" name="Q3 2048" totalsRowFunction="custom" dataDxfId="76" totalsRowDxfId="77">
      <totalsRowFormula>DM140/DL140-1</totalsRowFormula>
    </tableColumn>
    <tableColumn id="146" xr3:uid="{F5F55171-8AEA-A147-A558-386C644866B7}" name="Q4 2048" totalsRowFunction="custom" dataDxfId="74" totalsRowDxfId="75">
      <totalsRowFormula>DN140/DM140-1</totalsRowFormula>
    </tableColumn>
    <tableColumn id="147" xr3:uid="{D3CD753F-8AC0-C740-847B-5638EA355F24}" name="Q1 2049" totalsRowFunction="custom" dataDxfId="72" totalsRowDxfId="73">
      <totalsRowFormula>DO140/DN140-1</totalsRowFormula>
    </tableColumn>
    <tableColumn id="148" xr3:uid="{C3C295DD-6069-664A-BE3D-AE87212579B8}" name="Q2 2049" totalsRowFunction="custom" dataDxfId="70" totalsRowDxfId="71">
      <totalsRowFormula>DP140/DO140-1</totalsRowFormula>
    </tableColumn>
    <tableColumn id="149" xr3:uid="{0FD97CE2-6A05-0A45-9F2D-4FD9F81E14B8}" name="Q3 2049" totalsRowFunction="custom" dataDxfId="68" totalsRowDxfId="69">
      <totalsRowFormula>DQ140/DP140-1</totalsRowFormula>
    </tableColumn>
    <tableColumn id="150" xr3:uid="{65F568AE-DC98-BD4C-9A58-0A49C6765BD6}" name="Q4 2049" totalsRowFunction="custom" dataDxfId="66" totalsRowDxfId="67">
      <totalsRowFormula>DR140/DQ140-1</totalsRowFormula>
    </tableColumn>
    <tableColumn id="47" xr3:uid="{64C32E21-6774-6548-8874-BAA1096FB0CC}" name="CAGR" dataDxfId="64" totalsRowDxfId="65"/>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6A8870-61DB-B646-A1D9-3DD79B71365C}" name="Table8" displayName="Table8" ref="B119:AC120" totalsRowShown="0" headerRowDxfId="63" dataDxfId="62" headerRowBorderDxfId="60" tableBorderDxfId="61" totalsRowBorderDxfId="59">
  <autoFilter ref="B119:AC120" xr:uid="{326A8870-61DB-B646-A1D9-3DD79B71365C}"/>
  <tableColumns count="28">
    <tableColumn id="1" xr3:uid="{DA0D7FA4-AEBF-764E-AB14-81359B585283}" name="Quarter on Quarter Basis" dataDxfId="58" dataCellStyle="Normal 3"/>
    <tableColumn id="2" xr3:uid="{ECC2BE5A-C3C2-EB4F-B2CC-CB9B8DE77F1E}" name="Q1 2017 /Q3 2017 (Pilbara)" dataDxfId="57"/>
    <tableColumn id="3" xr3:uid="{4AC59620-4ED0-8B4C-9248-338FB5A9BB50}" name="Q2 2017" dataDxfId="56"/>
    <tableColumn id="4" xr3:uid="{AD5D1178-14BB-1C43-8ADD-92EE3FC0812D}" name="Q3 2017" dataDxfId="55"/>
    <tableColumn id="5" xr3:uid="{F8392530-D036-3944-98FE-FD2CA27247E1}" name="Q4 2017" dataDxfId="54"/>
    <tableColumn id="6" xr3:uid="{EB21F366-8AAF-6043-BD13-F1F4C2E34D83}" name="Q1 2018" dataDxfId="53"/>
    <tableColumn id="7" xr3:uid="{6CFEFA7A-9ECD-3B42-9489-9C636D28372A}" name="Q2 2018" dataDxfId="52"/>
    <tableColumn id="8" xr3:uid="{3197D815-7076-594A-826B-1184D3FD0AA1}" name="Q3 2018" dataDxfId="51"/>
    <tableColumn id="9" xr3:uid="{8B2DAA1F-F694-1D41-9230-309D08A4CC36}" name="Q4 2018" dataDxfId="50"/>
    <tableColumn id="10" xr3:uid="{40FA8D7A-457F-5249-B448-79A03A5B545B}" name="Q1 2019" dataDxfId="49"/>
    <tableColumn id="11" xr3:uid="{0FEBF352-E76E-BF4B-9CE8-E1F98BD83AD5}" name="Q2 2019" dataDxfId="48"/>
    <tableColumn id="12" xr3:uid="{5012A935-F6BF-2445-9943-A32E232C71D1}" name="Q3 2019" dataDxfId="47"/>
    <tableColumn id="13" xr3:uid="{B30B7210-E957-E647-9FF2-268043DF7ED3}" name="Q4 2019" dataDxfId="46"/>
    <tableColumn id="14" xr3:uid="{055CE672-8A42-4E49-AEBB-C3094D36781B}" name="Q1 2020" dataDxfId="45"/>
    <tableColumn id="15" xr3:uid="{79AB1B01-D73A-1A44-BA63-0C8C87875000}" name="Q2 2020" dataDxfId="44"/>
    <tableColumn id="16" xr3:uid="{0095E539-D192-7449-ABE8-5F77A1425000}" name="Q3 2020" dataDxfId="43"/>
    <tableColumn id="17" xr3:uid="{E98C7F83-EE57-FD46-9AE4-171B7F9A3122}" name="Q4 2020" dataDxfId="42"/>
    <tableColumn id="18" xr3:uid="{BE5931CA-0052-4D42-AF97-690DD517F9A3}" name="Q1 2021" dataDxfId="41"/>
    <tableColumn id="19" xr3:uid="{6DCD30B1-5A3A-E749-9381-F33AE5FE8BE4}" name="Q2 2021" dataDxfId="40"/>
    <tableColumn id="20" xr3:uid="{F5B17F6D-C81E-6843-929A-36DEFE21617F}" name="Q3 2021" dataDxfId="39"/>
    <tableColumn id="21" xr3:uid="{36195878-C99C-BF45-BC77-641F50BC991A}" name="Q4 2021" dataDxfId="38"/>
    <tableColumn id="22" xr3:uid="{9C933CF9-69BD-3F41-AA28-DD03B7229689}" name="Q1 2022" dataDxfId="37"/>
    <tableColumn id="23" xr3:uid="{F2F6C965-FD85-5F47-AF21-A49C8873A7E5}" name="Q2 2022" dataDxfId="36"/>
    <tableColumn id="24" xr3:uid="{982C6946-53A1-7440-8D75-A7FDD4B2950C}" name="Q3 2022" dataDxfId="35"/>
    <tableColumn id="25" xr3:uid="{337C938F-A354-FF44-B2B1-364E1AB2C02D}" name="Q4 2022" dataDxfId="34"/>
    <tableColumn id="26" xr3:uid="{2E256538-DDFC-474F-B4D0-E1728173D7A4}" name="Q1 2023" dataDxfId="33"/>
    <tableColumn id="27" xr3:uid="{DEF7A9B4-6C93-0E48-A6AE-8DFF8095F2CB}" name="Q2 2023" dataDxfId="32"/>
    <tableColumn id="28" xr3:uid="{C1008F62-808D-4B4E-9E9B-33BE293F2C9F}" name="Q3 2023" dataDxfId="31"/>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BEABC2-E9C5-FC48-AE98-CC93680E8349}" name="Table9" displayName="Table9" ref="O147:AN151" totalsRowShown="0" headerRowDxfId="30" dataDxfId="29" headerRowBorderDxfId="27" tableBorderDxfId="28" totalsRowBorderDxfId="26" headerRowCellStyle="Normal 3">
  <autoFilter ref="O147:AN151" xr:uid="{47BEABC2-E9C5-FC48-AE98-CC93680E8349}"/>
  <tableColumns count="26">
    <tableColumn id="1" xr3:uid="{D1E7AC99-14AC-D44A-A5AE-3DB783919D9A}" name="2024" dataDxfId="25"/>
    <tableColumn id="2" xr3:uid="{FAE4A170-7A01-D14D-B8D7-3634D90E7961}" name="2025" dataDxfId="24"/>
    <tableColumn id="3" xr3:uid="{6DB1A251-E90D-BE47-86E9-2421E4D78F6F}" name="2026" dataDxfId="23"/>
    <tableColumn id="4" xr3:uid="{C1220FDF-8E22-6B45-A77B-BE9038FE62E5}" name="2027" dataDxfId="22"/>
    <tableColumn id="5" xr3:uid="{AAAB54A7-0C63-3249-BB1D-4101A2CF705A}" name="2028" dataDxfId="21"/>
    <tableColumn id="6" xr3:uid="{BAB87C73-7C7B-5145-BA4C-57C79C5613F8}" name="2029" dataDxfId="20"/>
    <tableColumn id="7" xr3:uid="{B9B1C839-3254-A341-9461-AA8BABB8B324}" name="2030" dataDxfId="19"/>
    <tableColumn id="8" xr3:uid="{3DD3DA32-4241-764B-8E11-CB3C2A48870B}" name="2031" dataDxfId="18"/>
    <tableColumn id="9" xr3:uid="{6F79A909-86F3-0A4E-A46E-EA4551B40E64}" name="2032" dataDxfId="17"/>
    <tableColumn id="10" xr3:uid="{524754A7-9917-B144-8E36-784DED4EEF92}" name="2033" dataDxfId="16"/>
    <tableColumn id="11" xr3:uid="{32E44535-C3AF-1A4A-A749-787FBAA2CE80}" name="2034" dataDxfId="15"/>
    <tableColumn id="12" xr3:uid="{4ABB6015-3527-714E-9960-52FEE4E5F8C9}" name="2035" dataDxfId="14"/>
    <tableColumn id="13" xr3:uid="{7F024528-7CE4-4447-9CAB-93C45FC139A5}" name="2036" dataDxfId="13"/>
    <tableColumn id="14" xr3:uid="{73FCEA31-04BA-7C47-ABA7-7587F185D1B8}" name="2037" dataDxfId="12"/>
    <tableColumn id="15" xr3:uid="{AEF1D16B-F7AF-3441-B239-47340B423216}" name="2038" dataDxfId="11"/>
    <tableColumn id="16" xr3:uid="{EE81F531-C22F-CF4E-9B78-4B2097344470}" name="2039" dataDxfId="10"/>
    <tableColumn id="17" xr3:uid="{96F0121A-5C8F-BD49-8B43-3A874FF0FE1F}" name="2040" dataDxfId="9"/>
    <tableColumn id="18" xr3:uid="{EEDCDDD0-CA8D-8543-8223-AB6176F77D24}" name="2041" dataDxfId="8"/>
    <tableColumn id="19" xr3:uid="{5A68DB6F-C6B6-F149-8EAA-74AE6055C7D4}" name="2042" dataDxfId="7"/>
    <tableColumn id="20" xr3:uid="{9D09AFDA-5B2B-6940-B28D-1A0D1F36B790}" name="2043" dataDxfId="6"/>
    <tableColumn id="21" xr3:uid="{F201C580-F5F7-A445-815B-236A7B270027}" name="2044" dataDxfId="5"/>
    <tableColumn id="22" xr3:uid="{4ECDA9CF-8255-FE47-8E8F-786CE9C3BD05}" name="2045" dataDxfId="4"/>
    <tableColumn id="23" xr3:uid="{A092E2B7-43E8-0749-BF77-3D1E0F164F2E}" name="2046" dataDxfId="3">
      <calculatedColumnFormula>AK147+2%</calculatedColumnFormula>
    </tableColumn>
    <tableColumn id="24" xr3:uid="{2BAA45B3-92BE-9341-9947-EF3676B4483D}" name="2047" dataDxfId="2">
      <calculatedColumnFormula>AL147+2%</calculatedColumnFormula>
    </tableColumn>
    <tableColumn id="25" xr3:uid="{5BD08B61-7B06-AF4E-BF67-7A0236680326}" name="2048" dataDxfId="1">
      <calculatedColumnFormula>AM147+2%</calculatedColumnFormula>
    </tableColumn>
    <tableColumn id="26" xr3:uid="{F51FB6F2-5EFD-134C-A626-B6A6D37E0201}" name="2049" dataDxfId="0">
      <calculatedColumnFormula>AN147+2%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 ref="H5" dT="2024-04-09T11:35:01.86" personId="{81FA3967-5FE6-4FF1-9D68-592095C0B127}" id="{63D33D94-40BB-40F9-90B0-EB1253B0F422}">
    <text>We couldn't find the age of any member of the board of directors and Executive Leadership team</text>
  </threadedComment>
  <threadedComment ref="E28" dT="2024-03-26T17:19:20.93" personId="{D03EAF95-B72C-4150-BA5F-499FA4D3D7A9}" id="{F2F4E2E4-3A3A-4B47-8880-B593D8A97CA7}">
    <text>above US industry average (32.28%)</text>
  </threadedComment>
  <threadedComment ref="E29" dT="2024-03-26T17:17:38.72" personId="{D03EAF95-B72C-4150-BA5F-499FA4D3D7A9}" id="{910EDA9F-A006-4908-880D-7AB146FB4D6F}">
    <text>well above US industry average (19.23%)</text>
  </threadedComment>
  <threadedComment ref="E30" dT="2024-04-04T10:01:24.55" personId="{D03EAF95-B72C-4150-BA5F-499FA4D3D7A9}" id="{4BF88BCA-ED1D-4B7B-9EA6-24D94C8F8965}">
    <text>well above US industry average (7.23%)</text>
  </threadedComment>
  <threadedComment ref="C43" dT="2024-03-12T09:48:00.84" personId="{A3FDCCA8-5BEA-C441-AE6A-3868AA545572}" id="{09A8A31E-8D47-8C45-A833-79089C2EDE8A}">
    <text>https://www.theverge.com/2023/10/26/23934172/ford-12-billion-ev-investment-postpone-q3-earnings</text>
    <extLst>
      <x:ext xmlns:xltc2="http://schemas.microsoft.com/office/spreadsheetml/2020/threadedcomments2" uri="{F7C98A9C-CBB3-438F-8F68-D28B6AF4A901}">
        <xltc2:checksum>2206940590</xltc2:checksum>
        <xltc2:hyperlink startIndex="0" length="95" url="https://www.theverge.com/2023/10/26/23934172/ford-12-billion-ev-investment-postpone-q3-earnings"/>
      </x:ext>
    </extLst>
  </threadedComment>
  <threadedComment ref="C44" dT="2024-04-04T13:24:24.46" personId="{A3FDCCA8-5BEA-C441-AE6A-3868AA545572}" id="{6E6AD505-91DE-2642-AB7E-A238F12C86F7}">
    <text>https://www.ga.gov.au/scientific-topics/minerals/mineral-resources-and-advice/australian-resource-reviews/lithium</text>
    <extLst>
      <x:ext xmlns:xltc2="http://schemas.microsoft.com/office/spreadsheetml/2020/threadedcomments2" uri="{F7C98A9C-CBB3-438F-8F68-D28B6AF4A901}">
        <xltc2:checksum>1538562456</xltc2:checksum>
        <xltc2:hyperlink startIndex="0" length="113" url="https://www.ga.gov.au/scientific-topics/minerals/mineral-resources-and-advice/australian-resource-reviews/lithium"/>
      </x:ext>
    </extLst>
  </threadedComment>
  <threadedComment ref="D47" dT="2024-03-26T17:01:48.13" personId="{D03EAF95-B72C-4150-BA5F-499FA4D3D7A9}" id="{7444AB9C-2329-4F49-A9C5-8ABB5BF68676}">
    <text>Acquisition of their biggest operation (Pilgangoora Op.) and start of the company as a lithium explorer</text>
  </threadedComment>
  <threadedComment ref="C54" dT="2024-03-26T16:58:57.93" personId="{D03EAF95-B72C-4150-BA5F-499FA4D3D7A9}" id="{477D8F2E-2AFE-4D66-B0A6-F51B466FA634}">
    <text>Sales growth due to increase of the lithium price and demand</text>
  </threadedComment>
  <threadedComment ref="C55" dT="2024-03-26T16:58:52.28" personId="{D03EAF95-B72C-4150-BA5F-499FA4D3D7A9}" id="{665EDD97-46DA-4F30-8CF6-11C2B5FF8A72}">
    <text xml:space="preserve">Sales growth due to mostly the increase of the lithium price but also due to the increase in production </text>
  </threadedComment>
  <threadedComment ref="E55" dT="2024-03-26T17:00:57.08" personId="{D03EAF95-B72C-4150-BA5F-499FA4D3D7A9}" id="{D6629377-BD9E-4BAE-8494-AB42E2D7F546}">
    <text>In the previous years they issued shares and payed no dividends 
In 2023 they did not issue any shares and payed dividends</text>
  </threadedComment>
  <threadedComment ref="G55" dT="2024-04-04T11:25:00.52" personId="{D03EAF95-B72C-4150-BA5F-499FA4D3D7A9}" id="{52207C72-65F9-4AB6-B0D8-50319ED0B7F6}">
    <text>low debt when in comparison</text>
  </threadedComment>
  <threadedComment ref="I55" dT="2024-03-26T17:02:45.07" personId="{D03EAF95-B72C-4150-BA5F-499FA4D3D7A9}" id="{5F5FE2F1-C1FA-4F7B-96F2-B21F2147FEC7}">
    <text>investment in capital expenditure in order to grow - increase of capacity operarions, eg.: the "P1000" expansion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4-03-14T00:04:49.90" personId="{BEA38C63-3C5A-41E4-814F-2AAFF6D4FFD3}" id="{9FEAFEE5-C28A-4B91-A37D-17F8AABC322E}">
    <text>The Pilgan plant is the main and first plant of the Pilgangoora operation.</text>
  </threadedComment>
  <threadedComment ref="L5" dT="2024-03-29T21:32:48.50" personId="{BEA38C63-3C5A-41E4-814F-2AAFF6D4FFD3}" id="{0706D5EB-C771-45C4-9BA6-F72AA504616B}">
    <text>Increase in lithium prices and production.</text>
  </threadedComment>
  <threadedComment ref="O5" dT="2024-03-29T21:10:10.95" personId="{BEA38C63-3C5A-41E4-814F-2AAFF6D4FFD3}" id="{E758E1E0-FB5D-4B1C-910F-2DEDA9692D50}">
    <text>Commercial production at Pilgangoora declared</text>
  </threadedComment>
  <threadedComment ref="C6" dT="2024-03-14T00:41:39.56" personId="{BEA38C63-3C5A-41E4-814F-2AAFF6D4FFD3}" id="{EA4EBF37-B958-4A52-9E05-7DF38326D799}">
    <text>This is the second plant of the Pilgangoora Operation, that started its operation in 2022, after being bought in 2021. Before being named Ngungaju this plant belonged to Altura Lithium Operations Pty Ltd.</text>
  </threadedComment>
  <threadedComment ref="K8" dT="2024-03-29T21:27:54.16" personId="{BEA38C63-3C5A-41E4-814F-2AAFF6D4FFD3}" id="{C5485CFD-9B98-4CCB-9838-58860A861AA3}">
    <text>Changes in lithium prices between loading and delivery.</text>
  </threadedComment>
  <threadedComment ref="M8" dT="2024-03-29T21:28:01.17" personId="{BEA38C63-3C5A-41E4-814F-2AAFF6D4FFD3}" id="{B074A748-C219-4CF8-BD22-67CFF44A36F3}">
    <text>Changes in lithium prices between loading and delivery.</text>
  </threadedComment>
  <threadedComment ref="L15" dT="2024-03-29T21:39:50.16" personId="{BEA38C63-3C5A-41E4-814F-2AAFF6D4FFD3}" id="{ABAC8D56-453A-48F8-AB5E-D026F87EBE21}">
    <text>Increase in lithium prices and production.</text>
  </threadedComment>
  <threadedComment ref="O15" dT="2024-03-29T21:10:21.70" personId="{BEA38C63-3C5A-41E4-814F-2AAFF6D4FFD3}" id="{6C8B54F1-DE04-44C8-8530-9246F0C108E5}">
    <text>Commercial production at Pilgangoora declared </text>
  </threadedComment>
  <threadedComment ref="C17" dT="2024-03-14T00:48:14.06" personId="{BEA38C63-3C5A-41E4-814F-2AAFF6D4FFD3}" id="{3EC785AD-B17D-47BD-9CA8-A765F5CE7464}">
    <text>This category exists because the sales of the by-product are credited to the costs of producing spodumene concentrate.</text>
  </threadedComment>
  <threadedComment ref="C18" dT="2024-03-14T00:50:28.34" personId="{BEA38C63-3C5A-41E4-814F-2AAFF6D4FFD3}" id="{AD4A0F99-86A8-46AC-9838-4C2407680A53}">
    <text>This category exists because costumer sales contracts can contain provisional pricing at the time the product is delivered to the vessel, with the final pricing determined at a later time when the relevant pricing information is available.</text>
  </threadedComment>
  <threadedComment ref="C19" dT="2024-03-14T00:51:52.49" personId="{BEA38C63-3C5A-41E4-814F-2AAFF6D4FFD3}" id="{F9D3EFBE-A790-4650-A729-BA5DE6083378}">
    <text>This category exists because the group holds derivative financial instruments to hedge its foreign currency risk exposure.</text>
  </threadedComment>
</ThreadedComments>
</file>

<file path=xl/threadedComments/threadedComment3.xml><?xml version="1.0" encoding="utf-8"?>
<ThreadedComments xmlns="http://schemas.microsoft.com/office/spreadsheetml/2018/threadedcomments" xmlns:x="http://schemas.openxmlformats.org/spreadsheetml/2006/main">
  <threadedComment ref="D22" dT="2024-04-04T10:05:35.88" personId="{81FA3967-5FE6-4FF1-9D68-592095C0B127}" id="{B995FFA5-12F5-4CE7-86AF-E2A7CE5E63AD}">
    <text>Most of its debt comes from Commercial paper notes and long-term debt, ones with interest rates raging from 4,65% to 5,65% and with maturities raging from 2029 to 2052</text>
  </threadedComment>
  <threadedComment ref="C26" dT="2024-04-04T10:23:44.99" personId="{81FA3967-5FE6-4FF1-9D68-592095C0B127}" id="{1076CD95-21E1-471F-8083-E0705EC1ACB3}">
    <text>Best in class, as interest income outweighs interest expense largely thanks to the large influx of interest the company has been receiving from the bank after depositing some of its 3288$ million ending cash balance from the previous year.</text>
  </threadedComment>
  <threadedComment ref="F37" dT="2024-04-04T12:04:52.48" personId="{81FA3967-5FE6-4FF1-9D68-592095C0B127}" id="{476B40ED-0B89-4376-B5BE-F0B801DE96BE}">
    <text>Low Net Income, caused by High Operating Expenses</text>
  </threadedComment>
  <threadedComment ref="D41" dT="2024-04-04T11:52:17.34" personId="{81FA3967-5FE6-4FF1-9D68-592095C0B127}" id="{7417033E-A5CC-4FB5-8111-9C39B6CC9ADE}">
    <text>Low EBITDA and high Debt levels</text>
  </threadedComment>
  <threadedComment ref="B50" dT="2024-04-04T11:50:39.89" personId="{81FA3967-5FE6-4FF1-9D68-592095C0B127}" id="{01F619E3-3862-4B0E-BB3A-F89186BA7E6B}">
    <text>1 Year Estimate from Yahoo Finance</text>
  </threadedComment>
  <threadedComment ref="C53" dT="2024-04-04T10:31:05.48" personId="{81FA3967-5FE6-4FF1-9D68-592095C0B127}" id="{7BB5A817-CA7B-47BD-B5F3-21F074ACE97F}">
    <text>Negative Operating Cash Flow in 2020, which was largely caused by a negative net income of -99$ million, although offshoot by mostly a NFC of 24$ million and Inventory write down of 21$ million</text>
  </threadedComment>
  <threadedComment ref="F64" dT="2024-04-04T11:58:38.40" personId="{81FA3967-5FE6-4FF1-9D68-592095C0B127}" id="{4434EA93-B296-49D9-83F9-5EBB6D21CD42}">
    <text>The two major operating expenses are SG&amp;A expenses totalling 889,4$ million and Impairment-Assets Held for Use totalling 788,6$ million, of which 505,2$ corresponded to Mine Development.</text>
  </threadedComment>
  <threadedComment ref="C72" dT="2024-04-03T17:08:02.73" personId="{81FA3967-5FE6-4FF1-9D68-592095C0B127}" id="{27CB4A54-2250-4FEB-A07B-F3FBD1FBEEE3}">
    <text>Current - Excludes Finished goods and work-in progress ore stockpiles not expected to be processed/sold until June 2024</text>
  </threadedComment>
  <threadedComment ref="D82" dT="2024-04-03T18:00:00.34" personId="{81FA3967-5FE6-4FF1-9D68-592095C0B127}" id="{B5BAE327-DA59-4D3F-84CC-352A1B2C6291}">
    <text xml:space="preserve">Excludes Minority Interest and Equity in Affiliates
The company defers recognition of profits from sales between itself and its equity method investees until the inventory is sold to an external party. This ensures that the consolidated financial statements reflect only real profits from external transactions. </text>
  </threadedComment>
  <threadedComment ref="E82" dT="2024-04-03T17:57:46.60" personId="{81FA3967-5FE6-4FF1-9D68-592095C0B127}" id="{069CBB7C-741B-403A-A22E-7C6482C58A11}">
    <text>Excludes Minority Interest</text>
  </threadedComment>
  <threadedComment ref="F82" dT="2024-04-03T18:00:39.60" personId="{81FA3967-5FE6-4FF1-9D68-592095C0B127}" id="{30B9F607-88E1-4CBB-8116-E29E6CB506CE}">
    <text>Excludes Minority Interest</text>
  </threadedComment>
  <threadedComment ref="G82" dT="2024-04-03T17:58:44.44" personId="{81FA3967-5FE6-4FF1-9D68-592095C0B127}" id="{9A84451C-4B13-4E99-AA30-18CA08E7CF01}">
    <text>Excludes Minority Interest and Discountinued Operations</text>
  </threadedComment>
</ThreadedComments>
</file>

<file path=xl/threadedComments/threadedComment4.xml><?xml version="1.0" encoding="utf-8"?>
<ThreadedComments xmlns="http://schemas.microsoft.com/office/spreadsheetml/2018/threadedcomments" xmlns:x="http://schemas.openxmlformats.org/spreadsheetml/2006/main">
  <threadedComment ref="D22" dT="2024-04-04T10:05:35.88" personId="{81FA3967-5FE6-4FF1-9D68-592095C0B127}" id="{577FC0B3-0DBC-407B-B0BE-52AFDD99720C}">
    <text>Most of its debt comes from Commercial paper notes and long-term debt, ones with interest rates raging from 4,65% to 5,65% and with maturities raging from 2029 to 2052</text>
  </threadedComment>
  <threadedComment ref="C26" dT="2024-04-04T10:23:44.99" personId="{81FA3967-5FE6-4FF1-9D68-592095C0B127}" id="{8C79FC46-D280-4F7F-BA8F-5F874CE2E607}">
    <text>Best in class, as interest income outweighs interest expense largely thanks to the large influx of interest the company has been receiving from the bank after depositing some of its 3288$ million ending cash balance from the previous year.</text>
  </threadedComment>
  <threadedComment ref="F37" dT="2024-04-04T12:04:52.48" personId="{81FA3967-5FE6-4FF1-9D68-592095C0B127}" id="{CB81EC55-A6BA-4E53-9D3F-626222FE9BAB}">
    <text>Low Net Income, caused by High Operating Expenses</text>
  </threadedComment>
  <threadedComment ref="D41" dT="2024-04-04T11:52:17.34" personId="{81FA3967-5FE6-4FF1-9D68-592095C0B127}" id="{47A8A537-2062-440A-A69D-CB8A0D5B4D4B}">
    <text>Low EBITDA and high Debt levels</text>
  </threadedComment>
  <threadedComment ref="B50" dT="2024-04-04T11:50:39.89" personId="{81FA3967-5FE6-4FF1-9D68-592095C0B127}" id="{E93D5E67-06D1-49C5-85FD-DD07204F0A45}">
    <text>1 Year Estimate from Yahoo Finance</text>
  </threadedComment>
  <threadedComment ref="C53" dT="2024-04-04T10:31:05.48" personId="{81FA3967-5FE6-4FF1-9D68-592095C0B127}" id="{A97778BF-03D2-409B-B4DE-93CB3436818C}">
    <text>Negative Operating Cash Flow in 2020, which was largely caused by a negative net income of -99$ million, although offshoot by mostly a NFC of 24$ million and Inventory write down of 21$ million</text>
  </threadedComment>
  <threadedComment ref="F64" dT="2024-04-04T11:58:38.40" personId="{81FA3967-5FE6-4FF1-9D68-592095C0B127}" id="{975728A1-91FB-498B-A201-3308A69C654E}">
    <text>The two major operating expenses are SG&amp;A expenses totalling 889,4$ million and Impairment-Assets Held for Use totalling 788,6$ million, of which 505,2$ corresponded to Mine Development.</text>
  </threadedComment>
  <threadedComment ref="C72" dT="2024-04-03T17:08:02.73" personId="{81FA3967-5FE6-4FF1-9D68-592095C0B127}" id="{060ED7D4-0781-482F-8215-2F246DE79E49}">
    <text>Current - Excludes Finished goods and work-in progress ore stockpiles not expected to be processed/sold until June 2024</text>
  </threadedComment>
  <threadedComment ref="D82" dT="2024-04-03T18:00:00.34" personId="{81FA3967-5FE6-4FF1-9D68-592095C0B127}" id="{9FC9099B-B912-4576-ADAB-D921D53041FE}">
    <text xml:space="preserve">Excludes Minority Interest and Equity in Affiliates
The company defers recognition of profits from sales between itself and its equity method investees until the inventory is sold to an external party. This ensures that the consolidated financial statements reflect only real profits from external transactions. </text>
  </threadedComment>
  <threadedComment ref="E82" dT="2024-04-03T17:57:46.60" personId="{81FA3967-5FE6-4FF1-9D68-592095C0B127}" id="{9D4001C8-648E-4FA3-8B22-8F3E6F5C44AB}">
    <text>Excludes Minority Interest</text>
  </threadedComment>
  <threadedComment ref="F82" dT="2024-04-03T18:00:39.60" personId="{81FA3967-5FE6-4FF1-9D68-592095C0B127}" id="{347DD5C4-FB65-4F34-B845-8F2B058BA6FB}">
    <text>Excludes Minority Interest</text>
  </threadedComment>
  <threadedComment ref="G82" dT="2024-04-03T17:58:44.44" personId="{81FA3967-5FE6-4FF1-9D68-592095C0B127}" id="{E82BD42C-58B2-4E19-827A-91FE51AEAF68}">
    <text>Excludes Minority Interest and Discountinued Operations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C25" dT="2024-04-04T10:23:44.99" personId="{81FA3967-5FE6-4FF1-9D68-592095C0B127}" id="{09D9817C-FB97-4A42-BAC8-CC0E6BE0755C}">
    <text>Best in class, as interest income outweighs interest expense largely thanks to the large influx of interest the company has been receiving from the bank after depositing some of its 3288$ million ending cash balance from the previous year.</text>
  </threadedComment>
  <threadedComment ref="B49" dT="2024-04-04T11:50:39.89" personId="{81FA3967-5FE6-4FF1-9D68-592095C0B127}" id="{C85F8ED7-052B-4745-80A5-270276349558}">
    <text>1 Year Estimate from Yahoo Finance</text>
  </threadedComment>
  <threadedComment ref="C52" dT="2024-04-04T10:31:05.48" personId="{81FA3967-5FE6-4FF1-9D68-592095C0B127}" id="{7B7B2227-CEF8-498E-8D37-9D1E76BDA91A}">
    <text>Negative Operating Cash Flow in 2020, which was largely caused by a negative net income of -99$ million, although offshoot by mostly a NFC of 24$ million and Inventory write down of 21$ million</text>
  </threadedComment>
</ThreadedComments>
</file>

<file path=xl/threadedComments/threadedComment6.xml><?xml version="1.0" encoding="utf-8"?>
<ThreadedComments xmlns="http://schemas.microsoft.com/office/spreadsheetml/2018/threadedcomments" xmlns:x="http://schemas.openxmlformats.org/spreadsheetml/2006/main">
  <threadedComment ref="G5" dT="2024-03-08T18:16:16.38" personId="{A3FDCCA8-5BEA-C441-AE6A-3868AA545572}" id="{FDF93925-47D3-AC40-A764-2C591E3D35FE}">
    <text>Supply has caught up to demand, bringing the growth down, said by the CEO Dale Henderson himself.</text>
  </threadedComment>
  <threadedComment ref="G6" dT="2024-03-30T15:59:08.16" personId="{81FA3967-5FE6-4FF1-9D68-592095C0B127}" id="{1A32BBA2-B535-42E6-8952-D4ED201C7DF0}">
    <text xml:space="preserve">H1 FY24: 757
9 months FY24: 949
H1 FY23: 2180 </text>
  </threadedComment>
  <threadedComment ref="G7" dT="2024-03-30T16:12:18.26" personId="{81FA3967-5FE6-4FF1-9D68-592095C0B127}" id="{BAEDF2A0-7406-402C-B5D1-58053A6F13E9}">
    <text xml:space="preserve">Gross Margin H1 FY24: 63,67%
Gross Margin H1 FY23: 84,72% </text>
  </threadedComment>
  <threadedComment ref="G8" dT="2024-03-31T17:25:15.38" personId="{81FA3967-5FE6-4FF1-9D68-592095C0B127}" id="{EF01E75A-6721-4895-BC8A-3D2AFAAE96F5}">
    <text>H1 FY24: 482
H1 FY23: 1847</text>
  </threadedComment>
  <threadedComment ref="G12" dT="2024-03-30T16:01:13.41" personId="{81FA3967-5FE6-4FF1-9D68-592095C0B127}" id="{6C1975B9-4012-41FC-9B6F-6A2A6F073955}">
    <text xml:space="preserve">H1 FY24: 415
H1 FY23: 1812
EBITDA Margin H1 FY24: 55%
EBITDA Margin H1 FY23: 83% </text>
  </threadedComment>
  <threadedComment ref="G43" dT="2024-03-30T15:58:21.92" personId="{81FA3967-5FE6-4FF1-9D68-592095C0B127}" id="{CC85FE1E-1E5A-4EE8-A18F-44CE52BB0445}">
    <text>H1 FY24: 2144
H1 FY23: 2226</text>
  </threadedComment>
  <threadedComment ref="C50" dT="2024-03-29T11:09:31.90" personId="{81FA3967-5FE6-4FF1-9D68-592095C0B127}" id="{ACCC4418-AAB1-451D-A392-9BCC1F6B20BA}">
    <text>Inicial Value: 4,1%</text>
  </threadedComment>
  <threadedComment ref="D50" dT="2024-03-29T11:09:49.06" personId="{81FA3967-5FE6-4FF1-9D68-592095C0B127}" id="{FAE75CD3-5FA1-4F1D-B954-C1CD75BE6609}">
    <text>Inicial Value: 4,5%</text>
  </threadedComment>
  <threadedComment ref="C53" dT="2024-03-12T10:24:40.48" personId="{A3FDCCA8-5BEA-C441-AE6A-3868AA545572}" id="{9C381B3F-0E54-5540-A19D-4306BDFF261F}">
    <text>The company is growing and is expected to increase their assets. At the moment they have grown the depreciations, but we believe they have yet to do them in total. In the future whilst having more equipment, they will need to depreciate more.</text>
  </threadedComment>
  <threadedComment ref="C55" dT="2024-03-12T10:29:41.46" personId="{A3FDCCA8-5BEA-C441-AE6A-3868AA545572}" id="{1A3D7FB5-704E-1440-A729-52C6843F0803}">
    <text>In current terms, the company is growing and must conserve it’s funds; After the company growth’s stabilizes, then the stock-based compensation might start. Although there hasn’t been any stock-based compensation, the comapny has offered stock option to it’s board, which has been used by some board members. This demonstrates belief in the company. Inciating monetary compensation early on in the company might introduce the tendency to make board members follow more short-term projects over long-term projects as it would benefit them more in the short run.</text>
  </threadedComment>
  <threadedComment ref="C56" dT="2024-03-11T15:41:23.99" personId="{A3FDCCA8-5BEA-C441-AE6A-3868AA545572}" id="{A34F58E4-9B07-614B-A074-ED2F3174489D}">
    <text>* According to MINERALS RESOURCE RENT TAX (MRRT) of Australia</text>
  </threadedComment>
  <threadedComment ref="C57" dT="2024-03-14T12:08:06.16" personId="{A3FDCCA8-5BEA-C441-AE6A-3868AA545572}" id="{8701BAFA-DC25-624D-81C8-6BC76BE07520}">
    <text>Considering they got their contracts done between 2019 and January 2022</text>
  </threadedComment>
  <threadedComment ref="C60" dT="2024-03-12T10:31:40.79" personId="{A3FDCCA8-5BEA-C441-AE6A-3868AA545572}" id="{D9FDDA90-A1C1-B743-A513-FC9FF300C726}">
    <text>Expansion of the equipment would require an increase in Working Capital Flows, meaning that as the company grows this will also grow. The percentages of the short term and long term are different, since the must preserve cash for any possible unexpected short coming or expansion projects.</text>
  </threadedComment>
  <threadedComment ref="C62" dT="2024-03-12T10:18:23.52" personId="{A3FDCCA8-5BEA-C441-AE6A-3868AA545572}" id="{DEB0E2A5-DB01-8740-B7EF-106A0102FE0A}">
    <text>This is justified by the increase of plants and processing facilities with require constant maintenance in order to achieve the average life expectancy of heavy equipment and mining equipment which can last over 40 years</text>
  </threadedComment>
  <threadedComment ref="C63" dT="2024-03-12T10:34:09.86" personId="{A3FDCCA8-5BEA-C441-AE6A-3868AA545572}" id="{B877E35D-E73A-404A-9CE4-035E3656C213}">
    <text>Although this value in the modelling factors is 0, they have been manually inputed in the model. The model we followed as a consistend increase from 1 to 5% of Revenue to be invested over a period of 5 years, with an interval of 5 years. These expenditures would be related to market expansions and investments in the operation’s expansion.</text>
  </threadedComment>
  <threadedComment ref="C64" dT="2024-03-11T15:41:47.62" personId="{A3FDCCA8-5BEA-C441-AE6A-3868AA545572}" id="{653351EE-F88B-2C4B-A454-5479C4FFAE70}">
    <text xml:space="preserve">*Paying a sustainable dividend to shareholders, with a target dividend payout ratio of between 20-30% of free cash flow ( https://pilbaraminerals.com.au/investors/dividend-information/)
</text>
  </threadedComment>
  <threadedComment ref="F64" dT="2024-04-08T11:50:49.70" personId="{81FA3967-5FE6-4FF1-9D68-592095C0B127}" id="{B574AFD1-6C0F-4A9C-8C8B-1E4F18F89130}">
    <text>Operating Cash Flow - Investing Cash Flow</text>
  </threadedComment>
  <threadedComment ref="C65" dT="2024-03-12T10:35:37.71" personId="{A3FDCCA8-5BEA-C441-AE6A-3868AA545572}" id="{5DF91892-7EDA-8944-A2AF-4E5D66993DB3}">
    <text>These have been picked after having considered the previous year’s repurchases</text>
  </threadedComment>
  <threadedComment ref="D65" dT="2024-04-08T17:31:17.80" personId="{81FA3967-5FE6-4FF1-9D68-592095C0B127}" id="{15E225EF-BF03-44AF-8764-5FA8B39ED4F0}">
    <text>4% in relation to Net Income</text>
  </threadedComment>
  <threadedComment ref="E65" dT="2024-04-08T17:31:25.86" personId="{81FA3967-5FE6-4FF1-9D68-592095C0B127}" id="{5F77E952-D8B4-40D2-8119-B692AF477597}">
    <text>5% in relation to Net Income</text>
  </threadedComment>
  <threadedComment ref="F65" dT="2024-04-08T17:31:43.13" personId="{81FA3967-5FE6-4FF1-9D68-592095C0B127}" id="{241DD631-7837-4235-AE43-7132A1DDF393}">
    <text>Average from 2014 to 2049 of Net Income/FCF: 314,61%</text>
  </threadedComment>
  <threadedComment ref="C66" dT="2024-03-12T10:20:42.18" personId="{A3FDCCA8-5BEA-C441-AE6A-3868AA545572}" id="{4EB16A53-D51E-7B47-A2C3-170FE49679FE}">
    <text>An increase in leases due to the possibility to lease their equipment since they have a long expected life and allows the company to have more cash available for investments and R&amp;D (Processing Investigation/ Chemicals; Acheiving a more efficient mining; Reducing Waste trough a cutting edge refinery)</text>
  </threadedComment>
  <threadedComment ref="C68" dT="2024-03-12T10:21:54.14" personId="{A3FDCCA8-5BEA-C441-AE6A-3868AA545572}" id="{5DF3215C-B723-8D4A-BBD6-C150C8D165C6}">
    <text xml:space="preserve">Has to be relatively higher than leases, plus any possible cost related to Property and Equipment Tax. </text>
  </threadedComment>
  <threadedComment ref="B116" dT="2024-03-28T23:57:15.50" personId="{A3FDCCA8-5BEA-C441-AE6A-3868AA545572}" id="{1A8B01AC-DBBF-1A46-BC3F-0ADD98C8965B}">
    <text>This value is for mining (general), not specifically Lithium, therefore we will use this as the lowest value possible for Pilbara</text>
  </threadedComment>
  <threadedComment ref="B134" dT="2024-03-31T23:10:17.43" personId="{A3FDCCA8-5BEA-C441-AE6A-3868AA545572}" id="{403A5BE2-3AB7-7142-9558-3B6BB433199A}">
    <text>Percentage of Ore Growth + Percentage of Lithium Price</text>
  </threadedComment>
</ThreadedComments>
</file>

<file path=xl/threadedComments/threadedComment7.xml><?xml version="1.0" encoding="utf-8"?>
<ThreadedComments xmlns="http://schemas.microsoft.com/office/spreadsheetml/2018/threadedcomments" xmlns:x="http://schemas.openxmlformats.org/spreadsheetml/2006/main">
  <threadedComment ref="S68" dT="2024-03-26T12:09:05.71" personId="{A3FDCCA8-5BEA-C441-AE6A-3868AA545572}" id="{B3FA1137-501E-AE43-82C0-070E25550CC1}">
    <text xml:space="preserve">European Green Deal, which aims to make Europe climate neutral by 2050, is driving electric
vehicle take up and therefore shifting market sentiment.
</text>
  </threadedComment>
  <threadedComment ref="T80" dT="2024-03-29T20:14:13.71" personId="{A3FDCCA8-5BEA-C441-AE6A-3868AA545572}" id="{307D0333-8DB1-D94F-BF8E-1CEA1F9C352A}">
    <text>These values are due to processing of reserves made by Pilbara. They extract in excess of their processing capacity, so that they can maintain their supply process.</text>
  </threadedComment>
  <threadedComment ref="B112" dT="2024-03-27T16:59:16.02" personId="{A3FDCCA8-5BEA-C441-AE6A-3868AA545572}" id="{3C7510B6-79EF-F046-AD2E-36E9F946A605}">
    <text xml:space="preserve">COVID YEAR
</text>
  </threadedComment>
  <threadedComment ref="B113" dT="2024-03-27T16:59:44.60" personId="{A3FDCCA8-5BEA-C441-AE6A-3868AA545572}" id="{F307B6ED-D40D-A448-B390-E9648EF32820}">
    <text>Big Improvement due to previous year lower performance</text>
  </threadedComment>
  <threadedComment ref="B120" dT="2024-04-08T12:19:36.30" personId="{81FA3967-5FE6-4FF1-9D68-592095C0B127}" id="{8A02496F-9F69-424D-9437-F4862E1B5AFB}">
    <text>Only used to test correlations, not the regression itself</text>
  </threadedComment>
  <threadedComment ref="C131" dT="2024-03-27T23:54:23.11" personId="{A3FDCCA8-5BEA-C441-AE6A-3868AA545572}" id="{029D4353-250C-184A-A0F8-8F590EBF2764}">
    <text xml:space="preserve">&lt;80%
</text>
  </threadedComment>
  <threadedComment ref="G131" dT="2024-04-08T12:20:10.14" personId="{81FA3967-5FE6-4FF1-9D68-592095C0B127}" id="{230AC088-883B-4E81-8B56-935FC490363B}">
    <text>Correlation between the sales of BEV and Ore Processed by Pilbara</text>
  </threadedComment>
  <threadedComment ref="G135" dT="2024-04-08T12:20:35.74" personId="{81FA3967-5FE6-4FF1-9D68-592095C0B127}" id="{659BA44B-29E1-4C24-8477-8CF1BC43A1BB}">
    <text>Correlation between Net Sales Values and Ore Processed by Pilbara</text>
  </threadedComment>
  <threadedComment ref="B142" dT="2024-03-29T00:19:36.47" personId="{A3FDCCA8-5BEA-C441-AE6A-3868AA545572}" id="{4396B837-F4D2-DE48-B18C-91C88AAD0A29}">
    <text>If there is a bigger YoY increase on the BEV Sales then on the Ore Processed, then we are in a status of “Surplus of Demand”, if the YoY increase on Ore Processed is bigger then BEV Sales, then we are in a status of “Surplus of Supply”</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arketscreener.com/quote/stock/PILBARA-MINERALS-LIMITED-10354122/company/"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straitsresearch.com/report/lithium-market" TargetMode="External"/><Relationship Id="rId7" Type="http://schemas.openxmlformats.org/officeDocument/2006/relationships/vmlDrawing" Target="../drawings/vmlDrawing2.vml"/><Relationship Id="rId2" Type="http://schemas.openxmlformats.org/officeDocument/2006/relationships/hyperlink" Target="https://www.grandviewresearch.com/industry-analysis/lithium-market" TargetMode="External"/><Relationship Id="rId1" Type="http://schemas.openxmlformats.org/officeDocument/2006/relationships/hyperlink" Target="https://www.acumenresearchandconsulting.com/lithium-compounds-market"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www.mordorintelligence.com/industry-reports/lithium-market" TargetMode="External"/><Relationship Id="rId9"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www.fool.com.au/2023/12/07/pilbara-minerals-shares-have-dropped-34-in-4-months-heres-what-to-focus-on/" TargetMode="External"/><Relationship Id="rId7" Type="http://schemas.openxmlformats.org/officeDocument/2006/relationships/hyperlink" Target="https://www.mordorintelligence.com/industry-reports/lithium-market" TargetMode="External"/><Relationship Id="rId12" Type="http://schemas.microsoft.com/office/2017/10/relationships/threadedComment" Target="../threadedComments/threadedComment6.xml"/><Relationship Id="rId2" Type="http://schemas.openxmlformats.org/officeDocument/2006/relationships/hyperlink" Target="https://www.nasdaq.com/articles/lithium-market-forecast%3A-top-trends-that-will-affect-lithium-in-2024" TargetMode="External"/><Relationship Id="rId1" Type="http://schemas.openxmlformats.org/officeDocument/2006/relationships/hyperlink" Target="https://www.statista.com/statistics/208725/net-profit-margin-of-the-top-mining-companies/" TargetMode="External"/><Relationship Id="rId6" Type="http://schemas.openxmlformats.org/officeDocument/2006/relationships/hyperlink" Target="https://straitsresearch.com/report/lithium-market" TargetMode="External"/><Relationship Id="rId11" Type="http://schemas.openxmlformats.org/officeDocument/2006/relationships/comments" Target="../comments7.xml"/><Relationship Id="rId5" Type="http://schemas.openxmlformats.org/officeDocument/2006/relationships/hyperlink" Target="https://www.grandviewresearch.com/industry-analysis/lithium-market" TargetMode="External"/><Relationship Id="rId10" Type="http://schemas.openxmlformats.org/officeDocument/2006/relationships/table" Target="../tables/table1.xml"/><Relationship Id="rId4" Type="http://schemas.openxmlformats.org/officeDocument/2006/relationships/hyperlink" Target="https://www.acumenresearchandconsulting.com/lithium-compounds-market" TargetMode="External"/><Relationship Id="rId9"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comments" Target="../comments8.xml"/><Relationship Id="rId3" Type="http://schemas.openxmlformats.org/officeDocument/2006/relationships/vmlDrawing" Target="../drawings/vmlDrawing8.v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7.xml"/><Relationship Id="rId1" Type="http://schemas.openxmlformats.org/officeDocument/2006/relationships/printerSettings" Target="../printerSettings/printerSettings9.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12"/>
  <sheetViews>
    <sheetView showGridLines="0" topLeftCell="D1" zoomScale="85" zoomScaleNormal="85" workbookViewId="0">
      <selection activeCell="M21" sqref="M21"/>
    </sheetView>
  </sheetViews>
  <sheetFormatPr defaultColWidth="11.42578125" defaultRowHeight="13.15"/>
  <cols>
    <col min="1" max="1" width="0.42578125" customWidth="1"/>
    <col min="2" max="2" width="21.28515625" bestFit="1" customWidth="1"/>
    <col min="3" max="3" width="23.42578125" customWidth="1"/>
    <col min="4" max="4" width="32" customWidth="1"/>
    <col min="5" max="5" width="20.28515625" bestFit="1" customWidth="1"/>
    <col min="6" max="6" width="17" bestFit="1" customWidth="1"/>
    <col min="7" max="7" width="13.42578125" bestFit="1" customWidth="1"/>
    <col min="8" max="8" width="24.7109375" customWidth="1"/>
    <col min="9" max="9" width="26.42578125" customWidth="1"/>
    <col min="10" max="10" width="10.28515625" customWidth="1"/>
    <col min="11" max="11" width="13.7109375" customWidth="1"/>
    <col min="12" max="12" width="26.7109375" bestFit="1" customWidth="1"/>
    <col min="13" max="13" width="31" customWidth="1"/>
  </cols>
  <sheetData>
    <row r="1" spans="2:17" ht="3.75" customHeight="1" thickBot="1"/>
    <row r="2" spans="2:17" ht="22.5" customHeight="1">
      <c r="B2" s="504">
        <v>45390</v>
      </c>
      <c r="C2" s="505" t="s">
        <v>0</v>
      </c>
      <c r="D2" s="804" t="s">
        <v>1</v>
      </c>
      <c r="E2" s="1280" t="e" vm="1">
        <f>'Inputs (AUD)'!H3</f>
        <v>#VALUE!</v>
      </c>
      <c r="F2" s="1281"/>
      <c r="G2" s="1281"/>
      <c r="H2" s="1281"/>
      <c r="I2" s="1281"/>
      <c r="J2" s="1281"/>
      <c r="K2" s="1282"/>
      <c r="L2" s="506" t="str" cm="1">
        <f t="array" aca="1" ref="L2" ca="1">_FV(E2,"Exchange abbreviation",TRUE)</f>
        <v>XASX</v>
      </c>
      <c r="M2" s="507" t="s">
        <v>2</v>
      </c>
    </row>
    <row r="3" spans="2:17" ht="26.25" customHeight="1">
      <c r="B3" s="1220"/>
      <c r="C3" s="1221"/>
      <c r="D3" s="1217" t="s">
        <v>3</v>
      </c>
      <c r="E3" s="1217"/>
      <c r="F3" s="1217"/>
      <c r="G3" s="1217"/>
      <c r="H3" s="1217" t="s">
        <v>4</v>
      </c>
      <c r="I3" s="1217"/>
      <c r="J3" s="1217"/>
      <c r="K3" s="1217"/>
      <c r="L3" s="1217"/>
      <c r="M3" s="1218"/>
    </row>
    <row r="4" spans="2:17" ht="21.75" customHeight="1">
      <c r="B4" s="1222"/>
      <c r="C4" s="1223"/>
      <c r="D4" s="1291" t="s">
        <v>5</v>
      </c>
      <c r="E4" s="1291"/>
      <c r="F4" s="1291"/>
      <c r="G4" s="1291"/>
      <c r="H4" s="101" t="s">
        <v>6</v>
      </c>
      <c r="I4" s="102" t="s">
        <v>7</v>
      </c>
      <c r="J4" s="102" t="s">
        <v>8</v>
      </c>
      <c r="K4" s="1295" t="s">
        <v>9</v>
      </c>
      <c r="L4" s="1296"/>
      <c r="M4" s="1297"/>
    </row>
    <row r="5" spans="2:17" ht="16.899999999999999">
      <c r="B5" s="1222"/>
      <c r="C5" s="1223"/>
      <c r="D5" s="1291"/>
      <c r="E5" s="1291"/>
      <c r="F5" s="1291"/>
      <c r="G5" s="1291"/>
      <c r="H5" s="986" t="s">
        <v>10</v>
      </c>
      <c r="I5" s="747" t="s">
        <v>11</v>
      </c>
      <c r="J5" s="503" t="s">
        <v>12</v>
      </c>
      <c r="K5" s="1214" t="s">
        <v>13</v>
      </c>
      <c r="L5" s="1215"/>
      <c r="M5" s="1216"/>
      <c r="N5" s="784"/>
    </row>
    <row r="6" spans="2:17" ht="40.15" customHeight="1">
      <c r="B6" s="1222"/>
      <c r="C6" s="1223"/>
      <c r="D6" s="1291"/>
      <c r="E6" s="1291"/>
      <c r="F6" s="1291"/>
      <c r="G6" s="1291"/>
      <c r="H6" s="986" t="s">
        <v>14</v>
      </c>
      <c r="I6" s="747" t="s">
        <v>15</v>
      </c>
      <c r="J6" s="503" t="s">
        <v>16</v>
      </c>
      <c r="K6" s="1214" t="s">
        <v>17</v>
      </c>
      <c r="L6" s="1215"/>
      <c r="M6" s="1216"/>
      <c r="P6" t="str" cm="1">
        <f t="array" aca="1" ref="P6" ca="1">_FV(E2,"Description")</f>
        <v>Pilbara Minerals Limited is an Australia-based lithium company. The Company is primarily engaged in the exploration, development, and mining of minerals in Australia. Its 100% owned Pilgangoora hard-rock lithium operation is located approximately 120 kilometers (kms) from Port Hedland in Western Australia’s resource-rich Pilbara region. The operation consists of two processing plants: the Pilgan Plant, located on the northern side of the Pilgangoora area and produces spodumene and tantalite concentrates, and the Ngungaju Plant is located to the south produces spodumene concentrate. It owns 70% of the Mt Francisco project, which is located 50 km south-west of the Pilgangoora Project and hosts the large occurrence of outcropping pegmatites located nearby to Port Hedland. It is also pursuing a proposed downstream joint venture (JV) for the development of an approximately 43,000 tons per annum (tpa) lithium carbonate equivalent (LCE) lithium chemical conversion facility in South Korea.</v>
      </c>
    </row>
    <row r="7" spans="2:17" ht="21.75" customHeight="1">
      <c r="B7" s="1222"/>
      <c r="C7" s="1223"/>
      <c r="D7" s="1291"/>
      <c r="E7" s="1291"/>
      <c r="F7" s="1291"/>
      <c r="G7" s="1291"/>
      <c r="H7" s="986" t="s">
        <v>18</v>
      </c>
      <c r="I7" s="747" t="s">
        <v>19</v>
      </c>
      <c r="J7" s="503" t="s">
        <v>16</v>
      </c>
      <c r="K7" s="1214" t="s">
        <v>20</v>
      </c>
      <c r="L7" s="1215"/>
      <c r="M7" s="1216"/>
    </row>
    <row r="8" spans="2:17" ht="26.65" customHeight="1">
      <c r="B8" s="1222"/>
      <c r="C8" s="1223"/>
      <c r="D8" s="1291"/>
      <c r="E8" s="1291"/>
      <c r="F8" s="1291"/>
      <c r="G8" s="1291"/>
      <c r="H8" s="986" t="s">
        <v>21</v>
      </c>
      <c r="I8" s="747" t="s">
        <v>22</v>
      </c>
      <c r="J8" s="503" t="s">
        <v>16</v>
      </c>
      <c r="K8" s="1214" t="s">
        <v>23</v>
      </c>
      <c r="L8" s="1215"/>
      <c r="M8" s="1216"/>
    </row>
    <row r="9" spans="2:17" ht="28.15" customHeight="1">
      <c r="B9" s="1222"/>
      <c r="C9" s="1223"/>
      <c r="D9" s="1291"/>
      <c r="E9" s="1291"/>
      <c r="F9" s="1291"/>
      <c r="G9" s="1291"/>
      <c r="H9" s="986" t="s">
        <v>24</v>
      </c>
      <c r="I9" s="747" t="s">
        <v>25</v>
      </c>
      <c r="J9" s="503" t="s">
        <v>16</v>
      </c>
      <c r="K9" s="1214" t="s">
        <v>26</v>
      </c>
      <c r="L9" s="1215"/>
      <c r="M9" s="1216"/>
    </row>
    <row r="10" spans="2:17" ht="30.4" customHeight="1">
      <c r="B10" s="1222"/>
      <c r="C10" s="1223"/>
      <c r="D10" s="1291"/>
      <c r="E10" s="1291"/>
      <c r="F10" s="1291"/>
      <c r="G10" s="1291"/>
      <c r="H10" s="986" t="s">
        <v>27</v>
      </c>
      <c r="I10" s="747" t="s">
        <v>11</v>
      </c>
      <c r="J10" s="503" t="s">
        <v>16</v>
      </c>
      <c r="K10" s="1214" t="s">
        <v>28</v>
      </c>
      <c r="L10" s="1215"/>
      <c r="M10" s="1216"/>
      <c r="O10" s="748" t="s">
        <v>29</v>
      </c>
    </row>
    <row r="11" spans="2:17" ht="26.65" customHeight="1">
      <c r="B11" s="1222"/>
      <c r="C11" s="1223"/>
      <c r="D11" s="1291"/>
      <c r="E11" s="1291"/>
      <c r="F11" s="1291"/>
      <c r="G11" s="1291"/>
      <c r="H11" s="1217" t="s">
        <v>30</v>
      </c>
      <c r="I11" s="1217"/>
      <c r="J11" s="1217"/>
      <c r="K11" s="1217"/>
      <c r="L11" s="1217"/>
      <c r="M11" s="1218"/>
      <c r="P11" s="296"/>
    </row>
    <row r="12" spans="2:17">
      <c r="B12" s="1222"/>
      <c r="C12" s="1223"/>
      <c r="D12" s="1291"/>
      <c r="E12" s="1291"/>
      <c r="F12" s="1291"/>
      <c r="G12" s="1291"/>
      <c r="H12" s="986" t="str">
        <f>H5</f>
        <v>Dale Henderson (M;?)</v>
      </c>
      <c r="I12" s="986" t="str">
        <f t="shared" ref="I12:J12" si="0">I5</f>
        <v>2 years</v>
      </c>
      <c r="J12" s="986" t="str">
        <f t="shared" si="0"/>
        <v>YES</v>
      </c>
      <c r="K12" s="1214" t="str">
        <f>K5</f>
        <v>Chief Executive Officer of Pilbara Minerals</v>
      </c>
      <c r="L12" s="1215"/>
      <c r="M12" s="1216"/>
      <c r="P12" s="296"/>
    </row>
    <row r="13" spans="2:17">
      <c r="B13" s="1222"/>
      <c r="C13" s="1223"/>
      <c r="D13" s="1291"/>
      <c r="E13" s="1291"/>
      <c r="F13" s="1291"/>
      <c r="G13" s="1291"/>
      <c r="H13" s="986" t="s">
        <v>31</v>
      </c>
      <c r="I13" s="747" t="s">
        <v>32</v>
      </c>
      <c r="J13" s="503" t="s">
        <v>12</v>
      </c>
      <c r="K13" s="1219" t="s">
        <v>33</v>
      </c>
      <c r="L13" s="1215"/>
      <c r="M13" s="1216"/>
    </row>
    <row r="14" spans="2:17">
      <c r="B14" s="1222"/>
      <c r="C14" s="1223"/>
      <c r="D14" s="1291"/>
      <c r="E14" s="1291"/>
      <c r="F14" s="1291"/>
      <c r="G14" s="1291"/>
      <c r="H14" s="986" t="s">
        <v>34</v>
      </c>
      <c r="I14" s="747" t="s">
        <v>32</v>
      </c>
      <c r="J14" s="503" t="s">
        <v>12</v>
      </c>
      <c r="K14" s="1219" t="s">
        <v>35</v>
      </c>
      <c r="L14" s="1215"/>
      <c r="M14" s="1216"/>
      <c r="Q14" s="245"/>
    </row>
    <row r="15" spans="2:17">
      <c r="B15" s="1222"/>
      <c r="C15" s="1223"/>
      <c r="D15" s="1291"/>
      <c r="E15" s="1291"/>
      <c r="F15" s="1291"/>
      <c r="G15" s="1291"/>
      <c r="H15" s="986" t="s">
        <v>36</v>
      </c>
      <c r="I15" s="747" t="s">
        <v>32</v>
      </c>
      <c r="J15" s="503" t="s">
        <v>12</v>
      </c>
      <c r="K15" s="1219" t="s">
        <v>37</v>
      </c>
      <c r="L15" s="1215"/>
      <c r="M15" s="1216"/>
    </row>
    <row r="16" spans="2:17">
      <c r="B16" s="1222"/>
      <c r="C16" s="1223"/>
      <c r="D16" s="1291"/>
      <c r="E16" s="1291"/>
      <c r="F16" s="1291"/>
      <c r="G16" s="1291"/>
      <c r="H16" s="986" t="s">
        <v>38</v>
      </c>
      <c r="I16" s="747" t="s">
        <v>32</v>
      </c>
      <c r="J16" s="503" t="s">
        <v>12</v>
      </c>
      <c r="K16" s="1219" t="s">
        <v>39</v>
      </c>
      <c r="L16" s="1215"/>
      <c r="M16" s="1216"/>
    </row>
    <row r="17" spans="2:14">
      <c r="B17" s="1224"/>
      <c r="C17" s="1225"/>
      <c r="D17" s="1291"/>
      <c r="E17" s="1291"/>
      <c r="F17" s="1291"/>
      <c r="G17" s="1291"/>
      <c r="H17" s="986" t="s">
        <v>40</v>
      </c>
      <c r="I17" s="747" t="s">
        <v>32</v>
      </c>
      <c r="J17" s="503" t="s">
        <v>12</v>
      </c>
      <c r="K17" s="1219" t="s">
        <v>41</v>
      </c>
      <c r="L17" s="1215"/>
      <c r="M17" s="1216"/>
    </row>
    <row r="18" spans="2:14">
      <c r="B18" s="1226" t="str" cm="1">
        <f t="array" aca="1" ref="B18" ca="1">_FV(E2,"Currency")&amp;" MILLIONS"</f>
        <v>AUD MILLIONS</v>
      </c>
      <c r="C18" s="1227"/>
      <c r="D18" s="1291"/>
      <c r="E18" s="1291"/>
      <c r="F18" s="1291"/>
      <c r="G18" s="1291"/>
      <c r="H18" s="986" t="s">
        <v>42</v>
      </c>
      <c r="I18" s="986" t="s">
        <v>43</v>
      </c>
      <c r="J18" s="503" t="s">
        <v>12</v>
      </c>
      <c r="K18" s="1219" t="s">
        <v>44</v>
      </c>
      <c r="L18" s="1215"/>
      <c r="M18" s="1216"/>
    </row>
    <row r="19" spans="2:14" ht="17.45">
      <c r="B19" s="1189" t="s">
        <v>45</v>
      </c>
      <c r="C19" s="1190"/>
      <c r="D19" s="1190"/>
      <c r="E19" s="1190"/>
      <c r="F19" s="1190"/>
      <c r="G19" s="1190"/>
      <c r="H19" s="1190"/>
      <c r="I19" s="1190"/>
      <c r="J19" s="1190"/>
      <c r="K19" s="1190"/>
      <c r="L19" s="1190"/>
      <c r="M19" s="1191"/>
    </row>
    <row r="20" spans="2:14" ht="15.6">
      <c r="B20" s="1210" t="s">
        <v>46</v>
      </c>
      <c r="C20" s="1211"/>
      <c r="D20" s="1212" t="s">
        <v>47</v>
      </c>
      <c r="E20" s="1213"/>
      <c r="F20" s="1292" t="s">
        <v>48</v>
      </c>
      <c r="G20" s="1293"/>
      <c r="H20" s="1294"/>
      <c r="I20" s="1212" t="s">
        <v>49</v>
      </c>
      <c r="J20" s="1328"/>
      <c r="K20" s="1213"/>
      <c r="L20" s="1212" t="s">
        <v>50</v>
      </c>
      <c r="M20" s="1341"/>
    </row>
    <row r="21" spans="2:14">
      <c r="B21" s="508" t="s">
        <v>51</v>
      </c>
      <c r="C21" s="761" cm="1">
        <f t="array" aca="1" ref="C21" ca="1">_FV(E2,"Price")</f>
        <v>3.13</v>
      </c>
      <c r="D21" s="12" t="s">
        <v>52</v>
      </c>
      <c r="E21" s="760">
        <f>_xlfn.XLOOKUP(D21,'Fin. Data'!A:A,'Fin. Data'!B:B,,0)</f>
        <v>5198.8</v>
      </c>
      <c r="F21" s="1283" t="s">
        <v>53</v>
      </c>
      <c r="G21" s="1284"/>
      <c r="H21" s="95" t="s">
        <v>54</v>
      </c>
      <c r="I21" t="s">
        <v>55</v>
      </c>
      <c r="J21" s="1339">
        <v>2023</v>
      </c>
      <c r="K21" s="1340"/>
      <c r="L21" s="11" t="s">
        <v>56</v>
      </c>
      <c r="M21" s="511">
        <f>'Inputs (AUD)'!B82</f>
        <v>0.90369999999999995</v>
      </c>
    </row>
    <row r="22" spans="2:14" ht="12.75" customHeight="1">
      <c r="B22" s="508" t="s">
        <v>57</v>
      </c>
      <c r="C22" s="650" cm="1">
        <f t="array" aca="1" ref="C22" ca="1">_FV(E2,"Shares outstanding",TRUE)</f>
        <v>3011485000</v>
      </c>
      <c r="D22" s="11" t="s">
        <v>58</v>
      </c>
      <c r="E22" s="760">
        <f>_xlfn.XLOOKUP(D22,'Fin. Data'!A:A,'Fin. Data'!B:B,,0)</f>
        <v>1808.8</v>
      </c>
      <c r="F22" s="1170" t="str">
        <f>Segments!C5</f>
        <v>Pilgan</v>
      </c>
      <c r="G22" s="1171"/>
      <c r="H22" s="824">
        <f>Segments!B5</f>
        <v>0.69622734844836931</v>
      </c>
      <c r="I22" s="11" t="s">
        <v>59</v>
      </c>
      <c r="J22" s="1287">
        <v>45107</v>
      </c>
      <c r="K22" s="1288"/>
      <c r="L22" s="11" t="s">
        <v>60</v>
      </c>
      <c r="M22" s="511">
        <f>'Inputs (AUD)'!B83</f>
        <v>9.6299999999999997E-2</v>
      </c>
    </row>
    <row r="23" spans="2:14" ht="12.75" customHeight="1">
      <c r="B23" s="508" t="s">
        <v>61</v>
      </c>
      <c r="C23" s="760">
        <f ca="1">C21*C22/1000000</f>
        <v>9425.9480500000009</v>
      </c>
      <c r="D23" s="11" t="s">
        <v>62</v>
      </c>
      <c r="E23" s="280">
        <f ca="1">_xlfn.XLOOKUP("Cash &amp; Eq.",'Fin. Data'!A:A,'Fin. Data'!B:B,,0)*1000000/C22</f>
        <v>1.1086224902332238</v>
      </c>
      <c r="F23" s="1170" t="str">
        <f>Segments!C6</f>
        <v>Ngungaju</v>
      </c>
      <c r="G23" s="1171"/>
      <c r="H23" s="824">
        <f>Segments!B6</f>
        <v>0.36616827519413836</v>
      </c>
      <c r="I23" s="1289" t="s">
        <v>63</v>
      </c>
      <c r="J23" s="1289"/>
      <c r="K23" s="760">
        <f>_xlfn.XLOOKUP(I23,'Fin. Data'!A:A,'Fin. Data'!B:B,,0)</f>
        <v>3098.7000000000003</v>
      </c>
      <c r="L23" s="8" t="s">
        <v>64</v>
      </c>
      <c r="M23" s="510" cm="1">
        <f t="array" aca="1" ref="M23" ca="1">_FV(E2,"Beta")</f>
        <v>2.0207000000000002</v>
      </c>
    </row>
    <row r="24" spans="2:14" ht="12.75" customHeight="1">
      <c r="B24" s="509" t="s">
        <v>65</v>
      </c>
      <c r="C24" s="760">
        <f>'Fin. Data'!B58</f>
        <v>472</v>
      </c>
      <c r="D24" s="11" t="s">
        <v>66</v>
      </c>
      <c r="E24" s="280">
        <f>_xlfn.XLOOKUP("EBITDA",'Fin. Data'!A:A,'Fin. Data'!B:B,,0)/_xlfn.XLOOKUP("Net Financial Cost",'Fin. Data'!A:A,'Fin. Data'!B:B,,0)</f>
        <v>69.013363028953222</v>
      </c>
      <c r="F24" s="1170" t="str">
        <f>Segments!C7</f>
        <v>(elimination of by-product)</v>
      </c>
      <c r="G24" s="1171"/>
      <c r="H24" s="824">
        <f>Segments!B7</f>
        <v>-5.0762557950639507E-4</v>
      </c>
      <c r="I24" s="1290" t="s">
        <v>67</v>
      </c>
      <c r="J24" s="1290"/>
      <c r="K24" s="760">
        <f>_xlfn.XLOOKUP(I24,'Fin. Data'!A:A,'Fin. Data'!B:B,,0)</f>
        <v>1.5</v>
      </c>
      <c r="L24" s="11" t="s">
        <v>68</v>
      </c>
      <c r="M24" s="510" t="str">
        <f>'Inputs (AUD)'!B84</f>
        <v>None</v>
      </c>
    </row>
    <row r="25" spans="2:14" ht="12.75" customHeight="1">
      <c r="B25" s="509" t="s">
        <v>69</v>
      </c>
      <c r="C25" s="760">
        <f>'Fin. Data'!B39</f>
        <v>3338.6</v>
      </c>
      <c r="D25" s="11" t="s">
        <v>70</v>
      </c>
      <c r="E25" s="280">
        <f>_xlfn.XLOOKUP("Total Debt",'Fin. Data'!A:A,'Fin. Data'!B:B,,0)/_xlfn.XLOOKUP("EBITDA",'Fin. Data'!A:A,'Fin. Data'!B:B,,0)</f>
        <v>0.15232194145932162</v>
      </c>
      <c r="F25" s="1170" t="str">
        <f>Segments!C8</f>
        <v>(provisional price adjustment)</v>
      </c>
      <c r="G25" s="1171"/>
      <c r="H25" s="825">
        <f>Segments!B8</f>
        <v>-6.1659652673867915E-2</v>
      </c>
      <c r="I25" s="1290" t="s">
        <v>71</v>
      </c>
      <c r="J25" s="1290"/>
      <c r="K25" s="760">
        <f>_xlfn.XLOOKUP(I25,'Fin. Data'!A:A,'Fin. Data'!B:B,,0)</f>
        <v>3097.2000000000003</v>
      </c>
      <c r="L25" s="11" t="s">
        <v>72</v>
      </c>
      <c r="M25" s="510">
        <f ca="1">IFERROR((C21*C22/(E21-E22))/1000000,"")</f>
        <v>2.7805156489675515</v>
      </c>
    </row>
    <row r="26" spans="2:14" ht="12.75" customHeight="1">
      <c r="B26" s="509" t="s">
        <v>73</v>
      </c>
      <c r="C26" s="760">
        <f ca="1">C23+C24-C25</f>
        <v>6559.3480500000005</v>
      </c>
      <c r="D26" s="11" t="s">
        <v>74</v>
      </c>
      <c r="E26" s="280">
        <f>_xlfn.XLOOKUP("Other Assets",'Fin. Data'!A:A,'Fin. Data'!B:B,,0)/_xlfn.XLOOKUP("Total Assets",'Fin. Data'!A:A,'Fin. Data'!B:B,,0)</f>
        <v>1.5215049626836988E-2</v>
      </c>
      <c r="F26" s="1170" t="str">
        <f>Segments!C9</f>
        <v>(hedge close-outs)</v>
      </c>
      <c r="G26" s="1171"/>
      <c r="H26" s="825">
        <f>Segments!B9</f>
        <v>-2.2834538913326931E-4</v>
      </c>
      <c r="I26" s="1289" t="s">
        <v>75</v>
      </c>
      <c r="J26" s="1289"/>
      <c r="K26" s="760">
        <f>_xlfn.XLOOKUP(I26,'Fin. Data'!A:A,'Fin. Data'!B:B,,0)</f>
        <v>2391.1</v>
      </c>
      <c r="L26" s="11" t="s">
        <v>76</v>
      </c>
      <c r="M26" s="511">
        <f>IFERROR(K32/E21,"")</f>
        <v>0.2030596804390756</v>
      </c>
    </row>
    <row r="27" spans="2:14" ht="12.75" customHeight="1">
      <c r="B27" s="509" t="s">
        <v>77</v>
      </c>
      <c r="C27" s="112" t="s">
        <v>78</v>
      </c>
      <c r="D27" s="11" t="s">
        <v>79</v>
      </c>
      <c r="E27" s="280">
        <f>_xlfn.XLOOKUP(D27,'Fin. Data'!A:A,'Fin. Data'!B:B,,0)</f>
        <v>9.0790182349773027E-2</v>
      </c>
      <c r="F27" s="1285" t="s">
        <v>80</v>
      </c>
      <c r="G27" s="1286"/>
      <c r="H27" s="96" t="s">
        <v>54</v>
      </c>
      <c r="I27" s="1289" t="s">
        <v>81</v>
      </c>
      <c r="J27" s="1289"/>
      <c r="K27" s="761">
        <f ca="1">1000000*K26/C22</f>
        <v>0.79399366093472157</v>
      </c>
      <c r="L27" s="11" t="s">
        <v>82</v>
      </c>
      <c r="M27" s="512">
        <f ca="1">IFERROR(C23/K31,"")</f>
        <v>9.7459397380665198</v>
      </c>
    </row>
    <row r="28" spans="2:14" ht="12.75" customHeight="1">
      <c r="B28" s="508" t="s">
        <v>83</v>
      </c>
      <c r="C28" s="113" t="s">
        <v>78</v>
      </c>
      <c r="D28" s="11" t="s">
        <v>84</v>
      </c>
      <c r="E28" s="360">
        <f>AVERAGE(_xlfn.XLOOKUP("EBITDA Margin",'Fin. Data'!A:A,'Fin. Data'!B:D,,0))</f>
        <v>0.39491807273979584</v>
      </c>
      <c r="F28" s="1170" t="str">
        <f>Segments!C15</f>
        <v>Spodumene</v>
      </c>
      <c r="G28" s="1171"/>
      <c r="H28" s="824">
        <f>Segments!B15</f>
        <v>1.0618879980630012</v>
      </c>
      <c r="I28" s="1289" t="s">
        <v>85</v>
      </c>
      <c r="J28" s="1289"/>
      <c r="K28" s="61">
        <f>K26/E21</f>
        <v>0.45993306147572516</v>
      </c>
      <c r="L28" s="11" t="s">
        <v>86</v>
      </c>
      <c r="M28" s="513">
        <f ca="1">IFERROR(C26/E21,"")</f>
        <v>1.2617042490574748</v>
      </c>
    </row>
    <row r="29" spans="2:14" ht="12.75" customHeight="1">
      <c r="B29" s="508" t="s">
        <v>87</v>
      </c>
      <c r="C29" s="15" t="s">
        <v>88</v>
      </c>
      <c r="D29" s="11" t="s">
        <v>89</v>
      </c>
      <c r="E29" s="360">
        <f>AVERAGE(_xlfn.XLOOKUP("Operating Margin",'Fin. Data'!A:A,'Fin. Data'!B:D,,0))</f>
        <v>0.40216289089516083</v>
      </c>
      <c r="F29" s="1170" t="str">
        <f>Segments!C16</f>
        <v>Tantalite</v>
      </c>
      <c r="G29" s="1171"/>
      <c r="H29" s="824">
        <f>Segments!B16</f>
        <v>5.0762557950639507E-4</v>
      </c>
      <c r="I29" s="1289" t="s">
        <v>90</v>
      </c>
      <c r="J29" s="1289"/>
      <c r="K29" s="61">
        <f>K26/(E21-(E22-C24))</f>
        <v>0.61913516312791295</v>
      </c>
      <c r="L29" s="11" t="s">
        <v>91</v>
      </c>
      <c r="M29" s="513">
        <f ca="1">IFERROR(C26/K30,"")</f>
        <v>5.1886734739617664</v>
      </c>
    </row>
    <row r="30" spans="2:14" ht="15.6">
      <c r="B30" s="1210" t="s">
        <v>92</v>
      </c>
      <c r="C30" s="1211"/>
      <c r="D30" s="11" t="s">
        <v>93</v>
      </c>
      <c r="E30" s="360">
        <f>AVERAGE(_xlfn.XLOOKUP("Net Income Margin",'Fin. Data'!A:A,'Fin. Data'!B:D,,0))</f>
        <v>0.25608103386385067</v>
      </c>
      <c r="F30" s="1170" t="str">
        <f>Segments!C17</f>
        <v>(elimination of by-product)</v>
      </c>
      <c r="G30" s="1171"/>
      <c r="H30" s="824">
        <f>Segments!B17</f>
        <v>-5.0762557950639507E-4</v>
      </c>
      <c r="I30" s="1289" t="s">
        <v>94</v>
      </c>
      <c r="J30" s="1289"/>
      <c r="K30" s="760">
        <f>AVERAGE(_xlfn.XLOOKUP("EBITDA",'Fin. Data'!A:A,'Fin. Data'!B:D,,0))</f>
        <v>1264.1666666666667</v>
      </c>
      <c r="L30" s="11" t="s">
        <v>95</v>
      </c>
      <c r="M30" s="512">
        <f ca="1">IFERROR(C23/K32,"")</f>
        <v>8.9289056362488193</v>
      </c>
    </row>
    <row r="31" spans="2:14" ht="12.75" customHeight="1">
      <c r="B31" s="514" t="s">
        <v>96</v>
      </c>
      <c r="C31" s="581"/>
      <c r="D31" s="515"/>
      <c r="E31" s="118"/>
      <c r="F31" s="1170" t="str">
        <f>Segments!C18</f>
        <v>(provisional price adjustment)</v>
      </c>
      <c r="G31" s="1171"/>
      <c r="H31" s="825">
        <f>Segments!B18</f>
        <v>-6.1659652673867915E-2</v>
      </c>
      <c r="I31" s="1289" t="s">
        <v>97</v>
      </c>
      <c r="J31" s="1289"/>
      <c r="K31" s="760">
        <f>AVERAGE(_xlfn.XLOOKUP("Net Income",'Fin. Data'!A:A,'Fin. Data'!B:D,,0))</f>
        <v>967.16666666666652</v>
      </c>
      <c r="L31" s="11" t="s">
        <v>98</v>
      </c>
      <c r="M31" s="516" t="s">
        <v>78</v>
      </c>
    </row>
    <row r="32" spans="2:14" ht="12.75" customHeight="1">
      <c r="B32" s="514" t="s">
        <v>99</v>
      </c>
      <c r="C32" s="582"/>
      <c r="D32" s="11" t="s">
        <v>100</v>
      </c>
      <c r="E32" s="360">
        <f>-_xlfn.XLOOKUP("Net Financial Cost",'Fin. Data'!A:A,'Fin. Data'!B:B,,0)/AVERAGE(_xlfn.XLOOKUP("Net Debt",'Fin. Data'!A:A,'Fin. Data'!B:D,,0))</f>
        <v>4.3464231551095474E-2</v>
      </c>
      <c r="F32" s="1170" t="str">
        <f>Segments!C19</f>
        <v>(hedge close-outs)</v>
      </c>
      <c r="G32" s="1171"/>
      <c r="H32" s="825">
        <f>Segments!B19</f>
        <v>-2.2834538913326931E-4</v>
      </c>
      <c r="I32" s="1289" t="s">
        <v>101</v>
      </c>
      <c r="J32" s="1289"/>
      <c r="K32" s="760">
        <f>AVERAGE(_xlfn.XLOOKUP("Net Cash Flow",'Fin. Data'!A:A,'Fin. Data'!B:D,,0))</f>
        <v>1055.6666666666663</v>
      </c>
      <c r="L32" s="11" t="s">
        <v>102</v>
      </c>
      <c r="M32" s="517">
        <f ca="1">-IFERROR(SUM(E53:E55)/(3*C23),"")</f>
        <v>3.0164958667826883E-3</v>
      </c>
    </row>
    <row r="33" spans="1:19" ht="12.4" customHeight="1">
      <c r="B33" s="514" t="s">
        <v>103</v>
      </c>
      <c r="C33" s="582"/>
      <c r="D33" s="115"/>
      <c r="E33" s="117"/>
      <c r="F33" s="1170"/>
      <c r="G33" s="1171"/>
      <c r="H33" s="16"/>
      <c r="I33" s="115"/>
      <c r="J33" s="116"/>
      <c r="K33" s="116"/>
      <c r="L33" s="11" t="s">
        <v>104</v>
      </c>
      <c r="M33" s="518">
        <f ca="1">-IFERROR(L54/C23,"")</f>
        <v>3.4988522984698602E-2</v>
      </c>
    </row>
    <row r="34" spans="1:19" ht="18" thickBot="1">
      <c r="B34" s="1189" t="s">
        <v>105</v>
      </c>
      <c r="C34" s="1190"/>
      <c r="D34" s="1190"/>
      <c r="E34" s="1190"/>
      <c r="F34" s="1190"/>
      <c r="G34" s="1190"/>
      <c r="H34" s="1190"/>
      <c r="I34" s="1190"/>
      <c r="J34" s="1190"/>
      <c r="K34" s="1190"/>
      <c r="L34" s="1190"/>
      <c r="M34" s="1191"/>
    </row>
    <row r="35" spans="1:19" ht="16.149999999999999" thickBot="1">
      <c r="B35" s="1187" t="s">
        <v>106</v>
      </c>
      <c r="C35" s="1188"/>
      <c r="D35" s="1188"/>
      <c r="E35" s="1188"/>
      <c r="F35" s="1188"/>
      <c r="G35" s="1188"/>
      <c r="H35" s="362" t="s">
        <v>107</v>
      </c>
      <c r="I35" s="1329" t="s">
        <v>108</v>
      </c>
      <c r="J35" s="1330"/>
      <c r="K35" s="1330"/>
      <c r="L35" s="1330"/>
      <c r="M35" s="1331"/>
      <c r="N35" s="10"/>
    </row>
    <row r="36" spans="1:19" ht="13.15" customHeight="1" thickBot="1">
      <c r="A36" s="10"/>
      <c r="B36" s="519" t="s">
        <v>109</v>
      </c>
      <c r="C36" s="1319" t="s">
        <v>110</v>
      </c>
      <c r="D36" s="1320"/>
      <c r="E36" s="1320"/>
      <c r="F36" s="1320"/>
      <c r="G36" s="1321"/>
      <c r="H36" s="1172" t="s">
        <v>111</v>
      </c>
      <c r="I36" s="1195" t="s">
        <v>112</v>
      </c>
      <c r="J36" s="1196"/>
      <c r="K36" s="1196"/>
      <c r="L36" s="1196"/>
      <c r="M36" s="1197"/>
    </row>
    <row r="37" spans="1:19" ht="55.9" customHeight="1" thickBot="1">
      <c r="A37" s="10"/>
      <c r="B37" s="651" t="s">
        <v>113</v>
      </c>
      <c r="C37" s="1175" t="s">
        <v>114</v>
      </c>
      <c r="D37" s="1176"/>
      <c r="E37" s="1176"/>
      <c r="F37" s="1176"/>
      <c r="G37" s="1177"/>
      <c r="H37" s="1173"/>
      <c r="I37" s="1198"/>
      <c r="J37" s="1199"/>
      <c r="K37" s="1199"/>
      <c r="L37" s="1199"/>
      <c r="M37" s="1200"/>
    </row>
    <row r="38" spans="1:19" ht="55.9" customHeight="1" thickBot="1">
      <c r="A38" s="10"/>
      <c r="B38" s="651" t="s">
        <v>115</v>
      </c>
      <c r="C38" s="1175" t="s">
        <v>116</v>
      </c>
      <c r="D38" s="1176"/>
      <c r="E38" s="1176"/>
      <c r="F38" s="1176"/>
      <c r="G38" s="1177"/>
      <c r="H38" s="1173"/>
      <c r="I38" s="1198"/>
      <c r="J38" s="1199"/>
      <c r="K38" s="1199"/>
      <c r="L38" s="1199"/>
      <c r="M38" s="1200"/>
    </row>
    <row r="39" spans="1:19" ht="55.9" customHeight="1" thickBot="1">
      <c r="B39" s="651" t="s">
        <v>117</v>
      </c>
      <c r="C39" s="1178" t="s">
        <v>118</v>
      </c>
      <c r="D39" s="1179"/>
      <c r="E39" s="1179"/>
      <c r="F39" s="1179"/>
      <c r="G39" s="1180"/>
      <c r="H39" s="1174"/>
      <c r="I39" s="1201"/>
      <c r="J39" s="1202"/>
      <c r="K39" s="1202"/>
      <c r="L39" s="1202"/>
      <c r="M39" s="1203"/>
    </row>
    <row r="40" spans="1:19" ht="16.149999999999999" thickBot="1">
      <c r="B40" s="1307" t="s">
        <v>119</v>
      </c>
      <c r="C40" s="1308"/>
      <c r="D40" s="1308"/>
      <c r="E40" s="1308"/>
      <c r="F40" s="1308"/>
      <c r="G40" s="1309"/>
      <c r="H40" s="363" t="s">
        <v>120</v>
      </c>
      <c r="I40" s="1204" t="s">
        <v>121</v>
      </c>
      <c r="J40" s="1204"/>
      <c r="K40" s="1204"/>
      <c r="L40" s="1204"/>
      <c r="M40" s="1205"/>
    </row>
    <row r="41" spans="1:19" ht="13.15" customHeight="1" thickBot="1">
      <c r="B41" s="520" t="s">
        <v>122</v>
      </c>
      <c r="C41" s="1310" t="s">
        <v>110</v>
      </c>
      <c r="D41" s="1311"/>
      <c r="E41" s="1311"/>
      <c r="F41" s="1311"/>
      <c r="G41" s="1312"/>
      <c r="H41" s="1184">
        <f ca="1">DCF!D76</f>
        <v>4.1785238612575117</v>
      </c>
      <c r="I41" s="1299" t="s">
        <v>123</v>
      </c>
      <c r="J41" s="1322">
        <f>DCF!F50</f>
        <v>9.0999999999999998E-2</v>
      </c>
      <c r="K41" s="1323"/>
      <c r="L41" s="1332" t="s">
        <v>124</v>
      </c>
      <c r="M41" s="1336">
        <f ca="1">SARD!AJ14</f>
        <v>0.85939456087144794</v>
      </c>
    </row>
    <row r="42" spans="1:19" ht="54.75" customHeight="1" thickBot="1">
      <c r="B42" s="651" t="s">
        <v>125</v>
      </c>
      <c r="C42" s="1181" t="s">
        <v>126</v>
      </c>
      <c r="D42" s="1182"/>
      <c r="E42" s="1182"/>
      <c r="F42" s="1182"/>
      <c r="G42" s="1183"/>
      <c r="H42" s="1185"/>
      <c r="I42" s="1300"/>
      <c r="J42" s="1324"/>
      <c r="K42" s="1325"/>
      <c r="L42" s="1333"/>
      <c r="M42" s="1337"/>
    </row>
    <row r="43" spans="1:19" ht="72.400000000000006" customHeight="1" thickBot="1">
      <c r="B43" s="652" t="s">
        <v>127</v>
      </c>
      <c r="C43" s="1304" t="s">
        <v>128</v>
      </c>
      <c r="D43" s="1305"/>
      <c r="E43" s="1305"/>
      <c r="F43" s="1305"/>
      <c r="G43" s="1306"/>
      <c r="H43" s="1185"/>
      <c r="I43" s="1299" t="s">
        <v>129</v>
      </c>
      <c r="J43" s="1326">
        <f ca="1">DCF!D75</f>
        <v>0.33499164896406119</v>
      </c>
      <c r="K43" s="1327"/>
      <c r="L43" s="1334" t="s">
        <v>130</v>
      </c>
      <c r="M43" s="1338">
        <f ca="1">SARD!AM14</f>
        <v>0.87720095504013873</v>
      </c>
    </row>
    <row r="44" spans="1:19" ht="39" customHeight="1" thickBot="1">
      <c r="B44" s="653" t="s">
        <v>131</v>
      </c>
      <c r="C44" s="1301" t="s">
        <v>132</v>
      </c>
      <c r="D44" s="1302"/>
      <c r="E44" s="1302"/>
      <c r="F44" s="1302"/>
      <c r="G44" s="1303"/>
      <c r="H44" s="1186"/>
      <c r="I44" s="1300"/>
      <c r="J44" s="1324"/>
      <c r="K44" s="1325"/>
      <c r="L44" s="1335"/>
      <c r="M44" s="1337"/>
    </row>
    <row r="45" spans="1:19" ht="17.45">
      <c r="B45" s="1189" t="s">
        <v>133</v>
      </c>
      <c r="C45" s="1190"/>
      <c r="D45" s="1190"/>
      <c r="E45" s="1190"/>
      <c r="F45" s="1190"/>
      <c r="G45" s="1190"/>
      <c r="H45" s="1190"/>
      <c r="I45" s="1190"/>
      <c r="J45" s="1190"/>
      <c r="K45" s="1190"/>
      <c r="L45" s="1190"/>
      <c r="M45" s="1191"/>
      <c r="N45" s="90"/>
      <c r="O45" s="90"/>
      <c r="P45" s="90"/>
      <c r="Q45" s="90"/>
      <c r="R45" s="90"/>
      <c r="S45" s="90"/>
    </row>
    <row r="46" spans="1:19">
      <c r="B46" s="521" t="s">
        <v>134</v>
      </c>
      <c r="C46" s="103" t="s">
        <v>135</v>
      </c>
      <c r="D46" s="103" t="s">
        <v>136</v>
      </c>
      <c r="E46" s="122" t="s">
        <v>137</v>
      </c>
      <c r="F46" s="103" t="s">
        <v>138</v>
      </c>
      <c r="G46" s="103" t="s">
        <v>79</v>
      </c>
      <c r="H46" s="121" t="s">
        <v>67</v>
      </c>
      <c r="I46" s="121" t="s">
        <v>139</v>
      </c>
      <c r="J46" s="1193" t="s">
        <v>140</v>
      </c>
      <c r="K46" s="1193"/>
      <c r="L46" s="1193"/>
      <c r="M46" s="1194"/>
      <c r="N46" s="90"/>
      <c r="O46" s="90"/>
      <c r="P46" s="90"/>
      <c r="Q46" s="90"/>
      <c r="R46" s="90"/>
      <c r="S46" s="90"/>
    </row>
    <row r="47" spans="1:19">
      <c r="B47" s="523">
        <f>B48-1</f>
        <v>2015</v>
      </c>
      <c r="C47" s="692" cm="1">
        <f t="array" ref="C47:C55">_xlfn.SORTBY(TRANSPOSE(_xlfn.XLOOKUP(C$46,'Fin. Data'!$A:$A,'Fin. Data'!$B:$J,,0)),$B$47:$B$55,-1)</f>
        <v>0.1</v>
      </c>
      <c r="D47" s="98" cm="1">
        <f t="array" ref="D47:D55">_xlfn.SORTBY(TRANSPOSE(_xlfn.XLOOKUP(D$46,'Fin. Data'!$A:$A,'Fin. Data'!$B:$J,,0)),$B$47:$B$55,-1)</f>
        <v>-52</v>
      </c>
      <c r="E47" s="120" cm="1">
        <f t="array" ref="E47:E55">_xlfn.SORTBY(TRANSPOSE(_xlfn.XLOOKUP(E$46,'Fin. Data'!$A:$A,'Fin. Data'!$B:$J,,0)),$B$47:$B$55,-1)</f>
        <v>5.2</v>
      </c>
      <c r="F47" s="119">
        <f>'Inputs (AUD)'!K77</f>
        <v>0.89999999999999991</v>
      </c>
      <c r="G47" s="98" t="str" cm="1">
        <f t="array" ref="G47:G55">_xlfn.SORTBY(TRANSPOSE(_xlfn.XLOOKUP(G$46,'Fin. Data'!$A:$A,'Fin. Data'!$B:$J,,0)),$B$47:$B$55,-1)</f>
        <v>-</v>
      </c>
      <c r="H47" s="692" cm="1">
        <f t="array" ref="H47:H55">_xlfn.SORTBY(TRANSPOSE(_xlfn.XLOOKUP(H$46,'Fin. Data'!$A:$A,'Fin. Data'!$B:$J,,0)),$B$47:$B$55,-1)</f>
        <v>0</v>
      </c>
      <c r="I47" s="120" cm="1">
        <f t="array" ref="I47:I55">_xlfn.SORTBY(TRANSPOSE(_xlfn.XLOOKUP(I$46,'Fin. Data'!$A:$A,'Fin. Data'!$B:$J,,0)),$B$47:$B$55,-1)</f>
        <v>-1.6</v>
      </c>
      <c r="J47" s="299"/>
      <c r="K47" s="115"/>
      <c r="L47" s="99">
        <f>J21</f>
        <v>2023</v>
      </c>
      <c r="M47" s="524">
        <f>L47-1</f>
        <v>2022</v>
      </c>
      <c r="N47" s="90"/>
      <c r="O47" s="90"/>
      <c r="P47" s="90"/>
      <c r="Q47" s="90"/>
      <c r="R47" s="90"/>
      <c r="S47" s="90"/>
    </row>
    <row r="48" spans="1:19">
      <c r="B48" s="523">
        <f>B49-1</f>
        <v>2016</v>
      </c>
      <c r="C48" s="692">
        <v>0</v>
      </c>
      <c r="D48" s="97" t="str">
        <v>-</v>
      </c>
      <c r="E48" s="120">
        <v>122.7</v>
      </c>
      <c r="F48" s="119">
        <f>'Inputs (AUD)'!J77</f>
        <v>2.0999999999999996</v>
      </c>
      <c r="G48" s="98" t="str">
        <v>-</v>
      </c>
      <c r="H48" s="692">
        <v>0.1</v>
      </c>
      <c r="I48" s="120">
        <v>-6.6</v>
      </c>
      <c r="J48" s="1206" t="s">
        <v>75</v>
      </c>
      <c r="K48" s="1207"/>
      <c r="L48" s="47">
        <f>_xlfn.XLOOKUP($J48,'Fin. Data'!$A:$A,'Fin. Data'!B:B,,0)</f>
        <v>2391.1</v>
      </c>
      <c r="M48" s="525">
        <f>_xlfn.XLOOKUP($J48,'Fin. Data'!$A:$A,'Fin. Data'!C:C,,0)</f>
        <v>561.79999999999995</v>
      </c>
      <c r="N48" s="18">
        <f t="shared" ref="N48:N56" si="1">(C48/C47)-1</f>
        <v>-1</v>
      </c>
      <c r="O48" s="18" t="e">
        <f t="shared" ref="O48:O56" si="2">(D48/D47)-1</f>
        <v>#VALUE!</v>
      </c>
      <c r="P48" s="500"/>
      <c r="Q48" s="17"/>
      <c r="R48" s="17"/>
      <c r="S48" s="17"/>
    </row>
    <row r="49" spans="2:19">
      <c r="B49" s="523">
        <f t="shared" ref="B49:B53" si="3">B50-1</f>
        <v>2017</v>
      </c>
      <c r="C49" s="692">
        <v>0</v>
      </c>
      <c r="D49" s="97" t="str">
        <v>-</v>
      </c>
      <c r="E49" s="120">
        <v>68.400000000000006</v>
      </c>
      <c r="F49" s="119">
        <f>'Inputs (AUD)'!I77</f>
        <v>96.8</v>
      </c>
      <c r="G49" s="98">
        <v>0.36968796433878154</v>
      </c>
      <c r="H49" s="692">
        <v>0.1</v>
      </c>
      <c r="I49" s="120">
        <v>-52.8</v>
      </c>
      <c r="J49" s="1206" t="s">
        <v>141</v>
      </c>
      <c r="K49" s="1207"/>
      <c r="L49" s="47">
        <f>_xlfn.XLOOKUP($J49,'Fin. Data'!$A:$A,'Fin. Data'!B:B,,0)</f>
        <v>3456.7</v>
      </c>
      <c r="M49" s="525">
        <f>_xlfn.XLOOKUP($J49,'Fin. Data'!$A:$A,'Fin. Data'!C:C,,0)</f>
        <v>647.6</v>
      </c>
      <c r="N49" s="18" t="e">
        <f t="shared" si="1"/>
        <v>#DIV/0!</v>
      </c>
      <c r="O49" s="18" t="e">
        <f t="shared" si="2"/>
        <v>#VALUE!</v>
      </c>
      <c r="P49" s="500"/>
      <c r="Q49" s="17">
        <f>F49/F48-1</f>
        <v>45.095238095238102</v>
      </c>
      <c r="R49" s="17">
        <f t="shared" ref="R49:S55" si="4">H49/H48-1</f>
        <v>0</v>
      </c>
      <c r="S49" s="17">
        <f t="shared" si="4"/>
        <v>7</v>
      </c>
    </row>
    <row r="50" spans="2:19">
      <c r="B50" s="523">
        <f t="shared" si="3"/>
        <v>2018</v>
      </c>
      <c r="C50" s="692">
        <v>10.199999999999999</v>
      </c>
      <c r="D50" s="97">
        <v>-1.6568627450980391</v>
      </c>
      <c r="E50" s="120">
        <v>156.4</v>
      </c>
      <c r="F50" s="119">
        <f>'Inputs (AUD)'!H77</f>
        <v>-12.899999999999999</v>
      </c>
      <c r="G50" s="98">
        <v>0.24661654135338343</v>
      </c>
      <c r="H50" s="692">
        <v>0.2</v>
      </c>
      <c r="I50" s="120">
        <v>-214.79999999999998</v>
      </c>
      <c r="J50" s="1206" t="s">
        <v>142</v>
      </c>
      <c r="K50" s="1207"/>
      <c r="L50" s="47">
        <f>_xlfn.XLOOKUP($J50,'Fin. Data'!$A:$A,'Fin. Data'!B:B,,0)</f>
        <v>-408</v>
      </c>
      <c r="M50" s="525">
        <f>_xlfn.XLOOKUP($J50,'Fin. Data'!$A:$A,'Fin. Data'!C:C,,0)</f>
        <v>-204.5</v>
      </c>
      <c r="N50" s="18" t="e">
        <f t="shared" si="1"/>
        <v>#DIV/0!</v>
      </c>
      <c r="O50" s="18" t="e">
        <f t="shared" si="2"/>
        <v>#VALUE!</v>
      </c>
      <c r="P50" s="500"/>
      <c r="Q50" s="17">
        <f t="shared" ref="Q50:Q55" si="5">F50/F49-1</f>
        <v>-1.1332644628099173</v>
      </c>
      <c r="R50" s="17">
        <f t="shared" si="4"/>
        <v>1</v>
      </c>
      <c r="S50" s="17">
        <f t="shared" si="4"/>
        <v>3.0681818181818183</v>
      </c>
    </row>
    <row r="51" spans="2:19">
      <c r="B51" s="523">
        <f t="shared" si="3"/>
        <v>2019</v>
      </c>
      <c r="C51" s="692">
        <v>42.8</v>
      </c>
      <c r="D51" s="97">
        <v>-0.43224299065420563</v>
      </c>
      <c r="E51" s="120">
        <v>60.7</v>
      </c>
      <c r="F51" s="119">
        <f>'Inputs (AUD)'!G77</f>
        <v>32.700000000000003</v>
      </c>
      <c r="G51" s="98">
        <v>0.23870856946591107</v>
      </c>
      <c r="H51" s="692">
        <v>0.2</v>
      </c>
      <c r="I51" s="120">
        <v>-178.3</v>
      </c>
      <c r="J51" s="1208" t="s">
        <v>143</v>
      </c>
      <c r="K51" s="1209"/>
      <c r="L51" s="47">
        <f>_xlfn.XLOOKUP($J51,'Fin. Data'!$A:$A,'Fin. Data'!B:B,,0)</f>
        <v>-385.5</v>
      </c>
      <c r="M51" s="525">
        <f>_xlfn.XLOOKUP($J51,'Fin. Data'!$A:$A,'Fin. Data'!C:C,,0)</f>
        <v>-128.30000000000001</v>
      </c>
      <c r="N51" s="18">
        <f t="shared" si="1"/>
        <v>3.1960784313725492</v>
      </c>
      <c r="O51" s="18">
        <f t="shared" si="2"/>
        <v>-0.73911961510811253</v>
      </c>
      <c r="P51" s="500"/>
      <c r="Q51" s="17">
        <f t="shared" si="5"/>
        <v>-3.5348837209302331</v>
      </c>
      <c r="R51" s="17">
        <f t="shared" si="4"/>
        <v>0</v>
      </c>
      <c r="S51" s="17">
        <f t="shared" si="4"/>
        <v>-0.16992551210428297</v>
      </c>
    </row>
    <row r="52" spans="2:19">
      <c r="B52" s="523">
        <f t="shared" si="3"/>
        <v>2020</v>
      </c>
      <c r="C52" s="692">
        <v>84.1</v>
      </c>
      <c r="D52" s="97">
        <v>-0.85136741973840668</v>
      </c>
      <c r="E52" s="120">
        <v>111.5</v>
      </c>
      <c r="F52" s="119">
        <f>'Inputs (AUD)'!F77</f>
        <v>-56.300000000000011</v>
      </c>
      <c r="G52" s="98">
        <v>0.29278008298755187</v>
      </c>
      <c r="H52" s="692">
        <v>0.6</v>
      </c>
      <c r="I52" s="120">
        <v>-22.6</v>
      </c>
      <c r="J52" s="1208" t="s">
        <v>144</v>
      </c>
      <c r="K52" s="1209"/>
      <c r="L52" s="47">
        <f>_xlfn.XLOOKUP($J52,'Fin. Data'!$A:$A,'Fin. Data'!B:B,,0)</f>
        <v>-22.4</v>
      </c>
      <c r="M52" s="525">
        <f>_xlfn.XLOOKUP($J52,'Fin. Data'!$A:$A,'Fin. Data'!C:C,,0)</f>
        <v>-76.2</v>
      </c>
      <c r="N52" s="18">
        <f t="shared" si="1"/>
        <v>0.9649532710280373</v>
      </c>
      <c r="O52" s="18">
        <f t="shared" si="2"/>
        <v>0.96965003052993537</v>
      </c>
      <c r="P52" s="500"/>
      <c r="Q52" s="17">
        <f t="shared" si="5"/>
        <v>-2.7217125382263001</v>
      </c>
      <c r="R52" s="17">
        <f t="shared" si="4"/>
        <v>1.9999999999999996</v>
      </c>
      <c r="S52" s="17">
        <f t="shared" si="4"/>
        <v>-0.87324733595064497</v>
      </c>
    </row>
    <row r="53" spans="2:19">
      <c r="B53" s="523">
        <f t="shared" si="3"/>
        <v>2021</v>
      </c>
      <c r="C53" s="692">
        <v>175.8</v>
      </c>
      <c r="D53" s="97">
        <v>-0.19908987485779292</v>
      </c>
      <c r="E53" s="120">
        <v>239.7</v>
      </c>
      <c r="F53" s="119">
        <f>'Inputs (AUD)'!E77</f>
        <v>22.599999999999994</v>
      </c>
      <c r="G53" s="98">
        <v>0.1757397072759819</v>
      </c>
      <c r="H53" s="692">
        <v>0.5</v>
      </c>
      <c r="I53" s="120">
        <v>-230.8</v>
      </c>
      <c r="J53" s="1206" t="s">
        <v>145</v>
      </c>
      <c r="K53" s="1207"/>
      <c r="L53" s="47">
        <f>_xlfn.XLOOKUP($J53,'Fin. Data'!$A:$A,'Fin. Data'!B:B,,0)</f>
        <v>-315.10000000000002</v>
      </c>
      <c r="M53" s="525">
        <f>_xlfn.XLOOKUP($J53,'Fin. Data'!$A:$A,'Fin. Data'!C:C,,0)</f>
        <v>45.5</v>
      </c>
      <c r="N53" s="18">
        <f t="shared" si="1"/>
        <v>1.0903686087990492</v>
      </c>
      <c r="O53" s="18">
        <f t="shared" si="2"/>
        <v>-0.76615281458742479</v>
      </c>
      <c r="P53" s="500"/>
      <c r="Q53" s="17">
        <f t="shared" si="5"/>
        <v>-1.4014209591474243</v>
      </c>
      <c r="R53" s="17">
        <f t="shared" si="4"/>
        <v>-0.16666666666666663</v>
      </c>
      <c r="S53" s="17">
        <f t="shared" si="4"/>
        <v>9.2123893805309738</v>
      </c>
    </row>
    <row r="54" spans="2:19">
      <c r="B54" s="523">
        <f>B55-1</f>
        <v>2022</v>
      </c>
      <c r="C54" s="692">
        <v>1189.5999999999999</v>
      </c>
      <c r="D54" s="97">
        <v>0.61524882313382656</v>
      </c>
      <c r="E54" s="120">
        <v>3.6</v>
      </c>
      <c r="F54" s="119">
        <f>'Inputs (AUD)'!D$77</f>
        <v>13.499999999999989</v>
      </c>
      <c r="G54" s="98">
        <v>0.14759401536595229</v>
      </c>
      <c r="H54" s="692">
        <v>0.7</v>
      </c>
      <c r="I54" s="120">
        <v>-204.5</v>
      </c>
      <c r="J54" s="1208" t="s">
        <v>146</v>
      </c>
      <c r="K54" s="1209"/>
      <c r="L54" s="47">
        <f>_xlfn.XLOOKUP($J54,'Fin. Data'!$A:$A,'Fin. Data'!B:B,,0)</f>
        <v>-329.8</v>
      </c>
      <c r="M54" s="525">
        <f>_xlfn.XLOOKUP($J54,'Fin. Data'!$A:$A,'Fin. Data'!C:C,,0)</f>
        <v>0</v>
      </c>
      <c r="N54" s="18">
        <f t="shared" si="1"/>
        <v>5.7667804323094414</v>
      </c>
      <c r="O54" s="18">
        <f t="shared" si="2"/>
        <v>-4.0903069459121921</v>
      </c>
      <c r="P54" s="500"/>
      <c r="Q54" s="17">
        <f t="shared" si="5"/>
        <v>-0.40265486725663746</v>
      </c>
      <c r="R54" s="17">
        <f t="shared" si="4"/>
        <v>0.39999999999999991</v>
      </c>
      <c r="S54" s="17">
        <f t="shared" si="4"/>
        <v>-0.11395147313691512</v>
      </c>
    </row>
    <row r="55" spans="2:19">
      <c r="B55" s="523">
        <f>J21</f>
        <v>2023</v>
      </c>
      <c r="C55" s="692">
        <v>4064</v>
      </c>
      <c r="D55" s="97">
        <v>0.79032972440944882</v>
      </c>
      <c r="E55" s="120">
        <v>-328.6</v>
      </c>
      <c r="F55" s="119">
        <f>'Inputs (AUD)'!C77</f>
        <v>492</v>
      </c>
      <c r="G55" s="98">
        <v>9.0790182349773027E-2</v>
      </c>
      <c r="H55" s="692">
        <v>1.5</v>
      </c>
      <c r="I55" s="120">
        <v>-407.9</v>
      </c>
      <c r="J55" s="1208" t="s">
        <v>147</v>
      </c>
      <c r="K55" s="1209"/>
      <c r="L55" s="47">
        <f>_xlfn.XLOOKUP($J55,'Fin. Data'!$A:$A,'Fin. Data'!B:B,,0)</f>
        <v>1.2</v>
      </c>
      <c r="M55" s="525">
        <f>_xlfn.XLOOKUP($J55,'Fin. Data'!$A:$A,'Fin. Data'!C:C,,0)</f>
        <v>3.6</v>
      </c>
      <c r="N55" s="18">
        <f t="shared" si="1"/>
        <v>2.4162743779421656</v>
      </c>
      <c r="O55" s="18">
        <f t="shared" si="2"/>
        <v>0.28456925831053459</v>
      </c>
      <c r="P55" s="500"/>
      <c r="Q55" s="17">
        <f t="shared" si="5"/>
        <v>35.444444444444471</v>
      </c>
      <c r="R55" s="17">
        <f t="shared" si="4"/>
        <v>1.1428571428571428</v>
      </c>
      <c r="S55" s="17">
        <f t="shared" si="4"/>
        <v>0.99462102689486542</v>
      </c>
    </row>
    <row r="56" spans="2:19">
      <c r="B56" s="526" t="s">
        <v>148</v>
      </c>
      <c r="C56" s="100">
        <f>IFERROR((C55/C47)^(1/8)-1,"")</f>
        <v>2.7680721713332388</v>
      </c>
      <c r="D56" s="100" t="str">
        <f>IFERROR((D55/D47)^(1/8)-1,"")</f>
        <v/>
      </c>
      <c r="E56" s="114"/>
      <c r="F56" s="100">
        <f>IFERROR((F55/F47)^(1/8)-1,"")</f>
        <v>1.1989498467610065</v>
      </c>
      <c r="G56" s="114"/>
      <c r="H56" s="100" t="str">
        <f>IFERROR((H55/H47)^(1/8)-1,"")</f>
        <v/>
      </c>
      <c r="I56" s="114"/>
      <c r="J56" s="1206" t="s">
        <v>149</v>
      </c>
      <c r="K56" s="1207"/>
      <c r="L56" s="47">
        <f>_xlfn.XLOOKUP($J56,'Fin. Data'!$A:$A,'Fin. Data'!B:B,,0)</f>
        <v>13.2</v>
      </c>
      <c r="M56" s="525">
        <f>_xlfn.XLOOKUP($J56,'Fin. Data'!$A:$A,'Fin. Data'!C:C,,0)</f>
        <v>3.4</v>
      </c>
      <c r="N56" s="18">
        <f t="shared" si="1"/>
        <v>-0.99931887987910106</v>
      </c>
      <c r="O56" s="18" t="e">
        <f t="shared" si="2"/>
        <v>#VALUE!</v>
      </c>
      <c r="P56" s="500"/>
      <c r="Q56" s="17"/>
      <c r="R56" s="17"/>
      <c r="S56" s="17"/>
    </row>
    <row r="57" spans="2:19">
      <c r="B57" s="526" t="s">
        <v>150</v>
      </c>
      <c r="C57" s="100" t="str">
        <f>IFERROR(AVERAGE(N48:N55),"")</f>
        <v/>
      </c>
      <c r="D57" s="100" t="str">
        <f>IFERROR(AVERAGE(O48:O55),"")</f>
        <v/>
      </c>
      <c r="E57" s="114"/>
      <c r="F57" s="100">
        <f>IFERROR(AVERAGE(Q48:Q55),"")</f>
        <v>10.192249427330296</v>
      </c>
      <c r="G57" s="114"/>
      <c r="H57" s="100">
        <f>IFERROR(AVERAGE(S48:S55),"")</f>
        <v>2.7311525577736875</v>
      </c>
      <c r="I57" s="114"/>
      <c r="J57" s="1313" t="s">
        <v>151</v>
      </c>
      <c r="K57" s="1314"/>
      <c r="L57" s="123">
        <f>L49-L50+L53-L54-L55</f>
        <v>3878.2000000000003</v>
      </c>
      <c r="M57" s="527">
        <f>M49-M50+M53-M54-M55</f>
        <v>894</v>
      </c>
      <c r="N57" s="90"/>
      <c r="O57" s="90"/>
      <c r="P57" s="90"/>
      <c r="Q57" s="90"/>
      <c r="R57" s="90"/>
      <c r="S57" s="90"/>
    </row>
    <row r="58" spans="2:19">
      <c r="B58" s="526" t="s">
        <v>152</v>
      </c>
      <c r="C58" s="100">
        <f>IFERROR(STDEV(C48:C55)/AVERAGE(C48:C55),"")</f>
        <v>2.0395588772319058</v>
      </c>
      <c r="D58" s="100">
        <f>IFERROR(STDEV(D47:D55)/AVERAGE(D47:D55),"")</f>
        <v>-2.5484747716508296</v>
      </c>
      <c r="E58" s="114"/>
      <c r="F58" s="100">
        <f>IFERROR(STDEV(F47:F55)/AVERAGE(F47:F55),"")</f>
        <v>2.51027775764654</v>
      </c>
      <c r="G58" s="114"/>
      <c r="H58" s="100">
        <f>IFERROR(STDEV(H47:H55)/AVERAGE(H47:H55),"")</f>
        <v>1.0824036368823298</v>
      </c>
      <c r="I58" s="114"/>
      <c r="J58" s="1315" t="s">
        <v>153</v>
      </c>
      <c r="K58" s="1316"/>
      <c r="L58" s="297">
        <f>IFERROR(SUM(I52:I55)/(C55-C51),"")</f>
        <v>-0.21530886302596239</v>
      </c>
      <c r="M58" s="528">
        <f>IFERROR((SUM(I52:I55)-SUM(H52:H55))/(C55-C51),"")</f>
        <v>-0.21612951357803639</v>
      </c>
      <c r="N58" s="90"/>
      <c r="O58" s="90"/>
      <c r="P58" s="90"/>
      <c r="Q58" s="90"/>
      <c r="R58" s="90"/>
      <c r="S58" s="90"/>
    </row>
    <row r="59" spans="2:19">
      <c r="B59" s="526" t="s">
        <v>154</v>
      </c>
      <c r="C59" s="100">
        <f>IFERROR(C55/C54-1,"")</f>
        <v>2.4162743779421656</v>
      </c>
      <c r="D59" s="100">
        <f>IFERROR(D55/D54-1,"")</f>
        <v>0.28456925831053459</v>
      </c>
      <c r="E59" s="114"/>
      <c r="F59" s="100">
        <f>IFERROR(1-(F55/F54),"")</f>
        <v>-35.444444444444471</v>
      </c>
      <c r="G59" s="114"/>
      <c r="H59" s="100">
        <f>IFERROR(1-(H55/H54),"")</f>
        <v>-1.1428571428571428</v>
      </c>
      <c r="I59" s="114"/>
      <c r="J59" s="1317" t="s">
        <v>155</v>
      </c>
      <c r="K59" s="1318"/>
      <c r="L59" s="298">
        <f>IFERROR(L58/E28,"")</f>
        <v>-0.54519880929284636</v>
      </c>
      <c r="M59" s="529">
        <f>IFERROR(M58/E28,"")</f>
        <v>-0.54727683663249338</v>
      </c>
      <c r="N59" s="90"/>
      <c r="O59" s="90"/>
      <c r="P59" s="90"/>
      <c r="Q59" s="90"/>
      <c r="R59" s="90"/>
      <c r="S59" s="90"/>
    </row>
    <row r="60" spans="2:19" ht="17.45">
      <c r="B60" s="1189" t="s">
        <v>156</v>
      </c>
      <c r="C60" s="1190"/>
      <c r="D60" s="1190"/>
      <c r="E60" s="1190"/>
      <c r="F60" s="1190"/>
      <c r="G60" s="1190"/>
      <c r="H60" s="1190"/>
      <c r="I60" s="1190"/>
      <c r="J60" s="1190"/>
      <c r="K60" s="1190"/>
      <c r="L60" s="1190"/>
      <c r="M60" s="1191"/>
      <c r="N60" s="90"/>
      <c r="O60" s="90"/>
      <c r="P60" s="90"/>
      <c r="Q60" s="90"/>
      <c r="R60" s="90"/>
      <c r="S60" s="90"/>
    </row>
    <row r="61" spans="2:19" ht="15.6">
      <c r="B61" s="1298" t="s">
        <v>157</v>
      </c>
      <c r="C61" s="1168"/>
      <c r="D61" s="1168"/>
      <c r="E61" s="1168"/>
      <c r="F61" s="1168"/>
      <c r="G61" s="1168"/>
      <c r="H61" s="1168"/>
      <c r="I61" s="1168"/>
      <c r="J61" s="1168" t="s">
        <v>158</v>
      </c>
      <c r="K61" s="1168"/>
      <c r="L61" s="1168"/>
      <c r="M61" s="1169"/>
      <c r="N61" s="90"/>
      <c r="O61" s="90"/>
      <c r="P61" s="90"/>
      <c r="Q61" s="90"/>
      <c r="R61" s="90"/>
      <c r="S61" s="90"/>
    </row>
    <row r="62" spans="2:19" ht="15.75" customHeight="1">
      <c r="B62" s="1192" t="s">
        <v>159</v>
      </c>
      <c r="C62" s="1193"/>
      <c r="D62" s="1193"/>
      <c r="E62" s="1193" t="s">
        <v>160</v>
      </c>
      <c r="F62" s="1193"/>
      <c r="G62" s="1193"/>
      <c r="H62" s="1193"/>
      <c r="I62" s="1193"/>
      <c r="J62" s="1193" t="s">
        <v>161</v>
      </c>
      <c r="K62" s="1193"/>
      <c r="L62" s="1193"/>
      <c r="M62" s="522" t="s">
        <v>162</v>
      </c>
      <c r="N62" s="90"/>
      <c r="O62" s="90"/>
      <c r="P62" s="90"/>
      <c r="Q62" s="90"/>
      <c r="R62" s="90"/>
      <c r="S62" s="90"/>
    </row>
    <row r="63" spans="2:19" ht="18.75" customHeight="1">
      <c r="B63" s="1159" t="s">
        <v>163</v>
      </c>
      <c r="C63" s="1160"/>
      <c r="D63" s="1161"/>
      <c r="E63" s="1159" t="s">
        <v>164</v>
      </c>
      <c r="F63" s="1160"/>
      <c r="G63" s="1160"/>
      <c r="H63" s="1160"/>
      <c r="I63" s="1161"/>
      <c r="J63" s="1274" t="s">
        <v>165</v>
      </c>
      <c r="K63" s="1275"/>
      <c r="L63" s="1276"/>
      <c r="M63" s="813">
        <v>0.25700000000000001</v>
      </c>
      <c r="N63" s="90"/>
      <c r="O63" s="90"/>
      <c r="P63" s="90"/>
      <c r="Q63" s="90"/>
      <c r="R63" s="90"/>
      <c r="S63" s="90"/>
    </row>
    <row r="64" spans="2:19" ht="18.75" customHeight="1">
      <c r="B64" s="1162"/>
      <c r="C64" s="1163"/>
      <c r="D64" s="1164"/>
      <c r="E64" s="1162"/>
      <c r="F64" s="1163"/>
      <c r="G64" s="1163"/>
      <c r="H64" s="1163"/>
      <c r="I64" s="1164"/>
      <c r="J64" s="1228" t="s">
        <v>166</v>
      </c>
      <c r="K64" s="1229"/>
      <c r="L64" s="1230"/>
      <c r="M64" s="813">
        <v>0.14030000000000001</v>
      </c>
      <c r="N64" s="90"/>
      <c r="O64" s="90"/>
    </row>
    <row r="65" spans="2:14" ht="18.75" customHeight="1">
      <c r="B65" s="1162"/>
      <c r="C65" s="1163"/>
      <c r="D65" s="1164"/>
      <c r="E65" s="1162"/>
      <c r="F65" s="1163"/>
      <c r="G65" s="1163"/>
      <c r="H65" s="1163"/>
      <c r="I65" s="1164"/>
      <c r="J65" s="1228" t="s">
        <v>167</v>
      </c>
      <c r="K65" s="1229"/>
      <c r="L65" s="1230"/>
      <c r="M65" s="813">
        <v>8.8700000000000001E-2</v>
      </c>
      <c r="N65" s="90"/>
    </row>
    <row r="66" spans="2:14" ht="18.75" customHeight="1">
      <c r="B66" s="1162"/>
      <c r="C66" s="1163"/>
      <c r="D66" s="1164"/>
      <c r="E66" s="1162"/>
      <c r="F66" s="1163"/>
      <c r="G66" s="1163"/>
      <c r="H66" s="1163"/>
      <c r="I66" s="1164"/>
      <c r="J66" s="1228" t="s">
        <v>168</v>
      </c>
      <c r="K66" s="1229"/>
      <c r="L66" s="1230"/>
      <c r="M66" s="813">
        <v>5.74E-2</v>
      </c>
    </row>
    <row r="67" spans="2:14" ht="18.75" customHeight="1">
      <c r="B67" s="1162"/>
      <c r="C67" s="1163"/>
      <c r="D67" s="1164"/>
      <c r="E67" s="1162"/>
      <c r="F67" s="1163"/>
      <c r="G67" s="1163"/>
      <c r="H67" s="1163"/>
      <c r="I67" s="1164"/>
      <c r="J67" s="1228" t="s">
        <v>169</v>
      </c>
      <c r="K67" s="1229"/>
      <c r="L67" s="1230"/>
      <c r="M67" s="813">
        <v>2.7300000000000001E-2</v>
      </c>
      <c r="N67" s="90"/>
    </row>
    <row r="68" spans="2:14" ht="18.75" customHeight="1">
      <c r="B68" s="1162"/>
      <c r="C68" s="1163"/>
      <c r="D68" s="1164"/>
      <c r="E68" s="1162"/>
      <c r="F68" s="1163"/>
      <c r="G68" s="1163"/>
      <c r="H68" s="1163"/>
      <c r="I68" s="1164"/>
      <c r="J68" s="1228" t="s">
        <v>170</v>
      </c>
      <c r="K68" s="1229"/>
      <c r="L68" s="1230"/>
      <c r="M68" s="813">
        <v>2.5899999999999999E-2</v>
      </c>
    </row>
    <row r="69" spans="2:14" ht="18.75" customHeight="1">
      <c r="B69" s="1162"/>
      <c r="C69" s="1163"/>
      <c r="D69" s="1164"/>
      <c r="E69" s="1162"/>
      <c r="F69" s="1163"/>
      <c r="G69" s="1163"/>
      <c r="H69" s="1163"/>
      <c r="I69" s="1164"/>
      <c r="J69" s="1277" t="s">
        <v>171</v>
      </c>
      <c r="K69" s="1278"/>
      <c r="L69" s="1279"/>
      <c r="M69" s="813">
        <v>2.5700000000000001E-2</v>
      </c>
      <c r="N69" s="90"/>
    </row>
    <row r="70" spans="2:14" ht="18.75" customHeight="1">
      <c r="B70" s="1162"/>
      <c r="C70" s="1163"/>
      <c r="D70" s="1164"/>
      <c r="E70" s="1162"/>
      <c r="F70" s="1163"/>
      <c r="G70" s="1163"/>
      <c r="H70" s="1163"/>
      <c r="I70" s="1164"/>
      <c r="J70" s="1228" t="s">
        <v>172</v>
      </c>
      <c r="K70" s="1229"/>
      <c r="L70" s="1230"/>
      <c r="M70" s="813">
        <v>1.52E-2</v>
      </c>
      <c r="N70" s="10"/>
    </row>
    <row r="71" spans="2:14" ht="18.75" customHeight="1">
      <c r="B71" s="1162"/>
      <c r="C71" s="1163"/>
      <c r="D71" s="1164"/>
      <c r="E71" s="1162"/>
      <c r="F71" s="1163"/>
      <c r="G71" s="1163"/>
      <c r="H71" s="1163"/>
      <c r="I71" s="1164"/>
      <c r="J71" s="1228" t="s">
        <v>173</v>
      </c>
      <c r="K71" s="1229"/>
      <c r="L71" s="1229"/>
      <c r="M71" s="813">
        <v>1.01E-2</v>
      </c>
      <c r="N71" s="90"/>
    </row>
    <row r="72" spans="2:14" ht="25.5" customHeight="1">
      <c r="B72" s="1165"/>
      <c r="C72" s="1166"/>
      <c r="D72" s="1167"/>
      <c r="E72" s="1165"/>
      <c r="F72" s="1166"/>
      <c r="G72" s="1166"/>
      <c r="H72" s="1166"/>
      <c r="I72" s="1167"/>
      <c r="J72" s="1228" t="s">
        <v>174</v>
      </c>
      <c r="K72" s="1229"/>
      <c r="L72" s="1230"/>
      <c r="M72" s="813">
        <v>5.7999999999999996E-3</v>
      </c>
    </row>
    <row r="73" spans="2:14" ht="15.75" customHeight="1">
      <c r="B73" s="1192" t="s">
        <v>175</v>
      </c>
      <c r="C73" s="1193"/>
      <c r="D73" s="1193"/>
      <c r="E73" s="1193" t="s">
        <v>176</v>
      </c>
      <c r="F73" s="1193"/>
      <c r="G73" s="1193"/>
      <c r="H73" s="1193"/>
      <c r="I73" s="1193"/>
      <c r="J73" s="1228" t="s">
        <v>177</v>
      </c>
      <c r="K73" s="1229"/>
      <c r="L73" s="1230"/>
      <c r="M73" s="813">
        <v>4.1999999999999997E-3</v>
      </c>
      <c r="N73" s="90"/>
    </row>
    <row r="74" spans="2:14" ht="19.5" customHeight="1">
      <c r="B74" s="1231" t="s">
        <v>178</v>
      </c>
      <c r="C74" s="1232"/>
      <c r="D74" s="1233"/>
      <c r="E74" s="1159" t="s">
        <v>179</v>
      </c>
      <c r="F74" s="1244"/>
      <c r="G74" s="1244"/>
      <c r="H74" s="1244"/>
      <c r="I74" s="1245"/>
      <c r="J74" s="1228" t="s">
        <v>180</v>
      </c>
      <c r="K74" s="1229"/>
      <c r="L74" s="1230"/>
      <c r="M74" s="813">
        <v>3.7000000000000002E-3</v>
      </c>
    </row>
    <row r="75" spans="2:14" ht="18" customHeight="1">
      <c r="B75" s="1234"/>
      <c r="C75" s="1235"/>
      <c r="D75" s="1236"/>
      <c r="E75" s="1246"/>
      <c r="F75" s="1247"/>
      <c r="G75" s="1247"/>
      <c r="H75" s="1247"/>
      <c r="I75" s="1248"/>
      <c r="J75" s="1228" t="s">
        <v>181</v>
      </c>
      <c r="K75" s="1229"/>
      <c r="L75" s="1230"/>
      <c r="M75" s="813">
        <v>3.5999999999999999E-3</v>
      </c>
      <c r="N75" s="90"/>
    </row>
    <row r="76" spans="2:14" ht="17.25" customHeight="1">
      <c r="B76" s="1234"/>
      <c r="C76" s="1235"/>
      <c r="D76" s="1236"/>
      <c r="E76" s="1246"/>
      <c r="F76" s="1247"/>
      <c r="G76" s="1247"/>
      <c r="H76" s="1247"/>
      <c r="I76" s="1248"/>
      <c r="J76" s="1228" t="s">
        <v>182</v>
      </c>
      <c r="K76" s="1229"/>
      <c r="L76" s="1230"/>
      <c r="M76" s="813">
        <v>3.0000000000000001E-3</v>
      </c>
    </row>
    <row r="77" spans="2:14" ht="18" customHeight="1">
      <c r="B77" s="1234"/>
      <c r="C77" s="1235"/>
      <c r="D77" s="1236"/>
      <c r="E77" s="1246"/>
      <c r="F77" s="1247"/>
      <c r="G77" s="1247"/>
      <c r="H77" s="1247"/>
      <c r="I77" s="1248"/>
      <c r="J77" s="1228" t="s">
        <v>183</v>
      </c>
      <c r="K77" s="1229"/>
      <c r="L77" s="1230"/>
      <c r="M77" s="812">
        <v>2.5999999999999999E-3</v>
      </c>
      <c r="N77" s="90"/>
    </row>
    <row r="78" spans="2:14" ht="18.75" customHeight="1">
      <c r="B78" s="1234"/>
      <c r="C78" s="1235"/>
      <c r="D78" s="1236"/>
      <c r="E78" s="1246"/>
      <c r="F78" s="1247"/>
      <c r="G78" s="1247"/>
      <c r="H78" s="1247"/>
      <c r="I78" s="1248"/>
      <c r="J78" s="1228" t="s">
        <v>184</v>
      </c>
      <c r="K78" s="1229"/>
      <c r="L78" s="1230"/>
      <c r="M78" s="813" t="s">
        <v>185</v>
      </c>
    </row>
    <row r="79" spans="2:14" ht="17.25" customHeight="1">
      <c r="B79" s="1234"/>
      <c r="C79" s="1235"/>
      <c r="D79" s="1236"/>
      <c r="E79" s="1246"/>
      <c r="F79" s="1247"/>
      <c r="G79" s="1247"/>
      <c r="H79" s="1247"/>
      <c r="I79" s="1248"/>
      <c r="J79" s="1228" t="s">
        <v>186</v>
      </c>
      <c r="K79" s="1229"/>
      <c r="L79" s="1230"/>
      <c r="M79" s="812">
        <v>2.2000000000000001E-3</v>
      </c>
      <c r="N79" s="90"/>
    </row>
    <row r="80" spans="2:14" ht="18.75" customHeight="1">
      <c r="B80" s="1234"/>
      <c r="C80" s="1235"/>
      <c r="D80" s="1236"/>
      <c r="E80" s="1246"/>
      <c r="F80" s="1247"/>
      <c r="G80" s="1247"/>
      <c r="H80" s="1247"/>
      <c r="I80" s="1248"/>
      <c r="J80" s="1228" t="s">
        <v>187</v>
      </c>
      <c r="K80" s="1229"/>
      <c r="L80" s="1230"/>
      <c r="M80" s="812">
        <v>1.6999999999999999E-3</v>
      </c>
    </row>
    <row r="81" spans="2:14" ht="17.25" customHeight="1">
      <c r="B81" s="1234"/>
      <c r="C81" s="1235"/>
      <c r="D81" s="1236"/>
      <c r="E81" s="1246"/>
      <c r="F81" s="1247"/>
      <c r="G81" s="1247"/>
      <c r="H81" s="1247"/>
      <c r="I81" s="1248"/>
      <c r="J81" s="1228" t="s">
        <v>188</v>
      </c>
      <c r="K81" s="1229"/>
      <c r="L81" s="1230"/>
      <c r="M81" s="812" t="s">
        <v>189</v>
      </c>
      <c r="N81" s="90"/>
    </row>
    <row r="82" spans="2:14" ht="17.25" customHeight="1">
      <c r="B82" s="1234"/>
      <c r="C82" s="1235"/>
      <c r="D82" s="1236"/>
      <c r="E82" s="1246"/>
      <c r="F82" s="1247"/>
      <c r="G82" s="1247"/>
      <c r="H82" s="1247"/>
      <c r="I82" s="1248"/>
      <c r="J82" s="1228" t="s">
        <v>190</v>
      </c>
      <c r="K82" s="1229"/>
      <c r="L82" s="1230"/>
      <c r="M82" s="812">
        <v>1.4E-3</v>
      </c>
    </row>
    <row r="83" spans="2:14" ht="17.25" customHeight="1">
      <c r="B83" s="1237"/>
      <c r="C83" s="1238"/>
      <c r="D83" s="1239"/>
      <c r="E83" s="1249"/>
      <c r="F83" s="1250"/>
      <c r="G83" s="1250"/>
      <c r="H83" s="1250"/>
      <c r="I83" s="1251"/>
      <c r="J83" s="1240" t="s">
        <v>191</v>
      </c>
      <c r="K83" s="1241"/>
      <c r="L83" s="1241"/>
      <c r="M83" s="814">
        <f>SUM(M63:M82)</f>
        <v>0.67580000000000018</v>
      </c>
    </row>
    <row r="84" spans="2:14" ht="15.6">
      <c r="B84" s="1261" t="s">
        <v>192</v>
      </c>
      <c r="C84" s="1262"/>
      <c r="D84" s="1262"/>
      <c r="E84" s="1262"/>
      <c r="F84" s="1262"/>
      <c r="G84" s="1168" t="s">
        <v>193</v>
      </c>
      <c r="H84" s="1168"/>
      <c r="I84" s="1168"/>
      <c r="J84" s="1168"/>
      <c r="K84" s="1168"/>
      <c r="L84" s="1168"/>
      <c r="M84" s="1169"/>
    </row>
    <row r="85" spans="2:14" s="10" customFormat="1">
      <c r="B85" s="1252" t="s">
        <v>194</v>
      </c>
      <c r="C85" s="1253"/>
      <c r="D85" s="1253"/>
      <c r="E85" s="1253"/>
      <c r="F85" s="1254"/>
      <c r="G85" s="1263"/>
      <c r="H85" s="1264"/>
      <c r="I85" s="1264"/>
      <c r="J85" s="1264"/>
      <c r="K85" s="1264"/>
      <c r="L85" s="1264"/>
      <c r="M85" s="1265"/>
    </row>
    <row r="86" spans="2:14">
      <c r="B86" s="1255"/>
      <c r="C86" s="1256"/>
      <c r="D86" s="1256"/>
      <c r="E86" s="1256"/>
      <c r="F86" s="1257"/>
      <c r="G86" s="1266"/>
      <c r="H86" s="1267"/>
      <c r="I86" s="1267"/>
      <c r="J86" s="1267"/>
      <c r="K86" s="1267"/>
      <c r="L86" s="1267"/>
      <c r="M86" s="1268"/>
    </row>
    <row r="87" spans="2:14">
      <c r="B87" s="1255"/>
      <c r="C87" s="1256"/>
      <c r="D87" s="1256"/>
      <c r="E87" s="1256"/>
      <c r="F87" s="1257"/>
      <c r="G87" s="1266"/>
      <c r="H87" s="1267"/>
      <c r="I87" s="1267"/>
      <c r="J87" s="1267"/>
      <c r="K87" s="1267"/>
      <c r="L87" s="1267"/>
      <c r="M87" s="1268"/>
    </row>
    <row r="88" spans="2:14">
      <c r="B88" s="1255"/>
      <c r="C88" s="1256"/>
      <c r="D88" s="1256"/>
      <c r="E88" s="1256"/>
      <c r="F88" s="1257"/>
      <c r="G88" s="1266"/>
      <c r="H88" s="1267"/>
      <c r="I88" s="1267"/>
      <c r="J88" s="1267"/>
      <c r="K88" s="1267"/>
      <c r="L88" s="1267"/>
      <c r="M88" s="1268"/>
    </row>
    <row r="89" spans="2:14">
      <c r="B89" s="1255"/>
      <c r="C89" s="1256"/>
      <c r="D89" s="1256"/>
      <c r="E89" s="1256"/>
      <c r="F89" s="1257"/>
      <c r="G89" s="1266"/>
      <c r="H89" s="1267"/>
      <c r="I89" s="1267"/>
      <c r="J89" s="1267"/>
      <c r="K89" s="1267"/>
      <c r="L89" s="1267"/>
      <c r="M89" s="1268"/>
    </row>
    <row r="90" spans="2:14">
      <c r="B90" s="1255"/>
      <c r="C90" s="1256"/>
      <c r="D90" s="1256"/>
      <c r="E90" s="1256"/>
      <c r="F90" s="1257"/>
      <c r="G90" s="1266"/>
      <c r="H90" s="1267"/>
      <c r="I90" s="1267"/>
      <c r="J90" s="1267"/>
      <c r="K90" s="1267"/>
      <c r="L90" s="1267"/>
      <c r="M90" s="1268"/>
    </row>
    <row r="91" spans="2:14">
      <c r="B91" s="1255"/>
      <c r="C91" s="1256"/>
      <c r="D91" s="1256"/>
      <c r="E91" s="1256"/>
      <c r="F91" s="1257"/>
      <c r="G91" s="1266"/>
      <c r="H91" s="1267"/>
      <c r="I91" s="1267"/>
      <c r="J91" s="1267"/>
      <c r="K91" s="1267"/>
      <c r="L91" s="1267"/>
      <c r="M91" s="1268"/>
    </row>
    <row r="92" spans="2:14">
      <c r="B92" s="1255"/>
      <c r="C92" s="1256"/>
      <c r="D92" s="1256"/>
      <c r="E92" s="1256"/>
      <c r="F92" s="1257"/>
      <c r="G92" s="1266"/>
      <c r="H92" s="1267"/>
      <c r="I92" s="1267"/>
      <c r="J92" s="1267"/>
      <c r="K92" s="1267"/>
      <c r="L92" s="1267"/>
      <c r="M92" s="1268"/>
    </row>
    <row r="93" spans="2:14">
      <c r="B93" s="1255"/>
      <c r="C93" s="1256"/>
      <c r="D93" s="1256"/>
      <c r="E93" s="1256"/>
      <c r="F93" s="1257"/>
      <c r="G93" s="1266"/>
      <c r="H93" s="1267"/>
      <c r="I93" s="1267"/>
      <c r="J93" s="1267"/>
      <c r="K93" s="1267"/>
      <c r="L93" s="1267"/>
      <c r="M93" s="1268"/>
    </row>
    <row r="94" spans="2:14">
      <c r="B94" s="1255"/>
      <c r="C94" s="1256"/>
      <c r="D94" s="1256"/>
      <c r="E94" s="1256"/>
      <c r="F94" s="1257"/>
      <c r="G94" s="1266"/>
      <c r="H94" s="1267"/>
      <c r="I94" s="1267"/>
      <c r="J94" s="1267"/>
      <c r="K94" s="1267"/>
      <c r="L94" s="1267"/>
      <c r="M94" s="1268"/>
    </row>
    <row r="95" spans="2:14">
      <c r="B95" s="1255"/>
      <c r="C95" s="1256"/>
      <c r="D95" s="1256"/>
      <c r="E95" s="1256"/>
      <c r="F95" s="1257"/>
      <c r="G95" s="1266"/>
      <c r="H95" s="1267"/>
      <c r="I95" s="1267"/>
      <c r="J95" s="1267"/>
      <c r="K95" s="1267"/>
      <c r="L95" s="1267"/>
      <c r="M95" s="1268"/>
    </row>
    <row r="96" spans="2:14">
      <c r="B96" s="1255"/>
      <c r="C96" s="1256"/>
      <c r="D96" s="1256"/>
      <c r="E96" s="1256"/>
      <c r="F96" s="1257"/>
      <c r="G96" s="1266"/>
      <c r="H96" s="1267"/>
      <c r="I96" s="1267"/>
      <c r="J96" s="1267"/>
      <c r="K96" s="1267"/>
      <c r="L96" s="1267"/>
      <c r="M96" s="1268"/>
    </row>
    <row r="97" spans="2:13">
      <c r="B97" s="1255"/>
      <c r="C97" s="1256"/>
      <c r="D97" s="1256"/>
      <c r="E97" s="1256"/>
      <c r="F97" s="1257"/>
      <c r="G97" s="1266"/>
      <c r="H97" s="1267"/>
      <c r="I97" s="1267"/>
      <c r="J97" s="1267"/>
      <c r="K97" s="1267"/>
      <c r="L97" s="1267"/>
      <c r="M97" s="1268"/>
    </row>
    <row r="98" spans="2:13">
      <c r="B98" s="1255"/>
      <c r="C98" s="1256"/>
      <c r="D98" s="1256"/>
      <c r="E98" s="1256"/>
      <c r="F98" s="1257"/>
      <c r="G98" s="1266"/>
      <c r="H98" s="1267"/>
      <c r="I98" s="1267"/>
      <c r="J98" s="1267"/>
      <c r="K98" s="1267"/>
      <c r="L98" s="1267"/>
      <c r="M98" s="1268"/>
    </row>
    <row r="99" spans="2:13">
      <c r="B99" s="1255"/>
      <c r="C99" s="1256"/>
      <c r="D99" s="1256"/>
      <c r="E99" s="1256"/>
      <c r="F99" s="1257"/>
      <c r="G99" s="1266"/>
      <c r="H99" s="1267"/>
      <c r="I99" s="1267"/>
      <c r="J99" s="1267"/>
      <c r="K99" s="1267"/>
      <c r="L99" s="1267"/>
      <c r="M99" s="1268"/>
    </row>
    <row r="100" spans="2:13">
      <c r="B100" s="1255"/>
      <c r="C100" s="1256"/>
      <c r="D100" s="1256"/>
      <c r="E100" s="1256"/>
      <c r="F100" s="1257"/>
      <c r="G100" s="1266"/>
      <c r="H100" s="1267"/>
      <c r="I100" s="1267"/>
      <c r="J100" s="1267"/>
      <c r="K100" s="1267"/>
      <c r="L100" s="1267"/>
      <c r="M100" s="1268"/>
    </row>
    <row r="101" spans="2:13">
      <c r="B101" s="1255"/>
      <c r="C101" s="1256"/>
      <c r="D101" s="1256"/>
      <c r="E101" s="1256"/>
      <c r="F101" s="1257"/>
      <c r="G101" s="1266"/>
      <c r="H101" s="1267"/>
      <c r="I101" s="1267"/>
      <c r="J101" s="1267"/>
      <c r="K101" s="1267"/>
      <c r="L101" s="1267"/>
      <c r="M101" s="1268"/>
    </row>
    <row r="102" spans="2:13">
      <c r="B102" s="1255"/>
      <c r="C102" s="1256"/>
      <c r="D102" s="1256"/>
      <c r="E102" s="1256"/>
      <c r="F102" s="1257"/>
      <c r="G102" s="1266"/>
      <c r="H102" s="1267"/>
      <c r="I102" s="1267"/>
      <c r="J102" s="1267"/>
      <c r="K102" s="1267"/>
      <c r="L102" s="1267"/>
      <c r="M102" s="1268"/>
    </row>
    <row r="103" spans="2:13">
      <c r="B103" s="1255"/>
      <c r="C103" s="1256"/>
      <c r="D103" s="1256"/>
      <c r="E103" s="1256"/>
      <c r="F103" s="1257"/>
      <c r="G103" s="1266"/>
      <c r="H103" s="1267"/>
      <c r="I103" s="1267"/>
      <c r="J103" s="1267"/>
      <c r="K103" s="1267"/>
      <c r="L103" s="1267"/>
      <c r="M103" s="1268"/>
    </row>
    <row r="104" spans="2:13">
      <c r="B104" s="1255"/>
      <c r="C104" s="1256"/>
      <c r="D104" s="1256"/>
      <c r="E104" s="1256"/>
      <c r="F104" s="1257"/>
      <c r="G104" s="1266"/>
      <c r="H104" s="1267"/>
      <c r="I104" s="1267"/>
      <c r="J104" s="1267"/>
      <c r="K104" s="1267"/>
      <c r="L104" s="1267"/>
      <c r="M104" s="1268"/>
    </row>
    <row r="105" spans="2:13">
      <c r="B105" s="1255"/>
      <c r="C105" s="1256"/>
      <c r="D105" s="1256"/>
      <c r="E105" s="1256"/>
      <c r="F105" s="1257"/>
      <c r="G105" s="1266"/>
      <c r="H105" s="1267"/>
      <c r="I105" s="1267"/>
      <c r="J105" s="1267"/>
      <c r="K105" s="1267"/>
      <c r="L105" s="1267"/>
      <c r="M105" s="1268"/>
    </row>
    <row r="106" spans="2:13">
      <c r="B106" s="1255"/>
      <c r="C106" s="1256"/>
      <c r="D106" s="1256"/>
      <c r="E106" s="1256"/>
      <c r="F106" s="1257"/>
      <c r="G106" s="1266"/>
      <c r="H106" s="1267"/>
      <c r="I106" s="1267"/>
      <c r="J106" s="1267"/>
      <c r="K106" s="1267"/>
      <c r="L106" s="1267"/>
      <c r="M106" s="1268"/>
    </row>
    <row r="107" spans="2:13">
      <c r="B107" s="1255"/>
      <c r="C107" s="1256"/>
      <c r="D107" s="1256"/>
      <c r="E107" s="1256"/>
      <c r="F107" s="1257"/>
      <c r="G107" s="1266"/>
      <c r="H107" s="1267"/>
      <c r="I107" s="1267"/>
      <c r="J107" s="1267"/>
      <c r="K107" s="1267"/>
      <c r="L107" s="1267"/>
      <c r="M107" s="1268"/>
    </row>
    <row r="108" spans="2:13" ht="13.9" thickBot="1">
      <c r="B108" s="1255"/>
      <c r="C108" s="1256"/>
      <c r="D108" s="1256"/>
      <c r="E108" s="1256"/>
      <c r="F108" s="1257"/>
      <c r="G108" s="1269"/>
      <c r="H108" s="1270"/>
      <c r="I108" s="1267"/>
      <c r="J108" s="1267"/>
      <c r="K108" s="1267"/>
      <c r="L108" s="1270"/>
      <c r="M108" s="1271"/>
    </row>
    <row r="109" spans="2:13" ht="32.65" customHeight="1" thickBot="1">
      <c r="B109" s="1258"/>
      <c r="C109" s="1259"/>
      <c r="D109" s="1259"/>
      <c r="E109" s="1259"/>
      <c r="F109" s="1260"/>
      <c r="G109" s="1242" t="e" vm="1">
        <f>'Inputs (AUD)'!H3</f>
        <v>#VALUE!</v>
      </c>
      <c r="H109" s="1243"/>
      <c r="I109" s="809" t="e" vm="2">
        <f>Peers!C2</f>
        <v>#VALUE!</v>
      </c>
      <c r="J109" s="1272" t="e" vm="3">
        <f>Peers!C3</f>
        <v>#VALUE!</v>
      </c>
      <c r="K109" s="1273"/>
      <c r="L109" s="810" t="e" vm="4">
        <f>Peers!C4</f>
        <v>#VALUE!</v>
      </c>
      <c r="M109" s="811" t="e" vm="5">
        <f>Peers!C5</f>
        <v>#VALUE!</v>
      </c>
    </row>
    <row r="112" spans="2:13">
      <c r="B112" t="s">
        <v>195</v>
      </c>
    </row>
  </sheetData>
  <mergeCells count="130">
    <mergeCell ref="C36:G36"/>
    <mergeCell ref="C37:G37"/>
    <mergeCell ref="I43:I44"/>
    <mergeCell ref="J56:K56"/>
    <mergeCell ref="J41:K42"/>
    <mergeCell ref="J43:K44"/>
    <mergeCell ref="K13:M13"/>
    <mergeCell ref="K14:M14"/>
    <mergeCell ref="K15:M15"/>
    <mergeCell ref="K16:M16"/>
    <mergeCell ref="K18:M18"/>
    <mergeCell ref="I20:K20"/>
    <mergeCell ref="I30:J30"/>
    <mergeCell ref="I31:J31"/>
    <mergeCell ref="I32:J32"/>
    <mergeCell ref="I35:M35"/>
    <mergeCell ref="L41:L42"/>
    <mergeCell ref="L43:L44"/>
    <mergeCell ref="M41:M42"/>
    <mergeCell ref="M43:M44"/>
    <mergeCell ref="J21:K21"/>
    <mergeCell ref="J54:K54"/>
    <mergeCell ref="L20:M20"/>
    <mergeCell ref="B20:C20"/>
    <mergeCell ref="B61:I61"/>
    <mergeCell ref="B60:M60"/>
    <mergeCell ref="B45:M45"/>
    <mergeCell ref="I41:I42"/>
    <mergeCell ref="C44:G44"/>
    <mergeCell ref="C43:G43"/>
    <mergeCell ref="B40:G40"/>
    <mergeCell ref="C41:G41"/>
    <mergeCell ref="J57:K57"/>
    <mergeCell ref="J58:K58"/>
    <mergeCell ref="J59:K59"/>
    <mergeCell ref="J55:K55"/>
    <mergeCell ref="E2:K2"/>
    <mergeCell ref="F21:G21"/>
    <mergeCell ref="F29:G29"/>
    <mergeCell ref="F27:G27"/>
    <mergeCell ref="J22:K22"/>
    <mergeCell ref="I23:J23"/>
    <mergeCell ref="I24:J24"/>
    <mergeCell ref="I25:J25"/>
    <mergeCell ref="I26:J26"/>
    <mergeCell ref="I27:J27"/>
    <mergeCell ref="I28:J28"/>
    <mergeCell ref="I29:J29"/>
    <mergeCell ref="F28:G28"/>
    <mergeCell ref="D4:G18"/>
    <mergeCell ref="D3:G3"/>
    <mergeCell ref="H3:M3"/>
    <mergeCell ref="F20:H20"/>
    <mergeCell ref="F23:G23"/>
    <mergeCell ref="F22:G22"/>
    <mergeCell ref="K9:M9"/>
    <mergeCell ref="K4:M4"/>
    <mergeCell ref="K6:M6"/>
    <mergeCell ref="K8:M8"/>
    <mergeCell ref="K5:M5"/>
    <mergeCell ref="G109:H109"/>
    <mergeCell ref="G84:M84"/>
    <mergeCell ref="E74:I83"/>
    <mergeCell ref="E63:I72"/>
    <mergeCell ref="J62:L62"/>
    <mergeCell ref="E73:I73"/>
    <mergeCell ref="B85:F109"/>
    <mergeCell ref="B84:F84"/>
    <mergeCell ref="G85:M108"/>
    <mergeCell ref="J76:L76"/>
    <mergeCell ref="J109:K109"/>
    <mergeCell ref="J63:L63"/>
    <mergeCell ref="J64:L64"/>
    <mergeCell ref="J65:L65"/>
    <mergeCell ref="J66:L66"/>
    <mergeCell ref="J67:L67"/>
    <mergeCell ref="J68:L68"/>
    <mergeCell ref="J69:L69"/>
    <mergeCell ref="J70:L70"/>
    <mergeCell ref="J71:L71"/>
    <mergeCell ref="J82:L82"/>
    <mergeCell ref="J73:L73"/>
    <mergeCell ref="J74:L74"/>
    <mergeCell ref="J72:L72"/>
    <mergeCell ref="J77:L77"/>
    <mergeCell ref="J75:L75"/>
    <mergeCell ref="B74:D83"/>
    <mergeCell ref="J78:L78"/>
    <mergeCell ref="J79:L79"/>
    <mergeCell ref="J80:L80"/>
    <mergeCell ref="J83:L83"/>
    <mergeCell ref="J81:L81"/>
    <mergeCell ref="B73:D73"/>
    <mergeCell ref="B30:C30"/>
    <mergeCell ref="D20:E20"/>
    <mergeCell ref="B19:M19"/>
    <mergeCell ref="F24:G24"/>
    <mergeCell ref="F25:G25"/>
    <mergeCell ref="F26:G26"/>
    <mergeCell ref="K7:M7"/>
    <mergeCell ref="H11:M11"/>
    <mergeCell ref="K10:M10"/>
    <mergeCell ref="K12:M12"/>
    <mergeCell ref="K17:M17"/>
    <mergeCell ref="B3:C17"/>
    <mergeCell ref="B18:C18"/>
    <mergeCell ref="B63:D72"/>
    <mergeCell ref="J61:M61"/>
    <mergeCell ref="F32:G32"/>
    <mergeCell ref="F30:G30"/>
    <mergeCell ref="F31:G31"/>
    <mergeCell ref="H36:H39"/>
    <mergeCell ref="C38:G38"/>
    <mergeCell ref="C39:G39"/>
    <mergeCell ref="C42:G42"/>
    <mergeCell ref="H41:H44"/>
    <mergeCell ref="B35:G35"/>
    <mergeCell ref="F33:G33"/>
    <mergeCell ref="B34:M34"/>
    <mergeCell ref="B62:D62"/>
    <mergeCell ref="E62:I62"/>
    <mergeCell ref="J46:M46"/>
    <mergeCell ref="I36:M39"/>
    <mergeCell ref="I40:M40"/>
    <mergeCell ref="J48:K48"/>
    <mergeCell ref="J49:K49"/>
    <mergeCell ref="J50:K50"/>
    <mergeCell ref="J51:K51"/>
    <mergeCell ref="J52:K52"/>
    <mergeCell ref="J53:K53"/>
  </mergeCells>
  <phoneticPr fontId="0" type="noConversion"/>
  <conditionalFormatting sqref="C47:C55 D47:E47">
    <cfRule type="dataBar" priority="13">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7:D55">
    <cfRule type="dataBar" priority="12">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8:D55">
    <cfRule type="dataBar" priority="19">
      <dataBar>
        <cfvo type="min"/>
        <cfvo type="max"/>
        <color rgb="FF638EC6"/>
      </dataBar>
      <extLst>
        <ext xmlns:x14="http://schemas.microsoft.com/office/spreadsheetml/2009/9/main" uri="{B025F937-C7B1-47D3-B67F-A62EFF666E3E}">
          <x14:id>{8F05AC94-FB75-41DC-A030-BD50695363B2}</x14:id>
        </ext>
      </extLst>
    </cfRule>
    <cfRule type="dataBar" priority="21">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7:E55">
    <cfRule type="dataBar" priority="11">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8:E55">
    <cfRule type="dataBar" priority="14">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6:E59 G56:G59 I56:I59">
    <cfRule type="dataBar" priority="16">
      <dataBar>
        <cfvo type="min"/>
        <cfvo type="max"/>
        <color rgb="FF638EC6"/>
      </dataBar>
      <extLst>
        <ext xmlns:x14="http://schemas.microsoft.com/office/spreadsheetml/2009/9/main" uri="{B025F937-C7B1-47D3-B67F-A62EFF666E3E}">
          <x14:id>{4382A5A4-8938-4754-913D-04C8EB3E9944}</x14:id>
        </ext>
      </extLst>
    </cfRule>
    <cfRule type="dataBar" priority="17">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7:F55">
    <cfRule type="dataBar" priority="18">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7:G55">
    <cfRule type="dataBar" priority="20">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2:H26">
    <cfRule type="dataBar" priority="10">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8:H32">
    <cfRule type="dataBar" priority="1">
      <dataBar>
        <cfvo type="min"/>
        <cfvo type="max"/>
        <color rgb="FF638EC6"/>
      </dataBar>
      <extLst>
        <ext xmlns:x14="http://schemas.microsoft.com/office/spreadsheetml/2009/9/main" uri="{B025F937-C7B1-47D3-B67F-A62EFF666E3E}">
          <x14:id>{26DE78C2-831B-4B37-86BF-38F13DBE5678}</x14:id>
        </ext>
      </extLst>
    </cfRule>
  </conditionalFormatting>
  <conditionalFormatting sqref="H47:H55">
    <cfRule type="dataBar" priority="23">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7:I55">
    <cfRule type="dataBar" priority="15">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3:K44">
    <cfRule type="cellIs" dxfId="597" priority="3" operator="lessThan">
      <formula>0</formula>
    </cfRule>
    <cfRule type="cellIs" dxfId="596" priority="4" operator="greaterThan">
      <formula>0</formula>
    </cfRule>
  </conditionalFormatting>
  <conditionalFormatting sqref="M41:M44">
    <cfRule type="cellIs" dxfId="595" priority="5" operator="lessThan">
      <formula>0</formula>
    </cfRule>
    <cfRule type="cellIs" dxfId="594" priority="6" operator="greaterThan">
      <formula>0</formula>
    </cfRule>
  </conditionalFormatting>
  <hyperlinks>
    <hyperlink ref="O10" r:id="rId1" display="https://www.marketscreener.com/quote/stock/PILBARA-MINERALS-LIMITED-10354122/company/" xr:uid="{5F0C40FD-D266-4590-BCA9-D83D6E4DDAE2}"/>
  </hyperlinks>
  <printOptions horizontalCentered="1" verticalCentered="1"/>
  <pageMargins left="0" right="0" top="0.19685039370078741" bottom="0.19685039370078741" header="0" footer="0"/>
  <pageSetup paperSize="134" scale="64" orientation="landscape" r:id="rId2"/>
  <headerFooter alignWithMargins="0"/>
  <ignoredErrors>
    <ignoredError sqref="N48:S48 N50:S58 N49:P49 R49:S49" evalError="1"/>
  </ignoredErrors>
  <drawing r:id="rId3"/>
  <legacyDrawing r:id="rId4"/>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C47:C55 D47:E47</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D47:D55</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D48:D55</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E47:E55</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E48:E55</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E56:E59 G56:G59 I56:I59</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F47:F55</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G47:G55</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H22:H26</xm:sqref>
        </x14:conditionalFormatting>
        <x14:conditionalFormatting xmlns:xm="http://schemas.microsoft.com/office/excel/2006/main">
          <x14:cfRule type="dataBar" id="{26DE78C2-831B-4B37-86BF-38F13DBE5678}">
            <x14:dataBar minLength="0" maxLength="100" border="1" negativeBarBorderColorSameAsPositive="0">
              <x14:cfvo type="autoMin"/>
              <x14:cfvo type="autoMax"/>
              <x14:borderColor rgb="FF638EC6"/>
              <x14:negativeFillColor rgb="FFFF0000"/>
              <x14:negativeBorderColor rgb="FFFF0000"/>
              <x14:axisColor rgb="FF000000"/>
            </x14:dataBar>
          </x14:cfRule>
          <xm:sqref>H28:H32</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H47:H55</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I47:I55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3.15"/>
  <cols>
    <col min="1" max="1" width="27.140625" bestFit="1" customWidth="1"/>
  </cols>
  <sheetData>
    <row r="1" spans="1:1">
      <c r="A1" t="s">
        <v>196</v>
      </c>
    </row>
    <row r="2" spans="1:1">
      <c r="A2" t="s">
        <v>197</v>
      </c>
    </row>
    <row r="3" spans="1:1">
      <c r="A3" t="s">
        <v>198</v>
      </c>
    </row>
    <row r="4" spans="1:1">
      <c r="A4" t="s">
        <v>199</v>
      </c>
    </row>
    <row r="5" spans="1:1">
      <c r="A5" t="s">
        <v>200</v>
      </c>
    </row>
    <row r="6" spans="1:1">
      <c r="A6" s="10" t="s">
        <v>201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70"/>
  <sheetViews>
    <sheetView showGridLines="0" topLeftCell="A27" zoomScale="90" zoomScaleNormal="90" workbookViewId="0">
      <selection activeCell="B36" sqref="B36:C36"/>
    </sheetView>
  </sheetViews>
  <sheetFormatPr defaultColWidth="11.42578125" defaultRowHeight="13.15"/>
  <cols>
    <col min="1" max="1" width="2.140625" customWidth="1"/>
    <col min="2" max="2" width="11.28515625" customWidth="1"/>
    <col min="3" max="3" width="42.7109375" customWidth="1"/>
    <col min="4" max="4" width="18" style="2" customWidth="1"/>
    <col min="5" max="6" width="16.7109375" bestFit="1" customWidth="1"/>
    <col min="7" max="7" width="15.7109375" bestFit="1" customWidth="1"/>
    <col min="8" max="8" width="15.28515625" customWidth="1"/>
    <col min="9" max="9" width="14.7109375" bestFit="1" customWidth="1"/>
    <col min="10" max="11" width="11.42578125" bestFit="1" customWidth="1"/>
    <col min="17" max="17" width="23.42578125" customWidth="1"/>
  </cols>
  <sheetData>
    <row r="1" spans="2:25" ht="7.5" customHeight="1"/>
    <row r="2" spans="2:25" ht="21">
      <c r="B2" s="1411" t="str">
        <f>"Regions "&amp;"("&amp;OP!$J$21&amp;")"</f>
        <v>Regions (2023)</v>
      </c>
      <c r="C2" s="1412"/>
      <c r="D2" s="1412"/>
      <c r="E2" s="1412"/>
      <c r="F2" s="1412"/>
      <c r="G2" s="1412"/>
      <c r="H2" s="1412"/>
      <c r="I2" s="1412"/>
      <c r="J2" s="1412"/>
      <c r="K2" s="1412"/>
      <c r="L2" s="1412"/>
      <c r="M2" s="1412"/>
      <c r="N2" s="1412"/>
      <c r="O2" s="1412"/>
      <c r="P2" s="1412"/>
      <c r="Q2" s="1407" t="s">
        <v>202</v>
      </c>
      <c r="R2" s="1408"/>
      <c r="S2" s="1408"/>
      <c r="T2" s="1408"/>
      <c r="U2" s="1408"/>
      <c r="V2" s="1408"/>
      <c r="W2" s="1408"/>
      <c r="X2" s="1408"/>
      <c r="Y2" s="1409"/>
    </row>
    <row r="3" spans="2:25" ht="18" thickBot="1">
      <c r="B3" s="148"/>
      <c r="C3" s="149"/>
      <c r="D3" s="1415" t="s">
        <v>203</v>
      </c>
      <c r="E3" s="1415"/>
      <c r="F3" s="1415"/>
      <c r="G3" s="1415"/>
      <c r="H3" s="1415"/>
      <c r="I3" s="1416"/>
      <c r="J3" s="131"/>
      <c r="K3" s="1410" t="s">
        <v>204</v>
      </c>
      <c r="L3" s="1410"/>
      <c r="M3" s="1410"/>
      <c r="N3" s="1410"/>
      <c r="O3" s="1410"/>
      <c r="P3" s="1410"/>
      <c r="Q3" s="125"/>
      <c r="Y3" s="143"/>
    </row>
    <row r="4" spans="2:25" ht="13.9" thickBot="1">
      <c r="B4" s="136" t="s">
        <v>205</v>
      </c>
      <c r="C4" s="137" t="s">
        <v>206</v>
      </c>
      <c r="D4" s="138">
        <f>OP!J21</f>
        <v>2023</v>
      </c>
      <c r="E4" s="138">
        <f>D4-1</f>
        <v>2022</v>
      </c>
      <c r="F4" s="138">
        <f>E4-1</f>
        <v>2021</v>
      </c>
      <c r="G4" s="138">
        <f>F4-1</f>
        <v>2020</v>
      </c>
      <c r="H4" s="138">
        <f>G4-1</f>
        <v>2019</v>
      </c>
      <c r="I4" s="138">
        <f>H4-1</f>
        <v>2018</v>
      </c>
      <c r="J4" s="132"/>
      <c r="K4" s="138">
        <f>OP!J21</f>
        <v>2023</v>
      </c>
      <c r="L4" s="138">
        <f t="shared" ref="L4:P4" si="0">K4-1</f>
        <v>2022</v>
      </c>
      <c r="M4" s="138">
        <f t="shared" si="0"/>
        <v>2021</v>
      </c>
      <c r="N4" s="138">
        <f t="shared" si="0"/>
        <v>2020</v>
      </c>
      <c r="O4" s="138">
        <f t="shared" si="0"/>
        <v>2019</v>
      </c>
      <c r="P4" s="150">
        <f t="shared" si="0"/>
        <v>2018</v>
      </c>
      <c r="Q4" s="125"/>
      <c r="Y4" s="143"/>
    </row>
    <row r="5" spans="2:25">
      <c r="B5" s="134">
        <f>IFERROR(D5/$D$10,"")</f>
        <v>0.69622734844836931</v>
      </c>
      <c r="C5" s="135" t="s">
        <v>207</v>
      </c>
      <c r="D5" s="553">
        <f>+(D15*38/58+D16)</f>
        <v>2829.4811724137935</v>
      </c>
      <c r="E5" s="553">
        <f>+E15*38/58+E16</f>
        <v>766.8193103448275</v>
      </c>
      <c r="F5" s="553">
        <f>+F15+F16</f>
        <v>170.45</v>
      </c>
      <c r="G5" s="553">
        <f>+G15+G16</f>
        <v>92.853999999999999</v>
      </c>
      <c r="H5" s="553">
        <f>+H15+H16</f>
        <v>44.497999999999998</v>
      </c>
      <c r="I5" s="553">
        <f>+I15+I16</f>
        <v>9.8800000000000008</v>
      </c>
      <c r="J5" s="133"/>
      <c r="K5" s="985">
        <f t="shared" ref="K5:K9" si="1">IFERROR((D5-E5)/E5,"-")</f>
        <v>2.6898929568445751</v>
      </c>
      <c r="L5" s="985">
        <f t="shared" ref="L5:L9" si="2">IFERROR((E5-F5)/F5,"-")</f>
        <v>3.4987932551764591</v>
      </c>
      <c r="M5" s="253">
        <f t="shared" ref="M5:M9" si="3">IFERROR((F5-G5)/G5,"-")</f>
        <v>0.83567751523897726</v>
      </c>
      <c r="N5" s="253">
        <f t="shared" ref="N5:N9" si="4">IFERROR((G5-H5)/H5,"-")</f>
        <v>1.0867005258663311</v>
      </c>
      <c r="O5" s="253">
        <f t="shared" ref="O5:O9" si="5">IFERROR((H5-I5)/I5,"-")</f>
        <v>3.5038461538461529</v>
      </c>
      <c r="P5" s="253" t="str">
        <f t="shared" ref="P5:P9" si="6">IFERROR((I5-J5)/J5,"-")</f>
        <v>-</v>
      </c>
      <c r="Q5" s="125"/>
      <c r="Y5" s="143"/>
    </row>
    <row r="6" spans="2:25">
      <c r="B6" s="134">
        <f>IFERROR(D6/$D$10,"")</f>
        <v>0.36616827519413836</v>
      </c>
      <c r="C6" s="135" t="s">
        <v>208</v>
      </c>
      <c r="D6" s="553">
        <f>+D15*20/58</f>
        <v>1488.114827586207</v>
      </c>
      <c r="E6" s="553">
        <f>+E15*20/58</f>
        <v>400.77068965517236</v>
      </c>
      <c r="F6" s="553" t="s">
        <v>78</v>
      </c>
      <c r="G6" s="553" t="s">
        <v>78</v>
      </c>
      <c r="H6" s="553" t="s">
        <v>78</v>
      </c>
      <c r="I6" s="553" t="s">
        <v>78</v>
      </c>
      <c r="J6" s="133"/>
      <c r="K6" s="253">
        <f t="shared" si="1"/>
        <v>2.7131328862063184</v>
      </c>
      <c r="L6" s="253" t="str">
        <f t="shared" si="2"/>
        <v>-</v>
      </c>
      <c r="M6" s="253" t="str">
        <f t="shared" si="3"/>
        <v>-</v>
      </c>
      <c r="N6" s="253" t="str">
        <f t="shared" si="4"/>
        <v>-</v>
      </c>
      <c r="O6" s="253" t="str">
        <f t="shared" si="5"/>
        <v>-</v>
      </c>
      <c r="P6" s="253" t="str">
        <f t="shared" si="6"/>
        <v>-</v>
      </c>
      <c r="Q6" s="125"/>
      <c r="Y6" s="143"/>
    </row>
    <row r="7" spans="2:25">
      <c r="B7" s="134">
        <f>IFERROR(D7/$D$10,"")</f>
        <v>-5.0762557950639507E-4</v>
      </c>
      <c r="C7" s="135" t="str">
        <f>+C17</f>
        <v>(elimination of by-product)</v>
      </c>
      <c r="D7" s="553">
        <f t="shared" ref="D7:I7" si="7">+D17</f>
        <v>-2.0630000000000002</v>
      </c>
      <c r="E7" s="553">
        <f t="shared" si="7"/>
        <v>-5.3550000000000004</v>
      </c>
      <c r="F7" s="553">
        <f t="shared" si="7"/>
        <v>-5.9820000000000002</v>
      </c>
      <c r="G7" s="553">
        <f t="shared" si="7"/>
        <v>-7.4630000000000001</v>
      </c>
      <c r="H7" s="553">
        <f t="shared" si="7"/>
        <v>-2.2930000000000001</v>
      </c>
      <c r="I7" s="553" t="str">
        <f t="shared" si="7"/>
        <v>-</v>
      </c>
      <c r="J7" s="133"/>
      <c r="K7" s="253">
        <f t="shared" si="1"/>
        <v>-0.6147525676937442</v>
      </c>
      <c r="L7" s="253">
        <f t="shared" si="2"/>
        <v>-0.10481444332998993</v>
      </c>
      <c r="M7" s="253">
        <f t="shared" si="3"/>
        <v>-0.19844566528205815</v>
      </c>
      <c r="N7" s="985">
        <f t="shared" si="4"/>
        <v>2.2546881814217179</v>
      </c>
      <c r="O7" s="253" t="str">
        <f t="shared" si="5"/>
        <v>-</v>
      </c>
      <c r="P7" s="253" t="str">
        <f t="shared" si="6"/>
        <v>-</v>
      </c>
      <c r="Q7" s="125"/>
      <c r="Y7" s="143"/>
    </row>
    <row r="8" spans="2:25">
      <c r="B8" s="134">
        <f>IFERROR(D8/$D$10,"")</f>
        <v>-6.1659652673867915E-2</v>
      </c>
      <c r="C8" s="135" t="str">
        <f t="shared" ref="C8:I9" si="8">+C18</f>
        <v>(provisional price adjustment)</v>
      </c>
      <c r="D8" s="553">
        <f>+D18</f>
        <v>-250.58600000000001</v>
      </c>
      <c r="E8" s="553">
        <f t="shared" si="8"/>
        <v>27.356000000000002</v>
      </c>
      <c r="F8" s="553">
        <f t="shared" si="8"/>
        <v>11.356</v>
      </c>
      <c r="G8" s="553">
        <f t="shared" si="8"/>
        <v>-1.194</v>
      </c>
      <c r="H8" s="553" t="str">
        <f t="shared" si="8"/>
        <v>-</v>
      </c>
      <c r="I8" s="553" t="str">
        <f t="shared" si="8"/>
        <v>-</v>
      </c>
      <c r="J8" s="133"/>
      <c r="K8" s="985">
        <f t="shared" si="1"/>
        <v>-10.160184237461618</v>
      </c>
      <c r="L8" s="985">
        <f t="shared" si="2"/>
        <v>1.4089468122578372</v>
      </c>
      <c r="M8" s="985">
        <f t="shared" si="3"/>
        <v>-10.510887772194305</v>
      </c>
      <c r="N8" s="253" t="str">
        <f t="shared" si="4"/>
        <v>-</v>
      </c>
      <c r="O8" s="253" t="str">
        <f t="shared" si="5"/>
        <v>-</v>
      </c>
      <c r="P8" s="253" t="str">
        <f t="shared" si="6"/>
        <v>-</v>
      </c>
      <c r="Q8" s="125"/>
      <c r="Y8" s="143"/>
    </row>
    <row r="9" spans="2:25" ht="13.9" thickBot="1">
      <c r="B9" s="822">
        <f>IFERROR(D9/$D$10,"")</f>
        <v>-2.2834538913326931E-4</v>
      </c>
      <c r="C9" s="135" t="str">
        <f t="shared" si="8"/>
        <v>(hedge close-outs)</v>
      </c>
      <c r="D9" s="556">
        <f t="shared" si="8"/>
        <v>-0.92800000000000005</v>
      </c>
      <c r="E9" s="556" t="str">
        <f t="shared" si="8"/>
        <v>-</v>
      </c>
      <c r="F9" s="556" t="str">
        <f t="shared" si="8"/>
        <v>-</v>
      </c>
      <c r="G9" s="556">
        <f t="shared" si="8"/>
        <v>-0.05</v>
      </c>
      <c r="H9" s="556">
        <f t="shared" si="8"/>
        <v>0.57999999999999996</v>
      </c>
      <c r="I9" s="556">
        <f t="shared" si="8"/>
        <v>0.308</v>
      </c>
      <c r="J9" s="133"/>
      <c r="K9" s="819" t="str">
        <f t="shared" si="1"/>
        <v>-</v>
      </c>
      <c r="L9" s="819" t="str">
        <f t="shared" si="2"/>
        <v>-</v>
      </c>
      <c r="M9" s="819" t="str">
        <f t="shared" si="3"/>
        <v>-</v>
      </c>
      <c r="N9" s="819">
        <f t="shared" si="4"/>
        <v>-1.0862068965517242</v>
      </c>
      <c r="O9" s="819">
        <f t="shared" si="5"/>
        <v>0.88311688311688297</v>
      </c>
      <c r="P9" s="819" t="str">
        <f t="shared" si="6"/>
        <v>-</v>
      </c>
      <c r="Q9" s="125"/>
      <c r="Y9" s="143"/>
    </row>
    <row r="10" spans="2:25" ht="13.9" thickBot="1">
      <c r="B10" s="130">
        <f>SUM(B5:B9)</f>
        <v>0.99999999999999989</v>
      </c>
      <c r="C10" s="139" t="s">
        <v>191</v>
      </c>
      <c r="D10" s="816">
        <f t="shared" ref="D10:I10" si="9">SUM(D5:D9)</f>
        <v>4064.0190000000002</v>
      </c>
      <c r="E10" s="817">
        <f t="shared" si="9"/>
        <v>1189.5909999999999</v>
      </c>
      <c r="F10" s="817">
        <f t="shared" si="9"/>
        <v>175.82399999999998</v>
      </c>
      <c r="G10" s="817">
        <f t="shared" si="9"/>
        <v>84.147000000000006</v>
      </c>
      <c r="H10" s="817">
        <f t="shared" si="9"/>
        <v>42.784999999999997</v>
      </c>
      <c r="I10" s="818">
        <f t="shared" si="9"/>
        <v>10.188000000000001</v>
      </c>
      <c r="J10" s="815"/>
      <c r="K10" s="254">
        <f>(D10-E10)/E10</f>
        <v>2.4163161960707509</v>
      </c>
      <c r="L10" s="254">
        <f>(E10-F10)/F10</f>
        <v>5.7658055783055788</v>
      </c>
      <c r="M10" s="254">
        <f>(F10-G10)/G10</f>
        <v>1.0894862561945164</v>
      </c>
      <c r="N10" s="254">
        <f t="shared" ref="N10:O10" si="10">(G10-H10)/H10</f>
        <v>0.96674068014491088</v>
      </c>
      <c r="O10" s="254">
        <f t="shared" si="10"/>
        <v>3.1995484884177454</v>
      </c>
      <c r="P10" s="254" t="s">
        <v>78</v>
      </c>
      <c r="Q10" s="125"/>
      <c r="Y10" s="143"/>
    </row>
    <row r="11" spans="2:25">
      <c r="B11" s="146"/>
      <c r="C11" s="6"/>
      <c r="D11" s="14"/>
      <c r="E11" s="14"/>
      <c r="F11" s="14"/>
      <c r="G11" s="14"/>
      <c r="H11" s="14"/>
      <c r="I11" s="14"/>
      <c r="J11" s="14"/>
      <c r="K11" s="14"/>
      <c r="L11" s="14"/>
      <c r="M11" s="14"/>
      <c r="N11" s="14"/>
      <c r="O11" s="14"/>
      <c r="P11" s="14"/>
      <c r="Q11" s="125"/>
      <c r="Y11" s="143"/>
    </row>
    <row r="12" spans="2:25" ht="21.6" thickBot="1">
      <c r="B12" s="1411" t="str">
        <f>"Categories "&amp;"("&amp;OP!$J$21&amp;")"</f>
        <v>Categories (2023)</v>
      </c>
      <c r="C12" s="1412"/>
      <c r="D12" s="1412"/>
      <c r="E12" s="1412"/>
      <c r="F12" s="1412"/>
      <c r="G12" s="1412"/>
      <c r="H12" s="1412"/>
      <c r="I12" s="1412"/>
      <c r="J12" s="1412"/>
      <c r="K12" s="1412"/>
      <c r="L12" s="1412"/>
      <c r="M12" s="1412"/>
      <c r="N12" s="1412"/>
      <c r="O12" s="1412"/>
      <c r="P12" s="1412"/>
      <c r="Q12" s="125"/>
      <c r="S12" s="255"/>
      <c r="Y12" s="143"/>
    </row>
    <row r="13" spans="2:25" ht="21.6" thickBot="1">
      <c r="B13" s="148"/>
      <c r="C13" s="149"/>
      <c r="D13" s="1378" t="s">
        <v>203</v>
      </c>
      <c r="E13" s="1379"/>
      <c r="F13" s="1379"/>
      <c r="G13" s="1379"/>
      <c r="H13" s="1379"/>
      <c r="I13" s="1380"/>
      <c r="J13" s="131"/>
      <c r="K13" s="1413" t="s">
        <v>204</v>
      </c>
      <c r="L13" s="1414"/>
      <c r="M13" s="1414"/>
      <c r="N13" s="1414"/>
      <c r="O13" s="1414"/>
      <c r="P13" s="1414"/>
      <c r="Q13" s="125"/>
      <c r="Y13" s="143"/>
    </row>
    <row r="14" spans="2:25" ht="13.9" thickBot="1">
      <c r="B14" s="147" t="s">
        <v>205</v>
      </c>
      <c r="C14" s="124" t="s">
        <v>209</v>
      </c>
      <c r="D14" s="129">
        <f>OP!J21</f>
        <v>2023</v>
      </c>
      <c r="E14" s="129">
        <f>D14-1</f>
        <v>2022</v>
      </c>
      <c r="F14" s="129">
        <f>E14-1</f>
        <v>2021</v>
      </c>
      <c r="G14" s="129">
        <f>F14-1</f>
        <v>2020</v>
      </c>
      <c r="H14" s="129">
        <f>G14-1</f>
        <v>2019</v>
      </c>
      <c r="I14" s="129">
        <f>H14-1</f>
        <v>2018</v>
      </c>
      <c r="J14" s="132"/>
      <c r="K14" s="138">
        <f>OP!J21</f>
        <v>2023</v>
      </c>
      <c r="L14" s="138">
        <f t="shared" ref="L14:P14" si="11">K14-1</f>
        <v>2022</v>
      </c>
      <c r="M14" s="138">
        <f t="shared" si="11"/>
        <v>2021</v>
      </c>
      <c r="N14" s="138">
        <f t="shared" si="11"/>
        <v>2020</v>
      </c>
      <c r="O14" s="138">
        <f t="shared" si="11"/>
        <v>2019</v>
      </c>
      <c r="P14" s="150">
        <f t="shared" si="11"/>
        <v>2018</v>
      </c>
      <c r="Q14" s="125"/>
      <c r="Y14" s="143"/>
    </row>
    <row r="15" spans="2:25">
      <c r="B15" s="134">
        <f>IFERROR(D15/$D$20,"")</f>
        <v>1.0618879980630012</v>
      </c>
      <c r="C15" s="127" t="s">
        <v>210</v>
      </c>
      <c r="D15" s="553">
        <f>4315533000/1000000</f>
        <v>4315.5330000000004</v>
      </c>
      <c r="E15" s="553">
        <f>1162235000/1000000</f>
        <v>1162.2349999999999</v>
      </c>
      <c r="F15" s="553">
        <f>164468000/1000000</f>
        <v>164.46799999999999</v>
      </c>
      <c r="G15" s="553">
        <f>85391000/1000000</f>
        <v>85.391000000000005</v>
      </c>
      <c r="H15" s="553">
        <f>42205000/1000000</f>
        <v>42.204999999999998</v>
      </c>
      <c r="I15" s="553">
        <f>9880000/1000000</f>
        <v>9.8800000000000008</v>
      </c>
      <c r="J15" s="133"/>
      <c r="K15" s="253">
        <f>IFERROR((D15-E15)/E15,"-")</f>
        <v>2.7131328862063189</v>
      </c>
      <c r="L15" s="253">
        <f t="shared" ref="L15:P15" si="12">IFERROR((E15-F15)/F15,"-")</f>
        <v>6.0666330228372694</v>
      </c>
      <c r="M15" s="253">
        <f t="shared" si="12"/>
        <v>0.92605778126500427</v>
      </c>
      <c r="N15" s="253">
        <f t="shared" si="12"/>
        <v>1.0232436915057459</v>
      </c>
      <c r="O15" s="985">
        <f t="shared" si="12"/>
        <v>3.2717611336032384</v>
      </c>
      <c r="P15" s="253" t="str">
        <f t="shared" si="12"/>
        <v>-</v>
      </c>
      <c r="Q15" s="125"/>
      <c r="Y15" s="143"/>
    </row>
    <row r="16" spans="2:25">
      <c r="B16" s="134">
        <f>IFERROR(D16/$D$20,"")</f>
        <v>5.0762557950639507E-4</v>
      </c>
      <c r="C16" s="396" t="s">
        <v>211</v>
      </c>
      <c r="D16" s="553">
        <f>2063000/1000000</f>
        <v>2.0630000000000002</v>
      </c>
      <c r="E16" s="553">
        <f>5355000/1000000</f>
        <v>5.3550000000000004</v>
      </c>
      <c r="F16" s="553">
        <f>5982000/1000000</f>
        <v>5.9820000000000002</v>
      </c>
      <c r="G16" s="553">
        <f>7463000/1000000</f>
        <v>7.4630000000000001</v>
      </c>
      <c r="H16" s="553">
        <f>2293000/1000000</f>
        <v>2.2930000000000001</v>
      </c>
      <c r="I16" s="553">
        <v>0</v>
      </c>
      <c r="J16" s="133"/>
      <c r="K16" s="253">
        <f t="shared" ref="K16:K19" si="13">IFERROR((D16-E16)/E16,"-")</f>
        <v>-0.6147525676937442</v>
      </c>
      <c r="L16" s="253">
        <f t="shared" ref="L16:L19" si="14">IFERROR((E16-F16)/F16,"-")</f>
        <v>-0.10481444332998993</v>
      </c>
      <c r="M16" s="253">
        <f t="shared" ref="M16:M19" si="15">IFERROR((F16-G16)/G16,"-")</f>
        <v>-0.19844566528205815</v>
      </c>
      <c r="N16" s="253">
        <f t="shared" ref="N16:N19" si="16">IFERROR((G16-H16)/H16,"-")</f>
        <v>2.2546881814217179</v>
      </c>
      <c r="O16" s="253" t="str">
        <f t="shared" ref="O16:O19" si="17">IFERROR((H16-I16)/I16,"-")</f>
        <v>-</v>
      </c>
      <c r="P16" s="253" t="str">
        <f t="shared" ref="P16:P19" si="18">IFERROR((I16-J16)/J16,"-")</f>
        <v>-</v>
      </c>
      <c r="Q16" s="125"/>
      <c r="Y16" s="143"/>
    </row>
    <row r="17" spans="2:25">
      <c r="B17" s="134">
        <f>IFERROR(D17/$D$20,"")</f>
        <v>-5.0762557950639507E-4</v>
      </c>
      <c r="C17" s="128" t="s">
        <v>212</v>
      </c>
      <c r="D17" s="553">
        <f>-D16</f>
        <v>-2.0630000000000002</v>
      </c>
      <c r="E17" s="553">
        <f>-E16</f>
        <v>-5.3550000000000004</v>
      </c>
      <c r="F17" s="553">
        <f>-F16</f>
        <v>-5.9820000000000002</v>
      </c>
      <c r="G17" s="553">
        <f>-G16</f>
        <v>-7.4630000000000001</v>
      </c>
      <c r="H17" s="553">
        <f>-H16</f>
        <v>-2.2930000000000001</v>
      </c>
      <c r="I17" s="553" t="s">
        <v>78</v>
      </c>
      <c r="J17" s="133"/>
      <c r="K17" s="253">
        <f t="shared" si="13"/>
        <v>-0.6147525676937442</v>
      </c>
      <c r="L17" s="253">
        <f t="shared" si="14"/>
        <v>-0.10481444332998993</v>
      </c>
      <c r="M17" s="253">
        <f t="shared" si="15"/>
        <v>-0.19844566528205815</v>
      </c>
      <c r="N17" s="253">
        <f t="shared" si="16"/>
        <v>2.2546881814217179</v>
      </c>
      <c r="O17" s="253" t="str">
        <f t="shared" si="17"/>
        <v>-</v>
      </c>
      <c r="P17" s="253" t="str">
        <f t="shared" si="18"/>
        <v>-</v>
      </c>
      <c r="Q17" s="125"/>
      <c r="Y17" s="143"/>
    </row>
    <row r="18" spans="2:25">
      <c r="B18" s="134">
        <f>IFERROR(D18/$D$20,"")</f>
        <v>-6.1659652673867915E-2</v>
      </c>
      <c r="C18" s="555" t="s">
        <v>213</v>
      </c>
      <c r="D18" s="553">
        <f>-250586000/1000000</f>
        <v>-250.58600000000001</v>
      </c>
      <c r="E18" s="553">
        <f>27356000/1000000</f>
        <v>27.356000000000002</v>
      </c>
      <c r="F18" s="553">
        <f>11356000/1000000</f>
        <v>11.356</v>
      </c>
      <c r="G18" s="553">
        <f>-1194000/1000000</f>
        <v>-1.194</v>
      </c>
      <c r="H18" s="553" t="s">
        <v>78</v>
      </c>
      <c r="I18" s="553" t="s">
        <v>78</v>
      </c>
      <c r="J18" s="133"/>
      <c r="K18" s="253">
        <f t="shared" si="13"/>
        <v>-10.160184237461618</v>
      </c>
      <c r="L18" s="253">
        <f t="shared" si="14"/>
        <v>1.4089468122578372</v>
      </c>
      <c r="M18" s="253">
        <f t="shared" si="15"/>
        <v>-10.510887772194305</v>
      </c>
      <c r="N18" s="253" t="str">
        <f t="shared" si="16"/>
        <v>-</v>
      </c>
      <c r="O18" s="253" t="str">
        <f t="shared" si="17"/>
        <v>-</v>
      </c>
      <c r="P18" s="253" t="str">
        <f t="shared" si="18"/>
        <v>-</v>
      </c>
      <c r="Q18" s="125"/>
      <c r="Y18" s="143"/>
    </row>
    <row r="19" spans="2:25" ht="13.9" thickBot="1">
      <c r="B19" s="822">
        <f>IFERROR(D19/$D$20,"")</f>
        <v>-2.2834538913326931E-4</v>
      </c>
      <c r="C19" s="823" t="s">
        <v>214</v>
      </c>
      <c r="D19" s="556">
        <f>-928000/1000000</f>
        <v>-0.92800000000000005</v>
      </c>
      <c r="E19" s="556" t="s">
        <v>78</v>
      </c>
      <c r="F19" s="556" t="s">
        <v>78</v>
      </c>
      <c r="G19" s="556">
        <f>-50000/1000000</f>
        <v>-0.05</v>
      </c>
      <c r="H19" s="556">
        <f>580000/1000000</f>
        <v>0.57999999999999996</v>
      </c>
      <c r="I19" s="556">
        <f>308000/1000000</f>
        <v>0.308</v>
      </c>
      <c r="J19" s="133"/>
      <c r="K19" s="819" t="str">
        <f t="shared" si="13"/>
        <v>-</v>
      </c>
      <c r="L19" s="819" t="str">
        <f t="shared" si="14"/>
        <v>-</v>
      </c>
      <c r="M19" s="819" t="str">
        <f t="shared" si="15"/>
        <v>-</v>
      </c>
      <c r="N19" s="819">
        <f t="shared" si="16"/>
        <v>-1.0862068965517242</v>
      </c>
      <c r="O19" s="819">
        <f t="shared" si="17"/>
        <v>0.88311688311688297</v>
      </c>
      <c r="P19" s="819" t="str">
        <f t="shared" si="18"/>
        <v>-</v>
      </c>
      <c r="Q19" s="125"/>
      <c r="Y19" s="143"/>
    </row>
    <row r="20" spans="2:25" ht="13.9" thickBot="1">
      <c r="B20" s="130">
        <f>SUM(B15:B19)</f>
        <v>0.99999999999999989</v>
      </c>
      <c r="C20" s="821" t="s">
        <v>191</v>
      </c>
      <c r="D20" s="816">
        <f t="shared" ref="D20:I20" si="19">SUM(D15:D19)</f>
        <v>4064.0190000000002</v>
      </c>
      <c r="E20" s="817">
        <f t="shared" si="19"/>
        <v>1189.5909999999999</v>
      </c>
      <c r="F20" s="817">
        <f t="shared" si="19"/>
        <v>175.82399999999998</v>
      </c>
      <c r="G20" s="817">
        <f t="shared" si="19"/>
        <v>84.147000000000006</v>
      </c>
      <c r="H20" s="817">
        <f t="shared" si="19"/>
        <v>42.784999999999997</v>
      </c>
      <c r="I20" s="818">
        <f t="shared" si="19"/>
        <v>10.188000000000001</v>
      </c>
      <c r="J20" s="558"/>
      <c r="K20" s="254">
        <f>(D20-E20)/E20</f>
        <v>2.4163161960707509</v>
      </c>
      <c r="L20" s="254">
        <f>(E20-F20)/F20</f>
        <v>5.7658055783055788</v>
      </c>
      <c r="M20" s="254">
        <f>(F20-G20)/G20</f>
        <v>1.0894862561945164</v>
      </c>
      <c r="N20" s="254">
        <f>(G20-H20)/H20</f>
        <v>0.96674068014491088</v>
      </c>
      <c r="O20" s="254">
        <f>(H20-I20)/I20</f>
        <v>3.1995484884177454</v>
      </c>
      <c r="P20" s="254" t="s">
        <v>78</v>
      </c>
      <c r="Q20" s="125"/>
      <c r="Y20" s="143"/>
    </row>
    <row r="21" spans="2:25" ht="14.65" customHeight="1" thickBot="1">
      <c r="B21" s="557"/>
      <c r="C21" s="13"/>
      <c r="D21" s="790"/>
      <c r="E21" s="790"/>
      <c r="F21" s="790"/>
      <c r="G21" s="790"/>
      <c r="H21" s="790"/>
      <c r="I21" s="790"/>
      <c r="J21" s="558"/>
      <c r="K21" s="559"/>
      <c r="L21" s="559"/>
      <c r="M21" s="559"/>
      <c r="N21" s="559"/>
      <c r="O21" s="559"/>
      <c r="P21" s="559"/>
      <c r="Q21" s="125"/>
      <c r="Y21" s="143"/>
    </row>
    <row r="22" spans="2:25" ht="21.6" thickBot="1">
      <c r="B22" s="1378" t="s">
        <v>80</v>
      </c>
      <c r="C22" s="1380"/>
      <c r="D22" s="1378" t="s">
        <v>215</v>
      </c>
      <c r="E22" s="1379"/>
      <c r="F22" s="1379"/>
      <c r="G22" s="1379"/>
      <c r="H22" s="1379"/>
      <c r="I22" s="1398" t="s">
        <v>216</v>
      </c>
      <c r="J22" s="1399"/>
      <c r="K22" s="1399"/>
      <c r="L22" s="1399"/>
      <c r="M22" s="1399"/>
      <c r="N22" s="1399"/>
      <c r="O22" s="1399"/>
      <c r="P22" s="1399"/>
      <c r="Q22" s="125"/>
      <c r="S22" s="560"/>
      <c r="Y22" s="143"/>
    </row>
    <row r="23" spans="2:25" ht="47.25" customHeight="1">
      <c r="B23" s="1390" t="s">
        <v>210</v>
      </c>
      <c r="C23" s="1391"/>
      <c r="D23" s="1395" t="s">
        <v>217</v>
      </c>
      <c r="E23" s="1396"/>
      <c r="F23" s="1396"/>
      <c r="G23" s="1396"/>
      <c r="H23" s="1396"/>
      <c r="I23" s="125"/>
      <c r="Q23" s="125"/>
      <c r="Y23" s="143"/>
    </row>
    <row r="24" spans="2:25" ht="57.75" customHeight="1" thickBot="1">
      <c r="B24" s="1390" t="s">
        <v>211</v>
      </c>
      <c r="C24" s="1391"/>
      <c r="D24" s="1395" t="s">
        <v>218</v>
      </c>
      <c r="E24" s="1396"/>
      <c r="F24" s="1396"/>
      <c r="G24" s="1396"/>
      <c r="H24" s="1396"/>
      <c r="I24" s="125"/>
      <c r="Q24" s="125"/>
      <c r="Y24" s="143"/>
    </row>
    <row r="25" spans="2:25" ht="28.15" hidden="1" customHeight="1" thickBot="1">
      <c r="B25" s="1390"/>
      <c r="C25" s="1391"/>
      <c r="D25" s="1397"/>
      <c r="E25" s="1396"/>
      <c r="F25" s="1396"/>
      <c r="G25" s="1396"/>
      <c r="H25" s="1396"/>
      <c r="I25" s="125"/>
      <c r="Q25" s="125"/>
      <c r="Y25" s="143"/>
    </row>
    <row r="26" spans="2:25" ht="56.25" customHeight="1" thickBot="1">
      <c r="I26" s="126"/>
      <c r="J26" s="144"/>
      <c r="K26" s="144"/>
      <c r="L26" s="144"/>
      <c r="M26" s="144"/>
      <c r="N26" s="144"/>
      <c r="O26" s="144"/>
      <c r="P26" s="144"/>
      <c r="Q26" s="126"/>
      <c r="R26" s="144"/>
      <c r="S26" s="144"/>
      <c r="T26" s="144"/>
      <c r="U26" s="144"/>
      <c r="V26" s="144"/>
      <c r="W26" s="144"/>
      <c r="X26" s="144"/>
      <c r="Y26" s="145"/>
    </row>
    <row r="27" spans="2:25" ht="21.6" thickBot="1">
      <c r="B27" s="1378" t="s">
        <v>219</v>
      </c>
      <c r="C27" s="1379"/>
      <c r="D27" s="1379"/>
      <c r="E27" s="1379"/>
      <c r="F27" s="1379"/>
      <c r="G27" s="1379"/>
      <c r="H27" s="1379"/>
      <c r="I27" s="1380"/>
      <c r="J27" s="1400" t="s">
        <v>220</v>
      </c>
      <c r="K27" s="1401"/>
      <c r="L27" s="1401"/>
      <c r="M27" s="1401"/>
      <c r="N27" s="1401"/>
      <c r="O27" s="1401"/>
      <c r="P27" s="1401"/>
      <c r="Q27" s="1402"/>
    </row>
    <row r="28" spans="2:25">
      <c r="B28" s="1387" t="s">
        <v>221</v>
      </c>
      <c r="C28" s="1389"/>
      <c r="D28" s="1403" t="s">
        <v>215</v>
      </c>
      <c r="E28" s="1404"/>
      <c r="F28" s="1404"/>
      <c r="G28" s="1404"/>
      <c r="H28" s="1404"/>
      <c r="I28" s="1405"/>
      <c r="J28" s="140"/>
      <c r="K28" s="141"/>
      <c r="L28" s="141"/>
      <c r="M28" s="141"/>
      <c r="N28" s="141"/>
      <c r="O28" s="141"/>
      <c r="P28" s="141"/>
      <c r="Q28" s="142"/>
    </row>
    <row r="29" spans="2:25" ht="43.9" customHeight="1">
      <c r="B29" s="1349" t="s">
        <v>222</v>
      </c>
      <c r="C29" s="1406"/>
      <c r="D29" s="1368" t="s">
        <v>223</v>
      </c>
      <c r="E29" s="1369"/>
      <c r="F29" s="1369"/>
      <c r="G29" s="1369"/>
      <c r="H29" s="1369"/>
      <c r="I29" s="1370"/>
      <c r="Q29" s="143"/>
    </row>
    <row r="30" spans="2:25" ht="34.15" customHeight="1">
      <c r="B30" s="1349" t="s">
        <v>224</v>
      </c>
      <c r="C30" s="1350"/>
      <c r="D30" s="1392" t="s">
        <v>225</v>
      </c>
      <c r="E30" s="1393"/>
      <c r="F30" s="1393"/>
      <c r="G30" s="1393"/>
      <c r="H30" s="1393"/>
      <c r="I30" s="1394"/>
      <c r="J30" s="125"/>
      <c r="Q30" s="143"/>
    </row>
    <row r="31" spans="2:25" ht="54" customHeight="1">
      <c r="B31" s="1349" t="s">
        <v>226</v>
      </c>
      <c r="C31" s="1350"/>
      <c r="D31" s="1371" t="s">
        <v>227</v>
      </c>
      <c r="E31" s="1372"/>
      <c r="F31" s="1372"/>
      <c r="G31" s="1372"/>
      <c r="H31" s="1372"/>
      <c r="I31" s="1373"/>
      <c r="J31" s="125"/>
      <c r="K31" s="785"/>
      <c r="Q31" s="143"/>
    </row>
    <row r="32" spans="2:25" ht="55.15" customHeight="1">
      <c r="B32" s="1374" t="s">
        <v>228</v>
      </c>
      <c r="C32" s="1375"/>
      <c r="D32" s="1354" t="s">
        <v>229</v>
      </c>
      <c r="E32" s="1355"/>
      <c r="F32" s="1355"/>
      <c r="G32" s="1355"/>
      <c r="H32" s="1355"/>
      <c r="I32" s="1356"/>
      <c r="J32" s="125"/>
      <c r="Q32" s="143"/>
    </row>
    <row r="33" spans="2:21" ht="13.9" thickBot="1">
      <c r="B33" s="1387" t="s">
        <v>230</v>
      </c>
      <c r="C33" s="1388"/>
      <c r="D33" s="1388"/>
      <c r="E33" s="1388"/>
      <c r="F33" s="1388"/>
      <c r="G33" s="1388"/>
      <c r="H33" s="1388"/>
      <c r="I33" s="1389"/>
      <c r="J33" s="125"/>
      <c r="Q33" s="143"/>
    </row>
    <row r="34" spans="2:21" ht="13.5" customHeight="1">
      <c r="B34" s="1344" t="s">
        <v>231</v>
      </c>
      <c r="C34" s="1345"/>
      <c r="D34" s="1351" t="s">
        <v>232</v>
      </c>
      <c r="E34" s="1352"/>
      <c r="F34" s="1353"/>
      <c r="G34" s="1351" t="s">
        <v>233</v>
      </c>
      <c r="H34" s="1352"/>
      <c r="I34" s="1353"/>
      <c r="J34" s="125"/>
      <c r="Q34" s="143"/>
      <c r="T34" s="10"/>
      <c r="U34" s="10"/>
    </row>
    <row r="35" spans="2:21">
      <c r="B35" s="1342" t="s">
        <v>234</v>
      </c>
      <c r="C35" s="1343"/>
      <c r="D35" s="1357">
        <v>0.23400000000000001</v>
      </c>
      <c r="E35" s="1358"/>
      <c r="F35" s="1359"/>
      <c r="G35" s="1346" t="s">
        <v>235</v>
      </c>
      <c r="H35" s="1347"/>
      <c r="I35" s="1348"/>
      <c r="J35" s="125"/>
      <c r="Q35" s="143"/>
      <c r="T35" s="10"/>
      <c r="U35" s="10"/>
    </row>
    <row r="36" spans="2:21">
      <c r="B36" s="1342" t="s">
        <v>236</v>
      </c>
      <c r="C36" s="1343"/>
      <c r="D36" s="1357">
        <v>0.19570000000000001</v>
      </c>
      <c r="E36" s="1358"/>
      <c r="F36" s="1359"/>
      <c r="G36" s="1346" t="s">
        <v>237</v>
      </c>
      <c r="H36" s="1360"/>
      <c r="I36" s="1361"/>
      <c r="J36" s="125"/>
      <c r="Q36" s="143"/>
      <c r="T36" s="10"/>
      <c r="U36" s="10"/>
    </row>
    <row r="37" spans="2:21">
      <c r="B37" s="1342" t="s">
        <v>238</v>
      </c>
      <c r="C37" s="1343"/>
      <c r="D37" s="1383">
        <v>0.128</v>
      </c>
      <c r="E37" s="1384"/>
      <c r="F37" s="1385"/>
      <c r="G37" s="1382" t="s">
        <v>239</v>
      </c>
      <c r="H37" s="1347"/>
      <c r="I37" s="1348"/>
      <c r="J37" s="125"/>
      <c r="Q37" s="143"/>
      <c r="T37" s="10"/>
      <c r="U37" s="10"/>
    </row>
    <row r="38" spans="2:21">
      <c r="B38" s="1342" t="s">
        <v>240</v>
      </c>
      <c r="C38" s="1343"/>
      <c r="D38" s="1386">
        <v>0.221</v>
      </c>
      <c r="E38" s="1384"/>
      <c r="F38" s="1385"/>
      <c r="G38" s="1382" t="s">
        <v>241</v>
      </c>
      <c r="H38" s="1347"/>
      <c r="I38" s="1348"/>
      <c r="J38" s="125"/>
      <c r="Q38" s="143"/>
      <c r="T38" s="10"/>
      <c r="U38" s="10"/>
    </row>
    <row r="39" spans="2:21" ht="13.9" thickBot="1">
      <c r="B39" s="1376" t="s">
        <v>242</v>
      </c>
      <c r="C39" s="1377"/>
      <c r="D39" s="1376">
        <f>AVERAGE(D35:F38)</f>
        <v>0.19467500000000001</v>
      </c>
      <c r="E39" s="1377"/>
      <c r="F39" s="1381"/>
      <c r="G39" s="1376" t="s">
        <v>243</v>
      </c>
      <c r="H39" s="1377"/>
      <c r="I39" s="1381"/>
      <c r="J39" s="125"/>
      <c r="Q39" s="143"/>
      <c r="T39" s="10"/>
      <c r="U39" s="10"/>
    </row>
    <row r="40" spans="2:21" ht="21.6" thickBot="1">
      <c r="B40" s="1378" t="s">
        <v>244</v>
      </c>
      <c r="C40" s="1379"/>
      <c r="D40" s="1379"/>
      <c r="E40" s="1379"/>
      <c r="F40" s="1379"/>
      <c r="G40" s="1379"/>
      <c r="H40" s="1379"/>
      <c r="I40" s="1380"/>
      <c r="J40" s="125"/>
      <c r="Q40" s="143"/>
      <c r="T40" s="10"/>
      <c r="U40" s="10"/>
    </row>
    <row r="41" spans="2:21">
      <c r="B41" s="1362" t="s">
        <v>245</v>
      </c>
      <c r="C41" s="1363"/>
      <c r="D41" s="1363"/>
      <c r="E41" s="1363"/>
      <c r="F41" s="1363"/>
      <c r="G41" s="1363"/>
      <c r="H41" s="1363"/>
      <c r="I41" s="1363"/>
      <c r="J41" s="125"/>
      <c r="Q41" s="143"/>
      <c r="T41" s="10"/>
      <c r="U41" s="10"/>
    </row>
    <row r="42" spans="2:21">
      <c r="B42" s="1364"/>
      <c r="C42" s="1365"/>
      <c r="D42" s="1365"/>
      <c r="E42" s="1365"/>
      <c r="F42" s="1365"/>
      <c r="G42" s="1365"/>
      <c r="H42" s="1365"/>
      <c r="I42" s="1365"/>
      <c r="Q42" s="143"/>
      <c r="T42" s="10"/>
      <c r="U42" s="10"/>
    </row>
    <row r="43" spans="2:21" ht="12.75" customHeight="1">
      <c r="B43" s="1364"/>
      <c r="C43" s="1365"/>
      <c r="D43" s="1365"/>
      <c r="E43" s="1365"/>
      <c r="F43" s="1365"/>
      <c r="G43" s="1365"/>
      <c r="H43" s="1365"/>
      <c r="I43" s="1365"/>
      <c r="J43" s="125"/>
      <c r="Q43" s="143"/>
      <c r="T43" s="10"/>
      <c r="U43" s="10"/>
    </row>
    <row r="44" spans="2:21">
      <c r="B44" s="1364"/>
      <c r="C44" s="1365"/>
      <c r="D44" s="1365"/>
      <c r="E44" s="1365"/>
      <c r="F44" s="1365"/>
      <c r="G44" s="1365"/>
      <c r="H44" s="1365"/>
      <c r="I44" s="1365"/>
      <c r="J44" s="125"/>
      <c r="Q44" s="143"/>
      <c r="T44" s="10"/>
      <c r="U44" s="10"/>
    </row>
    <row r="45" spans="2:21">
      <c r="B45" s="1364"/>
      <c r="C45" s="1365"/>
      <c r="D45" s="1365"/>
      <c r="E45" s="1365"/>
      <c r="F45" s="1365"/>
      <c r="G45" s="1365"/>
      <c r="H45" s="1365"/>
      <c r="I45" s="1365"/>
      <c r="J45" s="125"/>
      <c r="Q45" s="143"/>
      <c r="T45" s="10"/>
      <c r="U45" s="10"/>
    </row>
    <row r="46" spans="2:21">
      <c r="B46" s="1364"/>
      <c r="C46" s="1365"/>
      <c r="D46" s="1365"/>
      <c r="E46" s="1365"/>
      <c r="F46" s="1365"/>
      <c r="G46" s="1365"/>
      <c r="H46" s="1365"/>
      <c r="I46" s="1365"/>
      <c r="J46" s="125"/>
      <c r="Q46" s="143"/>
      <c r="T46" s="10"/>
      <c r="U46" s="10"/>
    </row>
    <row r="47" spans="2:21">
      <c r="B47" s="1364"/>
      <c r="C47" s="1365"/>
      <c r="D47" s="1365"/>
      <c r="E47" s="1365"/>
      <c r="F47" s="1365"/>
      <c r="G47" s="1365"/>
      <c r="H47" s="1365"/>
      <c r="I47" s="1365"/>
      <c r="J47" s="125"/>
      <c r="Q47" s="143"/>
      <c r="T47" s="10"/>
      <c r="U47" s="10"/>
    </row>
    <row r="48" spans="2:21">
      <c r="B48" s="1364"/>
      <c r="C48" s="1365"/>
      <c r="D48" s="1365"/>
      <c r="E48" s="1365"/>
      <c r="F48" s="1365"/>
      <c r="G48" s="1365"/>
      <c r="H48" s="1365"/>
      <c r="I48" s="1365"/>
      <c r="J48" s="125"/>
      <c r="Q48" s="143"/>
      <c r="T48" s="10"/>
      <c r="U48" s="10"/>
    </row>
    <row r="49" spans="2:21">
      <c r="B49" s="1364"/>
      <c r="C49" s="1365"/>
      <c r="D49" s="1365"/>
      <c r="E49" s="1365"/>
      <c r="F49" s="1365"/>
      <c r="G49" s="1365"/>
      <c r="H49" s="1365"/>
      <c r="I49" s="1365"/>
      <c r="J49" s="125"/>
      <c r="Q49" s="143"/>
      <c r="T49" s="10"/>
      <c r="U49" s="10"/>
    </row>
    <row r="50" spans="2:21">
      <c r="B50" s="1364"/>
      <c r="C50" s="1365"/>
      <c r="D50" s="1365"/>
      <c r="E50" s="1365"/>
      <c r="F50" s="1365"/>
      <c r="G50" s="1365"/>
      <c r="H50" s="1365"/>
      <c r="I50" s="1365"/>
      <c r="J50" s="125"/>
      <c r="Q50" s="143"/>
      <c r="T50" s="10"/>
      <c r="U50" s="10"/>
    </row>
    <row r="51" spans="2:21">
      <c r="B51" s="1364"/>
      <c r="C51" s="1365"/>
      <c r="D51" s="1365"/>
      <c r="E51" s="1365"/>
      <c r="F51" s="1365"/>
      <c r="G51" s="1365"/>
      <c r="H51" s="1365"/>
      <c r="I51" s="1365"/>
      <c r="J51" s="125"/>
      <c r="Q51" s="143"/>
      <c r="T51" s="10"/>
      <c r="U51" s="10"/>
    </row>
    <row r="52" spans="2:21">
      <c r="B52" s="1364"/>
      <c r="C52" s="1365"/>
      <c r="D52" s="1365"/>
      <c r="E52" s="1365"/>
      <c r="F52" s="1365"/>
      <c r="G52" s="1365"/>
      <c r="H52" s="1365"/>
      <c r="I52" s="1365"/>
      <c r="J52" s="125"/>
      <c r="Q52" s="143"/>
      <c r="T52" s="10"/>
      <c r="U52" s="10"/>
    </row>
    <row r="53" spans="2:21">
      <c r="B53" s="1364"/>
      <c r="C53" s="1365"/>
      <c r="D53" s="1365"/>
      <c r="E53" s="1365"/>
      <c r="F53" s="1365"/>
      <c r="G53" s="1365"/>
      <c r="H53" s="1365"/>
      <c r="I53" s="1365"/>
      <c r="J53" s="125"/>
      <c r="Q53" s="143"/>
      <c r="T53" s="10"/>
      <c r="U53" s="10"/>
    </row>
    <row r="54" spans="2:21">
      <c r="B54" s="1364"/>
      <c r="C54" s="1365"/>
      <c r="D54" s="1365"/>
      <c r="E54" s="1365"/>
      <c r="F54" s="1365"/>
      <c r="G54" s="1365"/>
      <c r="H54" s="1365"/>
      <c r="I54" s="1365"/>
      <c r="J54" s="125"/>
      <c r="Q54" s="143"/>
      <c r="T54" s="10"/>
      <c r="U54" s="10"/>
    </row>
    <row r="55" spans="2:21">
      <c r="B55" s="1364"/>
      <c r="C55" s="1365"/>
      <c r="D55" s="1365"/>
      <c r="E55" s="1365"/>
      <c r="F55" s="1365"/>
      <c r="G55" s="1365"/>
      <c r="H55" s="1365"/>
      <c r="I55" s="1365"/>
      <c r="J55" s="125"/>
      <c r="Q55" s="143"/>
      <c r="T55" s="10"/>
      <c r="U55" s="10"/>
    </row>
    <row r="56" spans="2:21">
      <c r="B56" s="1366"/>
      <c r="C56" s="1367"/>
      <c r="D56" s="1367"/>
      <c r="E56" s="1367"/>
      <c r="F56" s="1367"/>
      <c r="G56" s="1367"/>
      <c r="H56" s="1367"/>
      <c r="I56" s="1367"/>
      <c r="J56" s="126"/>
      <c r="K56" s="144"/>
      <c r="L56" s="144"/>
      <c r="M56" s="144"/>
      <c r="N56" s="144"/>
      <c r="O56" s="144"/>
      <c r="P56" s="144"/>
      <c r="Q56" s="145"/>
      <c r="T56" s="10"/>
      <c r="U56" s="10"/>
    </row>
    <row r="57" spans="2:21">
      <c r="T57" s="10"/>
      <c r="U57" s="10"/>
    </row>
    <row r="58" spans="2:21">
      <c r="T58" s="10"/>
      <c r="U58" s="10"/>
    </row>
    <row r="59" spans="2:21">
      <c r="T59" s="10"/>
      <c r="U59" s="10"/>
    </row>
    <row r="60" spans="2:21">
      <c r="T60" s="10"/>
      <c r="U60" s="10"/>
    </row>
    <row r="61" spans="2:21">
      <c r="O61" s="256"/>
      <c r="T61" s="10"/>
      <c r="U61" s="10"/>
    </row>
    <row r="62" spans="2:21">
      <c r="O62" s="256"/>
      <c r="T62" s="10"/>
      <c r="U62" s="10"/>
    </row>
    <row r="63" spans="2:21">
      <c r="O63" s="256"/>
      <c r="T63" s="10"/>
      <c r="U63" s="10"/>
    </row>
    <row r="64" spans="2:21">
      <c r="T64" s="10"/>
      <c r="U64" s="10"/>
    </row>
    <row r="65" spans="20:21">
      <c r="T65" s="10"/>
      <c r="U65" s="10"/>
    </row>
    <row r="66" spans="20:21">
      <c r="T66" s="10"/>
      <c r="U66" s="10"/>
    </row>
    <row r="67" spans="20:21">
      <c r="T67" s="10"/>
      <c r="U67" s="10"/>
    </row>
    <row r="68" spans="20:21">
      <c r="T68" s="10"/>
      <c r="U68" s="10"/>
    </row>
    <row r="69" spans="20:21">
      <c r="T69" s="10"/>
      <c r="U69" s="10"/>
    </row>
    <row r="70" spans="20:21">
      <c r="T70" s="10"/>
      <c r="U70" s="10"/>
    </row>
  </sheetData>
  <mergeCells count="49">
    <mergeCell ref="Q2:Y2"/>
    <mergeCell ref="K3:P3"/>
    <mergeCell ref="B2:P2"/>
    <mergeCell ref="K13:P13"/>
    <mergeCell ref="B12:P12"/>
    <mergeCell ref="D13:I13"/>
    <mergeCell ref="D3:I3"/>
    <mergeCell ref="B23:C23"/>
    <mergeCell ref="B22:C22"/>
    <mergeCell ref="B25:C25"/>
    <mergeCell ref="B24:C24"/>
    <mergeCell ref="D30:I30"/>
    <mergeCell ref="D22:H22"/>
    <mergeCell ref="D23:H23"/>
    <mergeCell ref="D24:H24"/>
    <mergeCell ref="D25:H25"/>
    <mergeCell ref="I22:P22"/>
    <mergeCell ref="J27:Q27"/>
    <mergeCell ref="B27:I27"/>
    <mergeCell ref="B28:C28"/>
    <mergeCell ref="B30:C30"/>
    <mergeCell ref="D28:I28"/>
    <mergeCell ref="B29:C29"/>
    <mergeCell ref="B41:I56"/>
    <mergeCell ref="D29:I29"/>
    <mergeCell ref="D31:I31"/>
    <mergeCell ref="B32:C32"/>
    <mergeCell ref="B37:C37"/>
    <mergeCell ref="B38:C38"/>
    <mergeCell ref="B39:C39"/>
    <mergeCell ref="B40:I40"/>
    <mergeCell ref="D39:F39"/>
    <mergeCell ref="G39:I39"/>
    <mergeCell ref="G37:I37"/>
    <mergeCell ref="G38:I38"/>
    <mergeCell ref="D35:F35"/>
    <mergeCell ref="D37:F37"/>
    <mergeCell ref="D38:F38"/>
    <mergeCell ref="B33:I33"/>
    <mergeCell ref="B36:C36"/>
    <mergeCell ref="B34:C34"/>
    <mergeCell ref="B35:C35"/>
    <mergeCell ref="G35:I35"/>
    <mergeCell ref="B31:C31"/>
    <mergeCell ref="D34:F34"/>
    <mergeCell ref="G34:I34"/>
    <mergeCell ref="D32:I32"/>
    <mergeCell ref="D36:F36"/>
    <mergeCell ref="G36:I36"/>
  </mergeCells>
  <phoneticPr fontId="0" type="noConversion"/>
  <conditionalFormatting sqref="B5:B9">
    <cfRule type="dataBar" priority="284">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5:B19">
    <cfRule type="dataBar" priority="1">
      <dataBar>
        <cfvo type="min"/>
        <cfvo type="max"/>
        <color rgb="FF638EC6"/>
      </dataBar>
      <extLst>
        <ext xmlns:x14="http://schemas.microsoft.com/office/spreadsheetml/2009/9/main" uri="{B025F937-C7B1-47D3-B67F-A62EFF666E3E}">
          <x14:id>{5FB89949-3BC1-4590-9A9A-DA71EBFA6923}</x14:id>
        </ext>
      </extLst>
    </cfRule>
  </conditionalFormatting>
  <conditionalFormatting sqref="B21">
    <cfRule type="dataBar" priority="249">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I9">
    <cfRule type="dataBar" priority="10">
      <dataBar>
        <cfvo type="min"/>
        <cfvo type="max"/>
        <color rgb="FF63C384"/>
      </dataBar>
      <extLst>
        <ext xmlns:x14="http://schemas.microsoft.com/office/spreadsheetml/2009/9/main" uri="{B025F937-C7B1-47D3-B67F-A62EFF666E3E}">
          <x14:id>{30CBC2F1-35AC-402E-BE1D-7BD218E8E68A}</x14:id>
        </ext>
      </extLst>
    </cfRule>
  </conditionalFormatting>
  <conditionalFormatting sqref="D15:I19">
    <cfRule type="dataBar" priority="4">
      <dataBar>
        <cfvo type="min"/>
        <cfvo type="max"/>
        <color rgb="FF63C384"/>
      </dataBar>
      <extLst>
        <ext xmlns:x14="http://schemas.microsoft.com/office/spreadsheetml/2009/9/main" uri="{B025F937-C7B1-47D3-B67F-A62EFF666E3E}">
          <x14:id>{F21EE4C7-EC08-4710-B627-5D1905690600}</x14:id>
        </ext>
      </extLst>
    </cfRule>
  </conditionalFormatting>
  <conditionalFormatting sqref="D21:I21">
    <cfRule type="dataBar" priority="194">
      <dataBar>
        <cfvo type="min"/>
        <cfvo type="max"/>
        <color rgb="FF63C384"/>
      </dataBar>
      <extLst>
        <ext xmlns:x14="http://schemas.microsoft.com/office/spreadsheetml/2009/9/main" uri="{B025F937-C7B1-47D3-B67F-A62EFF666E3E}">
          <x14:id>{3F107DCC-63A1-497B-B919-528218A545C1}</x14:id>
        </ext>
      </extLst>
    </cfRule>
    <cfRule type="dataBar" priority="199">
      <dataBar>
        <cfvo type="min"/>
        <cfvo type="max"/>
        <color rgb="FF63C384"/>
      </dataBar>
      <extLst>
        <ext xmlns:x14="http://schemas.microsoft.com/office/spreadsheetml/2009/9/main" uri="{B025F937-C7B1-47D3-B67F-A62EFF666E3E}">
          <x14:id>{5BBC426E-7FA9-4F5C-AC78-B3996BA8F931}</x14:id>
        </ext>
      </extLst>
    </cfRule>
  </conditionalFormatting>
  <conditionalFormatting sqref="E21">
    <cfRule type="dataBar" priority="252">
      <dataBar>
        <cfvo type="min"/>
        <cfvo type="max"/>
        <color rgb="FF63C384"/>
      </dataBar>
      <extLst>
        <ext xmlns:x14="http://schemas.microsoft.com/office/spreadsheetml/2009/9/main" uri="{B025F937-C7B1-47D3-B67F-A62EFF666E3E}">
          <x14:id>{5AA7A103-2149-42E1-9BBB-48A01258D43D}</x14:id>
        </ext>
      </extLst>
    </cfRule>
  </conditionalFormatting>
  <conditionalFormatting sqref="F21">
    <cfRule type="dataBar" priority="255">
      <dataBar>
        <cfvo type="min"/>
        <cfvo type="max"/>
        <color rgb="FF63C384"/>
      </dataBar>
      <extLst>
        <ext xmlns:x14="http://schemas.microsoft.com/office/spreadsheetml/2009/9/main" uri="{B025F937-C7B1-47D3-B67F-A62EFF666E3E}">
          <x14:id>{5EE1521A-2483-44CA-9CCA-E5FC63E6246F}</x14:id>
        </ext>
      </extLst>
    </cfRule>
  </conditionalFormatting>
  <conditionalFormatting sqref="G21">
    <cfRule type="dataBar" priority="258">
      <dataBar>
        <cfvo type="min"/>
        <cfvo type="max"/>
        <color rgb="FF63C384"/>
      </dataBar>
      <extLst>
        <ext xmlns:x14="http://schemas.microsoft.com/office/spreadsheetml/2009/9/main" uri="{B025F937-C7B1-47D3-B67F-A62EFF666E3E}">
          <x14:id>{00DC50B7-1706-4DFB-A90F-9F95CB19CA6D}</x14:id>
        </ext>
      </extLst>
    </cfRule>
  </conditionalFormatting>
  <conditionalFormatting sqref="H21">
    <cfRule type="dataBar" priority="261">
      <dataBar>
        <cfvo type="min"/>
        <cfvo type="max"/>
        <color rgb="FF63C384"/>
      </dataBar>
      <extLst>
        <ext xmlns:x14="http://schemas.microsoft.com/office/spreadsheetml/2009/9/main" uri="{B025F937-C7B1-47D3-B67F-A62EFF666E3E}">
          <x14:id>{EED505F4-1AE5-4E85-A25F-1DAC1EADC97D}</x14:id>
        </ext>
      </extLst>
    </cfRule>
  </conditionalFormatting>
  <conditionalFormatting sqref="I21">
    <cfRule type="dataBar" priority="248">
      <dataBar>
        <cfvo type="min"/>
        <cfvo type="max"/>
        <color rgb="FF63C384"/>
      </dataBar>
      <extLst>
        <ext xmlns:x14="http://schemas.microsoft.com/office/spreadsheetml/2009/9/main" uri="{B025F937-C7B1-47D3-B67F-A62EFF666E3E}">
          <x14:id>{A192D211-7CF8-4DE2-A7D7-7E84CEAE76AC}</x14:id>
        </ext>
      </extLst>
    </cfRule>
  </conditionalFormatting>
  <conditionalFormatting sqref="K21:O21">
    <cfRule type="dataBar" priority="267">
      <dataBar>
        <cfvo type="min"/>
        <cfvo type="max"/>
        <color rgb="FF63C384"/>
      </dataBar>
      <extLst>
        <ext xmlns:x14="http://schemas.microsoft.com/office/spreadsheetml/2009/9/main" uri="{B025F937-C7B1-47D3-B67F-A62EFF666E3E}">
          <x14:id>{CBC457F7-3DB8-46A0-988B-11CCF8FF31E5}</x14:id>
        </ext>
      </extLst>
    </cfRule>
    <cfRule type="dataBar" priority="268">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9">
    <cfRule type="dataBar" priority="2">
      <dataBar>
        <cfvo type="min"/>
        <cfvo type="max"/>
        <color rgb="FF63C384"/>
      </dataBar>
      <extLst>
        <ext xmlns:x14="http://schemas.microsoft.com/office/spreadsheetml/2009/9/main" uri="{B025F937-C7B1-47D3-B67F-A62EFF666E3E}">
          <x14:id>{370D410E-27F9-42EF-8428-6FC4EBE7966C}</x14:id>
        </ext>
      </extLst>
    </cfRule>
  </conditionalFormatting>
  <conditionalFormatting sqref="K15:P19">
    <cfRule type="dataBar" priority="3">
      <dataBar>
        <cfvo type="min"/>
        <cfvo type="max"/>
        <color rgb="FF63C384"/>
      </dataBar>
      <extLst>
        <ext xmlns:x14="http://schemas.microsoft.com/office/spreadsheetml/2009/9/main" uri="{B025F937-C7B1-47D3-B67F-A62EFF666E3E}">
          <x14:id>{C87AD23D-BD3B-493A-9A41-9D83B1D13C4F}</x14:id>
        </ext>
      </extLst>
    </cfRule>
  </conditionalFormatting>
  <conditionalFormatting sqref="K21:P21">
    <cfRule type="dataBar" priority="86">
      <dataBar>
        <cfvo type="min"/>
        <cfvo type="max"/>
        <color rgb="FF63C384"/>
      </dataBar>
      <extLst>
        <ext xmlns:x14="http://schemas.microsoft.com/office/spreadsheetml/2009/9/main" uri="{B025F937-C7B1-47D3-B67F-A62EFF666E3E}">
          <x14:id>{624EF9E9-FC69-4C57-8B92-4F6320D43BF6}</x14:id>
        </ext>
      </extLst>
    </cfRule>
    <cfRule type="dataBar" priority="95">
      <dataBar>
        <cfvo type="min"/>
        <cfvo type="max"/>
        <color rgb="FF63C384"/>
      </dataBar>
      <extLst>
        <ext xmlns:x14="http://schemas.microsoft.com/office/spreadsheetml/2009/9/main" uri="{B025F937-C7B1-47D3-B67F-A62EFF666E3E}">
          <x14:id>{1C8C07B2-BD7C-4727-B188-3301C366D456}</x14:id>
        </ext>
      </extLst>
    </cfRule>
    <cfRule type="dataBar" priority="102">
      <dataBar>
        <cfvo type="min"/>
        <cfvo type="max"/>
        <color rgb="FF63C384"/>
      </dataBar>
      <extLst>
        <ext xmlns:x14="http://schemas.microsoft.com/office/spreadsheetml/2009/9/main" uri="{B025F937-C7B1-47D3-B67F-A62EFF666E3E}">
          <x14:id>{904D660B-3592-4479-B026-ACD9350A3616}</x14:id>
        </ext>
      </extLst>
    </cfRule>
    <cfRule type="dataBar" priority="104">
      <dataBar>
        <cfvo type="min"/>
        <cfvo type="max"/>
        <color rgb="FF63C384"/>
      </dataBar>
      <extLst>
        <ext xmlns:x14="http://schemas.microsoft.com/office/spreadsheetml/2009/9/main" uri="{B025F937-C7B1-47D3-B67F-A62EFF666E3E}">
          <x14:id>{FE2287FA-B40E-40F5-8AA8-262EA0BD4636}</x14:id>
        </ext>
      </extLst>
    </cfRule>
    <cfRule type="dataBar" priority="283">
      <dataBar>
        <cfvo type="min"/>
        <cfvo type="max"/>
        <color rgb="FF63C384"/>
      </dataBar>
      <extLst>
        <ext xmlns:x14="http://schemas.microsoft.com/office/spreadsheetml/2009/9/main" uri="{B025F937-C7B1-47D3-B67F-A62EFF666E3E}">
          <x14:id>{EC7F1560-4E75-4756-AE37-09B82982D1AB}</x14:id>
        </ext>
      </extLst>
    </cfRule>
  </conditionalFormatting>
  <conditionalFormatting sqref="P21">
    <cfRule type="dataBar" priority="87">
      <dataBar>
        <cfvo type="min"/>
        <cfvo type="max"/>
        <color rgb="FF63C384"/>
      </dataBar>
      <extLst>
        <ext xmlns:x14="http://schemas.microsoft.com/office/spreadsheetml/2009/9/main" uri="{B025F937-C7B1-47D3-B67F-A62EFF666E3E}">
          <x14:id>{44059659-321E-4F16-A91E-71EB67462F51}</x14:id>
        </ext>
      </extLst>
    </cfRule>
    <cfRule type="dataBar" priority="88">
      <dataBar>
        <cfvo type="min"/>
        <cfvo type="max"/>
        <color rgb="FF63C384"/>
      </dataBar>
      <extLst>
        <ext xmlns:x14="http://schemas.microsoft.com/office/spreadsheetml/2009/9/main" uri="{B025F937-C7B1-47D3-B67F-A62EFF666E3E}">
          <x14:id>{657DE2C6-03A4-4EDE-99AD-798EB4DDA82C}</x14:id>
        </ext>
      </extLst>
    </cfRule>
    <cfRule type="dataBar" priority="89">
      <dataBar>
        <cfvo type="min"/>
        <cfvo type="max"/>
        <color rgb="FF63C384"/>
      </dataBar>
      <extLst>
        <ext xmlns:x14="http://schemas.microsoft.com/office/spreadsheetml/2009/9/main" uri="{B025F937-C7B1-47D3-B67F-A62EFF666E3E}">
          <x14:id>{ECB61C77-2C43-48F4-8A50-733EB85A1CEE}</x14:id>
        </ext>
      </extLst>
    </cfRule>
    <cfRule type="dataBar" priority="90">
      <dataBar>
        <cfvo type="min"/>
        <cfvo type="max"/>
        <color rgb="FF63C384"/>
      </dataBar>
      <extLst>
        <ext xmlns:x14="http://schemas.microsoft.com/office/spreadsheetml/2009/9/main" uri="{B025F937-C7B1-47D3-B67F-A62EFF666E3E}">
          <x14:id>{CA13E27F-6DDD-451D-9981-58C3F52DF064}</x14:id>
        </ext>
      </extLst>
    </cfRule>
    <cfRule type="dataBar" priority="91">
      <dataBar>
        <cfvo type="min"/>
        <cfvo type="max"/>
        <color rgb="FF63C384"/>
      </dataBar>
      <extLst>
        <ext xmlns:x14="http://schemas.microsoft.com/office/spreadsheetml/2009/9/main" uri="{B025F937-C7B1-47D3-B67F-A62EFF666E3E}">
          <x14:id>{E25FCA19-5187-42DE-ACC0-FA124C432602}</x14:id>
        </ext>
      </extLst>
    </cfRule>
    <cfRule type="dataBar" priority="128">
      <dataBar>
        <cfvo type="min"/>
        <cfvo type="max"/>
        <color rgb="FF63C384"/>
      </dataBar>
      <extLst>
        <ext xmlns:x14="http://schemas.microsoft.com/office/spreadsheetml/2009/9/main" uri="{B025F937-C7B1-47D3-B67F-A62EFF666E3E}">
          <x14:id>{A1AE97AD-5647-4F9F-A100-6C15C1895B18}</x14:id>
        </ext>
      </extLst>
    </cfRule>
  </conditionalFormatting>
  <hyperlinks>
    <hyperlink ref="B35:C35" r:id="rId1" display="https://www.acumenresearchandconsulting.com/lithium-compounds-market" xr:uid="{3A6EE814-337F-4ABA-9B0B-A2B7F9283371}"/>
    <hyperlink ref="B37:C37" r:id="rId2" display="https://www.grandviewresearch.com/industry-analysis/lithium-market" xr:uid="{D429BB36-1C51-4558-A9B5-912C7197E13E}"/>
    <hyperlink ref="B38:C38" r:id="rId3" display="https://straitsresearch.com/report/lithium-market" xr:uid="{4B62CDDD-87B3-4DE7-8F36-75AFA6576CF1}"/>
    <hyperlink ref="B36:C36" r:id="rId4" display="https://www.mordorintelligence.com/industry-reports/lithium-market" xr:uid="{79E9AE81-19DE-4864-85CD-A0DFC58E25D2}"/>
  </hyperlinks>
  <pageMargins left="0.75" right="0.75" top="1" bottom="1" header="0" footer="0"/>
  <pageSetup orientation="landscape" r:id="rId5"/>
  <headerFooter alignWithMargins="0"/>
  <drawing r:id="rId6"/>
  <legacyDrawing r:id="rId7"/>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B5:B9</xm:sqref>
        </x14:conditionalFormatting>
        <x14:conditionalFormatting xmlns:xm="http://schemas.microsoft.com/office/excel/2006/main">
          <x14:cfRule type="dataBar" id="{5FB89949-3BC1-4590-9A9A-DA71EBFA6923}">
            <x14:dataBar minLength="0" maxLength="100" border="1" negativeBarBorderColorSameAsPositive="0">
              <x14:cfvo type="autoMin"/>
              <x14:cfvo type="autoMax"/>
              <x14:borderColor rgb="FF638EC6"/>
              <x14:negativeFillColor rgb="FFFF0000"/>
              <x14:negativeBorderColor rgb="FFFF0000"/>
              <x14:axisColor rgb="FF000000"/>
            </x14:dataBar>
          </x14:cfRule>
          <xm:sqref>B15:B19</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B21</xm:sqref>
        </x14:conditionalFormatting>
        <x14:conditionalFormatting xmlns:xm="http://schemas.microsoft.com/office/excel/2006/main">
          <x14:cfRule type="dataBar" id="{30CBC2F1-35AC-402E-BE1D-7BD218E8E68A}">
            <x14:dataBar minLength="0" maxLength="100" gradient="0">
              <x14:cfvo type="autoMin"/>
              <x14:cfvo type="autoMax"/>
              <x14:negativeFillColor rgb="FFFF0000"/>
              <x14:axisColor rgb="FF000000"/>
            </x14:dataBar>
          </x14:cfRule>
          <xm:sqref>D5:I9</xm:sqref>
        </x14:conditionalFormatting>
        <x14:conditionalFormatting xmlns:xm="http://schemas.microsoft.com/office/excel/2006/main">
          <x14:cfRule type="dataBar" id="{F21EE4C7-EC08-4710-B627-5D1905690600}">
            <x14:dataBar minLength="0" maxLength="100" gradient="0">
              <x14:cfvo type="autoMin"/>
              <x14:cfvo type="autoMax"/>
              <x14:negativeFillColor rgb="FFFF0000"/>
              <x14:axisColor rgb="FF000000"/>
            </x14:dataBar>
          </x14:cfRule>
          <xm:sqref>D15:I19</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14:cfRule type="dataBar" id="{5BBC426E-7FA9-4F5C-AC78-B3996BA8F931}">
            <x14:dataBar minLength="0" maxLength="100" gradient="0">
              <x14:cfvo type="autoMin"/>
              <x14:cfvo type="autoMax"/>
              <x14:negativeFillColor rgb="FFFF0000"/>
              <x14:axisColor rgb="FF000000"/>
            </x14:dataBar>
          </x14:cfRule>
          <xm:sqref>D21:I21</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E21</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F21</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G21</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H21</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I21</xm:sqref>
        </x14:conditionalFormatting>
        <x14:conditionalFormatting xmlns:xm="http://schemas.microsoft.com/office/excel/2006/main">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K21:O21</xm:sqref>
        </x14:conditionalFormatting>
        <x14:conditionalFormatting xmlns:xm="http://schemas.microsoft.com/office/excel/2006/main">
          <x14:cfRule type="dataBar" id="{370D410E-27F9-42EF-8428-6FC4EBE7966C}">
            <x14:dataBar minLength="0" maxLength="100" gradient="0">
              <x14:cfvo type="autoMin"/>
              <x14:cfvo type="autoMax"/>
              <x14:negativeFillColor rgb="FFFF0000"/>
              <x14:axisColor rgb="FF000000"/>
            </x14:dataBar>
          </x14:cfRule>
          <xm:sqref>K5:P9</xm:sqref>
        </x14:conditionalFormatting>
        <x14:conditionalFormatting xmlns:xm="http://schemas.microsoft.com/office/excel/2006/main">
          <x14:cfRule type="dataBar" id="{C87AD23D-BD3B-493A-9A41-9D83B1D13C4F}">
            <x14:dataBar minLength="0" maxLength="100" gradient="0">
              <x14:cfvo type="autoMin"/>
              <x14:cfvo type="autoMax"/>
              <x14:negativeFillColor rgb="FFFF0000"/>
              <x14:axisColor rgb="FF000000"/>
            </x14:dataBar>
          </x14:cfRule>
          <xm:sqref>K15:P19</xm:sqref>
        </x14:conditionalFormatting>
        <x14:conditionalFormatting xmlns:xm="http://schemas.microsoft.com/office/excel/2006/main">
          <x14:cfRule type="dataBar" id="{624EF9E9-FC69-4C57-8B92-4F6320D43BF6}">
            <x14:dataBar minLength="0" maxLength="100" gradient="0">
              <x14:cfvo type="autoMin"/>
              <x14:cfvo type="autoMax"/>
              <x14:negativeFillColor rgb="FFFF0000"/>
              <x14:axisColor rgb="FF000000"/>
            </x14:dataBar>
          </x14:cfRule>
          <x14:cfRule type="dataBar" id="{1C8C07B2-BD7C-4727-B188-3301C366D456}">
            <x14:dataBar minLength="0" maxLength="100" gradient="0">
              <x14:cfvo type="autoMin"/>
              <x14:cfvo type="autoMax"/>
              <x14:negativeFill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K21:P21</xm:sqref>
        </x14:conditionalFormatting>
        <x14:conditionalFormatting xmlns:xm="http://schemas.microsoft.com/office/excel/2006/main">
          <x14:cfRule type="dataBar" id="{44059659-321E-4F16-A91E-71EB67462F51}">
            <x14:dataBar minLength="0" maxLength="100" gradient="0">
              <x14:cfvo type="autoMin"/>
              <x14:cfvo type="autoMax"/>
              <x14:negativeFillColor rgb="FFFF0000"/>
              <x14:axisColor rgb="FF000000"/>
            </x14:dataBar>
          </x14:cfRule>
          <x14:cfRule type="dataBar" id="{657DE2C6-03A4-4EDE-99AD-798EB4DDA82C}">
            <x14:dataBar minLength="0" maxLength="100" gradient="0">
              <x14:cfvo type="autoMin"/>
              <x14:cfvo type="autoMax"/>
              <x14:negativeFillColor rgb="FFFF0000"/>
              <x14:axisColor rgb="FF000000"/>
            </x14:dataBar>
          </x14:cfRule>
          <x14:cfRule type="dataBar" id="{ECB61C77-2C43-48F4-8A50-733EB85A1CEE}">
            <x14:dataBar minLength="0" maxLength="100" gradient="0">
              <x14:cfvo type="autoMin"/>
              <x14:cfvo type="autoMax"/>
              <x14:negativeFill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1AE97AD-5647-4F9F-A100-6C15C1895B18}">
            <x14:dataBar minLength="0" maxLength="100" gradient="0">
              <x14:cfvo type="autoMin"/>
              <x14:cfvo type="autoMax"/>
              <x14:negativeFillColor rgb="FFFF0000"/>
              <x14:axisColor rgb="FF000000"/>
            </x14:dataBar>
          </x14:cfRule>
          <xm:sqref>P21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O95"/>
  <sheetViews>
    <sheetView showGridLines="0" topLeftCell="A56" zoomScale="90" zoomScaleNormal="90" workbookViewId="0">
      <pane xSplit="2" topLeftCell="C27" activePane="topRight" state="frozen"/>
      <selection pane="topRight" activeCell="F70" sqref="F70"/>
      <selection activeCell="A50" sqref="A50"/>
    </sheetView>
  </sheetViews>
  <sheetFormatPr defaultColWidth="11.42578125" defaultRowHeight="13.15"/>
  <cols>
    <col min="1" max="1" width="0.42578125" customWidth="1"/>
    <col min="2" max="2" width="32.28515625" customWidth="1"/>
    <col min="3" max="4" width="32.140625" customWidth="1"/>
    <col min="5" max="5" width="33.42578125" customWidth="1"/>
    <col min="6" max="7" width="33.7109375" customWidth="1"/>
    <col min="8" max="8" width="18.7109375" bestFit="1" customWidth="1"/>
    <col min="9" max="9" width="21.42578125" bestFit="1" customWidth="1"/>
    <col min="10" max="10" width="19" bestFit="1" customWidth="1"/>
    <col min="11" max="11" width="21" customWidth="1"/>
    <col min="12" max="12" width="18.42578125" bestFit="1" customWidth="1"/>
  </cols>
  <sheetData>
    <row r="1" spans="2:13" ht="13.9">
      <c r="B1" s="165" t="s">
        <v>246</v>
      </c>
      <c r="C1" s="166" t="s">
        <v>247</v>
      </c>
      <c r="D1" s="1420" t="s">
        <v>215</v>
      </c>
      <c r="E1" s="1420"/>
      <c r="F1" s="1420"/>
      <c r="G1" s="833" t="s">
        <v>248</v>
      </c>
      <c r="H1" s="833" t="s">
        <v>249</v>
      </c>
      <c r="I1" s="165" t="s">
        <v>250</v>
      </c>
      <c r="J1" s="165" t="s">
        <v>251</v>
      </c>
    </row>
    <row r="2" spans="2:13" ht="122.65" customHeight="1">
      <c r="B2" s="551" t="e" vm="6">
        <v>#VALUE!</v>
      </c>
      <c r="C2" s="718" t="e" vm="2">
        <v>#VALUE!</v>
      </c>
      <c r="D2" s="1417" t="s">
        <v>252</v>
      </c>
      <c r="E2" s="1418"/>
      <c r="F2" s="1419"/>
      <c r="G2" s="826" t="s">
        <v>253</v>
      </c>
      <c r="H2" s="1057">
        <v>0.89</v>
      </c>
      <c r="I2" s="826" t="str" cm="1">
        <f t="array" aca="1" ref="I2" ca="1">_FV(C2,"Moeda")</f>
        <v>USD</v>
      </c>
      <c r="J2" s="826" t="s">
        <v>254</v>
      </c>
    </row>
    <row r="3" spans="2:13" ht="108" customHeight="1">
      <c r="B3" s="550" t="e" vm="7">
        <v>#VALUE!</v>
      </c>
      <c r="C3" s="293" t="e" vm="3">
        <v>#VALUE!</v>
      </c>
      <c r="D3" s="1417" t="s">
        <v>255</v>
      </c>
      <c r="E3" s="1418"/>
      <c r="F3" s="1419"/>
      <c r="G3" s="826" t="s">
        <v>256</v>
      </c>
      <c r="H3" s="1057">
        <v>0.72</v>
      </c>
      <c r="I3" s="826" t="str" cm="1">
        <f t="array" aca="1" ref="I3" ca="1">_FV(C3,"Moeda")</f>
        <v>USD</v>
      </c>
      <c r="J3" s="826" t="s">
        <v>254</v>
      </c>
    </row>
    <row r="4" spans="2:13" ht="106.15" customHeight="1">
      <c r="B4" s="551" t="e" vm="8">
        <v>#VALUE!</v>
      </c>
      <c r="C4" s="294" t="e" vm="4">
        <v>#VALUE!</v>
      </c>
      <c r="D4" s="1417" t="s">
        <v>257</v>
      </c>
      <c r="E4" s="1418"/>
      <c r="F4" s="1419"/>
      <c r="G4" s="826" t="s">
        <v>258</v>
      </c>
      <c r="H4" s="1057">
        <v>0.39579999999999999</v>
      </c>
      <c r="I4" s="826" t="str" cm="1">
        <f t="array" aca="1" ref="I4" ca="1">_FV(C4,"Moeda")</f>
        <v>AUD</v>
      </c>
      <c r="J4" s="826" t="s">
        <v>259</v>
      </c>
    </row>
    <row r="5" spans="2:13" ht="110.65" customHeight="1">
      <c r="B5" s="551" t="e" vm="9">
        <v>#VALUE!</v>
      </c>
      <c r="C5" s="717" t="e" vm="5">
        <v>#VALUE!</v>
      </c>
      <c r="D5" s="1417" t="s">
        <v>260</v>
      </c>
      <c r="E5" s="1418"/>
      <c r="F5" s="1419"/>
      <c r="G5" s="826" t="s">
        <v>261</v>
      </c>
      <c r="H5" s="1057">
        <f>511/883</f>
        <v>0.57870894677236695</v>
      </c>
      <c r="I5" s="826" t="str" cm="1">
        <f t="array" aca="1" ref="I5" ca="1">_FV(C5,"Moeda")</f>
        <v>AUD</v>
      </c>
      <c r="J5" s="826" t="s">
        <v>254</v>
      </c>
    </row>
    <row r="6" spans="2:13" ht="127.9" hidden="1" customHeight="1">
      <c r="B6" s="551"/>
      <c r="C6" s="719"/>
      <c r="D6" s="1417" t="e" cm="1" vm="10">
        <f t="array" ref="D6">_FV(C6,"Descrição")</f>
        <v>#VALUE!</v>
      </c>
      <c r="E6" s="1418"/>
      <c r="F6" s="1419"/>
      <c r="G6" t="e" cm="1" vm="11">
        <f t="array" ref="G6">_FV(C6,"Moeda")</f>
        <v>#VALUE!</v>
      </c>
    </row>
    <row r="7" spans="2:13" ht="13.9" thickBot="1">
      <c r="B7" s="10"/>
    </row>
    <row r="8" spans="2:13" ht="46.9" customHeight="1" thickBot="1">
      <c r="B8" s="656" t="str" cm="1">
        <f t="array" aca="1" ref="B8" ca="1">_FV(OP!E2,"Currency")&amp;" MILLIONS"</f>
        <v>AUD MILLIONS</v>
      </c>
      <c r="C8" s="289" t="e" vm="1">
        <f>OP!E2</f>
        <v>#VALUE!</v>
      </c>
      <c r="D8" s="290" t="e" vm="2">
        <f>C2</f>
        <v>#VALUE!</v>
      </c>
      <c r="E8" s="291" t="e" vm="3">
        <f>C3</f>
        <v>#VALUE!</v>
      </c>
      <c r="F8" s="292" t="e" vm="4">
        <f>C4</f>
        <v>#VALUE!</v>
      </c>
      <c r="G8" s="717" t="e" vm="5">
        <f>C5</f>
        <v>#VALUE!</v>
      </c>
      <c r="H8" s="658" t="s">
        <v>242</v>
      </c>
      <c r="I8" s="434" t="s">
        <v>262</v>
      </c>
    </row>
    <row r="9" spans="2:13" ht="16.5" customHeight="1" thickBot="1">
      <c r="B9" s="161" t="s">
        <v>263</v>
      </c>
      <c r="C9" s="151"/>
      <c r="D9" s="152"/>
      <c r="E9" s="152"/>
      <c r="F9" s="152"/>
      <c r="G9" s="152"/>
      <c r="H9" s="153" t="str">
        <f>IFERROR(AVERAGE(C9:F9),"")</f>
        <v/>
      </c>
      <c r="I9" s="416"/>
      <c r="K9" s="714" t="s">
        <v>264</v>
      </c>
      <c r="L9" s="715"/>
      <c r="M9" s="716"/>
    </row>
    <row r="10" spans="2:13" s="90" customFormat="1" ht="13.5" customHeight="1" thickBot="1">
      <c r="B10" s="163" t="s">
        <v>265</v>
      </c>
      <c r="C10" s="758" cm="1">
        <f t="array" aca="1" ref="C10" ca="1">_FV(C8,"Market cap",TRUE)/1000000</f>
        <v>8913.9950000000008</v>
      </c>
      <c r="D10" s="758" cm="1">
        <f t="array" aca="1" ref="D10" ca="1">(_FV(D8,"Capitalização de mercado",TRUE)*_FV($D$55,"Preço"))/1000000</f>
        <v>18547.684792654502</v>
      </c>
      <c r="E10" s="758" cm="1">
        <f t="array" aca="1" ref="E10" ca="1">(_FV(E8,"Capitalização de mercado",TRUE)*_FV($D$55,"Preço"))/1000000</f>
        <v>15963.253844999999</v>
      </c>
      <c r="F10" s="758" cm="1">
        <f t="array" aca="1" ref="F10" ca="1">_FV(F8,"Capitalização de mercado",TRUE)/1000000</f>
        <v>7560.0709999999999</v>
      </c>
      <c r="G10" s="758" cm="1">
        <f t="array" aca="1" ref="G10" ca="1">_FV(G8,"Capitalização de mercado",TRUE)/1000000</f>
        <v>5764.1350000000002</v>
      </c>
      <c r="H10" s="568">
        <f ca="1">IFERROR(AVERAGE(C10:G10),"")</f>
        <v>11349.827927530901</v>
      </c>
      <c r="I10" s="562">
        <f ca="1">SQRT((C10-H10)^2)</f>
        <v>2435.8329275309006</v>
      </c>
      <c r="J10" s="563"/>
      <c r="K10" s="1421"/>
      <c r="L10" s="1427" t="s">
        <v>266</v>
      </c>
      <c r="M10" s="1428"/>
    </row>
    <row r="11" spans="2:13" ht="13.9" customHeight="1" thickBot="1">
      <c r="B11" s="364" t="s">
        <v>267</v>
      </c>
      <c r="C11" s="759">
        <f>C61</f>
        <v>4064</v>
      </c>
      <c r="D11" s="759">
        <f>D61</f>
        <v>14490</v>
      </c>
      <c r="E11" s="759">
        <f>E60</f>
        <v>15450</v>
      </c>
      <c r="F11" s="759">
        <f t="shared" ref="F11:G11" si="0">F61</f>
        <v>4779.1000000000004</v>
      </c>
      <c r="G11" s="759">
        <f t="shared" si="0"/>
        <v>1795.8</v>
      </c>
      <c r="H11" s="385">
        <f>IFERROR(AVERAGE(C11:G11),"")</f>
        <v>8115.7800000000007</v>
      </c>
      <c r="I11" s="417">
        <f>SQRT((C11-H11)^2)</f>
        <v>4051.7800000000007</v>
      </c>
      <c r="K11" s="1422"/>
      <c r="L11" s="1429"/>
      <c r="M11" s="1430"/>
    </row>
    <row r="12" spans="2:13" ht="16.5" customHeight="1" thickBot="1">
      <c r="B12" s="161" t="s">
        <v>268</v>
      </c>
      <c r="C12" s="164"/>
      <c r="D12" s="164"/>
      <c r="E12" s="164"/>
      <c r="F12" s="164"/>
      <c r="G12" s="164"/>
      <c r="H12" s="386" t="str">
        <f>IFERROR(AVERAGE(C12:F12),"")</f>
        <v/>
      </c>
      <c r="I12" s="418"/>
      <c r="K12" s="1423"/>
      <c r="L12" s="1427" t="s">
        <v>269</v>
      </c>
      <c r="M12" s="1428"/>
    </row>
    <row r="13" spans="2:13" ht="13.9" customHeight="1" thickBot="1">
      <c r="B13" s="160" t="s">
        <v>270</v>
      </c>
      <c r="C13" s="771">
        <f>C61/C60-1</f>
        <v>2.4162743779421656</v>
      </c>
      <c r="D13" s="564">
        <f t="shared" ref="D13:F13" si="1">D61/D60-1</f>
        <v>0.37228904252296613</v>
      </c>
      <c r="E13" s="372">
        <f>E60/E61-1</f>
        <v>0.37321127010932353</v>
      </c>
      <c r="F13" s="372">
        <f t="shared" si="1"/>
        <v>0.39821533060269165</v>
      </c>
      <c r="G13" s="372">
        <f t="shared" ref="G13" si="2">G61/G60-1</f>
        <v>0.74858812074001935</v>
      </c>
      <c r="H13" s="387">
        <f t="shared" ref="H13:H19" si="3">IFERROR(AVERAGE(C13:G13),"")</f>
        <v>0.8617156283834333</v>
      </c>
      <c r="I13" s="419">
        <f t="shared" ref="I13:I19" si="4">SQRT((C13-H13)^2)</f>
        <v>1.5545587495587323</v>
      </c>
      <c r="K13" s="1424"/>
      <c r="L13" s="1429"/>
      <c r="M13" s="1430"/>
    </row>
    <row r="14" spans="2:13" ht="13.9" customHeight="1" thickBot="1">
      <c r="B14" s="365" t="s">
        <v>271</v>
      </c>
      <c r="C14" s="772">
        <f>C61/C59-1</f>
        <v>47.323424494649231</v>
      </c>
      <c r="D14" s="366">
        <f t="shared" ref="D14:F14" si="5">D61/D59-1</f>
        <v>2.1860158311345645</v>
      </c>
      <c r="E14" s="366">
        <f t="shared" si="5"/>
        <v>3.2601287391139717</v>
      </c>
      <c r="F14" s="366">
        <f t="shared" si="5"/>
        <v>1.2493057843460256</v>
      </c>
      <c r="G14" s="366">
        <f t="shared" ref="G14" si="6">G61/G59-1</f>
        <v>19.736720554272519</v>
      </c>
      <c r="H14" s="387">
        <f t="shared" si="3"/>
        <v>14.751119080703262</v>
      </c>
      <c r="I14" s="420">
        <f t="shared" si="4"/>
        <v>32.572305413945969</v>
      </c>
      <c r="K14" s="1425"/>
      <c r="L14" s="1427" t="s">
        <v>272</v>
      </c>
      <c r="M14" s="1428"/>
    </row>
    <row r="15" spans="2:13" ht="13.9" customHeight="1" thickBot="1">
      <c r="B15" s="373" t="s">
        <v>136</v>
      </c>
      <c r="C15" s="772">
        <f>C64/C61</f>
        <v>0.79032972440944882</v>
      </c>
      <c r="D15" s="564">
        <f t="shared" ref="D15:G15" si="7">D64/D61</f>
        <v>2.650103519668737E-2</v>
      </c>
      <c r="E15" s="372">
        <f t="shared" si="7"/>
        <v>0.38094391609634698</v>
      </c>
      <c r="F15" s="372">
        <f t="shared" si="7"/>
        <v>0.10809566654809483</v>
      </c>
      <c r="G15" s="372">
        <f t="shared" si="7"/>
        <v>0.64717674574006023</v>
      </c>
      <c r="H15" s="387">
        <f t="shared" si="3"/>
        <v>0.39060941759812762</v>
      </c>
      <c r="I15" s="421">
        <f t="shared" si="4"/>
        <v>0.3997203068113212</v>
      </c>
      <c r="K15" s="1426"/>
      <c r="L15" s="1431"/>
      <c r="M15" s="1432"/>
    </row>
    <row r="16" spans="2:13" ht="13.9" customHeight="1">
      <c r="B16" s="373" t="s">
        <v>273</v>
      </c>
      <c r="C16" s="1128">
        <f>C63/C61</f>
        <v>0.76247539370078743</v>
      </c>
      <c r="D16" s="366">
        <f>D63/D61</f>
        <v>9.1649413388543821E-2</v>
      </c>
      <c r="E16" s="366">
        <f t="shared" ref="E16:G16" si="8">E63/E61</f>
        <v>0.42262909963558792</v>
      </c>
      <c r="F16" s="366">
        <f t="shared" si="8"/>
        <v>0.36734950095206204</v>
      </c>
      <c r="G16" s="366">
        <f t="shared" si="8"/>
        <v>0.75398151241786393</v>
      </c>
      <c r="H16" s="387">
        <f t="shared" si="3"/>
        <v>0.47961698401896902</v>
      </c>
      <c r="I16" s="421">
        <f t="shared" si="4"/>
        <v>0.28285840968181841</v>
      </c>
      <c r="K16" s="1129"/>
      <c r="L16" s="1129"/>
      <c r="M16" s="1129"/>
    </row>
    <row r="17" spans="2:10" ht="13.9" thickBot="1">
      <c r="B17" s="365" t="s">
        <v>274</v>
      </c>
      <c r="C17" s="773">
        <f>C67/C61</f>
        <v>0.58836122047244088</v>
      </c>
      <c r="D17" s="564">
        <f>D67/D61</f>
        <v>0.16363008971704623</v>
      </c>
      <c r="E17" s="372">
        <f>E67/E60</f>
        <v>0.19624595469255662</v>
      </c>
      <c r="F17" s="372">
        <f>F67/F61</f>
        <v>5.090916699797033E-2</v>
      </c>
      <c r="G17" s="372">
        <f>G67/G61</f>
        <v>0.36574228755986188</v>
      </c>
      <c r="H17" s="387">
        <f t="shared" si="3"/>
        <v>0.27297774388797513</v>
      </c>
      <c r="I17" s="420">
        <f t="shared" si="4"/>
        <v>0.31538347658446575</v>
      </c>
    </row>
    <row r="18" spans="2:10" ht="13.9" thickBot="1">
      <c r="B18" s="373" t="s">
        <v>275</v>
      </c>
      <c r="C18" s="772">
        <f>C67/C80</f>
        <v>0.705339233038348</v>
      </c>
      <c r="D18" s="366">
        <f>D67/D80</f>
        <v>0.17155053903480211</v>
      </c>
      <c r="E18" s="366">
        <f>E67/E80</f>
        <v>0.37335303534047531</v>
      </c>
      <c r="F18" s="366">
        <f>F67/F80</f>
        <v>7.0012373744640449E-2</v>
      </c>
      <c r="G18" s="366">
        <f t="shared" ref="G18" si="9">G67/G80</f>
        <v>0.12865061798523103</v>
      </c>
      <c r="H18" s="387">
        <f t="shared" si="3"/>
        <v>0.2897811598286994</v>
      </c>
      <c r="I18" s="421">
        <f t="shared" si="4"/>
        <v>0.4155580732096486</v>
      </c>
    </row>
    <row r="19" spans="2:10" ht="13.9" thickBot="1">
      <c r="B19" s="364" t="s">
        <v>276</v>
      </c>
      <c r="C19" s="773">
        <f t="shared" ref="C19:G19" si="10">(C67+C66)/(C79+C80)</f>
        <v>0.36527705851890208</v>
      </c>
      <c r="D19" s="564">
        <f t="shared" si="10"/>
        <v>8.640922768304915E-2</v>
      </c>
      <c r="E19" s="372">
        <f>(E67+E66)/(E79+E80)</f>
        <v>0.12544169611307421</v>
      </c>
      <c r="F19" s="372">
        <f t="shared" si="10"/>
        <v>1.8959041316401363E-2</v>
      </c>
      <c r="G19" s="372">
        <f t="shared" si="10"/>
        <v>3.6236286316692269E-2</v>
      </c>
      <c r="H19" s="387">
        <f t="shared" si="3"/>
        <v>0.12646466198962383</v>
      </c>
      <c r="I19" s="422">
        <f t="shared" si="4"/>
        <v>0.23881239652927824</v>
      </c>
    </row>
    <row r="20" spans="2:10" ht="16.149999999999999" thickBot="1">
      <c r="B20" s="161" t="s">
        <v>277</v>
      </c>
      <c r="C20" s="164"/>
      <c r="D20" s="164"/>
      <c r="E20" s="164"/>
      <c r="F20" s="164"/>
      <c r="G20" s="164"/>
      <c r="H20" s="388" t="str">
        <f>IFERROR(AVERAGE(C20:F20),"")</f>
        <v/>
      </c>
      <c r="I20" s="418"/>
    </row>
    <row r="21" spans="2:10" ht="13.9" thickBot="1">
      <c r="B21" s="163" t="s">
        <v>79</v>
      </c>
      <c r="C21" s="379">
        <f>C79/C75</f>
        <v>9.0790182349773027E-2</v>
      </c>
      <c r="D21" s="379">
        <f>D79/D75</f>
        <v>0.22807409892280742</v>
      </c>
      <c r="E21" s="379">
        <f t="shared" ref="E21:F21" si="11">E79/E75</f>
        <v>0.3836756064925243</v>
      </c>
      <c r="F21" s="379">
        <f t="shared" si="11"/>
        <v>0.38523203735467881</v>
      </c>
      <c r="G21" s="379">
        <f t="shared" ref="G21" si="12">G79/G75</f>
        <v>6.2773107096312578E-2</v>
      </c>
      <c r="H21" s="389">
        <f t="shared" ref="H21:H26" si="13">IFERROR(AVERAGE(C21:G21),"")</f>
        <v>0.23010900644321924</v>
      </c>
      <c r="I21" s="423">
        <f t="shared" ref="I21:I26" si="14">SQRT((C21-H21)^2)</f>
        <v>0.1393188240934462</v>
      </c>
    </row>
    <row r="22" spans="2:10" ht="13.9" thickBot="1">
      <c r="B22" s="720" t="s">
        <v>278</v>
      </c>
      <c r="C22" s="774">
        <f>(C79-C70)/C63</f>
        <v>-0.92509762158324449</v>
      </c>
      <c r="D22" s="1130">
        <f t="shared" ref="D22:G22" si="15">(D79-D70)/D63</f>
        <v>3.6234939759036147</v>
      </c>
      <c r="E22" s="1131">
        <f t="shared" si="15"/>
        <v>1.1779179810725553</v>
      </c>
      <c r="F22" s="1131">
        <f t="shared" si="15"/>
        <v>1.0566757803599909</v>
      </c>
      <c r="G22" s="1131">
        <f t="shared" si="15"/>
        <v>-0.54726735598227472</v>
      </c>
      <c r="H22" s="389">
        <f t="shared" si="13"/>
        <v>0.87714455195412844</v>
      </c>
      <c r="I22" s="424">
        <f t="shared" si="14"/>
        <v>1.802242173537373</v>
      </c>
    </row>
    <row r="23" spans="2:10" ht="13.9" hidden="1" thickBot="1">
      <c r="B23" s="163" t="s">
        <v>279</v>
      </c>
      <c r="C23" s="374">
        <f>(C79-C78)/C75</f>
        <v>5.2415942140493957E-2</v>
      </c>
      <c r="D23" s="379">
        <f>(D79-D78)/D75</f>
        <v>0.22807409892280742</v>
      </c>
      <c r="E23" s="379">
        <f t="shared" ref="E23:F23" si="16">(E79-E78)/E75</f>
        <v>0.3836756064925243</v>
      </c>
      <c r="F23" s="379">
        <f t="shared" si="16"/>
        <v>0.38523203735467881</v>
      </c>
      <c r="G23" s="379">
        <f t="shared" ref="G23" si="17">(G79-G78)/G75</f>
        <v>6.2773107096312578E-2</v>
      </c>
      <c r="H23" s="389">
        <f t="shared" si="13"/>
        <v>0.22243415840136346</v>
      </c>
      <c r="I23" s="424">
        <f t="shared" si="14"/>
        <v>0.17001821626086949</v>
      </c>
    </row>
    <row r="24" spans="2:10" ht="13.9" hidden="1" thickBot="1">
      <c r="B24" s="720" t="s">
        <v>280</v>
      </c>
      <c r="C24" s="370">
        <f t="shared" ref="C24:G24" si="18">((C79-C78)-C70)/C63</f>
        <v>-0.98947945912802127</v>
      </c>
      <c r="D24" s="1130">
        <f t="shared" si="18"/>
        <v>3.6234939759036147</v>
      </c>
      <c r="E24" s="1131">
        <f t="shared" si="18"/>
        <v>1.1779179810725553</v>
      </c>
      <c r="F24" s="1131">
        <f t="shared" si="18"/>
        <v>1.0566757803599909</v>
      </c>
      <c r="G24" s="1131">
        <f t="shared" si="18"/>
        <v>-0.54726735598227472</v>
      </c>
      <c r="H24" s="389">
        <f t="shared" si="13"/>
        <v>0.86426818444517317</v>
      </c>
      <c r="I24" s="424">
        <f t="shared" si="14"/>
        <v>1.8537476435731945</v>
      </c>
    </row>
    <row r="25" spans="2:10" ht="13.9" hidden="1" thickBot="1">
      <c r="B25" s="163" t="s">
        <v>281</v>
      </c>
      <c r="C25" s="673">
        <f>C78/C79</f>
        <v>0.42266949152542371</v>
      </c>
      <c r="D25" s="379">
        <f>D78/D79</f>
        <v>0</v>
      </c>
      <c r="E25" s="379">
        <f>E78/E79</f>
        <v>0</v>
      </c>
      <c r="F25" s="379">
        <f>F78/F79</f>
        <v>0</v>
      </c>
      <c r="G25" s="379">
        <f t="shared" ref="G25" si="19">G78/G79</f>
        <v>0</v>
      </c>
      <c r="H25" s="389">
        <f t="shared" si="13"/>
        <v>8.4533898305084745E-2</v>
      </c>
      <c r="I25" s="433">
        <f t="shared" si="14"/>
        <v>0.33813559322033898</v>
      </c>
      <c r="J25" s="327"/>
    </row>
    <row r="26" spans="2:10" ht="13.9" thickBot="1">
      <c r="B26" s="720" t="s">
        <v>282</v>
      </c>
      <c r="C26" s="1063">
        <f>-C63/C65</f>
        <v>-69.013363028953222</v>
      </c>
      <c r="D26" s="379">
        <f>-D63/D65</f>
        <v>7.588571428571429</v>
      </c>
      <c r="E26" s="379">
        <f>-E63/E65</f>
        <v>63.4</v>
      </c>
      <c r="F26" s="379">
        <f>-F63/F65</f>
        <v>-44.785714285714278</v>
      </c>
      <c r="G26" s="379">
        <f t="shared" ref="G26" si="20">-G63/G65</f>
        <v>-47.013888888888886</v>
      </c>
      <c r="H26" s="389">
        <f t="shared" si="13"/>
        <v>-17.964878954996994</v>
      </c>
      <c r="I26" s="425">
        <f t="shared" si="14"/>
        <v>51.048484073956232</v>
      </c>
    </row>
    <row r="27" spans="2:10" ht="16.149999999999999" thickBot="1">
      <c r="B27" s="161" t="s">
        <v>283</v>
      </c>
      <c r="C27" s="164"/>
      <c r="D27" s="164"/>
      <c r="E27" s="164"/>
      <c r="F27" s="164"/>
      <c r="G27" s="164"/>
      <c r="H27" s="390"/>
      <c r="I27" s="418"/>
    </row>
    <row r="28" spans="2:10" ht="13.9" thickBot="1">
      <c r="B28" s="368" t="s">
        <v>284</v>
      </c>
      <c r="C28" s="369">
        <f>C73/C77</f>
        <v>2.7570512325168073</v>
      </c>
      <c r="D28" s="369">
        <f t="shared" ref="D28:F28" si="21">D73/D77</f>
        <v>1.4653787299158378</v>
      </c>
      <c r="E28" s="369">
        <f t="shared" si="21"/>
        <v>2.4953650057937429</v>
      </c>
      <c r="F28" s="369">
        <f t="shared" si="21"/>
        <v>2.7698501275510203</v>
      </c>
      <c r="G28" s="369">
        <f t="shared" ref="G28" si="22">G73/G77</f>
        <v>2.5159988038277517</v>
      </c>
      <c r="H28" s="391">
        <f>IFERROR(AVERAGE(C28:G28),"")</f>
        <v>2.4007287799210326</v>
      </c>
      <c r="I28" s="426">
        <f>SQRT((C28-H28)^2)</f>
        <v>0.35632245259577466</v>
      </c>
    </row>
    <row r="29" spans="2:10" ht="13.9" thickBot="1">
      <c r="B29" s="375" t="s">
        <v>285</v>
      </c>
      <c r="C29" s="774">
        <f>(C70+C71)/C77</f>
        <v>2.6433042268758209</v>
      </c>
      <c r="D29" s="376">
        <f t="shared" ref="D29:F29" si="23">(D70+D71)/D77</f>
        <v>0.5906656465187452</v>
      </c>
      <c r="E29" s="376">
        <f t="shared" si="23"/>
        <v>0.62166859791425255</v>
      </c>
      <c r="F29" s="376">
        <f t="shared" si="23"/>
        <v>1.6237244897959182</v>
      </c>
      <c r="G29" s="376">
        <f t="shared" ref="G29" si="24">(G70+G71)/G77</f>
        <v>2.0626495215311005</v>
      </c>
      <c r="H29" s="391">
        <f>IFERROR(AVERAGE(C29:G29),"")</f>
        <v>1.5084024965271676</v>
      </c>
      <c r="I29" s="427">
        <f>SQRT((C29-H29)^2)</f>
        <v>1.1349017303486533</v>
      </c>
    </row>
    <row r="30" spans="2:10" ht="16.149999999999999" thickBot="1">
      <c r="B30" s="161" t="s">
        <v>286</v>
      </c>
      <c r="C30" s="164"/>
      <c r="D30" s="164"/>
      <c r="E30" s="164"/>
      <c r="F30" s="164"/>
      <c r="G30" s="164"/>
      <c r="H30" s="390" t="str">
        <f>IFERROR(AVERAGE(C30:F30),"")</f>
        <v/>
      </c>
      <c r="I30" s="418"/>
    </row>
    <row r="31" spans="2:10" ht="13.9" thickBot="1">
      <c r="B31" s="365" t="s">
        <v>287</v>
      </c>
      <c r="C31" s="774">
        <f>C62/C72</f>
        <v>7.977389516957861</v>
      </c>
      <c r="D31" s="367">
        <f t="shared" ref="D31:G31" si="25">D62/D72</f>
        <v>3.9971644612476371</v>
      </c>
      <c r="E31" s="367">
        <f t="shared" si="25"/>
        <v>2.5395241749808135</v>
      </c>
      <c r="F31" s="367">
        <f t="shared" si="25"/>
        <v>2.5966358839050132</v>
      </c>
      <c r="G31" s="367">
        <f t="shared" si="25"/>
        <v>1.1128096995255667</v>
      </c>
      <c r="H31" s="391">
        <f>IFERROR(AVERAGE(C31:G31),"")</f>
        <v>3.6447047473233787</v>
      </c>
      <c r="I31" s="427">
        <f>SQRT((C31-H31)^2)</f>
        <v>4.3326847696344828</v>
      </c>
    </row>
    <row r="32" spans="2:10" ht="13.9" thickBot="1">
      <c r="B32" s="373" t="s">
        <v>288</v>
      </c>
      <c r="C32" s="774">
        <f>C61/C71</f>
        <v>49.500609013398297</v>
      </c>
      <c r="D32" s="376">
        <f t="shared" ref="D32:G32" si="26">D61/D71</f>
        <v>8.135878719820326</v>
      </c>
      <c r="E32" s="376">
        <f t="shared" si="26"/>
        <v>9.7664930555555554</v>
      </c>
      <c r="F32" s="376">
        <f t="shared" si="26"/>
        <v>7.26527820006081</v>
      </c>
      <c r="G32" s="376">
        <f t="shared" si="26"/>
        <v>12.199728260869566</v>
      </c>
      <c r="H32" s="391">
        <f>IFERROR(AVERAGE(C32:G32),"")</f>
        <v>17.37359744994091</v>
      </c>
      <c r="I32" s="427">
        <f>SQRT((C32-H32)^2)</f>
        <v>32.127011563457387</v>
      </c>
    </row>
    <row r="33" spans="1:9" ht="13.9" thickBot="1">
      <c r="A33" s="10" t="s">
        <v>289</v>
      </c>
      <c r="B33" s="365" t="s">
        <v>290</v>
      </c>
      <c r="C33" s="367">
        <f>C62/C76</f>
        <v>0.81379744181170044</v>
      </c>
      <c r="D33" s="367">
        <f t="shared" ref="D33:G33" si="27">D62/D76</f>
        <v>4.137964774951076</v>
      </c>
      <c r="E33" s="367">
        <f t="shared" si="27"/>
        <v>10.197226502311247</v>
      </c>
      <c r="F33" s="367">
        <f t="shared" si="27"/>
        <v>1.8281667247184488</v>
      </c>
      <c r="G33" s="367">
        <f t="shared" si="27"/>
        <v>1.1035023523261891</v>
      </c>
      <c r="H33" s="391">
        <f>IFERROR(AVERAGE(C33:G33),"")</f>
        <v>3.6161315592237324</v>
      </c>
      <c r="I33" s="427">
        <f>SQRT((C33-H33)^2)</f>
        <v>2.8023341174120322</v>
      </c>
    </row>
    <row r="34" spans="1:9" ht="13.9" thickBot="1">
      <c r="B34" s="373" t="s">
        <v>291</v>
      </c>
      <c r="C34" s="774">
        <f>C61/C74</f>
        <v>2.9353557240881183</v>
      </c>
      <c r="D34" s="376">
        <f>D61/D75</f>
        <v>0.54008721905400869</v>
      </c>
      <c r="E34" s="376">
        <f>E60/E73</f>
        <v>1.7935918272579521</v>
      </c>
      <c r="F34" s="376">
        <f>F61/F74</f>
        <v>1.0558513576210149</v>
      </c>
      <c r="G34" s="376">
        <f>G61/G74</f>
        <v>0.35094782098886063</v>
      </c>
      <c r="H34" s="391">
        <f>IFERROR(AVERAGE(C34:G34),"")</f>
        <v>1.335166789801991</v>
      </c>
      <c r="I34" s="427">
        <f>SQRT((C34-H34)^2)</f>
        <v>1.6001889342861273</v>
      </c>
    </row>
    <row r="35" spans="1:9" ht="13.9" thickBot="1">
      <c r="B35" s="364" t="s">
        <v>292</v>
      </c>
      <c r="C35" s="1065">
        <f t="shared" ref="C35:G35" si="28">C61/C75</f>
        <v>0.78171885819804565</v>
      </c>
      <c r="D35" s="377">
        <f t="shared" si="28"/>
        <v>0.54008721905400869</v>
      </c>
      <c r="E35" s="377">
        <f t="shared" si="28"/>
        <v>0.65454651230438066</v>
      </c>
      <c r="F35" s="377">
        <f t="shared" si="28"/>
        <v>0.56926577091671426</v>
      </c>
      <c r="G35" s="377">
        <f t="shared" si="28"/>
        <v>0.22944829172309814</v>
      </c>
      <c r="H35" s="391">
        <f>IFERROR(AVERAGE(C35:G35),"")</f>
        <v>0.5550133304392495</v>
      </c>
      <c r="I35" s="427">
        <f>SQRT((C35-H35)^2)</f>
        <v>0.22670552775879615</v>
      </c>
    </row>
    <row r="36" spans="1:9" ht="16.149999999999999" thickBot="1">
      <c r="B36" s="162" t="s">
        <v>121</v>
      </c>
      <c r="C36" s="164"/>
      <c r="D36" s="164"/>
      <c r="E36" s="164"/>
      <c r="F36" s="164"/>
      <c r="G36" s="164"/>
      <c r="H36" s="392" t="str">
        <f>IFERROR(AVERAGE(C36:F36),"")</f>
        <v/>
      </c>
      <c r="I36" s="418"/>
    </row>
    <row r="37" spans="1:9" ht="13.9" thickBot="1">
      <c r="B37" s="160" t="s">
        <v>293</v>
      </c>
      <c r="C37" s="1064">
        <f ca="1">C10/C67</f>
        <v>3.7279892099870358</v>
      </c>
      <c r="D37" s="383">
        <f t="shared" ref="D37:G37" ca="1" si="29">D10/D67</f>
        <v>7.8227266101452981</v>
      </c>
      <c r="E37" s="383">
        <f t="shared" ca="1" si="29"/>
        <v>5.2649254106200525</v>
      </c>
      <c r="F37" s="383">
        <f ca="1">F10/F67</f>
        <v>31.073041512535962</v>
      </c>
      <c r="G37" s="383">
        <f t="shared" ca="1" si="29"/>
        <v>8.7760886114494525</v>
      </c>
      <c r="H37" s="391">
        <f ca="1">IFERROR(AVERAGE(C37:G37),"")</f>
        <v>11.33295427094756</v>
      </c>
      <c r="I37" s="428">
        <f ca="1">SQRT((C37-H37)^2)</f>
        <v>7.6049650609605246</v>
      </c>
    </row>
    <row r="38" spans="1:9" ht="13.9" thickBot="1">
      <c r="B38" s="365" t="s">
        <v>289</v>
      </c>
      <c r="C38" s="371">
        <f t="shared" ref="C38:G38" ca="1" si="30">C10/C61</f>
        <v>2.193404281496063</v>
      </c>
      <c r="D38" s="371">
        <f t="shared" ca="1" si="30"/>
        <v>1.28003345705</v>
      </c>
      <c r="E38" s="371">
        <f t="shared" ca="1" si="30"/>
        <v>1.4188297791307438</v>
      </c>
      <c r="F38" s="371">
        <f t="shared" ca="1" si="30"/>
        <v>1.5819026594965577</v>
      </c>
      <c r="G38" s="371">
        <f t="shared" ca="1" si="30"/>
        <v>3.2097867245795748</v>
      </c>
      <c r="H38" s="391">
        <f ca="1">IFERROR(AVERAGE(C38:G38),"")</f>
        <v>1.9367913803505878</v>
      </c>
      <c r="I38" s="429">
        <f ca="1">SQRT((C38-H38)^2)</f>
        <v>0.25661290114547519</v>
      </c>
    </row>
    <row r="39" spans="1:9" ht="13.9" thickBot="1">
      <c r="B39" s="373" t="s">
        <v>294</v>
      </c>
      <c r="C39" s="384">
        <f t="shared" ref="C39:G39" ca="1" si="31">C10/C80</f>
        <v>2.629497050147493</v>
      </c>
      <c r="D39" s="384">
        <f t="shared" ca="1" si="31"/>
        <v>1.341992966692316</v>
      </c>
      <c r="E39" s="384">
        <f t="shared" ca="1" si="31"/>
        <v>1.9656758828961949</v>
      </c>
      <c r="F39" s="384">
        <f t="shared" ca="1" si="31"/>
        <v>2.1754973957583954</v>
      </c>
      <c r="G39" s="384">
        <f t="shared" ca="1" si="31"/>
        <v>1.12904922335612</v>
      </c>
      <c r="H39" s="391">
        <f ca="1">IFERROR(AVERAGE(C39:G39),"")</f>
        <v>1.8483425037701036</v>
      </c>
      <c r="I39" s="430">
        <f ca="1">SQRT((C39-H39)^2)</f>
        <v>0.78115454637738946</v>
      </c>
    </row>
    <row r="40" spans="1:9" ht="13.9" thickBot="1">
      <c r="B40" s="365" t="s">
        <v>295</v>
      </c>
      <c r="C40" s="371">
        <f t="shared" ref="C40:G40" ca="1" si="32">(C79+C10-C70)/C61</f>
        <v>1.4880401082677166</v>
      </c>
      <c r="D40" s="371">
        <f t="shared" ca="1" si="32"/>
        <v>1.6121245543584888</v>
      </c>
      <c r="E40" s="371">
        <f t="shared" ca="1" si="32"/>
        <v>1.9166521949160074</v>
      </c>
      <c r="F40" s="371">
        <f t="shared" ca="1" si="32"/>
        <v>1.9700719800799313</v>
      </c>
      <c r="G40" s="371">
        <f t="shared" ca="1" si="32"/>
        <v>2.7971572558191338</v>
      </c>
      <c r="H40" s="391">
        <f ca="1">IFERROR(AVERAGE(C40:G40),"")</f>
        <v>1.9568092186882555</v>
      </c>
      <c r="I40" s="429">
        <f ca="1">SQRT((C40-H40)^2)</f>
        <v>0.46876911042053893</v>
      </c>
    </row>
    <row r="41" spans="1:9" ht="13.9" thickBot="1">
      <c r="B41" s="373" t="s">
        <v>296</v>
      </c>
      <c r="C41" s="775">
        <f ca="1">(C79+C10-C70)/C63</f>
        <v>1.9515909897699035</v>
      </c>
      <c r="D41" s="382">
        <f t="shared" ref="D41:G41" ca="1" si="33">(D79+D10-D70)/D63</f>
        <v>17.590124090854292</v>
      </c>
      <c r="E41" s="382">
        <f t="shared" ca="1" si="33"/>
        <v>4.5350691577287066</v>
      </c>
      <c r="F41" s="382">
        <f t="shared" ca="1" si="33"/>
        <v>5.3629363180678977</v>
      </c>
      <c r="G41" s="382">
        <f t="shared" ca="1" si="33"/>
        <v>3.7098485967503696</v>
      </c>
      <c r="H41" s="391">
        <f ca="1">IFERROR(AVERAGE(C41:G41),"")</f>
        <v>6.6299138306342345</v>
      </c>
      <c r="I41" s="431">
        <f ca="1">SQRT((C41-H41)^2)</f>
        <v>4.6783228408643307</v>
      </c>
    </row>
    <row r="42" spans="1:9" ht="16.149999999999999" thickBot="1">
      <c r="B42" s="162" t="s">
        <v>297</v>
      </c>
      <c r="C42" s="164"/>
      <c r="D42" s="164"/>
      <c r="E42" s="164"/>
      <c r="F42" s="164"/>
      <c r="G42" s="164"/>
      <c r="H42" s="393" t="str">
        <f>IFERROR(AVERAGE(C42:F42),"")</f>
        <v/>
      </c>
      <c r="I42" s="418"/>
    </row>
    <row r="43" spans="1:9" s="90" customFormat="1" ht="13.9" thickBot="1">
      <c r="B43" s="163" t="s">
        <v>56</v>
      </c>
      <c r="C43" s="566">
        <f>OP!M21</f>
        <v>0.90369999999999995</v>
      </c>
      <c r="D43" s="768">
        <f>1-0.29%</f>
        <v>0.99709999999999999</v>
      </c>
      <c r="E43" s="767">
        <f>1-0.53%</f>
        <v>0.99470000000000003</v>
      </c>
      <c r="F43" s="767">
        <f>1-15.06%</f>
        <v>0.84939999999999993</v>
      </c>
      <c r="G43" s="566">
        <f>100%</f>
        <v>1</v>
      </c>
      <c r="H43" s="387">
        <f>IFERROR(AVERAGE(C43:G43),"")</f>
        <v>0.94897999999999993</v>
      </c>
      <c r="I43" s="567">
        <f>SQRT((C43-H43)^2)</f>
        <v>4.5279999999999987E-2</v>
      </c>
    </row>
    <row r="44" spans="1:9" ht="13.9" thickBot="1">
      <c r="B44" s="378" t="s">
        <v>298</v>
      </c>
      <c r="C44" s="379">
        <f ca="1">OP!M23</f>
        <v>2.0207000000000002</v>
      </c>
      <c r="D44" s="379">
        <v>1.63</v>
      </c>
      <c r="E44" s="379">
        <v>1.0900000000000001</v>
      </c>
      <c r="F44" s="379">
        <v>1.28</v>
      </c>
      <c r="G44" s="379">
        <v>1.85</v>
      </c>
      <c r="H44" s="387">
        <f ca="1">IFERROR(AVERAGE(C44:G44),"")</f>
        <v>1.5741400000000003</v>
      </c>
      <c r="I44" s="432">
        <f ca="1">SQRT((C44-H44)^2)</f>
        <v>0.44655999999999985</v>
      </c>
    </row>
    <row r="45" spans="1:9" ht="13.9" thickBot="1">
      <c r="B45" s="163" t="s">
        <v>299</v>
      </c>
      <c r="C45" s="767">
        <f ca="1">OP!M33</f>
        <v>3.4988522984698602E-2</v>
      </c>
      <c r="D45" s="767">
        <v>1.35E-2</v>
      </c>
      <c r="E45" s="566">
        <v>0.1091</v>
      </c>
      <c r="F45" s="566">
        <v>1.34E-2</v>
      </c>
      <c r="G45" s="768" t="s">
        <v>88</v>
      </c>
      <c r="H45" s="387">
        <f ca="1">IFERROR(AVERAGE(C45:G45),"")</f>
        <v>4.2747130746174651E-2</v>
      </c>
      <c r="I45" s="769">
        <f ca="1">SQRT((C45-H45)^2)</f>
        <v>7.7586077614760496E-3</v>
      </c>
    </row>
    <row r="46" spans="1:9" ht="16.149999999999999" thickBot="1">
      <c r="B46" s="162" t="s">
        <v>300</v>
      </c>
      <c r="C46" s="538"/>
      <c r="D46" s="538"/>
      <c r="E46" s="164"/>
      <c r="F46" s="164"/>
      <c r="G46" s="164"/>
      <c r="H46" s="394"/>
      <c r="I46" s="418"/>
    </row>
    <row r="47" spans="1:9" s="90" customFormat="1" ht="13.9" thickBot="1">
      <c r="B47" s="163" t="s">
        <v>301</v>
      </c>
      <c r="C47" s="552">
        <v>3.3399999999999999E-2</v>
      </c>
      <c r="D47" s="552">
        <v>-0.46929999999999999</v>
      </c>
      <c r="E47" s="552">
        <v>-0.40799999999999997</v>
      </c>
      <c r="F47" s="552">
        <v>-0.192</v>
      </c>
      <c r="G47" s="552">
        <v>-0.2465</v>
      </c>
      <c r="H47" s="387">
        <f>IFERROR(AVERAGE(C47:G47),"")</f>
        <v>-0.25647999999999999</v>
      </c>
      <c r="I47" s="540">
        <f>SQRT((C47-H47)^2)</f>
        <v>0.28987999999999997</v>
      </c>
    </row>
    <row r="48" spans="1:9" s="90" customFormat="1" ht="13.9" thickBot="1">
      <c r="B48" s="721" t="s">
        <v>302</v>
      </c>
      <c r="C48" s="722">
        <f ca="1">C49/1.04-1</f>
        <v>2.0096153846153846</v>
      </c>
      <c r="D48" s="722">
        <f ca="1">D49/(157.28*1.453491)-1</f>
        <v>-0.30973307455397459</v>
      </c>
      <c r="E48" s="722">
        <f ca="1">E49/(57*1.453491)-1</f>
        <v>-0.31637806265512947</v>
      </c>
      <c r="F48" s="722">
        <f ca="1">F49/40.15-1</f>
        <v>-6.2017434620174394E-2</v>
      </c>
      <c r="G48" s="722">
        <f ca="1">G49/10.1-1</f>
        <v>-0.19405940594059401</v>
      </c>
      <c r="H48" s="387">
        <f ca="1">IFERROR(AVERAGE(C48:G48),"")</f>
        <v>0.22548548136910243</v>
      </c>
      <c r="I48" s="540">
        <f ca="1">SQRT((C48-H48)^2)</f>
        <v>1.7841299032462821</v>
      </c>
    </row>
    <row r="49" spans="2:14" s="90" customFormat="1" ht="13.9" thickBot="1">
      <c r="B49" s="539" t="s">
        <v>303</v>
      </c>
      <c r="C49" s="752">
        <f ca="1">OP!C21</f>
        <v>3.13</v>
      </c>
      <c r="D49" s="752" cm="1">
        <f t="array" aca="1" ref="D49" ca="1">_FV(D8,"Preço")*_FV(D55,"Preço")</f>
        <v>157.79851500000001</v>
      </c>
      <c r="E49" s="752" cm="1">
        <f t="array" aca="1" ref="E49" ca="1">_FV(E8,"Preço")*_FV(D55,"Preço")</f>
        <v>56.637385000000002</v>
      </c>
      <c r="F49" s="752" cm="1">
        <f t="array" aca="1" ref="F49" ca="1">_FV(F8,"Preço")</f>
        <v>37.659999999999997</v>
      </c>
      <c r="G49" s="752" cm="1">
        <f t="array" aca="1" ref="G49" ca="1">_FV(G8,"Preço")</f>
        <v>8.14</v>
      </c>
      <c r="H49" s="654" t="s">
        <v>304</v>
      </c>
      <c r="I49" s="655" t="s">
        <v>304</v>
      </c>
    </row>
    <row r="50" spans="2:14" s="90" customFormat="1" ht="13.9" thickBot="1">
      <c r="B50" s="721" t="s">
        <v>305</v>
      </c>
      <c r="C50" s="776">
        <v>3.75</v>
      </c>
      <c r="D50" s="777" cm="1">
        <f t="array" aca="1" ref="D50" ca="1">147.87*_FV(D55,"Preço")</f>
        <v>226.16716500000001</v>
      </c>
      <c r="E50" s="776" cm="1">
        <f t="array" aca="1" ref="E50" ca="1">72.09*_FV(D55,"Preço")</f>
        <v>110.261655</v>
      </c>
      <c r="F50" s="776">
        <v>68.13</v>
      </c>
      <c r="G50" s="776">
        <v>10.47</v>
      </c>
      <c r="H50" s="654" t="s">
        <v>304</v>
      </c>
      <c r="I50" s="655" t="s">
        <v>304</v>
      </c>
    </row>
    <row r="51" spans="2:14" ht="13.9" thickBot="1">
      <c r="B51" s="380" t="s">
        <v>306</v>
      </c>
      <c r="C51" s="381">
        <f ca="1">C50/C49-1</f>
        <v>0.19808306709265189</v>
      </c>
      <c r="D51" s="381">
        <f ca="1">D50/D49-1</f>
        <v>0.43326548415236976</v>
      </c>
      <c r="E51" s="381">
        <f ca="1">E50/E49-1</f>
        <v>0.94679989197947623</v>
      </c>
      <c r="F51" s="381">
        <f ca="1">F50/F49-1</f>
        <v>0.80908125331917158</v>
      </c>
      <c r="G51" s="381">
        <f t="shared" ref="G51" ca="1" si="34">G50/G49-1</f>
        <v>0.2862407862407863</v>
      </c>
      <c r="H51" s="395">
        <f ca="1">IFERROR(AVERAGE(C51:G51),"")</f>
        <v>0.53469409655689115</v>
      </c>
      <c r="I51" s="433">
        <f ca="1">SQRT((C51-H51)^2)</f>
        <v>0.33661102946423926</v>
      </c>
    </row>
    <row r="52" spans="2:14" ht="16.149999999999999" thickBot="1">
      <c r="B52" s="649" t="s">
        <v>307</v>
      </c>
      <c r="C52" s="649"/>
      <c r="D52" s="649"/>
      <c r="E52" s="649"/>
      <c r="F52" s="649"/>
      <c r="G52" s="649"/>
      <c r="H52" s="162" t="str">
        <f>IFERROR(AVERAGE(C52:F52),"")</f>
        <v/>
      </c>
      <c r="I52" s="413"/>
      <c r="J52" s="415"/>
    </row>
    <row r="53" spans="2:14" ht="13.9" thickBot="1">
      <c r="B53" s="539" t="s">
        <v>308</v>
      </c>
      <c r="C53" s="552">
        <f>('Inputs (AUD)'!B59/'Inputs (AUD)'!E59)-1</f>
        <v>-182.93157894736842</v>
      </c>
      <c r="D53" s="788">
        <f>(1907849000*1.506672)/(719374000*1.453491)-1</f>
        <v>1.7491322460199576</v>
      </c>
      <c r="E53" s="552">
        <f>(4077595000*1.506672)/(426971000*1.453491)-1</f>
        <v>8.8994731002558591</v>
      </c>
      <c r="F53" s="552">
        <f>1353700000/594600000-1</f>
        <v>1.2766565758493105</v>
      </c>
      <c r="G53" s="552">
        <f>297300000/-11090000-1</f>
        <v>-27.807935076645627</v>
      </c>
      <c r="H53" s="395">
        <f>IFERROR(AVERAGE(C53:G53),"")</f>
        <v>-39.762850420377788</v>
      </c>
      <c r="I53" s="414">
        <f>SQRT((C53-H53)^2)</f>
        <v>143.16872852699063</v>
      </c>
      <c r="J53" s="327"/>
    </row>
    <row r="54" spans="2:14" ht="13.9" thickBot="1">
      <c r="B54" s="765" t="s">
        <v>309</v>
      </c>
      <c r="C54" s="766">
        <f>C68/C61</f>
        <v>4.8474409448818895E-3</v>
      </c>
      <c r="D54" s="766">
        <f t="shared" ref="D54:G54" si="35">D68/D61</f>
        <v>8.9026915113871643E-3</v>
      </c>
      <c r="E54" s="766">
        <f t="shared" si="35"/>
        <v>0</v>
      </c>
      <c r="F54" s="766">
        <f t="shared" si="35"/>
        <v>0</v>
      </c>
      <c r="G54" s="766">
        <f t="shared" si="35"/>
        <v>0</v>
      </c>
      <c r="H54" s="395">
        <f>IFERROR(AVERAGE(C54:G54),"")</f>
        <v>2.7500264912538107E-3</v>
      </c>
      <c r="I54" s="828">
        <f>SQRT((C54-H54)^2)</f>
        <v>2.0974144536280788E-3</v>
      </c>
      <c r="J54" s="327"/>
    </row>
    <row r="55" spans="2:14">
      <c r="D55" s="10" t="e" vm="12">
        <v>#VALUE!</v>
      </c>
    </row>
    <row r="56" spans="2:14" ht="13.9" thickBot="1"/>
    <row r="57" spans="2:14" ht="44.25" customHeight="1" thickBot="1">
      <c r="B57" s="361" t="s">
        <v>310</v>
      </c>
      <c r="C57" s="289" t="e" vm="1">
        <f>OP!E2</f>
        <v>#VALUE!</v>
      </c>
      <c r="D57" s="290" t="e" vm="2">
        <f>D8</f>
        <v>#VALUE!</v>
      </c>
      <c r="E57" s="291" t="e" vm="3">
        <f>E8</f>
        <v>#VALUE!</v>
      </c>
      <c r="F57" s="292" t="e" vm="4">
        <f>F8</f>
        <v>#VALUE!</v>
      </c>
      <c r="G57" s="811" t="e" vm="5">
        <f t="shared" ref="G57" si="36">G8</f>
        <v>#VALUE!</v>
      </c>
    </row>
    <row r="58" spans="2:14" ht="13.9" thickBot="1">
      <c r="B58" s="156" t="s">
        <v>311</v>
      </c>
      <c r="C58" s="157"/>
      <c r="D58" s="157"/>
      <c r="E58" s="157"/>
      <c r="F58" s="157"/>
      <c r="G58" s="829"/>
    </row>
    <row r="59" spans="2:14" ht="13.9" thickBot="1">
      <c r="B59" s="154" t="s">
        <v>312</v>
      </c>
      <c r="C59" s="749">
        <f>'Fin. Data'!E5</f>
        <v>84.1</v>
      </c>
      <c r="D59" s="750">
        <v>4548</v>
      </c>
      <c r="E59" s="750">
        <v>2641</v>
      </c>
      <c r="F59" s="750">
        <v>2124.6999999999998</v>
      </c>
      <c r="G59" s="830">
        <v>86.6</v>
      </c>
    </row>
    <row r="60" spans="2:14" ht="13.9" thickBot="1">
      <c r="B60" s="154" t="s">
        <v>313</v>
      </c>
      <c r="C60" s="749">
        <f>'Fin. Data'!C5</f>
        <v>1189.5999999999999</v>
      </c>
      <c r="D60" s="750">
        <v>10559</v>
      </c>
      <c r="E60" s="750">
        <v>15450</v>
      </c>
      <c r="F60" s="750">
        <v>3418</v>
      </c>
      <c r="G60" s="830">
        <v>1027</v>
      </c>
    </row>
    <row r="61" spans="2:14" ht="13.9" thickBot="1">
      <c r="B61" s="154" t="s">
        <v>267</v>
      </c>
      <c r="C61" s="749">
        <f>'Fin. Data'!B5</f>
        <v>4064</v>
      </c>
      <c r="D61" s="750">
        <v>14490</v>
      </c>
      <c r="E61" s="750">
        <v>11251</v>
      </c>
      <c r="F61" s="750">
        <v>4779.1000000000004</v>
      </c>
      <c r="G61" s="830">
        <v>1795.8</v>
      </c>
    </row>
    <row r="62" spans="2:14" ht="13.9" thickBot="1">
      <c r="B62" s="154" t="s">
        <v>314</v>
      </c>
      <c r="C62" s="749">
        <f>'Fin. Data'!B5-'Fin. Data'!B7</f>
        <v>776.19999999999982</v>
      </c>
      <c r="D62" s="750">
        <v>12687</v>
      </c>
      <c r="E62" s="750">
        <v>6618</v>
      </c>
      <c r="F62" s="750">
        <v>1574.6</v>
      </c>
      <c r="G62" s="830">
        <v>211.1</v>
      </c>
    </row>
    <row r="63" spans="2:14" ht="13.9" thickBot="1">
      <c r="B63" s="154" t="s">
        <v>63</v>
      </c>
      <c r="C63" s="749">
        <f>'Fin. Data'!B19</f>
        <v>3098.7000000000003</v>
      </c>
      <c r="D63" s="750">
        <v>1328</v>
      </c>
      <c r="E63" s="751">
        <v>4755</v>
      </c>
      <c r="F63" s="750">
        <v>1755.6</v>
      </c>
      <c r="G63" s="830">
        <v>1354</v>
      </c>
    </row>
    <row r="64" spans="2:14" ht="14.45" thickBot="1">
      <c r="B64" s="154" t="s">
        <v>315</v>
      </c>
      <c r="C64" s="749">
        <f>'Fin. Data'!B11</f>
        <v>3211.9</v>
      </c>
      <c r="D64" s="750">
        <v>384</v>
      </c>
      <c r="E64" s="750">
        <v>4286</v>
      </c>
      <c r="F64" s="750">
        <v>516.6</v>
      </c>
      <c r="G64" s="830">
        <v>1162.2</v>
      </c>
      <c r="L64" s="499"/>
      <c r="M64" s="537"/>
      <c r="N64" s="10"/>
    </row>
    <row r="65" spans="2:15" ht="13.9">
      <c r="B65" s="154" t="s">
        <v>316</v>
      </c>
      <c r="C65" s="749">
        <f>'Fin. Data'!B14</f>
        <v>44.900000000000006</v>
      </c>
      <c r="D65" s="750">
        <v>-175</v>
      </c>
      <c r="E65" s="750">
        <f>179-254</f>
        <v>-75</v>
      </c>
      <c r="F65" s="750">
        <f>39.2</f>
        <v>39.200000000000003</v>
      </c>
      <c r="G65" s="830">
        <f>'[2]Arcadium Lithium PLC | Income S'!$B$38</f>
        <v>28.8</v>
      </c>
      <c r="L65" s="827"/>
      <c r="M65" s="537"/>
      <c r="N65" s="10"/>
    </row>
    <row r="66" spans="2:15" ht="14.45" thickBot="1">
      <c r="B66" s="154" t="s">
        <v>317</v>
      </c>
      <c r="C66" s="749">
        <f>'Fin. Data'!B21</f>
        <v>-980.4</v>
      </c>
      <c r="D66" s="750">
        <v>-648</v>
      </c>
      <c r="E66" s="750">
        <v>-1186</v>
      </c>
      <c r="F66" s="750">
        <v>-116.1</v>
      </c>
      <c r="G66" s="830">
        <v>-454</v>
      </c>
      <c r="L66" s="499"/>
      <c r="M66" s="537"/>
      <c r="N66" s="10"/>
      <c r="O66" s="10"/>
    </row>
    <row r="67" spans="2:15" ht="13.9" thickBot="1">
      <c r="B67" s="154" t="s">
        <v>75</v>
      </c>
      <c r="C67" s="749">
        <f>'Fin. Data'!B23</f>
        <v>2391.1</v>
      </c>
      <c r="D67" s="750">
        <v>2371</v>
      </c>
      <c r="E67" s="750">
        <v>3032</v>
      </c>
      <c r="F67" s="750">
        <v>243.3</v>
      </c>
      <c r="G67" s="830">
        <v>656.8</v>
      </c>
    </row>
    <row r="68" spans="2:15" ht="13.9" thickBot="1">
      <c r="B68" s="154" t="s">
        <v>318</v>
      </c>
      <c r="C68" s="753">
        <v>19.7</v>
      </c>
      <c r="D68" s="750">
        <v>129</v>
      </c>
      <c r="E68" s="770">
        <v>0</v>
      </c>
      <c r="F68" s="750">
        <v>0</v>
      </c>
      <c r="G68" s="830">
        <v>0</v>
      </c>
    </row>
    <row r="69" spans="2:15" ht="13.9" thickBot="1">
      <c r="B69" s="158" t="s">
        <v>319</v>
      </c>
      <c r="C69" s="532"/>
      <c r="D69" s="536"/>
      <c r="E69" s="532"/>
      <c r="F69" s="159"/>
      <c r="G69" s="831"/>
    </row>
    <row r="70" spans="2:15" ht="13.9" thickBot="1">
      <c r="B70" s="154" t="s">
        <v>320</v>
      </c>
      <c r="C70" s="749">
        <f>'Fin. Data'!B39</f>
        <v>3338.6</v>
      </c>
      <c r="D70" s="750">
        <v>1307</v>
      </c>
      <c r="E70" s="750">
        <v>994</v>
      </c>
      <c r="F70" s="750">
        <v>1379</v>
      </c>
      <c r="G70" s="830">
        <v>1232.3</v>
      </c>
    </row>
    <row r="71" spans="2:15" ht="13.9" thickBot="1">
      <c r="B71" s="154" t="s">
        <v>321</v>
      </c>
      <c r="C71" s="749">
        <f>'Fin. Data'!B40</f>
        <v>82.1</v>
      </c>
      <c r="D71" s="750">
        <v>1781</v>
      </c>
      <c r="E71" s="750">
        <v>1152</v>
      </c>
      <c r="F71" s="750">
        <v>657.8</v>
      </c>
      <c r="G71" s="830">
        <v>147.19999999999999</v>
      </c>
    </row>
    <row r="72" spans="2:15" ht="13.9" thickBot="1">
      <c r="B72" s="154" t="s">
        <v>322</v>
      </c>
      <c r="C72" s="749">
        <f>'Fin. Data'!B41</f>
        <v>97.3</v>
      </c>
      <c r="D72" s="750">
        <v>3174</v>
      </c>
      <c r="E72" s="750">
        <v>2606</v>
      </c>
      <c r="F72" s="750">
        <v>606.4</v>
      </c>
      <c r="G72" s="830">
        <v>189.7</v>
      </c>
    </row>
    <row r="73" spans="2:15" ht="13.9" thickBot="1">
      <c r="B73" s="154" t="s">
        <v>323</v>
      </c>
      <c r="C73" s="749">
        <f>'Inputs (AUD)'!B27</f>
        <v>3567.9</v>
      </c>
      <c r="D73" s="750">
        <v>7661</v>
      </c>
      <c r="E73" s="750">
        <v>8614</v>
      </c>
      <c r="F73" s="750">
        <v>3474.5</v>
      </c>
      <c r="G73" s="830">
        <v>1682.7</v>
      </c>
    </row>
    <row r="74" spans="2:15" ht="13.9" thickBot="1">
      <c r="B74" s="154" t="s">
        <v>324</v>
      </c>
      <c r="C74" s="749">
        <f>'Fin. Data'!B42</f>
        <v>1384.5</v>
      </c>
      <c r="D74" s="750">
        <v>14145</v>
      </c>
      <c r="E74" s="750">
        <v>5408</v>
      </c>
      <c r="F74" s="750">
        <v>4526.3</v>
      </c>
      <c r="G74" s="830">
        <v>5117</v>
      </c>
    </row>
    <row r="75" spans="2:15" ht="13.9" thickBot="1">
      <c r="B75" s="154" t="s">
        <v>52</v>
      </c>
      <c r="C75" s="749">
        <f>'Fin. Data'!B44</f>
        <v>5198.8</v>
      </c>
      <c r="D75" s="750">
        <v>26829</v>
      </c>
      <c r="E75" s="754">
        <v>17189</v>
      </c>
      <c r="F75" s="750">
        <v>8395.2000000000007</v>
      </c>
      <c r="G75" s="830">
        <v>7826.6</v>
      </c>
    </row>
    <row r="76" spans="2:15" ht="13.9" thickBot="1">
      <c r="B76" s="154" t="s">
        <v>325</v>
      </c>
      <c r="C76" s="749">
        <f>'Inputs (AUD)'!B43</f>
        <v>953.8</v>
      </c>
      <c r="D76" s="750">
        <v>3066</v>
      </c>
      <c r="E76" s="750">
        <v>649</v>
      </c>
      <c r="F76" s="750">
        <v>861.3</v>
      </c>
      <c r="G76" s="830">
        <v>191.3</v>
      </c>
    </row>
    <row r="77" spans="2:15" ht="13.9" thickBot="1">
      <c r="B77" s="154" t="s">
        <v>326</v>
      </c>
      <c r="C77" s="749">
        <f>'Inputs (AUD)'!B42</f>
        <v>1294.0999999999999</v>
      </c>
      <c r="D77" s="755">
        <v>5228</v>
      </c>
      <c r="E77" s="750">
        <v>3452</v>
      </c>
      <c r="F77" s="750">
        <v>1254.4000000000001</v>
      </c>
      <c r="G77" s="830">
        <v>668.8</v>
      </c>
    </row>
    <row r="78" spans="2:15" ht="13.9" hidden="1" thickBot="1">
      <c r="B78" s="154" t="s">
        <v>327</v>
      </c>
      <c r="C78" s="749">
        <f>'Fin. Data'!B50+'Fin. Data'!B54</f>
        <v>199.5</v>
      </c>
      <c r="D78" s="750"/>
      <c r="E78" s="750"/>
      <c r="F78" s="750"/>
      <c r="G78" s="830"/>
    </row>
    <row r="79" spans="2:15" ht="13.9" thickBot="1">
      <c r="B79" s="154" t="s">
        <v>328</v>
      </c>
      <c r="C79" s="749">
        <f>'Fin. Data'!B58</f>
        <v>472</v>
      </c>
      <c r="D79" s="750">
        <v>6119</v>
      </c>
      <c r="E79" s="750">
        <v>6595</v>
      </c>
      <c r="F79" s="750">
        <v>3234.1</v>
      </c>
      <c r="G79" s="830">
        <v>491.3</v>
      </c>
    </row>
    <row r="80" spans="2:15" ht="13.9" thickBot="1">
      <c r="B80" s="155" t="s">
        <v>329</v>
      </c>
      <c r="C80" s="756">
        <f>'Fin. Data'!B64</f>
        <v>3390</v>
      </c>
      <c r="D80" s="757">
        <v>13821</v>
      </c>
      <c r="E80" s="757">
        <v>8121</v>
      </c>
      <c r="F80" s="757">
        <v>3475.1</v>
      </c>
      <c r="G80" s="832">
        <v>5105.3</v>
      </c>
    </row>
    <row r="81" spans="2:8" ht="13.9" thickBot="1">
      <c r="C81" s="657"/>
      <c r="D81" s="502"/>
      <c r="F81" s="502"/>
    </row>
    <row r="82" spans="2:8" ht="13.9" thickBot="1">
      <c r="B82" s="1132" t="s">
        <v>330</v>
      </c>
      <c r="C82" s="1058">
        <v>2391.1</v>
      </c>
      <c r="D82" s="1059">
        <v>-277</v>
      </c>
      <c r="E82" s="1059">
        <v>3043</v>
      </c>
      <c r="F82" s="1059">
        <v>244.3</v>
      </c>
      <c r="G82" s="1060">
        <v>780</v>
      </c>
    </row>
    <row r="83" spans="2:8" ht="13.9" thickBot="1">
      <c r="B83" s="155" t="s">
        <v>331</v>
      </c>
      <c r="C83" s="756">
        <f>C82-C67</f>
        <v>0</v>
      </c>
      <c r="D83" s="1061">
        <f>D82-D67</f>
        <v>-2648</v>
      </c>
      <c r="E83" s="1061">
        <f t="shared" ref="E83:G83" si="37">E82-E67</f>
        <v>11</v>
      </c>
      <c r="F83" s="1061">
        <f t="shared" si="37"/>
        <v>1</v>
      </c>
      <c r="G83" s="1062">
        <f t="shared" si="37"/>
        <v>123.20000000000005</v>
      </c>
    </row>
    <row r="84" spans="2:8">
      <c r="C84" s="723"/>
    </row>
    <row r="85" spans="2:8">
      <c r="C85" s="723"/>
    </row>
    <row r="86" spans="2:8">
      <c r="C86" s="723"/>
      <c r="D86" s="10"/>
    </row>
    <row r="87" spans="2:8">
      <c r="C87" s="723"/>
    </row>
    <row r="88" spans="2:8">
      <c r="C88" s="723"/>
    </row>
    <row r="89" spans="2:8">
      <c r="C89" s="723"/>
    </row>
    <row r="90" spans="2:8">
      <c r="C90" s="723"/>
      <c r="E90" t="s">
        <v>332</v>
      </c>
    </row>
    <row r="93" spans="2:8">
      <c r="C93" s="256"/>
      <c r="D93" s="256"/>
      <c r="E93" s="256"/>
      <c r="F93" s="256"/>
      <c r="G93" s="256"/>
      <c r="H93" s="256"/>
    </row>
    <row r="94" spans="2:8">
      <c r="C94" s="849"/>
      <c r="D94" s="849"/>
      <c r="E94" s="849"/>
      <c r="F94" s="849"/>
      <c r="G94" s="849"/>
      <c r="H94" s="850"/>
    </row>
    <row r="95" spans="2:8">
      <c r="C95" s="849"/>
      <c r="D95" s="849"/>
      <c r="E95" s="849"/>
      <c r="F95" s="849"/>
      <c r="G95" s="849"/>
      <c r="H95" s="850"/>
    </row>
  </sheetData>
  <mergeCells count="12">
    <mergeCell ref="K10:K11"/>
    <mergeCell ref="K12:K13"/>
    <mergeCell ref="K14:K15"/>
    <mergeCell ref="L10:M11"/>
    <mergeCell ref="L12:M13"/>
    <mergeCell ref="L14:M15"/>
    <mergeCell ref="D6:F6"/>
    <mergeCell ref="D4:F4"/>
    <mergeCell ref="D1:F1"/>
    <mergeCell ref="D2:F2"/>
    <mergeCell ref="D3:F3"/>
    <mergeCell ref="D5:F5"/>
  </mergeCells>
  <conditionalFormatting sqref="H2:H5">
    <cfRule type="dataBar" priority="1">
      <dataBar>
        <cfvo type="num" val="0"/>
        <cfvo type="num" val="1"/>
        <color rgb="FF63C384"/>
      </dataBar>
      <extLst>
        <ext xmlns:x14="http://schemas.microsoft.com/office/spreadsheetml/2009/9/main" uri="{B025F937-C7B1-47D3-B67F-A62EFF666E3E}">
          <x14:id>{31207EE7-A38B-418A-8C8F-594D051F8704}</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31207EE7-A38B-418A-8C8F-594D051F870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H2:H5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C666-29D8-4B78-8DC4-3E1B256E8B32}">
  <sheetPr>
    <tabColor theme="5"/>
  </sheetPr>
  <dimension ref="A1:AE137"/>
  <sheetViews>
    <sheetView showGridLines="0" topLeftCell="A56" zoomScale="90" zoomScaleNormal="90" workbookViewId="0">
      <pane xSplit="2" topLeftCell="C55" activePane="topRight" state="frozen"/>
      <selection pane="topRight" activeCell="C55" sqref="C55"/>
      <selection activeCell="A50" sqref="A50"/>
    </sheetView>
  </sheetViews>
  <sheetFormatPr defaultColWidth="11.42578125" defaultRowHeight="13.15"/>
  <cols>
    <col min="1" max="1" width="0.42578125" customWidth="1"/>
    <col min="2" max="2" width="38.85546875" bestFit="1" customWidth="1"/>
    <col min="3" max="4" width="32.140625" customWidth="1"/>
    <col min="5" max="5" width="33.42578125" customWidth="1"/>
    <col min="6" max="7" width="33.7109375" customWidth="1"/>
    <col min="8" max="8" width="18.7109375" bestFit="1" customWidth="1"/>
    <col min="9" max="9" width="21.42578125" bestFit="1" customWidth="1"/>
    <col min="10" max="10" width="19" bestFit="1" customWidth="1"/>
    <col min="11" max="11" width="21" customWidth="1"/>
    <col min="12" max="12" width="18.42578125" bestFit="1" customWidth="1"/>
    <col min="29" max="29" width="42.85546875" bestFit="1" customWidth="1"/>
    <col min="30" max="30" width="19.28515625" customWidth="1"/>
    <col min="31" max="31" width="19.28515625" bestFit="1" customWidth="1"/>
  </cols>
  <sheetData>
    <row r="1" spans="2:31" ht="14.45">
      <c r="B1" s="165" t="s">
        <v>246</v>
      </c>
      <c r="C1" s="166" t="s">
        <v>247</v>
      </c>
      <c r="D1" s="1420" t="s">
        <v>215</v>
      </c>
      <c r="E1" s="1420"/>
      <c r="F1" s="1420"/>
      <c r="G1" s="833" t="s">
        <v>248</v>
      </c>
      <c r="H1" s="833" t="s">
        <v>249</v>
      </c>
      <c r="I1" s="165" t="s">
        <v>250</v>
      </c>
      <c r="J1" s="165" t="s">
        <v>251</v>
      </c>
      <c r="AC1" s="1133" t="s">
        <v>333</v>
      </c>
    </row>
    <row r="2" spans="2:31" ht="122.65" customHeight="1">
      <c r="B2" s="551" t="e" vm="6">
        <v>#VALUE!</v>
      </c>
      <c r="C2" s="718" t="e" vm="2">
        <v>#VALUE!</v>
      </c>
      <c r="D2" s="1417" t="s">
        <v>252</v>
      </c>
      <c r="E2" s="1418"/>
      <c r="F2" s="1419"/>
      <c r="G2" s="826" t="s">
        <v>253</v>
      </c>
      <c r="H2" s="1057">
        <v>0.89</v>
      </c>
      <c r="I2" s="826" t="str" cm="1">
        <f t="array" aca="1" ref="I2" ca="1">_FV(C2,"Moeda")</f>
        <v>USD</v>
      </c>
      <c r="J2" s="826" t="s">
        <v>254</v>
      </c>
      <c r="AC2" s="1133" t="s">
        <v>334</v>
      </c>
    </row>
    <row r="3" spans="2:31" ht="108" customHeight="1">
      <c r="B3" s="550" t="e" vm="7">
        <v>#VALUE!</v>
      </c>
      <c r="C3" s="293" t="e" vm="3">
        <v>#VALUE!</v>
      </c>
      <c r="D3" s="1417" t="s">
        <v>255</v>
      </c>
      <c r="E3" s="1418"/>
      <c r="F3" s="1419"/>
      <c r="G3" s="826" t="s">
        <v>256</v>
      </c>
      <c r="H3" s="1057">
        <v>0.72</v>
      </c>
      <c r="I3" s="826" t="str" cm="1">
        <f t="array" aca="1" ref="I3" ca="1">_FV(C3,"Moeda")</f>
        <v>USD</v>
      </c>
      <c r="J3" s="826" t="s">
        <v>254</v>
      </c>
      <c r="AC3" s="1133" t="s">
        <v>335</v>
      </c>
    </row>
    <row r="4" spans="2:31" ht="106.15" customHeight="1">
      <c r="B4" s="551" t="e" vm="8">
        <v>#VALUE!</v>
      </c>
      <c r="C4" s="294" t="e" vm="4">
        <v>#VALUE!</v>
      </c>
      <c r="D4" s="1417" t="s">
        <v>257</v>
      </c>
      <c r="E4" s="1418"/>
      <c r="F4" s="1419"/>
      <c r="G4" s="826" t="s">
        <v>258</v>
      </c>
      <c r="H4" s="1057">
        <v>0.39579999999999999</v>
      </c>
      <c r="I4" s="826" t="str" cm="1">
        <f t="array" aca="1" ref="I4" ca="1">_FV(C4,"Moeda")</f>
        <v>AUD</v>
      </c>
      <c r="J4" s="826" t="s">
        <v>259</v>
      </c>
    </row>
    <row r="5" spans="2:31" ht="110.65" customHeight="1">
      <c r="B5" s="551" t="e" vm="9">
        <v>#VALUE!</v>
      </c>
      <c r="C5" s="717" t="e" vm="5">
        <v>#VALUE!</v>
      </c>
      <c r="D5" s="1417" t="s">
        <v>260</v>
      </c>
      <c r="E5" s="1418"/>
      <c r="F5" s="1419"/>
      <c r="G5" s="826" t="s">
        <v>261</v>
      </c>
      <c r="H5" s="1057">
        <f>511/883</f>
        <v>0.57870894677236695</v>
      </c>
      <c r="I5" s="826" t="str" cm="1">
        <f t="array" aca="1" ref="I5" ca="1">_FV(C5,"Moeda")</f>
        <v>AUD</v>
      </c>
      <c r="J5" s="826" t="s">
        <v>254</v>
      </c>
      <c r="AC5" s="1133" t="s">
        <v>336</v>
      </c>
    </row>
    <row r="6" spans="2:31" ht="127.9" hidden="1" customHeight="1">
      <c r="B6" s="551"/>
      <c r="C6" s="719"/>
      <c r="D6" s="1417" t="e" cm="1" vm="10">
        <f t="array" ref="D6">_FV(C6,"Descrição")</f>
        <v>#VALUE!</v>
      </c>
      <c r="E6" s="1418"/>
      <c r="F6" s="1419"/>
      <c r="G6" t="e" cm="1" vm="11">
        <f t="array" ref="G6">_FV(C6,"Moeda")</f>
        <v>#VALUE!</v>
      </c>
    </row>
    <row r="7" spans="2:31" ht="14.45" thickBot="1">
      <c r="B7" s="10"/>
      <c r="AC7" s="1134" t="s">
        <v>337</v>
      </c>
      <c r="AD7" s="1140" t="s">
        <v>337</v>
      </c>
      <c r="AE7" s="1148" t="s">
        <v>338</v>
      </c>
    </row>
    <row r="8" spans="2:31" ht="46.9" customHeight="1" thickBot="1">
      <c r="B8" s="656" t="str" cm="1">
        <f t="array" aca="1" ref="B8" ca="1">_FV(OP!E2,"Currency")&amp;" MILLIONS"</f>
        <v>AUD MILLIONS</v>
      </c>
      <c r="C8" s="289" t="e" vm="1">
        <f>OP!E2</f>
        <v>#VALUE!</v>
      </c>
      <c r="D8" s="290" t="e" vm="2">
        <f>C2</f>
        <v>#VALUE!</v>
      </c>
      <c r="E8" s="291" t="e" vm="3">
        <f>C3</f>
        <v>#VALUE!</v>
      </c>
      <c r="F8" s="292" t="e" vm="4">
        <f>C4</f>
        <v>#VALUE!</v>
      </c>
      <c r="G8" s="717" t="e" vm="5">
        <f>C5</f>
        <v>#VALUE!</v>
      </c>
      <c r="H8" s="658" t="s">
        <v>242</v>
      </c>
      <c r="I8" s="434" t="s">
        <v>262</v>
      </c>
      <c r="AC8" s="1135" t="s">
        <v>337</v>
      </c>
      <c r="AD8" s="1140" t="s">
        <v>337</v>
      </c>
      <c r="AE8" s="1149" t="s">
        <v>339</v>
      </c>
    </row>
    <row r="9" spans="2:31" ht="16.5" customHeight="1" thickBot="1">
      <c r="B9" s="161" t="s">
        <v>263</v>
      </c>
      <c r="C9" s="151"/>
      <c r="D9" s="152"/>
      <c r="E9" s="152"/>
      <c r="F9" s="152"/>
      <c r="G9" s="152"/>
      <c r="H9" s="153" t="str">
        <f>IFERROR(AVERAGE(C9:F9),"")</f>
        <v/>
      </c>
      <c r="I9" s="416"/>
      <c r="K9" s="714" t="s">
        <v>264</v>
      </c>
      <c r="L9" s="715"/>
      <c r="M9" s="716"/>
      <c r="AC9" s="1136" t="s">
        <v>337</v>
      </c>
      <c r="AD9" s="1141" t="s">
        <v>340</v>
      </c>
      <c r="AE9" s="1141" t="s">
        <v>341</v>
      </c>
    </row>
    <row r="10" spans="2:31" s="90" customFormat="1" ht="13.5" customHeight="1" thickBot="1">
      <c r="B10" s="163" t="s">
        <v>265</v>
      </c>
      <c r="C10" s="758" cm="1">
        <f t="array" aca="1" ref="C10" ca="1">_FV(C8,"Market cap",TRUE)/1000000</f>
        <v>8913.9950000000008</v>
      </c>
      <c r="D10" s="758" cm="1">
        <f t="array" aca="1" ref="D10" ca="1">(_FV(D8,"Capitalização de mercado",TRUE)*_FV($D$55,"Preço"))/1000000</f>
        <v>18547.684792654502</v>
      </c>
      <c r="E10" s="758" cm="1">
        <f t="array" aca="1" ref="E10" ca="1">(_FV(E8,"Capitalização de mercado",TRUE)*_FV($D$55,"Preço"))/1000000</f>
        <v>15963.253844999999</v>
      </c>
      <c r="F10" s="758" cm="1">
        <f t="array" aca="1" ref="F10" ca="1">_FV(F8,"Capitalização de mercado",TRUE)/1000000</f>
        <v>7560.0709999999999</v>
      </c>
      <c r="G10" s="758" cm="1">
        <f t="array" aca="1" ref="G10" ca="1">_FV(G8,"Capitalização de mercado",TRUE)/1000000</f>
        <v>5764.1350000000002</v>
      </c>
      <c r="H10" s="568">
        <f ca="1">IFERROR(AVERAGE(C10:G10),"")</f>
        <v>11349.827927530901</v>
      </c>
      <c r="I10" s="562">
        <f ca="1">SQRT((C10-H10)^2)</f>
        <v>2435.8329275309006</v>
      </c>
      <c r="J10" s="563"/>
      <c r="K10" s="1421"/>
      <c r="L10" s="1427" t="s">
        <v>266</v>
      </c>
      <c r="M10" s="1428"/>
      <c r="AC10" s="1137" t="s">
        <v>342</v>
      </c>
      <c r="AD10" s="1142">
        <v>1883.8920000000001</v>
      </c>
      <c r="AE10" s="1142">
        <v>757.23099999999999</v>
      </c>
    </row>
    <row r="11" spans="2:31" ht="13.9" customHeight="1" thickBot="1">
      <c r="B11" s="364" t="s">
        <v>267</v>
      </c>
      <c r="C11" s="759">
        <f>C61</f>
        <v>2641.123</v>
      </c>
      <c r="D11" s="759">
        <f>D61</f>
        <v>14490</v>
      </c>
      <c r="E11" s="759">
        <f>E60</f>
        <v>15450</v>
      </c>
      <c r="F11" s="759">
        <f>F61</f>
        <v>4943.7</v>
      </c>
      <c r="G11" s="759">
        <f t="shared" ref="G11" si="0">G61</f>
        <v>1795.8</v>
      </c>
      <c r="H11" s="385">
        <f>IFERROR(AVERAGE(C11:G11),"")</f>
        <v>7864.1246000000001</v>
      </c>
      <c r="I11" s="417">
        <f>SQRT((C11-H11)^2)</f>
        <v>5223.0015999999996</v>
      </c>
      <c r="K11" s="1422"/>
      <c r="L11" s="1429"/>
      <c r="M11" s="1430"/>
      <c r="AC11" s="1138" t="s">
        <v>343</v>
      </c>
      <c r="AD11" s="1143">
        <v>1.0981883710932399</v>
      </c>
      <c r="AE11" s="1143">
        <v>-0.652666564837737</v>
      </c>
    </row>
    <row r="12" spans="2:31" ht="16.5" customHeight="1" thickBot="1">
      <c r="B12" s="161" t="s">
        <v>268</v>
      </c>
      <c r="C12" s="164"/>
      <c r="D12" s="164"/>
      <c r="E12" s="164"/>
      <c r="F12" s="164"/>
      <c r="G12" s="164"/>
      <c r="H12" s="386" t="str">
        <f>IFERROR(AVERAGE(C12:F12),"")</f>
        <v/>
      </c>
      <c r="I12" s="418"/>
      <c r="K12" s="1423"/>
      <c r="L12" s="1427" t="s">
        <v>269</v>
      </c>
      <c r="M12" s="1428"/>
      <c r="AC12" s="1139" t="s">
        <v>344</v>
      </c>
      <c r="AD12" s="1144">
        <v>-3.2709999999999996E-2</v>
      </c>
      <c r="AE12" s="1143">
        <v>-7.1699999999999993E-3</v>
      </c>
    </row>
    <row r="13" spans="2:31" ht="13.9" customHeight="1" thickBot="1">
      <c r="B13" s="160" t="s">
        <v>270</v>
      </c>
      <c r="C13" s="1150">
        <f>C61/C60-1</f>
        <v>-0.14193339620980294</v>
      </c>
      <c r="D13" s="564">
        <f t="shared" ref="D13:G13" si="1">D61/D60-1</f>
        <v>0.37228904252296613</v>
      </c>
      <c r="E13" s="372">
        <f>E60/E61-1</f>
        <v>0.37321127010932353</v>
      </c>
      <c r="F13" s="372">
        <f>F61/F60-1</f>
        <v>0.1198523082498979</v>
      </c>
      <c r="G13" s="372">
        <f t="shared" si="1"/>
        <v>0.74858812074001935</v>
      </c>
      <c r="H13" s="387">
        <f t="shared" ref="H13:H19" si="2">IFERROR(AVERAGE(C13:G13),"")</f>
        <v>0.29440146908248083</v>
      </c>
      <c r="I13" s="419">
        <f t="shared" ref="I13:I19" si="3">SQRT((C13-H13)^2)</f>
        <v>0.43633486529228377</v>
      </c>
      <c r="K13" s="1424"/>
      <c r="L13" s="1429"/>
      <c r="M13" s="1430"/>
      <c r="AC13" s="1138" t="s">
        <v>345</v>
      </c>
      <c r="AD13" s="1145">
        <v>1947.6</v>
      </c>
      <c r="AE13" s="1145">
        <v>762.69833000000006</v>
      </c>
    </row>
    <row r="14" spans="2:31" ht="13.9" customHeight="1" thickBot="1">
      <c r="B14" s="365" t="s">
        <v>271</v>
      </c>
      <c r="C14" s="1151">
        <f>C61/C59-1</f>
        <v>5.6510944456756054</v>
      </c>
      <c r="D14" s="366">
        <f t="shared" ref="D14:G14" si="4">D61/D59-1</f>
        <v>2.1860158311345645</v>
      </c>
      <c r="E14" s="366">
        <f t="shared" si="4"/>
        <v>3.2601287391139717</v>
      </c>
      <c r="F14" s="366">
        <f>F61/F59-1</f>
        <v>0.85254440530615305</v>
      </c>
      <c r="G14" s="366">
        <f t="shared" si="4"/>
        <v>19.736720554272519</v>
      </c>
      <c r="H14" s="387">
        <f t="shared" si="2"/>
        <v>6.3373007951005631</v>
      </c>
      <c r="I14" s="420">
        <f t="shared" si="3"/>
        <v>0.68620634942495773</v>
      </c>
      <c r="K14" s="1433"/>
      <c r="L14" s="1427" t="s">
        <v>272</v>
      </c>
      <c r="M14" s="1428"/>
      <c r="AC14" s="1137" t="s">
        <v>346</v>
      </c>
      <c r="AD14" s="1142">
        <v>396.51600000000002</v>
      </c>
      <c r="AE14" s="1142">
        <v>340.95299999999997</v>
      </c>
    </row>
    <row r="15" spans="2:31" ht="13.9" customHeight="1" thickBot="1">
      <c r="B15" s="373" t="s">
        <v>136</v>
      </c>
      <c r="C15" s="772">
        <f>C64/C61</f>
        <v>0.68330782019618175</v>
      </c>
      <c r="D15" s="564">
        <f t="shared" ref="D15:G15" si="5">D64/D61</f>
        <v>2.650103519668737E-2</v>
      </c>
      <c r="E15" s="372">
        <f t="shared" si="5"/>
        <v>0.38094391609634698</v>
      </c>
      <c r="F15" s="372">
        <f>F64/F61</f>
        <v>0.10117927867791331</v>
      </c>
      <c r="G15" s="372">
        <f t="shared" si="5"/>
        <v>0.64717674574006023</v>
      </c>
      <c r="H15" s="387">
        <f t="shared" si="2"/>
        <v>0.36782175918143789</v>
      </c>
      <c r="I15" s="421">
        <f t="shared" si="3"/>
        <v>0.31548606101474386</v>
      </c>
      <c r="K15" s="1434"/>
      <c r="L15" s="1431"/>
      <c r="M15" s="1432"/>
      <c r="AC15" s="1138" t="s">
        <v>343</v>
      </c>
      <c r="AD15" s="1143">
        <v>0.60526944362351198</v>
      </c>
      <c r="AE15" s="1143">
        <v>-0.10440504334121399</v>
      </c>
    </row>
    <row r="16" spans="2:31" ht="13.9" customHeight="1" thickBot="1">
      <c r="B16" s="373" t="s">
        <v>273</v>
      </c>
      <c r="C16" s="1152">
        <f>C63/C61</f>
        <v>0.73006823233904672</v>
      </c>
      <c r="D16" s="366">
        <f>D63/D61</f>
        <v>9.1649413388543821E-2</v>
      </c>
      <c r="E16" s="366">
        <f t="shared" ref="E16:G16" si="6">E63/E61</f>
        <v>0.42262909963558792</v>
      </c>
      <c r="F16" s="366">
        <f>F63/F61</f>
        <v>0.27730242530897914</v>
      </c>
      <c r="G16" s="366">
        <f t="shared" si="6"/>
        <v>0.75398151241786393</v>
      </c>
      <c r="H16" s="387">
        <f t="shared" si="2"/>
        <v>0.45512613661800427</v>
      </c>
      <c r="I16" s="421">
        <f t="shared" si="3"/>
        <v>0.27494209572104245</v>
      </c>
      <c r="K16" s="1129"/>
      <c r="L16" s="1129"/>
      <c r="M16" s="1129"/>
      <c r="AC16" s="1139" t="s">
        <v>344</v>
      </c>
      <c r="AD16" s="1146">
        <v>1.932E-2</v>
      </c>
      <c r="AE16" s="1143">
        <v>-1.4000000000000001E-4</v>
      </c>
    </row>
    <row r="17" spans="2:31" ht="14.45" thickBot="1">
      <c r="B17" s="365" t="s">
        <v>274</v>
      </c>
      <c r="C17" s="773">
        <f>C67/C61</f>
        <v>0.51849156589829404</v>
      </c>
      <c r="D17" s="564">
        <f>D67/D61</f>
        <v>0.16363008971704623</v>
      </c>
      <c r="E17" s="372">
        <f>E67/E60</f>
        <v>0.19624595469255662</v>
      </c>
      <c r="F17" s="372">
        <f>F67/F61</f>
        <v>7.9292837348544615E-2</v>
      </c>
      <c r="G17" s="372">
        <f>G67/G61</f>
        <v>0.36574228755986188</v>
      </c>
      <c r="H17" s="387">
        <f t="shared" si="2"/>
        <v>0.26468054704326066</v>
      </c>
      <c r="I17" s="420">
        <f t="shared" si="3"/>
        <v>0.25381101885503338</v>
      </c>
      <c r="AC17" s="1138" t="s">
        <v>345</v>
      </c>
      <c r="AD17" s="1145">
        <v>389</v>
      </c>
      <c r="AE17" s="1145">
        <v>341</v>
      </c>
    </row>
    <row r="18" spans="2:31" ht="14.45" thickBot="1">
      <c r="B18" s="373" t="s">
        <v>275</v>
      </c>
      <c r="C18" s="772">
        <f>C67/C80</f>
        <v>0.42724322975165363</v>
      </c>
      <c r="D18" s="366">
        <f>D67/D80</f>
        <v>0.17155053903480211</v>
      </c>
      <c r="E18" s="366">
        <f>E67/E80</f>
        <v>0.37335303534047531</v>
      </c>
      <c r="F18" s="366">
        <f>F67/F80</f>
        <v>9.9115044247787609E-2</v>
      </c>
      <c r="G18" s="366">
        <f t="shared" ref="G18" si="7">G67/G80</f>
        <v>0.12865061798523103</v>
      </c>
      <c r="H18" s="387">
        <f t="shared" si="2"/>
        <v>0.23998249327198992</v>
      </c>
      <c r="I18" s="421">
        <f t="shared" si="3"/>
        <v>0.18726073647966371</v>
      </c>
      <c r="AC18" s="1138" t="s">
        <v>347</v>
      </c>
      <c r="AD18" s="1145" t="s">
        <v>78</v>
      </c>
      <c r="AE18" s="1145" t="s">
        <v>78</v>
      </c>
    </row>
    <row r="19" spans="2:31" ht="14.45" thickBot="1">
      <c r="B19" s="364" t="s">
        <v>276</v>
      </c>
      <c r="C19" s="773">
        <f t="shared" ref="C19:G19" si="8">(C67+C66)/(C79+C80)</f>
        <v>0.21161573437665226</v>
      </c>
      <c r="D19" s="564">
        <f t="shared" si="8"/>
        <v>8.640922768304915E-2</v>
      </c>
      <c r="E19" s="372">
        <f>(E67+E66)/(E79+E80)</f>
        <v>0.12544169611307421</v>
      </c>
      <c r="F19" s="372">
        <f t="shared" si="8"/>
        <v>3.2436691052335397E-2</v>
      </c>
      <c r="G19" s="372">
        <f t="shared" si="8"/>
        <v>3.6236286316692269E-2</v>
      </c>
      <c r="H19" s="387">
        <f t="shared" si="2"/>
        <v>9.8427927108360652E-2</v>
      </c>
      <c r="I19" s="422">
        <f t="shared" si="3"/>
        <v>0.11318780726829161</v>
      </c>
      <c r="AC19" s="1137" t="s">
        <v>348</v>
      </c>
      <c r="AD19" s="1142">
        <v>1488.3309999999999</v>
      </c>
      <c r="AE19" s="1142" t="s">
        <v>78</v>
      </c>
    </row>
    <row r="20" spans="2:31" ht="16.149999999999999" thickBot="1">
      <c r="B20" s="161" t="s">
        <v>277</v>
      </c>
      <c r="C20" s="164"/>
      <c r="D20" s="164"/>
      <c r="E20" s="164"/>
      <c r="F20" s="164"/>
      <c r="G20" s="164"/>
      <c r="H20" s="388" t="str">
        <f>IFERROR(AVERAGE(C20:F20),"")</f>
        <v/>
      </c>
      <c r="I20" s="418"/>
      <c r="AC20" s="1138" t="s">
        <v>343</v>
      </c>
      <c r="AD20" s="1143" t="s">
        <v>78</v>
      </c>
      <c r="AE20" s="1143" t="s">
        <v>78</v>
      </c>
    </row>
    <row r="21" spans="2:31" ht="14.45" thickBot="1">
      <c r="B21" s="163" t="s">
        <v>79</v>
      </c>
      <c r="C21" s="379">
        <f>C79/C75</f>
        <v>0.13135333045277783</v>
      </c>
      <c r="D21" s="379">
        <f>D79/D75</f>
        <v>0.22807409892280742</v>
      </c>
      <c r="E21" s="379">
        <f t="shared" ref="E21:G21" si="9">E79/E75</f>
        <v>0.3836756064925243</v>
      </c>
      <c r="F21" s="379">
        <f t="shared" si="9"/>
        <v>0.4500639035968596</v>
      </c>
      <c r="G21" s="379">
        <f t="shared" si="9"/>
        <v>6.2773107096312578E-2</v>
      </c>
      <c r="H21" s="389">
        <f t="shared" ref="H21:H26" si="10">IFERROR(AVERAGE(C21:G21),"")</f>
        <v>0.25118800931225638</v>
      </c>
      <c r="I21" s="423">
        <f t="shared" ref="I21:I26" si="11">SQRT((C21-H21)^2)</f>
        <v>0.11983467885947854</v>
      </c>
      <c r="AC21" s="1138" t="s">
        <v>349</v>
      </c>
      <c r="AD21" s="1145">
        <v>79.002989555664499</v>
      </c>
      <c r="AE21" s="1145" t="s">
        <v>78</v>
      </c>
    </row>
    <row r="22" spans="2:31" ht="14.45" thickBot="1">
      <c r="B22" s="720" t="s">
        <v>278</v>
      </c>
      <c r="C22" s="774">
        <f>(C79-C70)/C63</f>
        <v>-0.81506067835286788</v>
      </c>
      <c r="D22" s="1130">
        <f t="shared" ref="D22:G22" si="12">(D79-D70)/D63</f>
        <v>3.6234939759036147</v>
      </c>
      <c r="E22" s="1131">
        <f t="shared" si="12"/>
        <v>1.1779179810725553</v>
      </c>
      <c r="F22" s="1131">
        <f t="shared" si="12"/>
        <v>2.5873513750091179</v>
      </c>
      <c r="G22" s="1131">
        <f t="shared" si="12"/>
        <v>-0.54726735598227472</v>
      </c>
      <c r="H22" s="389">
        <f t="shared" si="10"/>
        <v>1.2052870595300291</v>
      </c>
      <c r="I22" s="424">
        <f t="shared" si="11"/>
        <v>2.0203477378828971</v>
      </c>
      <c r="AC22" s="1139" t="s">
        <v>344</v>
      </c>
      <c r="AD22" s="1143" t="s">
        <v>78</v>
      </c>
      <c r="AE22" s="1143" t="s">
        <v>78</v>
      </c>
    </row>
    <row r="23" spans="2:31" ht="14.45" hidden="1" thickBot="1">
      <c r="B23" s="163" t="s">
        <v>279</v>
      </c>
      <c r="C23" s="374">
        <f>(C79-C78)/C75</f>
        <v>0.13135333045277783</v>
      </c>
      <c r="D23" s="379">
        <f>(D79-D78)/D75</f>
        <v>0.22807409892280742</v>
      </c>
      <c r="E23" s="379">
        <f t="shared" ref="E23:G23" si="13">(E79-E78)/E75</f>
        <v>0.3836756064925243</v>
      </c>
      <c r="F23" s="379">
        <f t="shared" si="13"/>
        <v>0.4500639035968596</v>
      </c>
      <c r="G23" s="379">
        <f t="shared" si="13"/>
        <v>6.2773107096312578E-2</v>
      </c>
      <c r="H23" s="389">
        <f t="shared" si="10"/>
        <v>0.25118800931225638</v>
      </c>
      <c r="I23" s="424">
        <f t="shared" si="11"/>
        <v>0.11983467885947854</v>
      </c>
      <c r="AC23" s="1138" t="s">
        <v>345</v>
      </c>
      <c r="AD23" s="1145" t="s">
        <v>78</v>
      </c>
      <c r="AE23" s="1145" t="s">
        <v>78</v>
      </c>
    </row>
    <row r="24" spans="2:31" ht="14.45" hidden="1" thickBot="1">
      <c r="B24" s="720" t="s">
        <v>280</v>
      </c>
      <c r="C24" s="370">
        <f>((C79-C78)-C70)/C63</f>
        <v>-0.81506067835286788</v>
      </c>
      <c r="D24" s="1130">
        <f t="shared" ref="D24:G24" si="14">((D79-D78)-D70)/D63</f>
        <v>3.6234939759036147</v>
      </c>
      <c r="E24" s="1131">
        <f t="shared" si="14"/>
        <v>1.1779179810725553</v>
      </c>
      <c r="F24" s="1131">
        <f t="shared" si="14"/>
        <v>2.5873513750091179</v>
      </c>
      <c r="G24" s="1131">
        <f t="shared" si="14"/>
        <v>-0.54726735598227472</v>
      </c>
      <c r="H24" s="389">
        <f t="shared" si="10"/>
        <v>1.2052870595300291</v>
      </c>
      <c r="I24" s="424">
        <f t="shared" si="11"/>
        <v>2.0203477378828971</v>
      </c>
      <c r="AC24" s="1137" t="s">
        <v>350</v>
      </c>
      <c r="AD24" s="1147" t="s">
        <v>78</v>
      </c>
      <c r="AE24" s="1147" t="s">
        <v>78</v>
      </c>
    </row>
    <row r="25" spans="2:31" ht="14.45" hidden="1" thickBot="1">
      <c r="B25" s="163" t="s">
        <v>281</v>
      </c>
      <c r="C25" s="673">
        <f>C78/C79</f>
        <v>0</v>
      </c>
      <c r="D25" s="379">
        <f>D78/D79</f>
        <v>0</v>
      </c>
      <c r="E25" s="379">
        <f>E78/E79</f>
        <v>0</v>
      </c>
      <c r="F25" s="379">
        <f>F78/F79</f>
        <v>0</v>
      </c>
      <c r="G25" s="379">
        <f t="shared" ref="G25" si="15">G78/G79</f>
        <v>0</v>
      </c>
      <c r="H25" s="389">
        <f t="shared" si="10"/>
        <v>0</v>
      </c>
      <c r="I25" s="433">
        <f t="shared" si="11"/>
        <v>0</v>
      </c>
      <c r="J25" s="327"/>
      <c r="AC25" s="1138" t="s">
        <v>351</v>
      </c>
      <c r="AD25" s="1143" t="s">
        <v>78</v>
      </c>
      <c r="AE25" s="1143" t="s">
        <v>78</v>
      </c>
    </row>
    <row r="26" spans="2:31" ht="14.45" thickBot="1">
      <c r="B26" s="720" t="s">
        <v>282</v>
      </c>
      <c r="C26" s="1063">
        <f>-C63/C65</f>
        <v>-21.568232662192393</v>
      </c>
      <c r="D26" s="379">
        <f>-D63/D65</f>
        <v>7.588571428571429</v>
      </c>
      <c r="E26" s="379">
        <f>-E63/E65</f>
        <v>63.4</v>
      </c>
      <c r="F26" s="379">
        <f>-F63/F65</f>
        <v>-27.472945891783571</v>
      </c>
      <c r="G26" s="379">
        <f t="shared" ref="G26" si="16">-G63/G65</f>
        <v>-47.013888888888886</v>
      </c>
      <c r="H26" s="389">
        <f t="shared" si="10"/>
        <v>-5.0132992028586845</v>
      </c>
      <c r="I26" s="425">
        <f t="shared" si="11"/>
        <v>16.554933459333711</v>
      </c>
      <c r="AC26" s="1139" t="s">
        <v>344</v>
      </c>
      <c r="AD26" s="1143" t="s">
        <v>78</v>
      </c>
      <c r="AE26" s="1143" t="s">
        <v>78</v>
      </c>
    </row>
    <row r="27" spans="2:31" ht="16.149999999999999" thickBot="1">
      <c r="B27" s="161" t="s">
        <v>283</v>
      </c>
      <c r="C27" s="164"/>
      <c r="D27" s="164"/>
      <c r="E27" s="164"/>
      <c r="F27" s="164"/>
      <c r="G27" s="164"/>
      <c r="H27" s="390"/>
      <c r="I27" s="418"/>
      <c r="AC27" s="1138" t="s">
        <v>345</v>
      </c>
      <c r="AD27" s="1145" t="s">
        <v>78</v>
      </c>
      <c r="AE27" s="1145" t="s">
        <v>78</v>
      </c>
    </row>
    <row r="28" spans="2:31" ht="13.9" thickBot="1">
      <c r="B28" s="368" t="s">
        <v>284</v>
      </c>
      <c r="C28" s="1153">
        <f>C73/C77</f>
        <v>4.3559659605286987</v>
      </c>
      <c r="D28" s="369">
        <f t="shared" ref="D28:G28" si="17">D73/D77</f>
        <v>1.4653787299158378</v>
      </c>
      <c r="E28" s="369">
        <f t="shared" si="17"/>
        <v>2.4953650057937429</v>
      </c>
      <c r="F28" s="369">
        <f t="shared" si="17"/>
        <v>1.5483692647871752</v>
      </c>
      <c r="G28" s="369">
        <f t="shared" si="17"/>
        <v>2.5159988038277517</v>
      </c>
      <c r="H28" s="391">
        <f>IFERROR(AVERAGE(C28:G28),"")</f>
        <v>2.4762155529706411</v>
      </c>
      <c r="I28" s="426">
        <f>SQRT((C28-H28)^2)</f>
        <v>1.8797504075580576</v>
      </c>
    </row>
    <row r="29" spans="2:31" ht="14.45" thickBot="1">
      <c r="B29" s="375" t="s">
        <v>285</v>
      </c>
      <c r="C29" s="774">
        <f>(C70+C71)/C77</f>
        <v>3.961977186311787</v>
      </c>
      <c r="D29" s="376">
        <f t="shared" ref="D29:G29" si="18">(D70+D71)/D77</f>
        <v>0.5906656465187452</v>
      </c>
      <c r="E29" s="376">
        <f t="shared" si="18"/>
        <v>0.62166859791425255</v>
      </c>
      <c r="F29" s="376">
        <f t="shared" si="18"/>
        <v>1.1514648977335544</v>
      </c>
      <c r="G29" s="376">
        <f t="shared" si="18"/>
        <v>2.0626495215311005</v>
      </c>
      <c r="H29" s="391">
        <f>IFERROR(AVERAGE(C29:G29),"")</f>
        <v>1.677685170001888</v>
      </c>
      <c r="I29" s="427">
        <f>SQRT((C29-H29)^2)</f>
        <v>2.284292016309899</v>
      </c>
      <c r="AC29" s="1137" t="s">
        <v>352</v>
      </c>
      <c r="AD29" s="1142" t="s">
        <v>78</v>
      </c>
      <c r="AE29" s="1142" t="s">
        <v>78</v>
      </c>
    </row>
    <row r="30" spans="2:31" ht="16.149999999999999" thickBot="1">
      <c r="B30" s="161" t="s">
        <v>286</v>
      </c>
      <c r="C30" s="164"/>
      <c r="D30" s="164"/>
      <c r="E30" s="164"/>
      <c r="F30" s="164"/>
      <c r="G30" s="164"/>
      <c r="H30" s="390" t="str">
        <f>IFERROR(AVERAGE(C30:F30),"")</f>
        <v/>
      </c>
      <c r="I30" s="418"/>
      <c r="AC30" s="1138" t="s">
        <v>343</v>
      </c>
      <c r="AD30" s="1143" t="s">
        <v>78</v>
      </c>
      <c r="AE30" s="1143" t="s">
        <v>78</v>
      </c>
    </row>
    <row r="31" spans="2:31" ht="14.45" thickBot="1">
      <c r="B31" s="365" t="s">
        <v>287</v>
      </c>
      <c r="C31" s="774">
        <f>C62/C72</f>
        <v>6.0349345335515547</v>
      </c>
      <c r="D31" s="367">
        <f t="shared" ref="D31:G31" si="19">D62/D72</f>
        <v>3.9971644612476371</v>
      </c>
      <c r="E31" s="367">
        <f t="shared" si="19"/>
        <v>2.5395241749808135</v>
      </c>
      <c r="F31" s="367">
        <f t="shared" si="19"/>
        <v>2.9389830508474577</v>
      </c>
      <c r="G31" s="367">
        <f t="shared" si="19"/>
        <v>1.1128096995255667</v>
      </c>
      <c r="H31" s="391">
        <f>IFERROR(AVERAGE(C31:G31),"")</f>
        <v>3.3246831840306057</v>
      </c>
      <c r="I31" s="427">
        <f>SQRT((C31-H31)^2)</f>
        <v>2.710251349520949</v>
      </c>
      <c r="AC31" s="1139" t="s">
        <v>344</v>
      </c>
      <c r="AD31" s="1143" t="s">
        <v>78</v>
      </c>
      <c r="AE31" s="1143" t="s">
        <v>78</v>
      </c>
    </row>
    <row r="32" spans="2:31" ht="14.45" thickBot="1">
      <c r="B32" s="373" t="s">
        <v>288</v>
      </c>
      <c r="C32" s="774">
        <f>C61/C71</f>
        <v>67.721102564102566</v>
      </c>
      <c r="D32" s="376">
        <f t="shared" ref="D32:G32" si="20">D61/D71</f>
        <v>8.135878719820326</v>
      </c>
      <c r="E32" s="376">
        <f t="shared" si="20"/>
        <v>9.7664930555555554</v>
      </c>
      <c r="F32" s="376">
        <f>F61/F71</f>
        <v>7.0624285714285708</v>
      </c>
      <c r="G32" s="376">
        <f t="shared" si="20"/>
        <v>12.199728260869566</v>
      </c>
      <c r="H32" s="391">
        <f>IFERROR(AVERAGE(C32:G32),"")</f>
        <v>20.977126234355318</v>
      </c>
      <c r="I32" s="427">
        <f>SQRT((C32-H32)^2)</f>
        <v>46.743976329747248</v>
      </c>
      <c r="AC32" s="1138" t="s">
        <v>345</v>
      </c>
      <c r="AD32" s="1145" t="s">
        <v>78</v>
      </c>
      <c r="AE32" s="1145" t="s">
        <v>78</v>
      </c>
    </row>
    <row r="33" spans="1:31" ht="14.45" thickBot="1">
      <c r="A33" s="10" t="s">
        <v>289</v>
      </c>
      <c r="B33" s="365" t="s">
        <v>290</v>
      </c>
      <c r="C33" s="367">
        <f>C62/C76</f>
        <v>2.7162762430939229</v>
      </c>
      <c r="D33" s="367">
        <f t="shared" ref="D33:G33" si="21">D62/D76</f>
        <v>4.137964774951076</v>
      </c>
      <c r="E33" s="367">
        <f t="shared" si="21"/>
        <v>10.197226502311247</v>
      </c>
      <c r="F33" s="367">
        <f t="shared" si="21"/>
        <v>1.7574324324324326</v>
      </c>
      <c r="G33" s="367">
        <f t="shared" si="21"/>
        <v>1.1035023523261891</v>
      </c>
      <c r="H33" s="391">
        <f>IFERROR(AVERAGE(C33:G33),"")</f>
        <v>3.9824804610229734</v>
      </c>
      <c r="I33" s="427">
        <f>SQRT((C33-H33)^2)</f>
        <v>1.2662042179290505</v>
      </c>
      <c r="AC33" s="1137" t="s">
        <v>353</v>
      </c>
      <c r="AD33" s="1142" t="s">
        <v>78</v>
      </c>
      <c r="AE33" s="1142" t="s">
        <v>78</v>
      </c>
    </row>
    <row r="34" spans="1:31" ht="14.45" thickBot="1">
      <c r="B34" s="373" t="s">
        <v>291</v>
      </c>
      <c r="C34" s="774">
        <f>C61/C74</f>
        <v>1.5415414696783984</v>
      </c>
      <c r="D34" s="376">
        <f>D61/D75</f>
        <v>0.54008721905400869</v>
      </c>
      <c r="E34" s="376">
        <f>E60/E73</f>
        <v>1.7935918272579521</v>
      </c>
      <c r="F34" s="376">
        <f>F61/F74</f>
        <v>0.68930563301728942</v>
      </c>
      <c r="G34" s="376">
        <f>G61/G74</f>
        <v>0.35094782098886063</v>
      </c>
      <c r="H34" s="391">
        <f>IFERROR(AVERAGE(C34:G34),"")</f>
        <v>0.98309479399930189</v>
      </c>
      <c r="I34" s="427">
        <f>SQRT((C34-H34)^2)</f>
        <v>0.55844667567909656</v>
      </c>
      <c r="AC34" s="1138" t="s">
        <v>343</v>
      </c>
      <c r="AD34" s="1143" t="s">
        <v>78</v>
      </c>
      <c r="AE34" s="1143" t="s">
        <v>78</v>
      </c>
    </row>
    <row r="35" spans="1:31" ht="14.45" thickBot="1">
      <c r="B35" s="364" t="s">
        <v>292</v>
      </c>
      <c r="C35" s="1065">
        <f t="shared" ref="C35:G35" si="22">C61/C75</f>
        <v>0.60062379187228521</v>
      </c>
      <c r="D35" s="377">
        <f t="shared" si="22"/>
        <v>0.54008721905400869</v>
      </c>
      <c r="E35" s="377">
        <f t="shared" si="22"/>
        <v>0.65454651230438066</v>
      </c>
      <c r="F35" s="377">
        <f>F61/F75</f>
        <v>0.45131458827825449</v>
      </c>
      <c r="G35" s="377">
        <f t="shared" si="22"/>
        <v>0.22944829172309814</v>
      </c>
      <c r="H35" s="391">
        <f>IFERROR(AVERAGE(C35:G35),"")</f>
        <v>0.49520408064640548</v>
      </c>
      <c r="I35" s="427">
        <f>SQRT((C35-H35)^2)</f>
        <v>0.10541971122587973</v>
      </c>
      <c r="AC35" s="1139" t="s">
        <v>344</v>
      </c>
      <c r="AD35" s="1143" t="s">
        <v>78</v>
      </c>
      <c r="AE35" s="1143" t="s">
        <v>78</v>
      </c>
    </row>
    <row r="36" spans="1:31" ht="16.149999999999999" thickBot="1">
      <c r="B36" s="162" t="s">
        <v>121</v>
      </c>
      <c r="C36" s="164"/>
      <c r="D36" s="164"/>
      <c r="E36" s="164"/>
      <c r="F36" s="164"/>
      <c r="G36" s="164"/>
      <c r="H36" s="392" t="str">
        <f>IFERROR(AVERAGE(C36:F36),"")</f>
        <v/>
      </c>
      <c r="I36" s="418"/>
      <c r="AC36" s="1138" t="s">
        <v>345</v>
      </c>
      <c r="AD36" s="1145" t="s">
        <v>78</v>
      </c>
      <c r="AE36" s="1145" t="s">
        <v>78</v>
      </c>
    </row>
    <row r="37" spans="1:31" ht="14.45" thickBot="1">
      <c r="B37" s="160" t="s">
        <v>293</v>
      </c>
      <c r="C37" s="1154">
        <f ca="1">C10/C67</f>
        <v>6.5094165327880829</v>
      </c>
      <c r="D37" s="383">
        <f t="shared" ref="D37:G37" ca="1" si="23">D10/D67</f>
        <v>7.8227266101452981</v>
      </c>
      <c r="E37" s="383">
        <f t="shared" ca="1" si="23"/>
        <v>5.2649254106200525</v>
      </c>
      <c r="F37" s="383">
        <f ca="1">F10/F67</f>
        <v>19.285895408163267</v>
      </c>
      <c r="G37" s="383">
        <f t="shared" ca="1" si="23"/>
        <v>8.7760886114494525</v>
      </c>
      <c r="H37" s="391">
        <f ca="1">IFERROR(AVERAGE(C37:G37),"")</f>
        <v>9.5318105146332304</v>
      </c>
      <c r="I37" s="428">
        <f ca="1">SQRT((C37-H37)^2)</f>
        <v>3.0223939818451475</v>
      </c>
      <c r="AC37" s="1137" t="s">
        <v>354</v>
      </c>
      <c r="AD37" s="1142" t="s">
        <v>78</v>
      </c>
      <c r="AE37" s="1142" t="s">
        <v>78</v>
      </c>
    </row>
    <row r="38" spans="1:31" ht="14.45" thickBot="1">
      <c r="B38" s="365" t="s">
        <v>289</v>
      </c>
      <c r="C38" s="1155">
        <f t="shared" ref="C38:G38" ca="1" si="24">C10/C61</f>
        <v>3.3750775711695367</v>
      </c>
      <c r="D38" s="371">
        <f t="shared" ca="1" si="24"/>
        <v>1.28003345705</v>
      </c>
      <c r="E38" s="371">
        <f t="shared" ca="1" si="24"/>
        <v>1.4188297791307438</v>
      </c>
      <c r="F38" s="371">
        <f ca="1">F10/F61</f>
        <v>1.5292333677205332</v>
      </c>
      <c r="G38" s="371">
        <f t="shared" ca="1" si="24"/>
        <v>3.2097867245795748</v>
      </c>
      <c r="H38" s="391">
        <f ca="1">IFERROR(AVERAGE(C38:G38),"")</f>
        <v>2.1625921799300776</v>
      </c>
      <c r="I38" s="429">
        <f ca="1">SQRT((C38-H38)^2)</f>
        <v>1.2124853912394591</v>
      </c>
      <c r="AC38" s="1138" t="s">
        <v>343</v>
      </c>
      <c r="AD38" s="1143" t="s">
        <v>78</v>
      </c>
      <c r="AE38" s="1143" t="s">
        <v>78</v>
      </c>
    </row>
    <row r="39" spans="1:31" ht="14.45" thickBot="1">
      <c r="B39" s="373" t="s">
        <v>294</v>
      </c>
      <c r="C39" s="1155">
        <f t="shared" ref="C39:G39" ca="1" si="25">C10/C80</f>
        <v>2.781104143267191</v>
      </c>
      <c r="D39" s="384">
        <f t="shared" ca="1" si="25"/>
        <v>1.341992966692316</v>
      </c>
      <c r="E39" s="384">
        <f t="shared" ca="1" si="25"/>
        <v>1.9656758828961949</v>
      </c>
      <c r="F39" s="384">
        <f t="shared" ca="1" si="25"/>
        <v>1.9115223767383058</v>
      </c>
      <c r="G39" s="384">
        <f t="shared" ca="1" si="25"/>
        <v>1.12904922335612</v>
      </c>
      <c r="H39" s="391">
        <f ca="1">IFERROR(AVERAGE(C39:G39),"")</f>
        <v>1.8258689185900256</v>
      </c>
      <c r="I39" s="430">
        <f ca="1">SQRT((C39-H39)^2)</f>
        <v>0.95523522467716537</v>
      </c>
      <c r="AC39" s="1139" t="s">
        <v>344</v>
      </c>
      <c r="AD39" s="1143" t="s">
        <v>78</v>
      </c>
      <c r="AE39" s="1143" t="s">
        <v>78</v>
      </c>
    </row>
    <row r="40" spans="1:31" ht="14.45" thickBot="1">
      <c r="B40" s="365" t="s">
        <v>295</v>
      </c>
      <c r="C40" s="1155">
        <f t="shared" ref="C40:G40" ca="1" si="26">(C79+C10-C70)/C61</f>
        <v>2.7800276624753946</v>
      </c>
      <c r="D40" s="371">
        <f t="shared" ca="1" si="26"/>
        <v>1.6121245543584888</v>
      </c>
      <c r="E40" s="371">
        <f t="shared" ca="1" si="26"/>
        <v>1.9166521949160074</v>
      </c>
      <c r="F40" s="371">
        <f ca="1">(F79+F10-F70)/F61</f>
        <v>2.2467121791370834</v>
      </c>
      <c r="G40" s="371">
        <f t="shared" ca="1" si="26"/>
        <v>2.7971572558191338</v>
      </c>
      <c r="H40" s="391">
        <f ca="1">IFERROR(AVERAGE(C40:G40),"")</f>
        <v>2.2705347693412214</v>
      </c>
      <c r="I40" s="429">
        <f ca="1">SQRT((C40-H40)^2)</f>
        <v>0.50949289313417312</v>
      </c>
      <c r="AC40" s="1138" t="s">
        <v>345</v>
      </c>
      <c r="AD40" s="1145" t="s">
        <v>78</v>
      </c>
      <c r="AE40" s="1145" t="s">
        <v>78</v>
      </c>
    </row>
    <row r="41" spans="1:31" ht="14.45" thickBot="1">
      <c r="B41" s="373" t="s">
        <v>296</v>
      </c>
      <c r="C41" s="775">
        <f ca="1">(C79+C10-C70)/C63</f>
        <v>3.80790115133285</v>
      </c>
      <c r="D41" s="382">
        <f t="shared" ref="D41:G41" ca="1" si="27">(D79+D10-D70)/D63</f>
        <v>17.590124090854292</v>
      </c>
      <c r="E41" s="382">
        <f t="shared" ca="1" si="27"/>
        <v>4.5350691577287066</v>
      </c>
      <c r="F41" s="382">
        <f t="shared" ca="1" si="27"/>
        <v>8.1020285943540742</v>
      </c>
      <c r="G41" s="382">
        <f t="shared" ca="1" si="27"/>
        <v>3.7098485967503696</v>
      </c>
      <c r="H41" s="391">
        <f ca="1">IFERROR(AVERAGE(C41:G41),"")</f>
        <v>7.5489943182040591</v>
      </c>
      <c r="I41" s="431">
        <f ca="1">SQRT((C41-H41)^2)</f>
        <v>3.7410931668712091</v>
      </c>
      <c r="AC41" s="1137" t="s">
        <v>355</v>
      </c>
      <c r="AD41" s="1142">
        <v>362.06299999999999</v>
      </c>
      <c r="AE41" s="1142">
        <v>59.051000000000002</v>
      </c>
    </row>
    <row r="42" spans="1:31" ht="16.149999999999999" thickBot="1">
      <c r="B42" s="162" t="s">
        <v>297</v>
      </c>
      <c r="C42" s="164"/>
      <c r="D42" s="164"/>
      <c r="E42" s="164"/>
      <c r="F42" s="164"/>
      <c r="G42" s="164"/>
      <c r="H42" s="393" t="str">
        <f>IFERROR(AVERAGE(C42:F42),"")</f>
        <v/>
      </c>
      <c r="I42" s="418"/>
      <c r="AC42" s="1138" t="s">
        <v>343</v>
      </c>
      <c r="AD42" s="1143">
        <v>0.40147632613879203</v>
      </c>
      <c r="AE42" s="1143">
        <v>-0.8574329185558599</v>
      </c>
    </row>
    <row r="43" spans="1:31" s="90" customFormat="1" ht="14.45" thickBot="1">
      <c r="B43" s="163" t="s">
        <v>56</v>
      </c>
      <c r="C43" s="566">
        <f>OP!M21</f>
        <v>0.90369999999999995</v>
      </c>
      <c r="D43" s="768">
        <f>1-0.29%</f>
        <v>0.99709999999999999</v>
      </c>
      <c r="E43" s="767">
        <f>1-0.53%</f>
        <v>0.99470000000000003</v>
      </c>
      <c r="F43" s="767">
        <f>1-15.06%</f>
        <v>0.84939999999999993</v>
      </c>
      <c r="G43" s="566">
        <f>100%</f>
        <v>1</v>
      </c>
      <c r="H43" s="387">
        <f>IFERROR(AVERAGE(C43:G43),"")</f>
        <v>0.94897999999999993</v>
      </c>
      <c r="I43" s="567">
        <f>SQRT((C43-H43)^2)</f>
        <v>4.5279999999999987E-2</v>
      </c>
      <c r="AC43" s="1139" t="s">
        <v>344</v>
      </c>
      <c r="AD43" s="1143">
        <v>5.7299999999999999E-3</v>
      </c>
      <c r="AE43" s="1144">
        <v>-0.78605000000000003</v>
      </c>
    </row>
    <row r="44" spans="1:31" ht="14.45" thickBot="1">
      <c r="B44" s="378" t="s">
        <v>298</v>
      </c>
      <c r="C44" s="379">
        <f ca="1">OP!M23</f>
        <v>2.0207000000000002</v>
      </c>
      <c r="D44" s="379">
        <v>1.63</v>
      </c>
      <c r="E44" s="379">
        <v>1.0900000000000001</v>
      </c>
      <c r="F44" s="379">
        <v>1.28</v>
      </c>
      <c r="G44" s="379">
        <v>1.85</v>
      </c>
      <c r="H44" s="387">
        <f ca="1">IFERROR(AVERAGE(C44:G44),"")</f>
        <v>1.5741400000000003</v>
      </c>
      <c r="I44" s="432">
        <f ca="1">SQRT((C44-H44)^2)</f>
        <v>0.44655999999999985</v>
      </c>
      <c r="AC44" s="1138" t="s">
        <v>345</v>
      </c>
      <c r="AD44" s="1145">
        <v>360</v>
      </c>
      <c r="AE44" s="1145">
        <v>276</v>
      </c>
    </row>
    <row r="45" spans="1:31" ht="13.9" thickBot="1">
      <c r="B45" s="163" t="s">
        <v>299</v>
      </c>
      <c r="C45" s="767">
        <f ca="1">OP!M33</f>
        <v>3.4988522984698602E-2</v>
      </c>
      <c r="D45" s="767">
        <v>1.35E-2</v>
      </c>
      <c r="E45" s="566">
        <v>0.1091</v>
      </c>
      <c r="F45" s="566">
        <v>1.34E-2</v>
      </c>
      <c r="G45" s="768" t="s">
        <v>88</v>
      </c>
      <c r="H45" s="387">
        <f ca="1">IFERROR(AVERAGE(C45:G45),"")</f>
        <v>4.2747130746174651E-2</v>
      </c>
      <c r="I45" s="769">
        <f ca="1">SQRT((C45-H45)^2)</f>
        <v>7.7586077614760496E-3</v>
      </c>
    </row>
    <row r="46" spans="1:31" ht="16.149999999999999" thickBot="1">
      <c r="B46" s="162" t="s">
        <v>300</v>
      </c>
      <c r="C46" s="538"/>
      <c r="D46" s="538"/>
      <c r="E46" s="164"/>
      <c r="F46" s="164"/>
      <c r="G46" s="164"/>
      <c r="H46" s="394"/>
      <c r="I46" s="418"/>
      <c r="AC46" s="1137" t="s">
        <v>63</v>
      </c>
      <c r="AD46" s="1142">
        <v>1550.71</v>
      </c>
      <c r="AE46" s="1142">
        <v>359.83300000000003</v>
      </c>
    </row>
    <row r="47" spans="1:31" s="90" customFormat="1" ht="14.45" thickBot="1">
      <c r="B47" s="163" t="s">
        <v>301</v>
      </c>
      <c r="C47" s="552">
        <v>3.3399999999999999E-2</v>
      </c>
      <c r="D47" s="552">
        <v>-0.46929999999999999</v>
      </c>
      <c r="E47" s="552">
        <v>-0.40799999999999997</v>
      </c>
      <c r="F47" s="552">
        <v>-0.192</v>
      </c>
      <c r="G47" s="552">
        <v>-0.2465</v>
      </c>
      <c r="H47" s="387">
        <f>IFERROR(AVERAGE(C47:G47),"")</f>
        <v>-0.25647999999999999</v>
      </c>
      <c r="I47" s="540">
        <f>SQRT((C47-H47)^2)</f>
        <v>0.28987999999999997</v>
      </c>
      <c r="AC47" s="1138" t="s">
        <v>343</v>
      </c>
      <c r="AD47" s="1143">
        <v>1.3375188423274</v>
      </c>
      <c r="AE47" s="1143">
        <v>-0.79630057345357197</v>
      </c>
    </row>
    <row r="48" spans="1:31" s="90" customFormat="1" ht="14.45" thickBot="1">
      <c r="B48" s="721" t="s">
        <v>302</v>
      </c>
      <c r="C48" s="722">
        <f ca="1">C49/1.04-1</f>
        <v>2.0096153846153846</v>
      </c>
      <c r="D48" s="722">
        <f ca="1">D49/(157.28*1.453491)-1</f>
        <v>-0.30973307455397459</v>
      </c>
      <c r="E48" s="722">
        <f ca="1">E49/(57*1.453491)-1</f>
        <v>-0.31637806265512947</v>
      </c>
      <c r="F48" s="722">
        <f ca="1">F49/40.15-1</f>
        <v>-6.2017434620174394E-2</v>
      </c>
      <c r="G48" s="722">
        <f ca="1">G49/10.1-1</f>
        <v>-0.19405940594059401</v>
      </c>
      <c r="H48" s="387">
        <f ca="1">IFERROR(AVERAGE(C48:G48),"")</f>
        <v>0.22548548136910243</v>
      </c>
      <c r="I48" s="540">
        <f ca="1">SQRT((C48-H48)^2)</f>
        <v>1.7841299032462821</v>
      </c>
      <c r="AC48" s="1138" t="s">
        <v>349</v>
      </c>
      <c r="AD48" s="1145">
        <v>82.314166629509501</v>
      </c>
      <c r="AE48" s="1145">
        <v>47.519581211017503</v>
      </c>
    </row>
    <row r="49" spans="2:31" s="90" customFormat="1" ht="14.45" thickBot="1">
      <c r="B49" s="539" t="s">
        <v>303</v>
      </c>
      <c r="C49" s="752">
        <f ca="1">OP!C21</f>
        <v>3.13</v>
      </c>
      <c r="D49" s="752" cm="1">
        <f t="array" aca="1" ref="D49" ca="1">_FV(D8,"Preço")*_FV(D55,"Preço")</f>
        <v>157.79851500000001</v>
      </c>
      <c r="E49" s="752" cm="1">
        <f t="array" aca="1" ref="E49" ca="1">_FV(E8,"Preço")*_FV(D55,"Preço")</f>
        <v>56.637385000000002</v>
      </c>
      <c r="F49" s="752" cm="1">
        <f t="array" aca="1" ref="F49" ca="1">_FV(F8,"Preço")</f>
        <v>37.659999999999997</v>
      </c>
      <c r="G49" s="752" cm="1">
        <f t="array" aca="1" ref="G49" ca="1">_FV(G8,"Preço")</f>
        <v>8.14</v>
      </c>
      <c r="H49" s="654" t="s">
        <v>304</v>
      </c>
      <c r="I49" s="655" t="s">
        <v>304</v>
      </c>
      <c r="AC49" s="1139" t="s">
        <v>344</v>
      </c>
      <c r="AD49" s="1146">
        <v>2.6509999999999999E-2</v>
      </c>
      <c r="AE49" s="1144">
        <v>-0.19440000000000002</v>
      </c>
    </row>
    <row r="50" spans="2:31" s="90" customFormat="1" ht="14.45" thickBot="1">
      <c r="B50" s="721" t="s">
        <v>305</v>
      </c>
      <c r="C50" s="776">
        <v>3.75</v>
      </c>
      <c r="D50" s="777" cm="1">
        <f t="array" aca="1" ref="D50" ca="1">147.87*_FV(D55,"Preço")</f>
        <v>226.16716500000001</v>
      </c>
      <c r="E50" s="776" cm="1">
        <f t="array" aca="1" ref="E50" ca="1">72.09*_FV(D55,"Preço")</f>
        <v>110.261655</v>
      </c>
      <c r="F50" s="776">
        <v>68.13</v>
      </c>
      <c r="G50" s="776">
        <v>10.47</v>
      </c>
      <c r="H50" s="654" t="s">
        <v>304</v>
      </c>
      <c r="I50" s="655" t="s">
        <v>304</v>
      </c>
      <c r="AC50" s="1138" t="s">
        <v>345</v>
      </c>
      <c r="AD50" s="1145">
        <v>1510.6666700000001</v>
      </c>
      <c r="AE50" s="1145">
        <v>446.66667000000001</v>
      </c>
    </row>
    <row r="51" spans="2:31" ht="14.45" thickBot="1">
      <c r="B51" s="380" t="s">
        <v>306</v>
      </c>
      <c r="C51" s="381">
        <f ca="1">C50/C49-1</f>
        <v>0.19808306709265189</v>
      </c>
      <c r="D51" s="381">
        <f ca="1">D50/D49-1</f>
        <v>0.43326548415236976</v>
      </c>
      <c r="E51" s="381">
        <f ca="1">E50/E49-1</f>
        <v>0.94679989197947623</v>
      </c>
      <c r="F51" s="381">
        <f ca="1">F50/F49-1</f>
        <v>0.80908125331917158</v>
      </c>
      <c r="G51" s="381">
        <f t="shared" ref="G51" ca="1" si="28">G50/G49-1</f>
        <v>0.2862407862407863</v>
      </c>
      <c r="H51" s="395">
        <f ca="1">IFERROR(AVERAGE(C51:G51),"")</f>
        <v>0.53469409655689115</v>
      </c>
      <c r="I51" s="433">
        <f ca="1">SQRT((C51-H51)^2)</f>
        <v>0.33661102946423926</v>
      </c>
      <c r="AC51" s="1137" t="s">
        <v>356</v>
      </c>
      <c r="AD51" s="1142" t="s">
        <v>78</v>
      </c>
      <c r="AE51" s="1142" t="s">
        <v>78</v>
      </c>
    </row>
    <row r="52" spans="2:31" ht="16.149999999999999" thickBot="1">
      <c r="B52" s="649" t="s">
        <v>307</v>
      </c>
      <c r="C52" s="649"/>
      <c r="D52" s="649"/>
      <c r="E52" s="649"/>
      <c r="F52" s="649"/>
      <c r="G52" s="649"/>
      <c r="H52" s="162" t="str">
        <f>IFERROR(AVERAGE(C52:F52),"")</f>
        <v/>
      </c>
      <c r="I52" s="413"/>
      <c r="J52" s="415"/>
      <c r="AC52" s="1138" t="s">
        <v>343</v>
      </c>
      <c r="AD52" s="1143" t="s">
        <v>78</v>
      </c>
      <c r="AE52" s="1143" t="s">
        <v>78</v>
      </c>
    </row>
    <row r="53" spans="2:31" ht="14.45" thickBot="1">
      <c r="B53" s="539" t="s">
        <v>308</v>
      </c>
      <c r="C53" s="552">
        <f>('Inputs (AUD)'!B59/'Inputs (AUD)'!E59)-1</f>
        <v>-182.93157894736842</v>
      </c>
      <c r="D53" s="788">
        <f>(1907849000*1.506672)/(719374000*1.453491)-1</f>
        <v>1.7491322460199576</v>
      </c>
      <c r="E53" s="552">
        <f>(4077595000*1.506672)/(426971000*1.453491)-1</f>
        <v>8.8994731002558591</v>
      </c>
      <c r="F53" s="552">
        <f>1353700000/594600000-1</f>
        <v>1.2766565758493105</v>
      </c>
      <c r="G53" s="552">
        <f>297300000/-11090000-1</f>
        <v>-27.807935076645627</v>
      </c>
      <c r="H53" s="395">
        <f>IFERROR(AVERAGE(C53:G53),"")</f>
        <v>-39.762850420377788</v>
      </c>
      <c r="I53" s="414">
        <f>SQRT((C53-H53)^2)</f>
        <v>143.16872852699063</v>
      </c>
      <c r="J53" s="327"/>
      <c r="AC53" s="1139" t="s">
        <v>344</v>
      </c>
      <c r="AD53" s="1143" t="s">
        <v>78</v>
      </c>
      <c r="AE53" s="1143" t="s">
        <v>78</v>
      </c>
    </row>
    <row r="54" spans="2:31" ht="14.45" thickBot="1">
      <c r="B54" s="765" t="s">
        <v>309</v>
      </c>
      <c r="C54" s="766">
        <f>C68/C61</f>
        <v>9.6171212018523935E-3</v>
      </c>
      <c r="D54" s="766">
        <f t="shared" ref="D54:G54" si="29">D68/D61</f>
        <v>8.9026915113871643E-3</v>
      </c>
      <c r="E54" s="766">
        <f t="shared" si="29"/>
        <v>0</v>
      </c>
      <c r="F54" s="766">
        <f>F68/F61</f>
        <v>0</v>
      </c>
      <c r="G54" s="766">
        <f t="shared" si="29"/>
        <v>0</v>
      </c>
      <c r="H54" s="395">
        <f>IFERROR(AVERAGE(C54:G54),"")</f>
        <v>3.7039625426479117E-3</v>
      </c>
      <c r="I54" s="828">
        <f>SQRT((C54-H54)^2)</f>
        <v>5.9131586592044818E-3</v>
      </c>
      <c r="J54" s="327"/>
      <c r="AC54" s="1138" t="s">
        <v>345</v>
      </c>
      <c r="AD54" s="1145" t="s">
        <v>78</v>
      </c>
      <c r="AE54" s="1145" t="s">
        <v>78</v>
      </c>
    </row>
    <row r="55" spans="2:31" ht="13.9">
      <c r="D55" s="10" t="e" vm="12">
        <v>#VALUE!</v>
      </c>
      <c r="AC55" s="1137" t="s">
        <v>357</v>
      </c>
      <c r="AD55" s="1142">
        <v>7.2130000000000001</v>
      </c>
      <c r="AE55" s="1142">
        <v>18.146999999999998</v>
      </c>
    </row>
    <row r="56" spans="2:31" ht="14.45" thickBot="1">
      <c r="AC56" s="1138" t="s">
        <v>343</v>
      </c>
      <c r="AD56" s="1143">
        <v>1.15828845002992</v>
      </c>
      <c r="AE56" s="1143">
        <v>0.44863095713259399</v>
      </c>
    </row>
    <row r="57" spans="2:31" ht="44.25" customHeight="1" thickBot="1">
      <c r="B57" s="361" t="s">
        <v>310</v>
      </c>
      <c r="C57" s="289" t="e" vm="1">
        <f>OP!E2</f>
        <v>#VALUE!</v>
      </c>
      <c r="D57" s="290" t="e" vm="2">
        <f>D8</f>
        <v>#VALUE!</v>
      </c>
      <c r="E57" s="291" t="e" vm="3">
        <f>E8</f>
        <v>#VALUE!</v>
      </c>
      <c r="F57" s="292" t="e" vm="4">
        <f>F8</f>
        <v>#VALUE!</v>
      </c>
      <c r="G57" s="811" t="e" vm="5">
        <f t="shared" ref="G57" si="30">G8</f>
        <v>#VALUE!</v>
      </c>
      <c r="AC57" s="1139" t="s">
        <v>344</v>
      </c>
      <c r="AD57" s="1144">
        <v>-0.98903999999999992</v>
      </c>
      <c r="AE57" s="1144">
        <v>-0.97682000000000002</v>
      </c>
    </row>
    <row r="58" spans="2:31" ht="14.45" thickBot="1">
      <c r="B58" s="156" t="s">
        <v>311</v>
      </c>
      <c r="C58" s="157"/>
      <c r="D58" s="157"/>
      <c r="E58" s="157"/>
      <c r="F58" s="157"/>
      <c r="G58" s="829"/>
      <c r="AC58" s="1138" t="s">
        <v>345</v>
      </c>
      <c r="AD58" s="1145">
        <v>658</v>
      </c>
      <c r="AE58" s="1145">
        <v>783</v>
      </c>
    </row>
    <row r="59" spans="2:31" ht="14.45" thickBot="1">
      <c r="B59" s="154" t="s">
        <v>312</v>
      </c>
      <c r="C59" s="749">
        <v>397.096</v>
      </c>
      <c r="D59" s="750">
        <v>4548</v>
      </c>
      <c r="E59" s="750">
        <v>2641</v>
      </c>
      <c r="F59" s="750">
        <v>2668.6</v>
      </c>
      <c r="G59" s="830">
        <v>86.6</v>
      </c>
      <c r="AC59" s="1137" t="s">
        <v>358</v>
      </c>
      <c r="AD59" s="1142">
        <v>58.185000000000002</v>
      </c>
      <c r="AE59" s="1142">
        <v>65.343999999999994</v>
      </c>
    </row>
    <row r="60" spans="2:31" ht="14.45" thickBot="1">
      <c r="B60" s="154" t="s">
        <v>313</v>
      </c>
      <c r="C60" s="749">
        <v>3077.9929999999999</v>
      </c>
      <c r="D60" s="750">
        <v>10559</v>
      </c>
      <c r="E60" s="750">
        <v>15450</v>
      </c>
      <c r="F60" s="750">
        <v>4414.6000000000004</v>
      </c>
      <c r="G60" s="830">
        <v>1027</v>
      </c>
      <c r="AC60" s="1138" t="s">
        <v>343</v>
      </c>
      <c r="AD60" s="1143">
        <v>1.02340381137849</v>
      </c>
      <c r="AE60" s="1143">
        <v>115.47771836007099</v>
      </c>
    </row>
    <row r="61" spans="2:31" ht="14.45" thickBot="1">
      <c r="B61" s="154" t="s">
        <v>267</v>
      </c>
      <c r="C61" s="749">
        <v>2641.123</v>
      </c>
      <c r="D61" s="750">
        <v>14490</v>
      </c>
      <c r="E61" s="750">
        <v>11251</v>
      </c>
      <c r="F61" s="750">
        <v>4943.7</v>
      </c>
      <c r="G61" s="830">
        <v>1795.8</v>
      </c>
      <c r="AC61" s="1139" t="s">
        <v>344</v>
      </c>
      <c r="AD61" s="1146">
        <v>0.10829000000000001</v>
      </c>
      <c r="AE61" s="1146">
        <v>1.37615</v>
      </c>
    </row>
    <row r="62" spans="2:31" ht="14.45" thickBot="1">
      <c r="B62" s="154" t="s">
        <v>314</v>
      </c>
      <c r="C62" s="749">
        <v>737.46900000000005</v>
      </c>
      <c r="D62" s="750">
        <v>12687</v>
      </c>
      <c r="E62" s="750">
        <v>6618</v>
      </c>
      <c r="F62" s="750">
        <v>2080.8000000000002</v>
      </c>
      <c r="G62" s="830">
        <v>211.1</v>
      </c>
      <c r="AC62" s="1138" t="s">
        <v>345</v>
      </c>
      <c r="AD62" s="1145">
        <v>52.5</v>
      </c>
      <c r="AE62" s="1145">
        <v>27.5</v>
      </c>
    </row>
    <row r="63" spans="2:31" ht="14.45" thickBot="1">
      <c r="B63" s="154" t="s">
        <v>63</v>
      </c>
      <c r="C63" s="749">
        <v>1928.2</v>
      </c>
      <c r="D63" s="750">
        <v>1328</v>
      </c>
      <c r="E63" s="751">
        <v>4755</v>
      </c>
      <c r="F63" s="750">
        <v>1370.9</v>
      </c>
      <c r="G63" s="830">
        <v>1354</v>
      </c>
      <c r="AC63" s="1137" t="s">
        <v>359</v>
      </c>
      <c r="AD63" s="1142" t="s">
        <v>78</v>
      </c>
      <c r="AE63" s="1142" t="s">
        <v>78</v>
      </c>
    </row>
    <row r="64" spans="2:31" ht="15" thickBot="1">
      <c r="B64" s="154" t="s">
        <v>315</v>
      </c>
      <c r="C64" s="749">
        <v>1804.7</v>
      </c>
      <c r="D64" s="750">
        <v>384</v>
      </c>
      <c r="E64" s="750">
        <v>4286</v>
      </c>
      <c r="F64" s="750">
        <v>500.2</v>
      </c>
      <c r="G64" s="830">
        <v>1162.2</v>
      </c>
      <c r="L64" s="499"/>
      <c r="M64" s="537"/>
      <c r="N64" s="10"/>
      <c r="AC64" s="1138" t="s">
        <v>343</v>
      </c>
      <c r="AD64" s="1143" t="s">
        <v>78</v>
      </c>
      <c r="AE64" s="1143" t="s">
        <v>78</v>
      </c>
    </row>
    <row r="65" spans="2:31" ht="15" thickBot="1">
      <c r="B65" s="154" t="s">
        <v>316</v>
      </c>
      <c r="C65" s="749">
        <v>89.4</v>
      </c>
      <c r="D65" s="750">
        <v>-175</v>
      </c>
      <c r="E65" s="750">
        <f>179-254</f>
        <v>-75</v>
      </c>
      <c r="F65" s="750">
        <v>49.9</v>
      </c>
      <c r="G65" s="830">
        <f>'[2]Arcadium Lithium PLC | Income S'!$B$38</f>
        <v>28.8</v>
      </c>
      <c r="L65" s="827"/>
      <c r="M65" s="537"/>
      <c r="N65" s="10"/>
      <c r="AC65" s="1139" t="s">
        <v>344</v>
      </c>
      <c r="AD65" s="1143" t="s">
        <v>78</v>
      </c>
      <c r="AE65" s="1143" t="s">
        <v>78</v>
      </c>
    </row>
    <row r="66" spans="2:31" ht="15" thickBot="1">
      <c r="B66" s="154" t="s">
        <v>317</v>
      </c>
      <c r="C66" s="749">
        <v>-568.9</v>
      </c>
      <c r="D66" s="750">
        <v>-648</v>
      </c>
      <c r="E66" s="750">
        <v>-1186</v>
      </c>
      <c r="F66" s="750">
        <v>-103.8</v>
      </c>
      <c r="G66" s="830">
        <v>-454</v>
      </c>
      <c r="L66" s="499"/>
      <c r="M66" s="537"/>
      <c r="N66" s="10"/>
      <c r="O66" s="10"/>
      <c r="AC66" s="1138" t="s">
        <v>345</v>
      </c>
      <c r="AD66" s="1145" t="s">
        <v>78</v>
      </c>
      <c r="AE66" s="1145" t="s">
        <v>78</v>
      </c>
    </row>
    <row r="67" spans="2:31" ht="13.9" thickBot="1">
      <c r="B67" s="154" t="s">
        <v>360</v>
      </c>
      <c r="C67" s="749">
        <v>1369.4</v>
      </c>
      <c r="D67" s="750">
        <v>2371</v>
      </c>
      <c r="E67" s="750">
        <v>3032</v>
      </c>
      <c r="F67" s="750">
        <v>392</v>
      </c>
      <c r="G67" s="830">
        <v>656.8</v>
      </c>
    </row>
    <row r="68" spans="2:31" ht="14.45" thickBot="1">
      <c r="B68" s="154" t="s">
        <v>318</v>
      </c>
      <c r="C68" s="753">
        <v>25.4</v>
      </c>
      <c r="D68" s="750">
        <v>129</v>
      </c>
      <c r="E68" s="770">
        <v>0</v>
      </c>
      <c r="F68" s="750">
        <v>0</v>
      </c>
      <c r="G68" s="830">
        <v>0</v>
      </c>
      <c r="AC68" s="1137" t="s">
        <v>71</v>
      </c>
      <c r="AD68" s="1142">
        <v>1445.3710000000001</v>
      </c>
      <c r="AE68" s="1142">
        <v>358.53</v>
      </c>
    </row>
    <row r="69" spans="2:31" ht="14.45" thickBot="1">
      <c r="B69" s="158" t="s">
        <v>319</v>
      </c>
      <c r="C69" s="532"/>
      <c r="D69" s="536"/>
      <c r="E69" s="532"/>
      <c r="F69" s="159"/>
      <c r="G69" s="831"/>
      <c r="AC69" s="1138" t="s">
        <v>343</v>
      </c>
      <c r="AD69" s="1143">
        <v>1.2794054565525901</v>
      </c>
      <c r="AE69" s="1143">
        <v>-0.79697371751639001</v>
      </c>
    </row>
    <row r="70" spans="2:31" ht="14.45" thickBot="1">
      <c r="B70" s="154" t="s">
        <v>320</v>
      </c>
      <c r="C70" s="749">
        <v>2149.1999999999998</v>
      </c>
      <c r="D70" s="750">
        <v>1307</v>
      </c>
      <c r="E70" s="750">
        <v>994</v>
      </c>
      <c r="F70" s="750">
        <v>1383</v>
      </c>
      <c r="G70" s="830">
        <v>1232.3</v>
      </c>
      <c r="AC70" s="1138" t="s">
        <v>349</v>
      </c>
      <c r="AD70" s="1145">
        <v>76.722604055858795</v>
      </c>
      <c r="AE70" s="1145">
        <v>47.347506903441598</v>
      </c>
    </row>
    <row r="71" spans="2:31" ht="14.45" thickBot="1">
      <c r="B71" s="154" t="s">
        <v>321</v>
      </c>
      <c r="C71" s="749">
        <v>39</v>
      </c>
      <c r="D71" s="750">
        <v>1781</v>
      </c>
      <c r="E71" s="750">
        <v>1152</v>
      </c>
      <c r="F71" s="750">
        <v>700</v>
      </c>
      <c r="G71" s="830">
        <v>147.19999999999999</v>
      </c>
      <c r="AC71" s="1139" t="s">
        <v>344</v>
      </c>
      <c r="AD71" s="1144">
        <v>-5.6130000000000006E-2</v>
      </c>
      <c r="AE71" s="1144">
        <v>-0.13936000000000001</v>
      </c>
    </row>
    <row r="72" spans="2:31" ht="14.45" thickBot="1">
      <c r="B72" s="154" t="s">
        <v>322</v>
      </c>
      <c r="C72" s="749">
        <v>122.2</v>
      </c>
      <c r="D72" s="750">
        <v>3174</v>
      </c>
      <c r="E72" s="750">
        <v>2606</v>
      </c>
      <c r="F72" s="750">
        <v>708</v>
      </c>
      <c r="G72" s="830">
        <v>189.7</v>
      </c>
      <c r="AC72" s="1138" t="s">
        <v>345</v>
      </c>
      <c r="AD72" s="1145">
        <v>1531.317</v>
      </c>
      <c r="AE72" s="1145">
        <v>416.58467000000002</v>
      </c>
    </row>
    <row r="73" spans="2:31" ht="14.45" thickBot="1">
      <c r="B73" s="154" t="s">
        <v>323</v>
      </c>
      <c r="C73" s="749">
        <v>2405.8000000000002</v>
      </c>
      <c r="D73" s="750">
        <v>7661</v>
      </c>
      <c r="E73" s="750">
        <v>8614</v>
      </c>
      <c r="F73" s="750">
        <v>2801</v>
      </c>
      <c r="G73" s="830">
        <v>1682.7</v>
      </c>
      <c r="AC73" s="1137" t="s">
        <v>361</v>
      </c>
      <c r="AD73" s="1142">
        <v>13.371</v>
      </c>
      <c r="AE73" s="1142">
        <v>16.257000000000001</v>
      </c>
    </row>
    <row r="74" spans="2:31" ht="14.45" thickBot="1">
      <c r="B74" s="154" t="s">
        <v>324</v>
      </c>
      <c r="C74" s="749">
        <v>1713.3</v>
      </c>
      <c r="D74" s="750">
        <v>14145</v>
      </c>
      <c r="E74" s="750">
        <v>5408</v>
      </c>
      <c r="F74" s="750">
        <v>7172</v>
      </c>
      <c r="G74" s="830">
        <v>5117</v>
      </c>
      <c r="AC74" s="1138" t="s">
        <v>343</v>
      </c>
      <c r="AD74" s="1143">
        <v>2.1654829545454501</v>
      </c>
      <c r="AE74" s="1143">
        <v>-0.26502102265020999</v>
      </c>
    </row>
    <row r="75" spans="2:31" ht="14.45" thickBot="1">
      <c r="B75" s="154" t="s">
        <v>52</v>
      </c>
      <c r="C75" s="749">
        <v>4397.3</v>
      </c>
      <c r="D75" s="750">
        <v>26829</v>
      </c>
      <c r="E75" s="754">
        <v>17189</v>
      </c>
      <c r="F75" s="750">
        <v>10954</v>
      </c>
      <c r="G75" s="830">
        <v>7826.6</v>
      </c>
      <c r="AC75" s="1139" t="s">
        <v>344</v>
      </c>
      <c r="AD75" s="1144">
        <v>-0.21347000000000002</v>
      </c>
      <c r="AE75" s="1144">
        <v>-0.53551000000000004</v>
      </c>
    </row>
    <row r="76" spans="2:31" ht="14.45" thickBot="1">
      <c r="B76" s="154" t="s">
        <v>325</v>
      </c>
      <c r="C76" s="749">
        <v>271.5</v>
      </c>
      <c r="D76" s="750">
        <v>3066</v>
      </c>
      <c r="E76" s="750">
        <v>649</v>
      </c>
      <c r="F76" s="750">
        <v>1184</v>
      </c>
      <c r="G76" s="830">
        <v>191.3</v>
      </c>
      <c r="AC76" s="1138" t="s">
        <v>345</v>
      </c>
      <c r="AD76" s="1145">
        <v>17</v>
      </c>
      <c r="AE76" s="1145">
        <v>35</v>
      </c>
    </row>
    <row r="77" spans="2:31" ht="13.9" thickBot="1">
      <c r="B77" s="154" t="s">
        <v>326</v>
      </c>
      <c r="C77" s="749">
        <v>552.29999999999995</v>
      </c>
      <c r="D77" s="755">
        <v>5228</v>
      </c>
      <c r="E77" s="750">
        <v>3452</v>
      </c>
      <c r="F77" s="750">
        <v>1809</v>
      </c>
      <c r="G77" s="830">
        <v>668.8</v>
      </c>
    </row>
    <row r="78" spans="2:31" ht="14.45" hidden="1" thickBot="1">
      <c r="B78" s="154" t="s">
        <v>327</v>
      </c>
      <c r="C78" s="749"/>
      <c r="D78" s="750"/>
      <c r="E78" s="750"/>
      <c r="F78" s="750"/>
      <c r="G78" s="830"/>
      <c r="AC78" s="1137" t="s">
        <v>362</v>
      </c>
      <c r="AD78" s="1142">
        <v>1481.87</v>
      </c>
      <c r="AE78" s="1142">
        <v>341.57</v>
      </c>
    </row>
    <row r="79" spans="2:31" ht="14.45" thickBot="1">
      <c r="B79" s="154" t="s">
        <v>328</v>
      </c>
      <c r="C79" s="749">
        <v>577.6</v>
      </c>
      <c r="D79" s="750">
        <v>6119</v>
      </c>
      <c r="E79" s="750">
        <v>6595</v>
      </c>
      <c r="F79" s="750">
        <v>4930</v>
      </c>
      <c r="G79" s="830">
        <v>491.3</v>
      </c>
      <c r="AC79" s="1138" t="s">
        <v>343</v>
      </c>
      <c r="AD79" s="1143">
        <v>1.3120513376593201</v>
      </c>
      <c r="AE79" s="1143">
        <v>-0.80755242769482605</v>
      </c>
    </row>
    <row r="80" spans="2:31" ht="14.45" thickBot="1">
      <c r="B80" s="155" t="s">
        <v>329</v>
      </c>
      <c r="C80" s="756">
        <v>3205.2</v>
      </c>
      <c r="D80" s="757">
        <v>13821</v>
      </c>
      <c r="E80" s="757">
        <v>8121</v>
      </c>
      <c r="F80" s="757">
        <v>3955</v>
      </c>
      <c r="G80" s="832">
        <v>5105.3</v>
      </c>
      <c r="AC80" s="1138" t="s">
        <v>349</v>
      </c>
      <c r="AD80" s="1145">
        <v>78.660029343508</v>
      </c>
      <c r="AE80" s="1145">
        <v>45.107767642898899</v>
      </c>
    </row>
    <row r="81" spans="2:31" ht="14.45" thickBot="1">
      <c r="C81" s="657"/>
      <c r="D81" s="502"/>
      <c r="F81" s="502"/>
      <c r="AC81" s="1139" t="s">
        <v>344</v>
      </c>
      <c r="AD81" s="1143">
        <v>8.0800000000000004E-3</v>
      </c>
      <c r="AE81" s="1144">
        <v>-0.24096000000000001</v>
      </c>
    </row>
    <row r="82" spans="2:31" ht="14.45" thickBot="1">
      <c r="B82" s="1132" t="s">
        <v>330</v>
      </c>
      <c r="C82" s="1058">
        <v>1369.4</v>
      </c>
      <c r="D82" s="1059">
        <v>-277</v>
      </c>
      <c r="E82" s="1059">
        <v>3043</v>
      </c>
      <c r="F82" s="1059">
        <v>372.2</v>
      </c>
      <c r="G82" s="1060">
        <v>780</v>
      </c>
      <c r="AC82" s="1138" t="s">
        <v>345</v>
      </c>
      <c r="AD82" s="1145">
        <v>1470</v>
      </c>
      <c r="AE82" s="1145">
        <v>450</v>
      </c>
    </row>
    <row r="83" spans="2:31" ht="14.45" thickBot="1">
      <c r="B83" s="155" t="s">
        <v>331</v>
      </c>
      <c r="C83" s="756">
        <f>C82-C67</f>
        <v>0</v>
      </c>
      <c r="D83" s="1061">
        <f>D82-D67</f>
        <v>-2648</v>
      </c>
      <c r="E83" s="1061">
        <f t="shared" ref="E83:G83" si="31">E82-E67</f>
        <v>11</v>
      </c>
      <c r="F83" s="1061">
        <f t="shared" si="31"/>
        <v>-19.800000000000011</v>
      </c>
      <c r="G83" s="1062">
        <f t="shared" si="31"/>
        <v>123.20000000000005</v>
      </c>
      <c r="AC83" s="1137" t="s">
        <v>363</v>
      </c>
      <c r="AD83" s="1142">
        <v>447.46300000000002</v>
      </c>
      <c r="AE83" s="1142">
        <v>121.416</v>
      </c>
    </row>
    <row r="84" spans="2:31" ht="13.9">
      <c r="C84" s="723"/>
      <c r="AC84" s="1138" t="s">
        <v>343</v>
      </c>
      <c r="AD84" s="1143">
        <v>1.32408470236271</v>
      </c>
      <c r="AE84" s="1143">
        <v>-0.77218937686807299</v>
      </c>
    </row>
    <row r="85" spans="2:31" ht="13.9">
      <c r="C85" s="723"/>
      <c r="AC85" s="1139" t="s">
        <v>344</v>
      </c>
      <c r="AD85" s="1143">
        <v>1.4659999999999999E-2</v>
      </c>
      <c r="AE85" s="1144">
        <v>-0.1265</v>
      </c>
    </row>
    <row r="86" spans="2:31" ht="13.9">
      <c r="C86" s="723"/>
      <c r="D86" s="10"/>
      <c r="AC86" s="1138" t="s">
        <v>345</v>
      </c>
      <c r="AD86" s="1145">
        <v>441</v>
      </c>
      <c r="AE86" s="1145">
        <v>139</v>
      </c>
    </row>
    <row r="87" spans="2:31" ht="13.9">
      <c r="C87" s="723"/>
      <c r="AC87" s="1137" t="s">
        <v>364</v>
      </c>
      <c r="AD87" s="1147">
        <v>0.28024360000000004</v>
      </c>
      <c r="AE87" s="1147">
        <v>0.35546450000000002</v>
      </c>
    </row>
    <row r="88" spans="2:31" ht="13.9">
      <c r="C88" s="723"/>
      <c r="AC88" s="1138" t="s">
        <v>351</v>
      </c>
      <c r="AD88" s="1143">
        <v>-2.0421000000000002E-2</v>
      </c>
      <c r="AE88" s="1143">
        <v>5.5174500000000001E-2</v>
      </c>
    </row>
    <row r="89" spans="2:31" ht="13.9">
      <c r="C89" s="723"/>
      <c r="AC89" s="1139" t="s">
        <v>344</v>
      </c>
      <c r="AD89" s="1144">
        <v>-6.5860000000000002E-2</v>
      </c>
      <c r="AE89" s="1146">
        <v>0.18487999999999999</v>
      </c>
    </row>
    <row r="90" spans="2:31" ht="13.9">
      <c r="AC90" s="1138" t="s">
        <v>345</v>
      </c>
      <c r="AD90" s="1145">
        <v>30</v>
      </c>
      <c r="AE90" s="1145">
        <v>30</v>
      </c>
    </row>
    <row r="92" spans="2:31" ht="13.9">
      <c r="AC92" s="1137" t="s">
        <v>365</v>
      </c>
      <c r="AD92" s="1142">
        <v>1034.4069999999999</v>
      </c>
      <c r="AE92" s="1142">
        <v>220.154</v>
      </c>
    </row>
    <row r="93" spans="2:31" ht="13.9">
      <c r="AC93" s="1138" t="s">
        <v>343</v>
      </c>
      <c r="AD93" s="1143">
        <v>1.3068844781445099</v>
      </c>
      <c r="AE93" s="1143">
        <v>-0.82272879165475599</v>
      </c>
    </row>
    <row r="94" spans="2:31" ht="13.9">
      <c r="AC94" s="1138" t="s">
        <v>349</v>
      </c>
      <c r="AD94" s="1145">
        <v>54.907977739700598</v>
      </c>
      <c r="AE94" s="1145">
        <v>29.073558795136499</v>
      </c>
    </row>
    <row r="95" spans="2:31" ht="13.9">
      <c r="AC95" s="1139" t="s">
        <v>344</v>
      </c>
      <c r="AD95" s="1143">
        <v>5.2599999999999999E-3</v>
      </c>
      <c r="AE95" s="1144">
        <v>-0.3226</v>
      </c>
    </row>
    <row r="96" spans="2:31" ht="13.9">
      <c r="AC96" s="1138" t="s">
        <v>345</v>
      </c>
      <c r="AD96" s="1145">
        <v>1029</v>
      </c>
      <c r="AE96" s="1145">
        <v>325</v>
      </c>
    </row>
    <row r="98" spans="29:31" ht="13.9">
      <c r="AC98" s="1137" t="s">
        <v>366</v>
      </c>
      <c r="AD98" s="1142">
        <v>0.34100000000000003</v>
      </c>
      <c r="AE98" s="1142">
        <v>7.2999999999999995E-2</v>
      </c>
    </row>
    <row r="99" spans="29:31" ht="13.9">
      <c r="AC99" s="1138" t="s">
        <v>343</v>
      </c>
      <c r="AD99" s="1143">
        <v>1.3197278911564601</v>
      </c>
      <c r="AE99" s="1143">
        <v>-0.82195121951219507</v>
      </c>
    </row>
    <row r="100" spans="29:31" ht="13.9">
      <c r="AC100" s="1139" t="s">
        <v>344</v>
      </c>
      <c r="AD100" s="1144">
        <v>-6.0609999999999997E-2</v>
      </c>
      <c r="AE100" s="1144">
        <v>-0.31775999999999999</v>
      </c>
    </row>
    <row r="101" spans="29:31" ht="13.9">
      <c r="AC101" s="1138" t="s">
        <v>345</v>
      </c>
      <c r="AD101" s="1145">
        <v>0.36299999999999999</v>
      </c>
      <c r="AE101" s="1145">
        <v>0.107</v>
      </c>
    </row>
    <row r="102" spans="29:31" ht="13.9">
      <c r="AC102" s="1137" t="s">
        <v>367</v>
      </c>
      <c r="AD102" s="1142" t="s">
        <v>78</v>
      </c>
      <c r="AE102" s="1142" t="s">
        <v>78</v>
      </c>
    </row>
    <row r="103" spans="29:31" ht="13.9">
      <c r="AC103" s="1138" t="s">
        <v>343</v>
      </c>
      <c r="AD103" s="1143" t="s">
        <v>78</v>
      </c>
      <c r="AE103" s="1143" t="s">
        <v>78</v>
      </c>
    </row>
    <row r="104" spans="29:31" ht="13.9">
      <c r="AC104" s="1139" t="s">
        <v>344</v>
      </c>
      <c r="AD104" s="1143" t="s">
        <v>78</v>
      </c>
      <c r="AE104" s="1143" t="s">
        <v>78</v>
      </c>
    </row>
    <row r="105" spans="29:31" ht="13.9">
      <c r="AC105" s="1138" t="s">
        <v>345</v>
      </c>
      <c r="AD105" s="1145" t="s">
        <v>78</v>
      </c>
      <c r="AE105" s="1145" t="s">
        <v>78</v>
      </c>
    </row>
    <row r="106" spans="29:31" ht="13.9">
      <c r="AC106" s="1137" t="s">
        <v>368</v>
      </c>
      <c r="AD106" s="1142">
        <v>1504.328</v>
      </c>
      <c r="AE106" s="1142">
        <v>423.87400000000002</v>
      </c>
    </row>
    <row r="107" spans="29:31" ht="13.9">
      <c r="AC107" s="1138" t="s">
        <v>343</v>
      </c>
      <c r="AD107" s="1143">
        <v>1.2720281283416</v>
      </c>
      <c r="AE107" s="1143">
        <v>-0.76004732548726595</v>
      </c>
    </row>
    <row r="108" spans="29:31" ht="13.9">
      <c r="AC108" s="1138" t="s">
        <v>349</v>
      </c>
      <c r="AD108" s="1145">
        <v>79.852135897386901</v>
      </c>
      <c r="AE108" s="1145">
        <v>55.976841941230603</v>
      </c>
    </row>
    <row r="109" spans="29:31" ht="13.9">
      <c r="AC109" s="1139" t="s">
        <v>344</v>
      </c>
      <c r="AD109" s="1143">
        <v>3.5499999999999998E-3</v>
      </c>
      <c r="AE109" s="1144">
        <v>-2.7810000000000001E-2</v>
      </c>
    </row>
    <row r="110" spans="29:31" ht="13.9">
      <c r="AC110" s="1138" t="s">
        <v>345</v>
      </c>
      <c r="AD110" s="1145">
        <v>1499</v>
      </c>
      <c r="AE110" s="1145">
        <v>436</v>
      </c>
    </row>
    <row r="111" spans="29:31" ht="13.9">
      <c r="AC111" s="1137" t="s">
        <v>369</v>
      </c>
      <c r="AD111" s="1142">
        <v>1596.693</v>
      </c>
      <c r="AE111" s="1142">
        <v>341.57</v>
      </c>
    </row>
    <row r="112" spans="29:31" ht="13.9">
      <c r="AC112" s="1138" t="s">
        <v>343</v>
      </c>
      <c r="AD112" s="1143">
        <v>1.4934380455932501</v>
      </c>
      <c r="AE112" s="1143">
        <v>-0.80755242769482605</v>
      </c>
    </row>
    <row r="113" spans="29:31" ht="13.9">
      <c r="AC113" s="1138" t="s">
        <v>349</v>
      </c>
      <c r="AD113" s="1145">
        <v>84.755017803568407</v>
      </c>
      <c r="AE113" s="1145">
        <v>45.107767642898899</v>
      </c>
    </row>
    <row r="114" spans="29:31" ht="13.9">
      <c r="AC114" s="1139" t="s">
        <v>344</v>
      </c>
      <c r="AD114" s="1146">
        <v>0.10958999999999999</v>
      </c>
      <c r="AE114" s="1144">
        <v>-0.26385999999999998</v>
      </c>
    </row>
    <row r="115" spans="29:31" ht="13.9">
      <c r="AC115" s="1138" t="s">
        <v>345</v>
      </c>
      <c r="AD115" s="1145">
        <v>1439</v>
      </c>
      <c r="AE115" s="1145">
        <v>464</v>
      </c>
    </row>
    <row r="116" spans="29:31" ht="13.9">
      <c r="AC116" s="1137" t="s">
        <v>370</v>
      </c>
      <c r="AD116" s="1142">
        <v>1149.23</v>
      </c>
      <c r="AE116" s="1142">
        <v>220.154</v>
      </c>
    </row>
    <row r="117" spans="29:31" ht="13.9">
      <c r="AC117" s="1138" t="s">
        <v>343</v>
      </c>
      <c r="AD117" s="1143">
        <v>1.5662479763300399</v>
      </c>
      <c r="AE117" s="1143">
        <v>-0.82272879165475599</v>
      </c>
    </row>
    <row r="118" spans="29:31" ht="13.9">
      <c r="AC118" s="1138" t="s">
        <v>349</v>
      </c>
      <c r="AD118" s="1145">
        <v>61.002966199760898</v>
      </c>
      <c r="AE118" s="1145">
        <v>29.073558795136499</v>
      </c>
    </row>
    <row r="119" spans="29:31" ht="13.9">
      <c r="AC119" s="1139" t="s">
        <v>344</v>
      </c>
      <c r="AD119" s="1146">
        <v>0.11684</v>
      </c>
      <c r="AE119" s="1144">
        <v>-0.3226</v>
      </c>
    </row>
    <row r="120" spans="29:31" ht="13.9">
      <c r="AC120" s="1138" t="s">
        <v>345</v>
      </c>
      <c r="AD120" s="1145">
        <v>1029</v>
      </c>
      <c r="AE120" s="1145">
        <v>325</v>
      </c>
    </row>
    <row r="121" spans="29:31" ht="13.9">
      <c r="AC121" s="1137" t="s">
        <v>371</v>
      </c>
      <c r="AD121" s="1142">
        <v>0.379</v>
      </c>
      <c r="AE121" s="1142">
        <v>7.2999999999999995E-2</v>
      </c>
    </row>
    <row r="122" spans="29:31" ht="13.9">
      <c r="AC122" s="1138" t="s">
        <v>343</v>
      </c>
      <c r="AD122" s="1143">
        <v>1.5782312925170101</v>
      </c>
      <c r="AE122" s="1143">
        <v>-0.82195121951219507</v>
      </c>
    </row>
    <row r="123" spans="29:31" ht="13.9">
      <c r="AC123" s="1139" t="s">
        <v>344</v>
      </c>
      <c r="AD123" s="1146">
        <v>0.12798000000000001</v>
      </c>
      <c r="AE123" s="1144">
        <v>-0.30806</v>
      </c>
    </row>
    <row r="124" spans="29:31" ht="13.9">
      <c r="AC124" s="1138" t="s">
        <v>345</v>
      </c>
      <c r="AD124" s="1145">
        <v>0.33600000000000002</v>
      </c>
      <c r="AE124" s="1145">
        <v>0.1055</v>
      </c>
    </row>
    <row r="125" spans="29:31" ht="13.9">
      <c r="AC125" s="1137" t="s">
        <v>372</v>
      </c>
      <c r="AD125" s="1142">
        <v>0.14000000000000001</v>
      </c>
      <c r="AE125" s="1142">
        <v>0</v>
      </c>
    </row>
    <row r="126" spans="29:31" ht="13.9">
      <c r="AC126" s="1138" t="s">
        <v>343</v>
      </c>
      <c r="AD126" s="1143" t="s">
        <v>78</v>
      </c>
      <c r="AE126" s="1143">
        <v>-1</v>
      </c>
    </row>
    <row r="127" spans="29:31" ht="13.9">
      <c r="AC127" s="1139" t="s">
        <v>344</v>
      </c>
      <c r="AD127" s="1146">
        <v>0.4</v>
      </c>
      <c r="AE127" s="1143" t="s">
        <v>78</v>
      </c>
    </row>
    <row r="128" spans="29:31" ht="13.9">
      <c r="AC128" s="1138" t="s">
        <v>345</v>
      </c>
      <c r="AD128" s="1145">
        <v>0.1</v>
      </c>
      <c r="AE128" s="1145">
        <v>0</v>
      </c>
    </row>
    <row r="129" spans="29:31" ht="13.9">
      <c r="AC129" s="1138" t="s">
        <v>347</v>
      </c>
      <c r="AD129" s="1145" t="s">
        <v>78</v>
      </c>
      <c r="AE129" s="1145" t="s">
        <v>78</v>
      </c>
    </row>
    <row r="130" spans="29:31" ht="13.9">
      <c r="AC130" s="1137" t="s">
        <v>373</v>
      </c>
      <c r="AD130" s="1142">
        <v>3033.7428599999998</v>
      </c>
      <c r="AE130" s="1142">
        <v>2998.1869999999999</v>
      </c>
    </row>
    <row r="131" spans="29:31" ht="13.9">
      <c r="AC131" s="1138" t="s">
        <v>343</v>
      </c>
      <c r="AD131" s="1143">
        <v>-2.4038186772805501E-3</v>
      </c>
      <c r="AE131" s="1143">
        <v>7.2382312031169999E-5</v>
      </c>
    </row>
    <row r="132" spans="29:31" ht="13.9">
      <c r="AC132" s="1139" t="s">
        <v>344</v>
      </c>
      <c r="AD132" s="1143">
        <v>1.192E-2</v>
      </c>
      <c r="AE132" s="1143">
        <v>-3.5899999999999999E-3</v>
      </c>
    </row>
    <row r="133" spans="29:31" ht="13.9">
      <c r="AC133" s="1138" t="s">
        <v>345</v>
      </c>
      <c r="AD133" s="1145">
        <v>2998</v>
      </c>
      <c r="AE133" s="1145">
        <v>3009</v>
      </c>
    </row>
    <row r="134" spans="29:31" ht="13.9">
      <c r="AC134" s="1137" t="s">
        <v>374</v>
      </c>
      <c r="AD134" s="1142" t="s">
        <v>78</v>
      </c>
      <c r="AE134" s="1142" t="s">
        <v>78</v>
      </c>
    </row>
    <row r="135" spans="29:31" ht="13.9">
      <c r="AC135" s="1138" t="s">
        <v>343</v>
      </c>
      <c r="AD135" s="1143" t="s">
        <v>78</v>
      </c>
      <c r="AE135" s="1143" t="s">
        <v>78</v>
      </c>
    </row>
    <row r="136" spans="29:31" ht="13.9">
      <c r="AC136" s="1139" t="s">
        <v>344</v>
      </c>
      <c r="AD136" s="1143" t="s">
        <v>78</v>
      </c>
      <c r="AE136" s="1143" t="s">
        <v>78</v>
      </c>
    </row>
    <row r="137" spans="29:31" ht="13.9">
      <c r="AC137" s="1138" t="s">
        <v>345</v>
      </c>
      <c r="AD137" s="1145" t="s">
        <v>78</v>
      </c>
      <c r="AE137" s="1145" t="s">
        <v>78</v>
      </c>
    </row>
  </sheetData>
  <mergeCells count="12">
    <mergeCell ref="K10:K11"/>
    <mergeCell ref="L10:M11"/>
    <mergeCell ref="K12:K13"/>
    <mergeCell ref="L12:M13"/>
    <mergeCell ref="K14:K15"/>
    <mergeCell ref="L14:M15"/>
    <mergeCell ref="D6:F6"/>
    <mergeCell ref="D1:F1"/>
    <mergeCell ref="D2:F2"/>
    <mergeCell ref="D3:F3"/>
    <mergeCell ref="D4:F4"/>
    <mergeCell ref="D5:F5"/>
  </mergeCells>
  <conditionalFormatting sqref="H2:H5">
    <cfRule type="dataBar" priority="1">
      <dataBar>
        <cfvo type="num" val="0"/>
        <cfvo type="num" val="1"/>
        <color rgb="FF63C384"/>
      </dataBar>
      <extLst>
        <ext xmlns:x14="http://schemas.microsoft.com/office/spreadsheetml/2009/9/main" uri="{B025F937-C7B1-47D3-B67F-A62EFF666E3E}">
          <x14:id>{801B11EB-2CAC-479F-B12F-6750F77EB0AF}</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801B11EB-2CAC-479F-B12F-6750F77EB0A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H2:H5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3C53-8CD7-4566-A7D1-8BE8CB727334}">
  <sheetPr>
    <tabColor theme="5"/>
  </sheetPr>
  <dimension ref="A1:AE134"/>
  <sheetViews>
    <sheetView showGridLines="0" topLeftCell="A29" zoomScale="90" zoomScaleNormal="90" workbookViewId="0">
      <pane xSplit="2" topLeftCell="C55" activePane="topRight" state="frozen"/>
      <selection pane="topRight" activeCell="C55" sqref="C55"/>
      <selection activeCell="A50" sqref="A50"/>
    </sheetView>
  </sheetViews>
  <sheetFormatPr defaultColWidth="11.42578125" defaultRowHeight="13.15"/>
  <cols>
    <col min="1" max="1" width="0.42578125" customWidth="1"/>
    <col min="2" max="2" width="38.85546875" bestFit="1" customWidth="1"/>
    <col min="3" max="4" width="32.140625" customWidth="1"/>
    <col min="5" max="5" width="33.42578125" customWidth="1"/>
    <col min="6" max="7" width="33.7109375" customWidth="1"/>
    <col min="8" max="8" width="18.7109375" bestFit="1" customWidth="1"/>
    <col min="9" max="9" width="21.42578125" bestFit="1" customWidth="1"/>
    <col min="10" max="10" width="19" bestFit="1" customWidth="1"/>
    <col min="11" max="11" width="21" customWidth="1"/>
    <col min="12" max="12" width="18.42578125" bestFit="1" customWidth="1"/>
    <col min="29" max="29" width="42.85546875" bestFit="1" customWidth="1"/>
    <col min="30" max="30" width="19.28515625" customWidth="1"/>
    <col min="31" max="31" width="19.28515625" bestFit="1" customWidth="1"/>
  </cols>
  <sheetData>
    <row r="1" spans="2:31" ht="14.45">
      <c r="B1" s="165" t="s">
        <v>246</v>
      </c>
      <c r="C1" s="166" t="s">
        <v>247</v>
      </c>
      <c r="D1" s="1420" t="s">
        <v>215</v>
      </c>
      <c r="E1" s="1420"/>
      <c r="F1" s="1420"/>
      <c r="G1" s="833" t="s">
        <v>248</v>
      </c>
      <c r="H1" s="833" t="s">
        <v>249</v>
      </c>
      <c r="I1" s="165" t="s">
        <v>250</v>
      </c>
      <c r="J1" s="165" t="s">
        <v>251</v>
      </c>
      <c r="AC1" s="1133" t="s">
        <v>333</v>
      </c>
    </row>
    <row r="2" spans="2:31" ht="122.65" customHeight="1">
      <c r="B2" s="551" t="e" vm="6">
        <v>#VALUE!</v>
      </c>
      <c r="C2" s="718" t="e" vm="2">
        <v>#VALUE!</v>
      </c>
      <c r="D2" s="1417" t="s">
        <v>252</v>
      </c>
      <c r="E2" s="1418"/>
      <c r="F2" s="1419"/>
      <c r="G2" s="826" t="s">
        <v>253</v>
      </c>
      <c r="H2" s="1057">
        <v>0.89</v>
      </c>
      <c r="I2" s="826" t="str" cm="1">
        <f t="array" aca="1" ref="I2" ca="1">_FV(C2,"Moeda")</f>
        <v>USD</v>
      </c>
      <c r="J2" s="826" t="s">
        <v>254</v>
      </c>
      <c r="AC2" s="1133" t="s">
        <v>334</v>
      </c>
    </row>
    <row r="3" spans="2:31" ht="108" customHeight="1">
      <c r="B3" s="550" t="e" vm="7">
        <v>#VALUE!</v>
      </c>
      <c r="C3" s="293" t="e" vm="3">
        <v>#VALUE!</v>
      </c>
      <c r="D3" s="1417" t="s">
        <v>255</v>
      </c>
      <c r="E3" s="1418"/>
      <c r="F3" s="1419"/>
      <c r="G3" s="826" t="s">
        <v>256</v>
      </c>
      <c r="H3" s="1057">
        <v>0.72</v>
      </c>
      <c r="I3" s="826" t="str" cm="1">
        <f t="array" aca="1" ref="I3" ca="1">_FV(C3,"Moeda")</f>
        <v>USD</v>
      </c>
      <c r="J3" s="826" t="s">
        <v>254</v>
      </c>
      <c r="AC3" s="1133" t="s">
        <v>335</v>
      </c>
    </row>
    <row r="4" spans="2:31" ht="106.15" customHeight="1">
      <c r="B4" s="551" t="e" vm="8">
        <v>#VALUE!</v>
      </c>
      <c r="C4" s="294" t="e" vm="4">
        <v>#VALUE!</v>
      </c>
      <c r="D4" s="1417" t="s">
        <v>257</v>
      </c>
      <c r="E4" s="1418"/>
      <c r="F4" s="1419"/>
      <c r="G4" s="826" t="s">
        <v>258</v>
      </c>
      <c r="H4" s="1057">
        <v>0.39579999999999999</v>
      </c>
      <c r="I4" s="826" t="str" cm="1">
        <f t="array" aca="1" ref="I4" ca="1">_FV(C4,"Moeda")</f>
        <v>AUD</v>
      </c>
      <c r="J4" s="826" t="s">
        <v>259</v>
      </c>
    </row>
    <row r="5" spans="2:31" ht="110.65" customHeight="1">
      <c r="B5" s="551" t="e" vm="9">
        <v>#VALUE!</v>
      </c>
      <c r="C5" s="717" t="e" vm="5">
        <v>#VALUE!</v>
      </c>
      <c r="D5" s="1417" t="s">
        <v>260</v>
      </c>
      <c r="E5" s="1418"/>
      <c r="F5" s="1419"/>
      <c r="G5" s="826" t="s">
        <v>261</v>
      </c>
      <c r="H5" s="1057">
        <f>511/883</f>
        <v>0.57870894677236695</v>
      </c>
      <c r="I5" s="826" t="str" cm="1">
        <f t="array" aca="1" ref="I5" ca="1">_FV(C5,"Moeda")</f>
        <v>AUD</v>
      </c>
      <c r="J5" s="826" t="s">
        <v>254</v>
      </c>
      <c r="AC5" s="1133" t="s">
        <v>336</v>
      </c>
    </row>
    <row r="6" spans="2:31" ht="127.9" hidden="1" customHeight="1">
      <c r="B6" s="551"/>
      <c r="C6" s="719"/>
      <c r="D6" s="1417" t="e" cm="1" vm="10">
        <f t="array" ref="D6">_FV(C6,"Descrição")</f>
        <v>#VALUE!</v>
      </c>
      <c r="E6" s="1418"/>
      <c r="F6" s="1419"/>
      <c r="G6" t="e" cm="1" vm="11">
        <f t="array" ref="G6">_FV(C6,"Moeda")</f>
        <v>#VALUE!</v>
      </c>
    </row>
    <row r="7" spans="2:31" ht="14.45" thickBot="1">
      <c r="B7" s="10"/>
      <c r="AC7" s="1134" t="s">
        <v>337</v>
      </c>
      <c r="AD7" s="1140" t="s">
        <v>337</v>
      </c>
      <c r="AE7" s="1148" t="s">
        <v>338</v>
      </c>
    </row>
    <row r="8" spans="2:31" ht="46.9" customHeight="1" thickBot="1">
      <c r="B8" s="656" t="str" cm="1">
        <f t="array" aca="1" ref="B8" ca="1">_FV(OP!E2,"Currency")&amp;" MILLIONS"</f>
        <v>AUD MILLIONS</v>
      </c>
      <c r="C8" s="289" t="e" vm="1">
        <f>OP!E2</f>
        <v>#VALUE!</v>
      </c>
      <c r="D8" s="290" t="e" vm="2">
        <f>C2</f>
        <v>#VALUE!</v>
      </c>
      <c r="E8" s="291" t="e" vm="3">
        <f>C3</f>
        <v>#VALUE!</v>
      </c>
      <c r="F8" s="292" t="e" vm="4">
        <f>C4</f>
        <v>#VALUE!</v>
      </c>
      <c r="G8" s="717" t="e" vm="5">
        <f>C5</f>
        <v>#VALUE!</v>
      </c>
      <c r="H8" s="658" t="s">
        <v>242</v>
      </c>
      <c r="I8" s="434" t="s">
        <v>262</v>
      </c>
      <c r="AC8" s="1135" t="s">
        <v>337</v>
      </c>
      <c r="AD8" s="1140" t="s">
        <v>337</v>
      </c>
      <c r="AE8" s="1149" t="s">
        <v>339</v>
      </c>
    </row>
    <row r="9" spans="2:31" ht="16.5" customHeight="1" thickBot="1">
      <c r="B9" s="161" t="s">
        <v>263</v>
      </c>
      <c r="C9" s="151"/>
      <c r="D9" s="152"/>
      <c r="E9" s="152"/>
      <c r="F9" s="152"/>
      <c r="G9" s="152"/>
      <c r="H9" s="153" t="str">
        <f>IFERROR(AVERAGE(C9:F9),"")</f>
        <v/>
      </c>
      <c r="I9" s="416"/>
      <c r="K9" s="714" t="s">
        <v>264</v>
      </c>
      <c r="L9" s="715"/>
      <c r="M9" s="716"/>
      <c r="AC9" s="1136" t="s">
        <v>337</v>
      </c>
      <c r="AD9" s="1141" t="s">
        <v>340</v>
      </c>
      <c r="AE9" s="1141" t="s">
        <v>341</v>
      </c>
    </row>
    <row r="10" spans="2:31" s="90" customFormat="1" ht="13.5" customHeight="1" thickBot="1">
      <c r="B10" s="163" t="s">
        <v>265</v>
      </c>
      <c r="C10" s="758" cm="1">
        <f t="array" aca="1" ref="C10" ca="1">_FV(C8,"Market cap",TRUE)/1000000</f>
        <v>8913.9950000000008</v>
      </c>
      <c r="D10" s="758" cm="1">
        <f t="array" aca="1" ref="D10" ca="1">(_FV(D8,"Capitalização de mercado",TRUE)*_FV($D$54,"Preço"))/1000000</f>
        <v>18547.684792654502</v>
      </c>
      <c r="E10" s="758" cm="1">
        <f t="array" aca="1" ref="E10" ca="1">(_FV(E8,"Capitalização de mercado",TRUE)*_FV($D$54,"Preço"))/1000000</f>
        <v>15963.253844999999</v>
      </c>
      <c r="F10" s="758" cm="1">
        <f t="array" aca="1" ref="F10" ca="1">_FV(F8,"Capitalização de mercado",TRUE)/1000000</f>
        <v>7560.0709999999999</v>
      </c>
      <c r="G10" s="758" cm="1">
        <f t="array" aca="1" ref="G10" ca="1">_FV(G8,"Capitalização de mercado",TRUE)/1000000</f>
        <v>5764.1350000000002</v>
      </c>
      <c r="H10" s="568">
        <f ca="1">IFERROR(AVERAGE(C10:G10),"")</f>
        <v>11349.827927530901</v>
      </c>
      <c r="I10" s="562">
        <f ca="1">SQRT((C10-H10)^2)</f>
        <v>2435.8329275309006</v>
      </c>
      <c r="J10" s="563"/>
      <c r="K10" s="1421"/>
      <c r="L10" s="1427" t="s">
        <v>266</v>
      </c>
      <c r="M10" s="1428"/>
      <c r="AC10" s="1137" t="s">
        <v>342</v>
      </c>
      <c r="AD10" s="1142">
        <v>1883.8920000000001</v>
      </c>
      <c r="AE10" s="1142">
        <v>757.23099999999999</v>
      </c>
    </row>
    <row r="11" spans="2:31" ht="13.9" customHeight="1" thickBot="1">
      <c r="B11" s="364" t="s">
        <v>267</v>
      </c>
      <c r="C11" s="759">
        <f>C59</f>
        <v>1040.4690000000001</v>
      </c>
      <c r="D11" s="759">
        <f>D59</f>
        <v>8901.0109206498</v>
      </c>
      <c r="E11" s="759">
        <f>E58</f>
        <v>11251</v>
      </c>
      <c r="F11" s="759">
        <f>F59</f>
        <v>4903.1490000000003</v>
      </c>
      <c r="G11" s="759">
        <f>G59</f>
        <v>1918.19156187</v>
      </c>
      <c r="H11" s="385">
        <f>IFERROR(AVERAGE(C11:G11),"")</f>
        <v>5602.76409650396</v>
      </c>
      <c r="I11" s="417">
        <f>SQRT((C11-H11)^2)</f>
        <v>4562.2950965039599</v>
      </c>
      <c r="K11" s="1422"/>
      <c r="L11" s="1429"/>
      <c r="M11" s="1430"/>
      <c r="AC11" s="1138" t="s">
        <v>343</v>
      </c>
      <c r="AD11" s="1143">
        <v>1.0981883710932399</v>
      </c>
      <c r="AE11" s="1143">
        <v>-0.652666564837737</v>
      </c>
    </row>
    <row r="12" spans="2:31" ht="16.5" customHeight="1" thickBot="1">
      <c r="B12" s="161" t="s">
        <v>268</v>
      </c>
      <c r="C12" s="164"/>
      <c r="D12" s="164"/>
      <c r="E12" s="164"/>
      <c r="F12" s="164"/>
      <c r="G12" s="164"/>
      <c r="H12" s="386" t="str">
        <f>IFERROR(AVERAGE(C12:F12),"")</f>
        <v/>
      </c>
      <c r="I12" s="418"/>
      <c r="K12" s="1423"/>
      <c r="L12" s="1427" t="s">
        <v>269</v>
      </c>
      <c r="M12" s="1428"/>
      <c r="AC12" s="1139" t="s">
        <v>344</v>
      </c>
      <c r="AD12" s="1144">
        <v>-3.2709999999999996E-2</v>
      </c>
      <c r="AE12" s="1143">
        <v>-7.1699999999999993E-3</v>
      </c>
    </row>
    <row r="13" spans="2:31" ht="13.9" customHeight="1" thickBot="1">
      <c r="B13" s="160" t="s">
        <v>375</v>
      </c>
      <c r="C13" s="1150">
        <f>C59/C58-1</f>
        <v>-0.74397908464566931</v>
      </c>
      <c r="D13" s="564">
        <f>D59/D58-1</f>
        <v>-0.38571353204625258</v>
      </c>
      <c r="E13" s="372">
        <f>E58/E59-1</f>
        <v>0.37705603246407771</v>
      </c>
      <c r="F13" s="372">
        <f>F59/F58-1</f>
        <v>2.5956560858739097E-2</v>
      </c>
      <c r="G13" s="372">
        <f>G59/G58-1</f>
        <v>6.8154338940862091E-2</v>
      </c>
      <c r="H13" s="387">
        <f t="shared" ref="H13:H18" si="0">IFERROR(AVERAGE(C13:G13),"")</f>
        <v>-0.13170513688564861</v>
      </c>
      <c r="I13" s="419">
        <f t="shared" ref="I13:I18" si="1">SQRT((C13-H13)^2)</f>
        <v>0.61227394776002075</v>
      </c>
      <c r="K13" s="1424"/>
      <c r="L13" s="1429"/>
      <c r="M13" s="1430"/>
      <c r="AC13" s="1138" t="s">
        <v>345</v>
      </c>
      <c r="AD13" s="1145">
        <v>1947.6</v>
      </c>
      <c r="AE13" s="1145">
        <v>762.69833000000006</v>
      </c>
    </row>
    <row r="14" spans="2:31" ht="13.9" customHeight="1" thickBot="1">
      <c r="B14" s="373" t="s">
        <v>136</v>
      </c>
      <c r="C14" s="772">
        <f>C62/C59</f>
        <v>0.4344194781391853</v>
      </c>
      <c r="D14" s="564">
        <f>D62/D59</f>
        <v>7.9625112958322225E-2</v>
      </c>
      <c r="E14" s="372">
        <f>E62/E59</f>
        <v>0.51041008386723674</v>
      </c>
      <c r="F14" s="372">
        <f>F62/F59</f>
        <v>0.1335876188955302</v>
      </c>
      <c r="G14" s="372">
        <f>G62/G59</f>
        <v>0.27466559870265267</v>
      </c>
      <c r="H14" s="387">
        <f t="shared" si="0"/>
        <v>0.28654157851258544</v>
      </c>
      <c r="I14" s="421">
        <f t="shared" si="1"/>
        <v>0.14787789962659986</v>
      </c>
      <c r="K14" s="1433"/>
      <c r="L14" s="1427" t="s">
        <v>272</v>
      </c>
      <c r="M14" s="1428"/>
      <c r="AC14" s="1137" t="s">
        <v>346</v>
      </c>
      <c r="AD14" s="1142">
        <v>396.51600000000002</v>
      </c>
      <c r="AE14" s="1142">
        <v>340.95299999999997</v>
      </c>
    </row>
    <row r="15" spans="2:31" ht="13.9" customHeight="1" thickBot="1">
      <c r="B15" s="373" t="s">
        <v>273</v>
      </c>
      <c r="C15" s="1152">
        <f>C61/C59</f>
        <v>0.31187858552249031</v>
      </c>
      <c r="D15" s="366">
        <f>D61/D59</f>
        <v>0.20724600486290962</v>
      </c>
      <c r="E15" s="366">
        <f>E61/E59</f>
        <v>0.41090645957538585</v>
      </c>
      <c r="F15" s="366">
        <f>F61/F59</f>
        <v>0.22254412419447173</v>
      </c>
      <c r="G15" s="366">
        <f>G61/G59</f>
        <v>0.37284997566289496</v>
      </c>
      <c r="H15" s="387">
        <f t="shared" si="0"/>
        <v>0.30508502996363046</v>
      </c>
      <c r="I15" s="421">
        <f t="shared" si="1"/>
        <v>6.793555558859854E-3</v>
      </c>
      <c r="K15" s="1434"/>
      <c r="L15" s="1431"/>
      <c r="M15" s="1432"/>
      <c r="AC15" s="1138" t="s">
        <v>343</v>
      </c>
      <c r="AD15" s="1143">
        <v>0.60526944362351198</v>
      </c>
      <c r="AE15" s="1143">
        <v>-0.10440504334121399</v>
      </c>
    </row>
    <row r="16" spans="2:31" ht="13.9" customHeight="1" thickBot="1">
      <c r="B16" s="365" t="s">
        <v>274</v>
      </c>
      <c r="C16" s="773">
        <f>C65/C59</f>
        <v>0.20855979370841418</v>
      </c>
      <c r="D16" s="564">
        <f>D65/D59</f>
        <v>7.5845191806293816E-2</v>
      </c>
      <c r="E16" s="372">
        <f>E65/E58</f>
        <v>0.17355737085233314</v>
      </c>
      <c r="F16" s="372">
        <f>F65/F59</f>
        <v>5.1347817494430611E-2</v>
      </c>
      <c r="G16" s="372">
        <f>G65/G59</f>
        <v>0.1765249851075866</v>
      </c>
      <c r="H16" s="387">
        <f t="shared" si="0"/>
        <v>0.13716703179381168</v>
      </c>
      <c r="I16" s="420">
        <f t="shared" si="1"/>
        <v>7.1392761914602504E-2</v>
      </c>
      <c r="K16" s="1129"/>
      <c r="L16" s="1129"/>
      <c r="M16" s="1129"/>
      <c r="AC16" s="1139" t="s">
        <v>344</v>
      </c>
      <c r="AD16" s="1146">
        <v>1.932E-2</v>
      </c>
      <c r="AE16" s="1143">
        <v>-1.4000000000000001E-4</v>
      </c>
    </row>
    <row r="17" spans="2:31" ht="14.45" thickBot="1">
      <c r="B17" s="373" t="s">
        <v>275</v>
      </c>
      <c r="C17" s="366">
        <f>C65/C77</f>
        <v>7.3092939525192316E-2</v>
      </c>
      <c r="D17" s="366">
        <f>D65/D77</f>
        <v>4.0842500787617038E-2</v>
      </c>
      <c r="E17" s="366">
        <f>E65/E77</f>
        <v>0.21497430536457415</v>
      </c>
      <c r="F17" s="366">
        <f>F65/F77</f>
        <v>5.9952190553353484E-2</v>
      </c>
      <c r="G17" s="366">
        <f>G65/G77</f>
        <v>3.3919561638142498E-2</v>
      </c>
      <c r="H17" s="387">
        <f t="shared" si="0"/>
        <v>8.4556299573775903E-2</v>
      </c>
      <c r="I17" s="421">
        <f t="shared" si="1"/>
        <v>1.1463360048583587E-2</v>
      </c>
      <c r="AC17" s="1138" t="s">
        <v>345</v>
      </c>
      <c r="AD17" s="1145">
        <v>389</v>
      </c>
      <c r="AE17" s="1145">
        <v>341</v>
      </c>
    </row>
    <row r="18" spans="2:31" ht="14.45" thickBot="1">
      <c r="B18" s="364" t="s">
        <v>276</v>
      </c>
      <c r="C18" s="1150">
        <f>(C65+C64)/(C76+C77)</f>
        <v>-2.6621857061475854E-2</v>
      </c>
      <c r="D18" s="564">
        <f>(D65+D64)/(D76+D77)</f>
        <v>2.0348551396952293E-2</v>
      </c>
      <c r="E18" s="372">
        <f>(E65+E64)/(E76+E77)</f>
        <v>6.7194796716235891E-2</v>
      </c>
      <c r="F18" s="372">
        <f>(F65+F64)/(F76+F77)</f>
        <v>1.6279892986862853E-2</v>
      </c>
      <c r="G18" s="372">
        <f>(G65+G64)/(G76+G77)</f>
        <v>1.7106616336128748E-2</v>
      </c>
      <c r="H18" s="387">
        <f t="shared" si="0"/>
        <v>1.8861600074940789E-2</v>
      </c>
      <c r="I18" s="422">
        <f t="shared" si="1"/>
        <v>4.5483457136416647E-2</v>
      </c>
      <c r="AC18" s="1138" t="s">
        <v>347</v>
      </c>
      <c r="AD18" s="1145" t="s">
        <v>78</v>
      </c>
      <c r="AE18" s="1145" t="s">
        <v>78</v>
      </c>
    </row>
    <row r="19" spans="2:31" ht="16.149999999999999" thickBot="1">
      <c r="B19" s="161" t="s">
        <v>277</v>
      </c>
      <c r="C19" s="164"/>
      <c r="D19" s="164"/>
      <c r="E19" s="164"/>
      <c r="F19" s="164"/>
      <c r="G19" s="164"/>
      <c r="H19" s="388" t="str">
        <f>IFERROR(AVERAGE(C19:F19),"")</f>
        <v/>
      </c>
      <c r="I19" s="418"/>
      <c r="AC19" s="1137" t="s">
        <v>348</v>
      </c>
      <c r="AD19" s="1142">
        <v>1488.3309999999999</v>
      </c>
      <c r="AE19" s="1142" t="s">
        <v>78</v>
      </c>
    </row>
    <row r="20" spans="2:31" ht="14.45" thickBot="1">
      <c r="B20" s="163" t="s">
        <v>79</v>
      </c>
      <c r="C20" s="379">
        <f>C76/C73</f>
        <v>9.1886922546541031E-2</v>
      </c>
      <c r="D20" s="379">
        <f>D76/D73</f>
        <v>0.23897892086527583</v>
      </c>
      <c r="E20" s="379">
        <f>E76/E73</f>
        <v>0.27579914819293605</v>
      </c>
      <c r="F20" s="379">
        <f>F76/F73</f>
        <v>0.45102133781949222</v>
      </c>
      <c r="G20" s="379">
        <f>G76/G73</f>
        <v>4.4657996256808552E-2</v>
      </c>
      <c r="H20" s="389">
        <f t="shared" ref="H20:H25" si="2">IFERROR(AVERAGE(C20:G20),"")</f>
        <v>0.22046886513621072</v>
      </c>
      <c r="I20" s="423">
        <f t="shared" ref="I20:I25" si="3">SQRT((C20-H20)^2)</f>
        <v>0.12858194258966971</v>
      </c>
      <c r="AC20" s="1138" t="s">
        <v>343</v>
      </c>
      <c r="AD20" s="1143" t="s">
        <v>78</v>
      </c>
      <c r="AE20" s="1143" t="s">
        <v>78</v>
      </c>
    </row>
    <row r="21" spans="2:31" ht="14.45" thickBot="1">
      <c r="B21" s="720" t="s">
        <v>278</v>
      </c>
      <c r="C21" s="774">
        <f>(C76-C68)/C61</f>
        <v>-4.3803543913713403</v>
      </c>
      <c r="D21" s="1130">
        <f>(D76-D68)/D61</f>
        <v>2.8872480110931078</v>
      </c>
      <c r="E21" s="1131">
        <f>(E76-E68)/E61</f>
        <v>3.4857923513323924E-2</v>
      </c>
      <c r="F21" s="1131">
        <f>(F76-F68)/F61</f>
        <v>4.1898375775660375</v>
      </c>
      <c r="G21" s="1131">
        <f>(G76-G68)/G61</f>
        <v>-0.7261113109509193</v>
      </c>
      <c r="H21" s="389">
        <f t="shared" si="2"/>
        <v>0.40109556197004193</v>
      </c>
      <c r="I21" s="424">
        <f t="shared" si="3"/>
        <v>4.7814499533413821</v>
      </c>
      <c r="AC21" s="1138" t="s">
        <v>349</v>
      </c>
      <c r="AD21" s="1145">
        <v>79.002989555664499</v>
      </c>
      <c r="AE21" s="1145" t="s">
        <v>78</v>
      </c>
    </row>
    <row r="22" spans="2:31" ht="14.45" hidden="1" thickBot="1">
      <c r="B22" s="163" t="s">
        <v>79</v>
      </c>
      <c r="C22" s="374" t="e">
        <f>(C76-#REF!)/C73</f>
        <v>#REF!</v>
      </c>
      <c r="D22" s="379" t="e">
        <f>(D76-#REF!)/D73</f>
        <v>#REF!</v>
      </c>
      <c r="E22" s="379" t="e">
        <f>(E76-#REF!)/E73</f>
        <v>#REF!</v>
      </c>
      <c r="F22" s="379" t="e">
        <f>(F76-#REF!)/F73</f>
        <v>#REF!</v>
      </c>
      <c r="G22" s="379" t="e">
        <f>(G76-#REF!)/G73</f>
        <v>#REF!</v>
      </c>
      <c r="H22" s="389" t="str">
        <f t="shared" si="2"/>
        <v/>
      </c>
      <c r="I22" s="424" t="e">
        <f t="shared" si="3"/>
        <v>#REF!</v>
      </c>
      <c r="AC22" s="1139" t="s">
        <v>344</v>
      </c>
      <c r="AD22" s="1143" t="s">
        <v>78</v>
      </c>
      <c r="AE22" s="1143" t="s">
        <v>78</v>
      </c>
    </row>
    <row r="23" spans="2:31" ht="14.45" hidden="1" thickBot="1">
      <c r="B23" s="720" t="s">
        <v>280</v>
      </c>
      <c r="C23" s="370" t="e">
        <f>((C76-#REF!)-C68)/C61</f>
        <v>#REF!</v>
      </c>
      <c r="D23" s="1130" t="e">
        <f>((D76-#REF!)-D68)/D61</f>
        <v>#REF!</v>
      </c>
      <c r="E23" s="1131" t="e">
        <f>((E76-#REF!)-E68)/E61</f>
        <v>#REF!</v>
      </c>
      <c r="F23" s="1131" t="e">
        <f>((F76-#REF!)-F68)/F61</f>
        <v>#REF!</v>
      </c>
      <c r="G23" s="1131" t="e">
        <f>((G76-#REF!)-G68)/G61</f>
        <v>#REF!</v>
      </c>
      <c r="H23" s="389" t="str">
        <f t="shared" si="2"/>
        <v/>
      </c>
      <c r="I23" s="424" t="e">
        <f t="shared" si="3"/>
        <v>#REF!</v>
      </c>
      <c r="AC23" s="1138" t="s">
        <v>345</v>
      </c>
      <c r="AD23" s="1145" t="s">
        <v>78</v>
      </c>
      <c r="AE23" s="1145" t="s">
        <v>78</v>
      </c>
    </row>
    <row r="24" spans="2:31" ht="14.45" hidden="1" thickBot="1">
      <c r="B24" s="163" t="s">
        <v>281</v>
      </c>
      <c r="C24" s="673" t="e">
        <f>#REF!/C76</f>
        <v>#REF!</v>
      </c>
      <c r="D24" s="379" t="e">
        <f>#REF!/D76</f>
        <v>#REF!</v>
      </c>
      <c r="E24" s="379" t="e">
        <f>#REF!/E76</f>
        <v>#REF!</v>
      </c>
      <c r="F24" s="379" t="e">
        <f>#REF!/F76</f>
        <v>#REF!</v>
      </c>
      <c r="G24" s="379" t="e">
        <f>#REF!/G76</f>
        <v>#REF!</v>
      </c>
      <c r="H24" s="389" t="str">
        <f t="shared" si="2"/>
        <v/>
      </c>
      <c r="I24" s="433" t="e">
        <f t="shared" si="3"/>
        <v>#REF!</v>
      </c>
      <c r="AC24" s="1137" t="s">
        <v>350</v>
      </c>
      <c r="AD24" s="1147" t="s">
        <v>78</v>
      </c>
      <c r="AE24" s="1147" t="s">
        <v>78</v>
      </c>
    </row>
    <row r="25" spans="2:31" ht="14.45" hidden="1" thickBot="1">
      <c r="B25" s="720" t="s">
        <v>282</v>
      </c>
      <c r="C25" s="1063" t="e">
        <f>-C61/C63</f>
        <v>#DIV/0!</v>
      </c>
      <c r="D25" s="379">
        <f>-D61/D63</f>
        <v>7.0758144283484006</v>
      </c>
      <c r="E25" s="379">
        <f>-E61/E63</f>
        <v>26.379506968021559</v>
      </c>
      <c r="F25" s="379">
        <f>-F61/F63</f>
        <v>3.3503353461028405</v>
      </c>
      <c r="G25" s="379">
        <f t="shared" ref="G25" si="4">-G61/G63</f>
        <v>30.538400799434307</v>
      </c>
      <c r="H25" s="389" t="str">
        <f t="shared" si="2"/>
        <v/>
      </c>
      <c r="I25" s="425" t="e">
        <f t="shared" si="3"/>
        <v>#DIV/0!</v>
      </c>
      <c r="J25" s="327"/>
      <c r="AC25" s="1138" t="s">
        <v>351</v>
      </c>
      <c r="AD25" s="1143" t="s">
        <v>78</v>
      </c>
      <c r="AE25" s="1143" t="s">
        <v>78</v>
      </c>
    </row>
    <row r="26" spans="2:31" ht="16.149999999999999" thickBot="1">
      <c r="B26" s="161" t="s">
        <v>283</v>
      </c>
      <c r="C26" s="164"/>
      <c r="D26" s="164"/>
      <c r="E26" s="164"/>
      <c r="F26" s="164"/>
      <c r="G26" s="164"/>
      <c r="H26" s="390"/>
      <c r="I26" s="418"/>
      <c r="AC26" s="1139" t="s">
        <v>344</v>
      </c>
      <c r="AD26" s="1143" t="s">
        <v>78</v>
      </c>
      <c r="AE26" s="1143" t="s">
        <v>78</v>
      </c>
    </row>
    <row r="27" spans="2:31" ht="14.45" thickBot="1">
      <c r="B27" s="368" t="s">
        <v>284</v>
      </c>
      <c r="C27" s="1153">
        <f>C71/C75</f>
        <v>3.7487030944625408</v>
      </c>
      <c r="D27" s="369">
        <f t="shared" ref="D27:G27" si="5">D71/D75</f>
        <v>0.48987931266018586</v>
      </c>
      <c r="E27" s="369">
        <f t="shared" si="5"/>
        <v>2.273451398349227</v>
      </c>
      <c r="F27" s="369">
        <f t="shared" si="5"/>
        <v>1.1693880665344116</v>
      </c>
      <c r="G27" s="369">
        <f t="shared" si="5"/>
        <v>3.2514712569604427</v>
      </c>
      <c r="H27" s="391">
        <f>IFERROR(AVERAGE(C27:G27),"")</f>
        <v>2.1865786257933615</v>
      </c>
      <c r="I27" s="426">
        <f>SQRT((C27-H27)^2)</f>
        <v>1.5621244686691793</v>
      </c>
      <c r="AC27" s="1138" t="s">
        <v>345</v>
      </c>
      <c r="AD27" s="1145" t="s">
        <v>78</v>
      </c>
      <c r="AE27" s="1145" t="s">
        <v>78</v>
      </c>
    </row>
    <row r="28" spans="2:31" ht="13.9" hidden="1" thickBot="1">
      <c r="B28" s="375" t="s">
        <v>285</v>
      </c>
      <c r="C28" s="774" t="e">
        <f>(C68+C69)/C75</f>
        <v>#VALUE!</v>
      </c>
      <c r="D28" s="376" t="e">
        <f t="shared" ref="D28:G28" si="6">(D68+D69)/D75</f>
        <v>#VALUE!</v>
      </c>
      <c r="E28" s="376" t="e">
        <f t="shared" si="6"/>
        <v>#VALUE!</v>
      </c>
      <c r="F28" s="376" t="e">
        <f t="shared" si="6"/>
        <v>#VALUE!</v>
      </c>
      <c r="G28" s="376" t="e">
        <f t="shared" si="6"/>
        <v>#VALUE!</v>
      </c>
      <c r="H28" s="391" t="str">
        <f>IFERROR(AVERAGE(C28:G28),"")</f>
        <v/>
      </c>
      <c r="I28" s="427" t="e">
        <f>SQRT((C28-H28)^2)</f>
        <v>#VALUE!</v>
      </c>
    </row>
    <row r="29" spans="2:31" ht="16.149999999999999" thickBot="1">
      <c r="B29" s="161" t="s">
        <v>286</v>
      </c>
      <c r="C29" s="164"/>
      <c r="D29" s="164"/>
      <c r="E29" s="164"/>
      <c r="F29" s="164"/>
      <c r="G29" s="164"/>
      <c r="H29" s="390" t="str">
        <f>IFERROR(AVERAGE(C29:F29),"")</f>
        <v/>
      </c>
      <c r="I29" s="418"/>
      <c r="AC29" s="1137" t="s">
        <v>352</v>
      </c>
      <c r="AD29" s="1142" t="s">
        <v>78</v>
      </c>
      <c r="AE29" s="1142" t="s">
        <v>78</v>
      </c>
    </row>
    <row r="30" spans="2:31" ht="14.45" thickBot="1">
      <c r="B30" s="365" t="s">
        <v>287</v>
      </c>
      <c r="C30" s="774">
        <f>C60/C70</f>
        <v>6.0183486238532113</v>
      </c>
      <c r="D30" s="367">
        <f t="shared" ref="D30:G30" si="7">D60/D70</f>
        <v>2.6281013083446725</v>
      </c>
      <c r="E30" s="367">
        <f t="shared" si="7"/>
        <v>3.4551437328359222</v>
      </c>
      <c r="F30" s="367">
        <f t="shared" si="7"/>
        <v>3.7592407525510199</v>
      </c>
      <c r="G30" s="367">
        <f t="shared" si="7"/>
        <v>2.175691544266682</v>
      </c>
      <c r="H30" s="391">
        <f>IFERROR(AVERAGE(C30:G30),"")</f>
        <v>3.6073051923703021</v>
      </c>
      <c r="I30" s="427">
        <f>SQRT((C30-H30)^2)</f>
        <v>2.4110434314829092</v>
      </c>
      <c r="AC30" s="1138" t="s">
        <v>343</v>
      </c>
      <c r="AD30" s="1143" t="s">
        <v>78</v>
      </c>
      <c r="AE30" s="1143" t="s">
        <v>78</v>
      </c>
    </row>
    <row r="31" spans="2:31" ht="14.45" hidden="1" thickBot="1">
      <c r="B31" s="373" t="s">
        <v>288</v>
      </c>
      <c r="C31" s="774" t="e">
        <f>C59/C69</f>
        <v>#VALUE!</v>
      </c>
      <c r="D31" s="376" t="e">
        <f t="shared" ref="D31:G31" si="8">D59/D69</f>
        <v>#VALUE!</v>
      </c>
      <c r="E31" s="376" t="e">
        <f t="shared" si="8"/>
        <v>#VALUE!</v>
      </c>
      <c r="F31" s="376" t="e">
        <f>F59/F69</f>
        <v>#VALUE!</v>
      </c>
      <c r="G31" s="376" t="e">
        <f t="shared" si="8"/>
        <v>#VALUE!</v>
      </c>
      <c r="H31" s="391" t="str">
        <f>IFERROR(AVERAGE(C31:G31),"")</f>
        <v/>
      </c>
      <c r="I31" s="427" t="e">
        <f>SQRT((C31-H31)^2)</f>
        <v>#VALUE!</v>
      </c>
      <c r="AC31" s="1139" t="s">
        <v>344</v>
      </c>
      <c r="AD31" s="1143" t="s">
        <v>78</v>
      </c>
      <c r="AE31" s="1143" t="s">
        <v>78</v>
      </c>
    </row>
    <row r="32" spans="2:31" ht="14.45" hidden="1" thickBot="1">
      <c r="B32" s="365" t="s">
        <v>290</v>
      </c>
      <c r="C32" s="367" t="e">
        <f>C60/C74</f>
        <v>#VALUE!</v>
      </c>
      <c r="D32" s="367" t="e">
        <f t="shared" ref="D32:G32" si="9">D60/D74</f>
        <v>#VALUE!</v>
      </c>
      <c r="E32" s="367" t="e">
        <f t="shared" si="9"/>
        <v>#VALUE!</v>
      </c>
      <c r="F32" s="367" t="e">
        <f t="shared" si="9"/>
        <v>#VALUE!</v>
      </c>
      <c r="G32" s="367" t="e">
        <f t="shared" si="9"/>
        <v>#VALUE!</v>
      </c>
      <c r="H32" s="391" t="str">
        <f>IFERROR(AVERAGE(C32:G32),"")</f>
        <v/>
      </c>
      <c r="I32" s="427" t="e">
        <f>SQRT((C32-H32)^2)</f>
        <v>#VALUE!</v>
      </c>
      <c r="AC32" s="1138" t="s">
        <v>345</v>
      </c>
      <c r="AD32" s="1145" t="s">
        <v>78</v>
      </c>
      <c r="AE32" s="1145" t="s">
        <v>78</v>
      </c>
    </row>
    <row r="33" spans="1:31" ht="14.45" hidden="1" thickBot="1">
      <c r="A33" s="10" t="s">
        <v>289</v>
      </c>
      <c r="B33" s="373" t="s">
        <v>291</v>
      </c>
      <c r="C33" s="774" t="e">
        <f>C59/C72</f>
        <v>#VALUE!</v>
      </c>
      <c r="D33" s="376">
        <f>D59/D73</f>
        <v>0.32058230973581048</v>
      </c>
      <c r="E33" s="376">
        <f>E58/E71</f>
        <v>1.0494950117772601</v>
      </c>
      <c r="F33" s="376" t="e">
        <f>F59/F72</f>
        <v>#VALUE!</v>
      </c>
      <c r="G33" s="376" t="e">
        <f>G59/G72</f>
        <v>#VALUE!</v>
      </c>
      <c r="H33" s="391" t="str">
        <f>IFERROR(AVERAGE(C33:G33),"")</f>
        <v/>
      </c>
      <c r="I33" s="427" t="e">
        <f>SQRT((C33-H33)^2)</f>
        <v>#VALUE!</v>
      </c>
      <c r="AC33" s="1137" t="s">
        <v>353</v>
      </c>
      <c r="AD33" s="1142" t="s">
        <v>78</v>
      </c>
      <c r="AE33" s="1142" t="s">
        <v>78</v>
      </c>
    </row>
    <row r="34" spans="1:31" ht="14.45" thickBot="1">
      <c r="B34" s="364" t="s">
        <v>292</v>
      </c>
      <c r="C34" s="377">
        <f t="shared" ref="C34:G34" si="10">C59/C73</f>
        <v>0.23913330268903701</v>
      </c>
      <c r="D34" s="377">
        <f t="shared" si="10"/>
        <v>0.32058230973581048</v>
      </c>
      <c r="E34" s="377">
        <f t="shared" si="10"/>
        <v>0.41655013514623995</v>
      </c>
      <c r="F34" s="377">
        <f>F59/F73</f>
        <v>0.44228496430166109</v>
      </c>
      <c r="G34" s="377">
        <f t="shared" si="10"/>
        <v>0.14769879411938844</v>
      </c>
      <c r="H34" s="391">
        <f>IFERROR(AVERAGE(C34:G34),"")</f>
        <v>0.31324990119842738</v>
      </c>
      <c r="I34" s="427">
        <f>SQRT((C34-H34)^2)</f>
        <v>7.4116598509390369E-2</v>
      </c>
      <c r="AC34" s="1138" t="s">
        <v>343</v>
      </c>
      <c r="AD34" s="1143" t="s">
        <v>78</v>
      </c>
      <c r="AE34" s="1143" t="s">
        <v>78</v>
      </c>
    </row>
    <row r="35" spans="1:31" ht="16.149999999999999" thickBot="1">
      <c r="B35" s="162" t="s">
        <v>121</v>
      </c>
      <c r="C35" s="164"/>
      <c r="D35" s="164"/>
      <c r="E35" s="164"/>
      <c r="F35" s="164"/>
      <c r="G35" s="164"/>
      <c r="H35" s="392" t="str">
        <f>IFERROR(AVERAGE(C35:F35),"")</f>
        <v/>
      </c>
      <c r="I35" s="418"/>
      <c r="AC35" s="1139" t="s">
        <v>344</v>
      </c>
      <c r="AD35" s="1143" t="s">
        <v>78</v>
      </c>
      <c r="AE35" s="1143" t="s">
        <v>78</v>
      </c>
    </row>
    <row r="36" spans="1:31" ht="14.45" thickBot="1">
      <c r="B36" s="160" t="s">
        <v>293</v>
      </c>
      <c r="C36" s="1154">
        <f ca="1">C10/C65</f>
        <v>41.078317972350234</v>
      </c>
      <c r="D36" s="383">
        <f ca="1">D10/D65</f>
        <v>27.474026882754124</v>
      </c>
      <c r="E36" s="383">
        <f ca="1">E10/E65</f>
        <v>8.1749900460172267</v>
      </c>
      <c r="F36" s="383">
        <f ca="1">F10/F65</f>
        <v>30.028165042142309</v>
      </c>
      <c r="G36" s="383">
        <f ca="1">G10/G65</f>
        <v>17.022995487054636</v>
      </c>
      <c r="H36" s="391">
        <f ca="1">IFERROR(AVERAGE(C36:G36),"")</f>
        <v>24.755699086063707</v>
      </c>
      <c r="I36" s="428">
        <f ca="1">SQRT((C36-H36)^2)</f>
        <v>16.322618886286527</v>
      </c>
      <c r="AC36" s="1138" t="s">
        <v>345</v>
      </c>
      <c r="AD36" s="1145" t="s">
        <v>78</v>
      </c>
      <c r="AE36" s="1145" t="s">
        <v>78</v>
      </c>
    </row>
    <row r="37" spans="1:31" ht="14.45" thickBot="1">
      <c r="B37" s="365" t="s">
        <v>289</v>
      </c>
      <c r="C37" s="1155">
        <f ca="1">C10/C59</f>
        <v>8.5672855222020079</v>
      </c>
      <c r="D37" s="371">
        <f ca="1">D10/D59</f>
        <v>2.0837728386137591</v>
      </c>
      <c r="E37" s="371">
        <f ca="1">E10/E59</f>
        <v>1.9538081063916659</v>
      </c>
      <c r="F37" s="371">
        <f ca="1">F10/F59</f>
        <v>1.5418807382765647</v>
      </c>
      <c r="G37" s="371">
        <f ca="1">G10/G59</f>
        <v>3.0049840248388331</v>
      </c>
      <c r="H37" s="391">
        <f ca="1">IFERROR(AVERAGE(C37:G37),"")</f>
        <v>3.4303462460645662</v>
      </c>
      <c r="I37" s="429">
        <f ca="1">SQRT((C37-H37)^2)</f>
        <v>5.1369392761374417</v>
      </c>
      <c r="AC37" s="1137" t="s">
        <v>354</v>
      </c>
      <c r="AD37" s="1142" t="s">
        <v>78</v>
      </c>
      <c r="AE37" s="1142" t="s">
        <v>78</v>
      </c>
    </row>
    <row r="38" spans="1:31" ht="14.45" thickBot="1">
      <c r="B38" s="373" t="s">
        <v>294</v>
      </c>
      <c r="C38" s="1155">
        <f ca="1">C10/C77</f>
        <v>3.0025350113496159</v>
      </c>
      <c r="D38" s="384">
        <f ca="1">D10/D77</f>
        <v>1.1221079645978969</v>
      </c>
      <c r="E38" s="384">
        <f ca="1">E10/E77</f>
        <v>1.7574128065048615</v>
      </c>
      <c r="F38" s="384">
        <f ca="1">F10/F77</f>
        <v>1.8002542725740633</v>
      </c>
      <c r="G38" s="384">
        <f ca="1">G10/G77</f>
        <v>0.5774125446889713</v>
      </c>
      <c r="H38" s="391">
        <f ca="1">IFERROR(AVERAGE(C38:G38),"")</f>
        <v>1.651944519943082</v>
      </c>
      <c r="I38" s="430">
        <f ca="1">SQRT((C38-H38)^2)</f>
        <v>1.3505904914065339</v>
      </c>
      <c r="AC38" s="1138" t="s">
        <v>343</v>
      </c>
      <c r="AD38" s="1143" t="s">
        <v>78</v>
      </c>
      <c r="AE38" s="1143" t="s">
        <v>78</v>
      </c>
    </row>
    <row r="39" spans="1:31" ht="14.45" thickBot="1">
      <c r="B39" s="365" t="s">
        <v>295</v>
      </c>
      <c r="C39" s="1155">
        <f ca="1">(C76+C10-C68)/C59</f>
        <v>7.2011467905338833</v>
      </c>
      <c r="D39" s="371">
        <f ca="1">(D76+D10-D68)/D59</f>
        <v>2.6821434539611868</v>
      </c>
      <c r="E39" s="371">
        <f ca="1">(E76+E10-E68)/E59</f>
        <v>1.968131452330675</v>
      </c>
      <c r="F39" s="371">
        <f ca="1">(F76+F10-F68)/F59</f>
        <v>2.4743044724930852</v>
      </c>
      <c r="G39" s="371">
        <f ca="1">(G76+G10-G68)/G59</f>
        <v>2.7342534402222305</v>
      </c>
      <c r="H39" s="391">
        <f ca="1">IFERROR(AVERAGE(C39:G39),"")</f>
        <v>3.4119959219082121</v>
      </c>
      <c r="I39" s="429">
        <f ca="1">SQRT((C39-H39)^2)</f>
        <v>3.7891508686256712</v>
      </c>
      <c r="AC39" s="1139" t="s">
        <v>344</v>
      </c>
      <c r="AD39" s="1143" t="s">
        <v>78</v>
      </c>
      <c r="AE39" s="1143" t="s">
        <v>78</v>
      </c>
    </row>
    <row r="40" spans="1:31" ht="14.45" thickBot="1">
      <c r="B40" s="373" t="s">
        <v>296</v>
      </c>
      <c r="C40" s="1158">
        <f ca="1">(C76+C10-C68)/C61</f>
        <v>23.089583975346688</v>
      </c>
      <c r="D40" s="382">
        <f ca="1">(D76+D10-D68)/D61</f>
        <v>12.941834298496552</v>
      </c>
      <c r="E40" s="382">
        <f ca="1">(E76+E10-E68)/E61</f>
        <v>4.7897311090326067</v>
      </c>
      <c r="F40" s="382">
        <f ca="1">(F76+F10-F68)/F61</f>
        <v>11.118264665262055</v>
      </c>
      <c r="G40" s="382">
        <f ca="1">(G76+G10-G68)/G61</f>
        <v>7.3333877395619096</v>
      </c>
      <c r="H40" s="391">
        <f ca="1">IFERROR(AVERAGE(C40:G40),"")</f>
        <v>11.854560357539963</v>
      </c>
      <c r="I40" s="431">
        <f ca="1">SQRT((C40-H40)^2)</f>
        <v>11.235023617806725</v>
      </c>
      <c r="AC40" s="1138" t="s">
        <v>345</v>
      </c>
      <c r="AD40" s="1145" t="s">
        <v>78</v>
      </c>
      <c r="AE40" s="1145" t="s">
        <v>78</v>
      </c>
    </row>
    <row r="41" spans="1:31" ht="16.149999999999999" thickBot="1">
      <c r="B41" s="162" t="s">
        <v>297</v>
      </c>
      <c r="C41" s="164"/>
      <c r="D41" s="164"/>
      <c r="E41" s="164"/>
      <c r="F41" s="164"/>
      <c r="G41" s="164"/>
      <c r="H41" s="393" t="str">
        <f>IFERROR(AVERAGE(C41:F41),"")</f>
        <v/>
      </c>
      <c r="I41" s="418"/>
      <c r="AC41" s="1137" t="s">
        <v>355</v>
      </c>
      <c r="AD41" s="1142">
        <v>362.06299999999999</v>
      </c>
      <c r="AE41" s="1142">
        <v>59.051000000000002</v>
      </c>
    </row>
    <row r="42" spans="1:31" ht="14.45" thickBot="1">
      <c r="B42" s="163" t="s">
        <v>56</v>
      </c>
      <c r="C42" s="566">
        <f>OP!M21</f>
        <v>0.90369999999999995</v>
      </c>
      <c r="D42" s="768">
        <f>1-0.29%</f>
        <v>0.99709999999999999</v>
      </c>
      <c r="E42" s="767">
        <f>1-0.53%</f>
        <v>0.99470000000000003</v>
      </c>
      <c r="F42" s="767">
        <f>1-15.06%</f>
        <v>0.84939999999999993</v>
      </c>
      <c r="G42" s="566">
        <f>100%</f>
        <v>1</v>
      </c>
      <c r="H42" s="387">
        <f>IFERROR(AVERAGE(C42:G42),"")</f>
        <v>0.94897999999999993</v>
      </c>
      <c r="I42" s="567">
        <f>SQRT((C42-H42)^2)</f>
        <v>4.5279999999999987E-2</v>
      </c>
      <c r="AC42" s="1138" t="s">
        <v>343</v>
      </c>
      <c r="AD42" s="1143">
        <v>0.40147632613879203</v>
      </c>
      <c r="AE42" s="1143">
        <v>-0.8574329185558599</v>
      </c>
    </row>
    <row r="43" spans="1:31" s="90" customFormat="1" ht="14.45" thickBot="1">
      <c r="B43" s="378" t="s">
        <v>298</v>
      </c>
      <c r="C43" s="379">
        <f ca="1">OP!M23</f>
        <v>2.0207000000000002</v>
      </c>
      <c r="D43" s="379">
        <v>1.63</v>
      </c>
      <c r="E43" s="379">
        <v>1.0900000000000001</v>
      </c>
      <c r="F43" s="379">
        <v>1.28</v>
      </c>
      <c r="G43" s="379">
        <v>1.85</v>
      </c>
      <c r="H43" s="387">
        <f ca="1">IFERROR(AVERAGE(C43:G43),"")</f>
        <v>1.5741400000000003</v>
      </c>
      <c r="I43" s="432">
        <f ca="1">SQRT((C43-H43)^2)</f>
        <v>0.44655999999999985</v>
      </c>
      <c r="AC43" s="1139" t="s">
        <v>344</v>
      </c>
      <c r="AD43" s="1143">
        <v>5.7299999999999999E-3</v>
      </c>
      <c r="AE43" s="1144">
        <v>-0.78605000000000003</v>
      </c>
    </row>
    <row r="44" spans="1:31" ht="14.45" thickBot="1">
      <c r="B44" s="163" t="s">
        <v>299</v>
      </c>
      <c r="C44" s="767">
        <f ca="1">OP!M33</f>
        <v>3.4988522984698602E-2</v>
      </c>
      <c r="D44" s="767">
        <v>1.35E-2</v>
      </c>
      <c r="E44" s="566">
        <v>0.1091</v>
      </c>
      <c r="F44" s="566">
        <v>1.34E-2</v>
      </c>
      <c r="G44" s="768" t="s">
        <v>88</v>
      </c>
      <c r="H44" s="387">
        <f ca="1">IFERROR(AVERAGE(C44:G44),"")</f>
        <v>4.2747130746174651E-2</v>
      </c>
      <c r="I44" s="769">
        <f ca="1">SQRT((C44-H44)^2)</f>
        <v>7.7586077614760496E-3</v>
      </c>
      <c r="AC44" s="1138" t="s">
        <v>345</v>
      </c>
      <c r="AD44" s="1145">
        <v>360</v>
      </c>
      <c r="AE44" s="1145">
        <v>276</v>
      </c>
    </row>
    <row r="45" spans="1:31" ht="16.149999999999999" thickBot="1">
      <c r="B45" s="162" t="s">
        <v>300</v>
      </c>
      <c r="C45" s="538"/>
      <c r="D45" s="538"/>
      <c r="E45" s="164"/>
      <c r="F45" s="164"/>
      <c r="G45" s="164"/>
      <c r="H45" s="394"/>
      <c r="I45" s="418"/>
    </row>
    <row r="46" spans="1:31" ht="14.45" thickBot="1">
      <c r="B46" s="163" t="s">
        <v>301</v>
      </c>
      <c r="C46" s="552">
        <v>3.3399999999999999E-2</v>
      </c>
      <c r="D46" s="552">
        <v>-0.46929999999999999</v>
      </c>
      <c r="E46" s="552">
        <v>-0.40799999999999997</v>
      </c>
      <c r="F46" s="552">
        <v>-0.192</v>
      </c>
      <c r="G46" s="552">
        <v>-0.2465</v>
      </c>
      <c r="H46" s="387">
        <f>IFERROR(AVERAGE(C46:G46),"")</f>
        <v>-0.25647999999999999</v>
      </c>
      <c r="I46" s="540">
        <f>SQRT((C46-H46)^2)</f>
        <v>0.28987999999999997</v>
      </c>
      <c r="AC46" s="1137" t="s">
        <v>63</v>
      </c>
      <c r="AD46" s="1142">
        <v>1550.71</v>
      </c>
      <c r="AE46" s="1142">
        <v>359.83300000000003</v>
      </c>
    </row>
    <row r="47" spans="1:31" s="90" customFormat="1" ht="14.45" thickBot="1">
      <c r="B47" s="721" t="s">
        <v>302</v>
      </c>
      <c r="C47" s="722">
        <f ca="1">C48/1.04-1</f>
        <v>2.0096153846153846</v>
      </c>
      <c r="D47" s="722">
        <f ca="1">D48/(157.28*1.453491)-1</f>
        <v>-0.30973307455397459</v>
      </c>
      <c r="E47" s="722">
        <f ca="1">E48/(57*1.453491)-1</f>
        <v>-0.31637806265512947</v>
      </c>
      <c r="F47" s="722">
        <f ca="1">F48/40.15-1</f>
        <v>-6.2017434620174394E-2</v>
      </c>
      <c r="G47" s="722">
        <f ca="1">G48/10.1-1</f>
        <v>-0.19405940594059401</v>
      </c>
      <c r="H47" s="387">
        <f ca="1">IFERROR(AVERAGE(C47:G47),"")</f>
        <v>0.22548548136910243</v>
      </c>
      <c r="I47" s="540">
        <f ca="1">SQRT((C47-H47)^2)</f>
        <v>1.7841299032462821</v>
      </c>
      <c r="AC47" s="1138" t="s">
        <v>343</v>
      </c>
      <c r="AD47" s="1143">
        <v>1.3375188423274</v>
      </c>
      <c r="AE47" s="1143">
        <v>-0.79630057345357197</v>
      </c>
    </row>
    <row r="48" spans="1:31" s="90" customFormat="1" ht="14.45" thickBot="1">
      <c r="B48" s="539" t="s">
        <v>303</v>
      </c>
      <c r="C48" s="752">
        <f ca="1">OP!C21</f>
        <v>3.13</v>
      </c>
      <c r="D48" s="752" cm="1">
        <f t="array" aca="1" ref="D48" ca="1">_FV(D8,"Preço")*_FV(D54,"Preço")</f>
        <v>157.79851500000001</v>
      </c>
      <c r="E48" s="752" cm="1">
        <f t="array" aca="1" ref="E48" ca="1">_FV(E8,"Preço")*_FV(D54,"Preço")</f>
        <v>56.637385000000002</v>
      </c>
      <c r="F48" s="752" cm="1">
        <f t="array" aca="1" ref="F48" ca="1">_FV(F8,"Preço")</f>
        <v>37.659999999999997</v>
      </c>
      <c r="G48" s="752" cm="1">
        <f t="array" aca="1" ref="G48" ca="1">_FV(G8,"Preço")</f>
        <v>8.14</v>
      </c>
      <c r="H48" s="654" t="s">
        <v>304</v>
      </c>
      <c r="I48" s="655" t="s">
        <v>304</v>
      </c>
      <c r="AC48" s="1138" t="s">
        <v>349</v>
      </c>
      <c r="AD48" s="1145">
        <v>82.314166629509501</v>
      </c>
      <c r="AE48" s="1145">
        <v>47.519581211017503</v>
      </c>
    </row>
    <row r="49" spans="2:31" s="90" customFormat="1" ht="14.45" thickBot="1">
      <c r="B49" s="721" t="s">
        <v>305</v>
      </c>
      <c r="C49" s="776">
        <v>3.75</v>
      </c>
      <c r="D49" s="777" cm="1">
        <f t="array" aca="1" ref="D49" ca="1">147.87*_FV(D54,"Preço")</f>
        <v>226.16716500000001</v>
      </c>
      <c r="E49" s="776" cm="1">
        <f t="array" aca="1" ref="E49" ca="1">72.09*_FV(D54,"Preço")</f>
        <v>110.261655</v>
      </c>
      <c r="F49" s="776">
        <v>68.13</v>
      </c>
      <c r="G49" s="776">
        <v>10.47</v>
      </c>
      <c r="H49" s="654" t="s">
        <v>304</v>
      </c>
      <c r="I49" s="655" t="s">
        <v>304</v>
      </c>
      <c r="AC49" s="1139" t="s">
        <v>344</v>
      </c>
      <c r="AD49" s="1146">
        <v>2.6509999999999999E-2</v>
      </c>
      <c r="AE49" s="1144">
        <v>-0.19440000000000002</v>
      </c>
    </row>
    <row r="50" spans="2:31" s="90" customFormat="1" ht="14.45" thickBot="1">
      <c r="B50" s="380" t="s">
        <v>306</v>
      </c>
      <c r="C50" s="381">
        <f ca="1">C49/C48-1</f>
        <v>0.19808306709265189</v>
      </c>
      <c r="D50" s="381">
        <f ca="1">D49/D48-1</f>
        <v>0.43326548415236976</v>
      </c>
      <c r="E50" s="381">
        <f ca="1">E49/E48-1</f>
        <v>0.94679989197947623</v>
      </c>
      <c r="F50" s="381">
        <f ca="1">F49/F48-1</f>
        <v>0.80908125331917158</v>
      </c>
      <c r="G50" s="381">
        <f t="shared" ref="G50" ca="1" si="11">G49/G48-1</f>
        <v>0.2862407862407863</v>
      </c>
      <c r="H50" s="395">
        <f ca="1">IFERROR(AVERAGE(C50:G50),"")</f>
        <v>0.53469409655689115</v>
      </c>
      <c r="I50" s="433">
        <f ca="1">SQRT((C50-H50)^2)</f>
        <v>0.33661102946423926</v>
      </c>
      <c r="AC50" s="1138" t="s">
        <v>345</v>
      </c>
      <c r="AD50" s="1145">
        <v>1510.6666700000001</v>
      </c>
      <c r="AE50" s="1145">
        <v>446.66667000000001</v>
      </c>
    </row>
    <row r="51" spans="2:31" ht="16.149999999999999" thickBot="1">
      <c r="B51" s="649" t="s">
        <v>307</v>
      </c>
      <c r="C51" s="649"/>
      <c r="D51" s="649"/>
      <c r="E51" s="649"/>
      <c r="F51" s="649"/>
      <c r="G51" s="649"/>
      <c r="H51" s="162" t="str">
        <f>IFERROR(AVERAGE(C51:F51),"")</f>
        <v/>
      </c>
      <c r="I51" s="413"/>
      <c r="AC51" s="1137" t="s">
        <v>356</v>
      </c>
      <c r="AD51" s="1142" t="s">
        <v>78</v>
      </c>
      <c r="AE51" s="1142" t="s">
        <v>78</v>
      </c>
    </row>
    <row r="52" spans="2:31" ht="16.149999999999999" thickBot="1">
      <c r="B52" s="539" t="s">
        <v>308</v>
      </c>
      <c r="C52" s="552">
        <f>('Inputs (AUD)'!B59/'Inputs (AUD)'!E59)-1</f>
        <v>-182.93157894736842</v>
      </c>
      <c r="D52" s="788">
        <f>(1907849000*1.506672)/(719374000*1.453491)-1</f>
        <v>1.7491322460199576</v>
      </c>
      <c r="E52" s="552">
        <f>(4077595000*1.506672)/(426971000*1.453491)-1</f>
        <v>8.8994731002558591</v>
      </c>
      <c r="F52" s="552">
        <f>1353700000/594600000-1</f>
        <v>1.2766565758493105</v>
      </c>
      <c r="G52" s="552">
        <f>297300000/-11090000-1</f>
        <v>-27.807935076645627</v>
      </c>
      <c r="H52" s="395">
        <f>IFERROR(AVERAGE(C52:G52),"")</f>
        <v>-39.762850420377788</v>
      </c>
      <c r="I52" s="414">
        <f>SQRT((C52-H52)^2)</f>
        <v>143.16872852699063</v>
      </c>
      <c r="J52" s="415"/>
      <c r="AC52" s="1138" t="s">
        <v>343</v>
      </c>
      <c r="AD52" s="1143" t="s">
        <v>78</v>
      </c>
      <c r="AE52" s="1143" t="s">
        <v>78</v>
      </c>
    </row>
    <row r="53" spans="2:31" ht="14.45" thickBot="1">
      <c r="B53" s="765" t="s">
        <v>309</v>
      </c>
      <c r="C53" s="766">
        <f>C66/C59</f>
        <v>0</v>
      </c>
      <c r="D53" s="766">
        <f t="shared" ref="D53:G53" si="12">D66/D59</f>
        <v>1.2596380113598924E-2</v>
      </c>
      <c r="E53" s="766">
        <f t="shared" si="12"/>
        <v>0</v>
      </c>
      <c r="F53" s="766">
        <f>F66/F59</f>
        <v>0</v>
      </c>
      <c r="G53" s="766">
        <f t="shared" si="12"/>
        <v>-3.1208715779481224E-3</v>
      </c>
      <c r="H53" s="395">
        <f>IFERROR(AVERAGE(C53:G53),"")</f>
        <v>1.8951017071301604E-3</v>
      </c>
      <c r="I53" s="828">
        <f>SQRT((C53-H53)^2)</f>
        <v>1.8951017071301604E-3</v>
      </c>
      <c r="J53" s="327"/>
      <c r="AC53" s="1139" t="s">
        <v>344</v>
      </c>
      <c r="AD53" s="1143" t="s">
        <v>78</v>
      </c>
      <c r="AE53" s="1143" t="s">
        <v>78</v>
      </c>
    </row>
    <row r="54" spans="2:31" ht="13.9">
      <c r="D54" s="10" t="e" vm="12">
        <v>#VALUE!</v>
      </c>
      <c r="J54" s="327"/>
      <c r="AC54" s="1138" t="s">
        <v>345</v>
      </c>
      <c r="AD54" s="1145" t="s">
        <v>78</v>
      </c>
      <c r="AE54" s="1145" t="s">
        <v>78</v>
      </c>
    </row>
    <row r="55" spans="2:31" ht="14.45" thickBot="1">
      <c r="AC55" s="1137" t="s">
        <v>357</v>
      </c>
      <c r="AD55" s="1142">
        <v>7.2130000000000001</v>
      </c>
      <c r="AE55" s="1142">
        <v>18.146999999999998</v>
      </c>
    </row>
    <row r="56" spans="2:31" ht="48.6" customHeight="1" thickBot="1">
      <c r="B56" s="361" t="s">
        <v>310</v>
      </c>
      <c r="C56" s="289" t="e" vm="1">
        <f>OP!E2</f>
        <v>#VALUE!</v>
      </c>
      <c r="D56" s="290" t="e" vm="2">
        <f>D8</f>
        <v>#VALUE!</v>
      </c>
      <c r="E56" s="291" t="e" vm="3">
        <f>E8</f>
        <v>#VALUE!</v>
      </c>
      <c r="F56" s="292" t="e" vm="4">
        <f>F8</f>
        <v>#VALUE!</v>
      </c>
      <c r="G56" s="811" t="e" vm="5">
        <f>G8</f>
        <v>#VALUE!</v>
      </c>
      <c r="AC56" s="1138" t="s">
        <v>343</v>
      </c>
      <c r="AD56" s="1143">
        <v>1.15828845002992</v>
      </c>
      <c r="AE56" s="1143">
        <v>0.44863095713259399</v>
      </c>
    </row>
    <row r="57" spans="2:31" ht="14.45" thickBot="1">
      <c r="B57" s="156" t="s">
        <v>311</v>
      </c>
      <c r="C57" s="157"/>
      <c r="D57" s="157"/>
      <c r="E57" s="157"/>
      <c r="F57" s="157"/>
      <c r="G57" s="829"/>
      <c r="AC57" s="1139" t="s">
        <v>344</v>
      </c>
      <c r="AD57" s="1144">
        <v>-0.98903999999999992</v>
      </c>
      <c r="AE57" s="1144">
        <v>-0.97682000000000002</v>
      </c>
    </row>
    <row r="58" spans="2:31" ht="14.45" thickBot="1">
      <c r="B58" s="154" t="s">
        <v>267</v>
      </c>
      <c r="C58" s="749">
        <f>Peers!C61</f>
        <v>4064</v>
      </c>
      <c r="D58" s="750">
        <f>Peers!D61</f>
        <v>14490</v>
      </c>
      <c r="E58" s="750">
        <f>Peers!E61</f>
        <v>11251</v>
      </c>
      <c r="F58" s="750">
        <f>Peers!F61</f>
        <v>4779.1000000000004</v>
      </c>
      <c r="G58" s="830">
        <f>Peers!G61</f>
        <v>1795.8</v>
      </c>
      <c r="AC58" s="1138" t="s">
        <v>345</v>
      </c>
      <c r="AD58" s="1145">
        <v>658</v>
      </c>
      <c r="AE58" s="1145">
        <v>783</v>
      </c>
    </row>
    <row r="59" spans="2:31" ht="14.45" thickBot="1">
      <c r="B59" s="154" t="s">
        <v>376</v>
      </c>
      <c r="C59" s="749">
        <v>1040.4690000000001</v>
      </c>
      <c r="D59" s="750">
        <v>8901.0109206498</v>
      </c>
      <c r="E59" s="750">
        <v>8170.3283924240004</v>
      </c>
      <c r="F59" s="750">
        <v>4903.1490000000003</v>
      </c>
      <c r="G59" s="830">
        <v>1918.19156187</v>
      </c>
      <c r="AC59" s="1137" t="s">
        <v>358</v>
      </c>
      <c r="AD59" s="1142">
        <v>58.185000000000002</v>
      </c>
      <c r="AE59" s="1142">
        <v>65.343999999999994</v>
      </c>
    </row>
    <row r="60" spans="2:31" ht="14.45" thickBot="1">
      <c r="B60" s="154" t="s">
        <v>314</v>
      </c>
      <c r="C60" s="749">
        <v>656</v>
      </c>
      <c r="D60" s="750">
        <v>7699.7284514628</v>
      </c>
      <c r="E60" s="750">
        <v>5011.1687494616999</v>
      </c>
      <c r="F60" s="750">
        <v>2357.7957999999999</v>
      </c>
      <c r="G60" s="830">
        <v>1155.1140921588001</v>
      </c>
      <c r="AC60" s="1138" t="s">
        <v>343</v>
      </c>
      <c r="AD60" s="1143">
        <v>1.02340381137849</v>
      </c>
      <c r="AE60" s="1143">
        <v>115.47771836007099</v>
      </c>
    </row>
    <row r="61" spans="2:31" ht="14.45" thickBot="1">
      <c r="B61" s="154" t="s">
        <v>63</v>
      </c>
      <c r="C61" s="749">
        <v>324.5</v>
      </c>
      <c r="D61" s="750">
        <v>1844.6989525458</v>
      </c>
      <c r="E61" s="751">
        <v>3357.2407132991998</v>
      </c>
      <c r="F61" s="750">
        <v>1091.1669999999999</v>
      </c>
      <c r="G61" s="830">
        <v>715.19767716000001</v>
      </c>
      <c r="AC61" s="1139" t="s">
        <v>344</v>
      </c>
      <c r="AD61" s="1146">
        <v>0.10829000000000001</v>
      </c>
      <c r="AE61" s="1146">
        <v>1.37615</v>
      </c>
    </row>
    <row r="62" spans="2:31" ht="14.45" thickBot="1">
      <c r="B62" s="154" t="s">
        <v>315</v>
      </c>
      <c r="C62" s="749">
        <v>452</v>
      </c>
      <c r="D62" s="750">
        <v>708.74400000000003</v>
      </c>
      <c r="E62" s="750">
        <v>4170.2179999999998</v>
      </c>
      <c r="F62" s="750">
        <v>655</v>
      </c>
      <c r="G62" s="830">
        <v>526.86123376739999</v>
      </c>
      <c r="AC62" s="1138" t="s">
        <v>345</v>
      </c>
      <c r="AD62" s="1145">
        <v>52.5</v>
      </c>
      <c r="AE62" s="1145">
        <v>27.5</v>
      </c>
    </row>
    <row r="63" spans="2:31" ht="14.45" thickBot="1">
      <c r="B63" s="154" t="s">
        <v>316</v>
      </c>
      <c r="C63" s="749">
        <v>0</v>
      </c>
      <c r="D63" s="750">
        <v>-260.70482362500002</v>
      </c>
      <c r="E63" s="750">
        <v>-127.267</v>
      </c>
      <c r="F63" s="750">
        <v>-325.68889000000001</v>
      </c>
      <c r="G63" s="830">
        <v>-23.419617872500002</v>
      </c>
      <c r="AC63" s="1137" t="s">
        <v>359</v>
      </c>
      <c r="AD63" s="1142" t="s">
        <v>78</v>
      </c>
      <c r="AE63" s="1142" t="s">
        <v>78</v>
      </c>
    </row>
    <row r="64" spans="2:31" ht="15" thickBot="1">
      <c r="B64" s="154" t="s">
        <v>317</v>
      </c>
      <c r="C64" s="749">
        <v>-306.67899999999997</v>
      </c>
      <c r="D64" s="750">
        <v>-203.7327315</v>
      </c>
      <c r="E64" s="750">
        <v>-978.84092399999997</v>
      </c>
      <c r="F64" s="750">
        <v>-102</v>
      </c>
      <c r="G64" s="830">
        <v>-157.9170301218</v>
      </c>
      <c r="L64" s="499"/>
      <c r="M64" s="537"/>
      <c r="N64" s="10"/>
      <c r="AC64" s="1138" t="s">
        <v>343</v>
      </c>
      <c r="AD64" s="1143" t="s">
        <v>78</v>
      </c>
      <c r="AE64" s="1143" t="s">
        <v>78</v>
      </c>
    </row>
    <row r="65" spans="2:31" ht="15" thickBot="1">
      <c r="B65" s="154" t="s">
        <v>75</v>
      </c>
      <c r="C65" s="749">
        <v>217</v>
      </c>
      <c r="D65" s="750">
        <v>675.09888054659996</v>
      </c>
      <c r="E65" s="750">
        <v>1952.6939794596001</v>
      </c>
      <c r="F65" s="750">
        <v>251.76599999999999</v>
      </c>
      <c r="G65" s="830">
        <v>338.60873689260001</v>
      </c>
      <c r="L65" s="827"/>
      <c r="M65" s="537"/>
      <c r="N65" s="10"/>
      <c r="AC65" s="1139" t="s">
        <v>344</v>
      </c>
      <c r="AD65" s="1143" t="s">
        <v>78</v>
      </c>
      <c r="AE65" s="1143" t="s">
        <v>78</v>
      </c>
    </row>
    <row r="66" spans="2:31" ht="15" thickBot="1">
      <c r="B66" s="154" t="s">
        <v>318</v>
      </c>
      <c r="C66" s="753">
        <v>0</v>
      </c>
      <c r="D66" s="750">
        <v>112.1205169518</v>
      </c>
      <c r="E66" s="770">
        <v>0</v>
      </c>
      <c r="F66" s="750">
        <v>0</v>
      </c>
      <c r="G66" s="830">
        <v>-5.9864295265000003</v>
      </c>
      <c r="L66" s="499"/>
      <c r="M66" s="537"/>
      <c r="N66" s="10"/>
      <c r="O66" s="10"/>
      <c r="AC66" s="1138" t="s">
        <v>345</v>
      </c>
      <c r="AD66" s="1145" t="s">
        <v>78</v>
      </c>
      <c r="AE66" s="1145" t="s">
        <v>78</v>
      </c>
    </row>
    <row r="67" spans="2:31" ht="13.9" thickBot="1">
      <c r="B67" s="158" t="s">
        <v>319</v>
      </c>
      <c r="C67" s="532"/>
      <c r="D67" s="536"/>
      <c r="E67" s="532"/>
      <c r="F67" s="159"/>
      <c r="G67" s="831"/>
    </row>
    <row r="68" spans="2:31" ht="14.45" thickBot="1">
      <c r="B68" s="154" t="s">
        <v>320</v>
      </c>
      <c r="C68" s="749">
        <v>1821.2249999999999</v>
      </c>
      <c r="D68" s="750">
        <v>1309.1784781966001</v>
      </c>
      <c r="E68" s="750">
        <v>5292.5735599999998</v>
      </c>
      <c r="F68" s="750">
        <v>428.1875</v>
      </c>
      <c r="G68" s="830">
        <v>1099.2947815737</v>
      </c>
      <c r="AC68" s="1137" t="s">
        <v>71</v>
      </c>
      <c r="AD68" s="1142">
        <v>1445.3710000000001</v>
      </c>
      <c r="AE68" s="1142">
        <v>358.53</v>
      </c>
    </row>
    <row r="69" spans="2:31" ht="14.45" thickBot="1">
      <c r="B69" s="154" t="s">
        <v>321</v>
      </c>
      <c r="C69" s="1157" t="s">
        <v>377</v>
      </c>
      <c r="D69" s="754" t="s">
        <v>378</v>
      </c>
      <c r="E69" s="754" t="s">
        <v>378</v>
      </c>
      <c r="F69" s="754" t="s">
        <v>378</v>
      </c>
      <c r="G69" s="830" t="s">
        <v>378</v>
      </c>
      <c r="AC69" s="1138" t="s">
        <v>343</v>
      </c>
      <c r="AD69" s="1143">
        <v>1.2794054565525901</v>
      </c>
      <c r="AE69" s="1143">
        <v>-0.79697371751639001</v>
      </c>
    </row>
    <row r="70" spans="2:31" ht="14.45" thickBot="1">
      <c r="B70" s="154" t="s">
        <v>322</v>
      </c>
      <c r="C70" s="749">
        <v>109</v>
      </c>
      <c r="D70" s="750">
        <v>2929.7685089288002</v>
      </c>
      <c r="E70" s="750">
        <v>1450.3503000000001</v>
      </c>
      <c r="F70" s="750">
        <v>627.20000000000005</v>
      </c>
      <c r="G70" s="830">
        <v>530.91813276690004</v>
      </c>
      <c r="AC70" s="1138" t="s">
        <v>349</v>
      </c>
      <c r="AD70" s="1145">
        <v>76.722604055858795</v>
      </c>
      <c r="AE70" s="1145">
        <v>47.347506903441598</v>
      </c>
    </row>
    <row r="71" spans="2:31" ht="14.45" thickBot="1">
      <c r="B71" s="154" t="s">
        <v>323</v>
      </c>
      <c r="C71" s="749">
        <v>2071.5333300000002</v>
      </c>
      <c r="D71" s="750">
        <v>6941.8935477499999</v>
      </c>
      <c r="E71" s="750">
        <v>10720.393974000001</v>
      </c>
      <c r="F71" s="750">
        <v>1915.75</v>
      </c>
      <c r="G71" s="830">
        <v>1594.7671286145001</v>
      </c>
      <c r="AC71" s="1139" t="s">
        <v>344</v>
      </c>
      <c r="AD71" s="1144">
        <v>-5.6130000000000006E-2</v>
      </c>
      <c r="AE71" s="1144">
        <v>-0.13936000000000001</v>
      </c>
    </row>
    <row r="72" spans="2:31" ht="14.45" thickBot="1">
      <c r="B72" s="154" t="s">
        <v>324</v>
      </c>
      <c r="C72" s="1157" t="s">
        <v>378</v>
      </c>
      <c r="D72" s="754" t="s">
        <v>378</v>
      </c>
      <c r="E72" s="754" t="s">
        <v>378</v>
      </c>
      <c r="F72" s="754" t="s">
        <v>378</v>
      </c>
      <c r="G72" s="830" t="s">
        <v>378</v>
      </c>
      <c r="AC72" s="1138" t="s">
        <v>345</v>
      </c>
      <c r="AD72" s="1145">
        <v>1531.317</v>
      </c>
      <c r="AE72" s="1145">
        <v>416.58467000000002</v>
      </c>
    </row>
    <row r="73" spans="2:31" ht="14.45" thickBot="1">
      <c r="B73" s="154" t="s">
        <v>52</v>
      </c>
      <c r="C73" s="749">
        <v>4351</v>
      </c>
      <c r="D73" s="750">
        <v>27765.134414263401</v>
      </c>
      <c r="E73" s="754">
        <v>19614.273776566199</v>
      </c>
      <c r="F73" s="750">
        <v>11085.95</v>
      </c>
      <c r="G73" s="830">
        <v>12987.1849889274</v>
      </c>
      <c r="AC73" s="1137" t="s">
        <v>361</v>
      </c>
      <c r="AD73" s="1142">
        <v>13.371</v>
      </c>
      <c r="AE73" s="1142">
        <v>16.257000000000001</v>
      </c>
    </row>
    <row r="74" spans="2:31" ht="14.45" thickBot="1">
      <c r="B74" s="154" t="s">
        <v>325</v>
      </c>
      <c r="C74" s="1157" t="s">
        <v>378</v>
      </c>
      <c r="D74" s="754" t="s">
        <v>378</v>
      </c>
      <c r="E74" s="754" t="s">
        <v>378</v>
      </c>
      <c r="F74" s="754" t="s">
        <v>378</v>
      </c>
      <c r="G74" s="830" t="s">
        <v>378</v>
      </c>
      <c r="AC74" s="1138" t="s">
        <v>343</v>
      </c>
      <c r="AD74" s="1143">
        <v>2.1654829545454501</v>
      </c>
      <c r="AE74" s="1143">
        <v>-0.26502102265020999</v>
      </c>
    </row>
    <row r="75" spans="2:31" ht="14.45" thickBot="1">
      <c r="B75" s="154" t="s">
        <v>326</v>
      </c>
      <c r="C75" s="749">
        <v>552.6</v>
      </c>
      <c r="D75" s="755">
        <v>14170.6199228</v>
      </c>
      <c r="E75" s="750">
        <v>4715.4709274999996</v>
      </c>
      <c r="F75" s="750">
        <v>1638.25</v>
      </c>
      <c r="G75" s="830">
        <v>490.47554247959999</v>
      </c>
      <c r="AC75" s="1139" t="s">
        <v>344</v>
      </c>
      <c r="AD75" s="1144">
        <v>-0.21347000000000002</v>
      </c>
      <c r="AE75" s="1144">
        <v>-0.53551000000000004</v>
      </c>
    </row>
    <row r="76" spans="2:31" ht="13.9" thickBot="1">
      <c r="B76" s="154" t="s">
        <v>328</v>
      </c>
      <c r="C76" s="749">
        <v>399.8</v>
      </c>
      <c r="D76" s="750">
        <v>6635.2818600000001</v>
      </c>
      <c r="E76" s="750">
        <v>5409.6</v>
      </c>
      <c r="F76" s="750">
        <v>5000</v>
      </c>
      <c r="G76" s="830">
        <v>579.98165862200005</v>
      </c>
    </row>
    <row r="77" spans="2:31" ht="14.45" thickBot="1">
      <c r="B77" s="155" t="s">
        <v>329</v>
      </c>
      <c r="C77" s="756">
        <v>2968.8229999999999</v>
      </c>
      <c r="D77" s="757">
        <v>16529.322826169398</v>
      </c>
      <c r="E77" s="757">
        <v>9083.3831333843991</v>
      </c>
      <c r="F77" s="757">
        <v>4199.4462199999998</v>
      </c>
      <c r="G77" s="832">
        <v>9982.6979046756005</v>
      </c>
      <c r="AC77" s="1137" t="s">
        <v>362</v>
      </c>
      <c r="AD77" s="1142">
        <v>1481.87</v>
      </c>
      <c r="AE77" s="1142">
        <v>341.57</v>
      </c>
    </row>
    <row r="78" spans="2:31" ht="13.9">
      <c r="C78" s="657"/>
      <c r="D78" s="502"/>
      <c r="F78" s="502"/>
      <c r="AC78" s="1138" t="s">
        <v>343</v>
      </c>
      <c r="AD78" s="1143">
        <v>1.3120513376593201</v>
      </c>
      <c r="AE78" s="1143">
        <v>-0.80755242769482605</v>
      </c>
    </row>
    <row r="79" spans="2:31" ht="13.9">
      <c r="C79" s="723"/>
      <c r="AC79" s="1138" t="s">
        <v>345</v>
      </c>
      <c r="AD79" s="1145">
        <v>1470</v>
      </c>
      <c r="AE79" s="1145">
        <v>450</v>
      </c>
    </row>
    <row r="80" spans="2:31" ht="13.9">
      <c r="C80" s="723"/>
      <c r="AC80" s="1137" t="s">
        <v>363</v>
      </c>
      <c r="AD80" s="1142">
        <v>447.46300000000002</v>
      </c>
      <c r="AE80" s="1142">
        <v>121.416</v>
      </c>
    </row>
    <row r="81" spans="3:31" ht="13.9">
      <c r="C81" s="723"/>
      <c r="D81" s="10"/>
      <c r="AC81" s="1138" t="s">
        <v>343</v>
      </c>
      <c r="AD81" s="1143">
        <v>1.32408470236271</v>
      </c>
      <c r="AE81" s="1143">
        <v>-0.77218937686807299</v>
      </c>
    </row>
    <row r="82" spans="3:31" ht="13.9">
      <c r="C82" s="723"/>
      <c r="AC82" s="1139" t="s">
        <v>344</v>
      </c>
      <c r="AD82" s="1143">
        <v>1.4659999999999999E-2</v>
      </c>
      <c r="AE82" s="1144">
        <v>-0.1265</v>
      </c>
    </row>
    <row r="83" spans="3:31" ht="13.9">
      <c r="C83" s="723"/>
      <c r="AC83" s="1138" t="s">
        <v>345</v>
      </c>
      <c r="AD83" s="1145">
        <v>441</v>
      </c>
      <c r="AE83" s="1145">
        <v>139</v>
      </c>
    </row>
    <row r="84" spans="3:31" ht="13.9">
      <c r="C84" s="723"/>
      <c r="AC84" s="1137" t="s">
        <v>364</v>
      </c>
      <c r="AD84" s="1147">
        <v>0.28024360000000004</v>
      </c>
      <c r="AE84" s="1147">
        <v>0.35546450000000002</v>
      </c>
    </row>
    <row r="85" spans="3:31" ht="13.9">
      <c r="AC85" s="1138" t="s">
        <v>351</v>
      </c>
      <c r="AD85" s="1143">
        <v>-2.0421000000000002E-2</v>
      </c>
      <c r="AE85" s="1143">
        <v>5.5174500000000001E-2</v>
      </c>
    </row>
    <row r="86" spans="3:31" ht="13.9">
      <c r="AC86" s="1139" t="s">
        <v>344</v>
      </c>
      <c r="AD86" s="1144">
        <v>-6.5860000000000002E-2</v>
      </c>
      <c r="AE86" s="1146">
        <v>0.18487999999999999</v>
      </c>
    </row>
    <row r="87" spans="3:31" ht="13.9">
      <c r="AC87" s="1138" t="s">
        <v>345</v>
      </c>
      <c r="AD87" s="1145">
        <v>30</v>
      </c>
      <c r="AE87" s="1145">
        <v>30</v>
      </c>
    </row>
    <row r="89" spans="3:31" ht="13.9">
      <c r="AC89" s="1137" t="s">
        <v>365</v>
      </c>
      <c r="AD89" s="1142">
        <v>1034.4069999999999</v>
      </c>
      <c r="AE89" s="1142">
        <v>220.154</v>
      </c>
    </row>
    <row r="90" spans="3:31" ht="13.9">
      <c r="AC90" s="1138" t="s">
        <v>343</v>
      </c>
      <c r="AD90" s="1143">
        <v>1.3068844781445099</v>
      </c>
      <c r="AE90" s="1143">
        <v>-0.82272879165475599</v>
      </c>
    </row>
    <row r="91" spans="3:31" ht="13.9">
      <c r="AC91" s="1138" t="s">
        <v>349</v>
      </c>
      <c r="AD91" s="1145">
        <v>54.907977739700598</v>
      </c>
      <c r="AE91" s="1145">
        <v>29.073558795136499</v>
      </c>
    </row>
    <row r="92" spans="3:31" ht="13.9">
      <c r="AC92" s="1139" t="s">
        <v>344</v>
      </c>
      <c r="AD92" s="1143">
        <v>5.2599999999999999E-3</v>
      </c>
      <c r="AE92" s="1144">
        <v>-0.3226</v>
      </c>
    </row>
    <row r="93" spans="3:31" ht="13.9">
      <c r="AC93" s="1138" t="s">
        <v>345</v>
      </c>
      <c r="AD93" s="1145">
        <v>1029</v>
      </c>
      <c r="AE93" s="1145">
        <v>325</v>
      </c>
    </row>
    <row r="95" spans="3:31" ht="13.9">
      <c r="AC95" s="1137" t="s">
        <v>366</v>
      </c>
      <c r="AD95" s="1142">
        <v>0.34100000000000003</v>
      </c>
      <c r="AE95" s="1142">
        <v>7.2999999999999995E-2</v>
      </c>
    </row>
    <row r="96" spans="3:31" ht="13.9">
      <c r="AC96" s="1138" t="s">
        <v>343</v>
      </c>
      <c r="AD96" s="1143">
        <v>1.3197278911564601</v>
      </c>
      <c r="AE96" s="1143">
        <v>-0.82195121951219507</v>
      </c>
    </row>
    <row r="97" spans="29:31" ht="13.9">
      <c r="AC97" s="1139" t="s">
        <v>344</v>
      </c>
      <c r="AD97" s="1144">
        <v>-6.0609999999999997E-2</v>
      </c>
      <c r="AE97" s="1144">
        <v>-0.31775999999999999</v>
      </c>
    </row>
    <row r="98" spans="29:31" ht="13.9">
      <c r="AC98" s="1138" t="s">
        <v>345</v>
      </c>
      <c r="AD98" s="1145">
        <v>0.36299999999999999</v>
      </c>
      <c r="AE98" s="1145">
        <v>0.107</v>
      </c>
    </row>
    <row r="99" spans="29:31" ht="13.9">
      <c r="AC99" s="1137" t="s">
        <v>367</v>
      </c>
      <c r="AD99" s="1142" t="s">
        <v>78</v>
      </c>
      <c r="AE99" s="1142" t="s">
        <v>78</v>
      </c>
    </row>
    <row r="100" spans="29:31" ht="13.9">
      <c r="AC100" s="1138" t="s">
        <v>343</v>
      </c>
      <c r="AD100" s="1143" t="s">
        <v>78</v>
      </c>
      <c r="AE100" s="1143" t="s">
        <v>78</v>
      </c>
    </row>
    <row r="101" spans="29:31" ht="13.9">
      <c r="AC101" s="1139" t="s">
        <v>344</v>
      </c>
      <c r="AD101" s="1143" t="s">
        <v>78</v>
      </c>
      <c r="AE101" s="1143" t="s">
        <v>78</v>
      </c>
    </row>
    <row r="102" spans="29:31" ht="13.9">
      <c r="AC102" s="1138" t="s">
        <v>345</v>
      </c>
      <c r="AD102" s="1145" t="s">
        <v>78</v>
      </c>
      <c r="AE102" s="1145" t="s">
        <v>78</v>
      </c>
    </row>
    <row r="103" spans="29:31" ht="13.9">
      <c r="AC103" s="1137" t="s">
        <v>368</v>
      </c>
      <c r="AD103" s="1142">
        <v>1504.328</v>
      </c>
      <c r="AE103" s="1142">
        <v>423.87400000000002</v>
      </c>
    </row>
    <row r="104" spans="29:31" ht="13.9">
      <c r="AC104" s="1138" t="s">
        <v>343</v>
      </c>
      <c r="AD104" s="1143">
        <v>1.2720281283416</v>
      </c>
      <c r="AE104" s="1143">
        <v>-0.76004732548726595</v>
      </c>
    </row>
    <row r="105" spans="29:31" ht="13.9">
      <c r="AC105" s="1138" t="s">
        <v>349</v>
      </c>
      <c r="AD105" s="1145">
        <v>79.852135897386901</v>
      </c>
      <c r="AE105" s="1145">
        <v>55.976841941230603</v>
      </c>
    </row>
    <row r="106" spans="29:31" ht="13.9">
      <c r="AC106" s="1139" t="s">
        <v>344</v>
      </c>
      <c r="AD106" s="1143">
        <v>3.5499999999999998E-3</v>
      </c>
      <c r="AE106" s="1144">
        <v>-2.7810000000000001E-2</v>
      </c>
    </row>
    <row r="107" spans="29:31" ht="13.9">
      <c r="AC107" s="1138" t="s">
        <v>345</v>
      </c>
      <c r="AD107" s="1145">
        <v>1499</v>
      </c>
      <c r="AE107" s="1145">
        <v>436</v>
      </c>
    </row>
    <row r="108" spans="29:31" ht="13.9">
      <c r="AC108" s="1137" t="s">
        <v>369</v>
      </c>
      <c r="AD108" s="1142">
        <v>1596.693</v>
      </c>
      <c r="AE108" s="1142">
        <v>341.57</v>
      </c>
    </row>
    <row r="109" spans="29:31" ht="13.9">
      <c r="AC109" s="1138" t="s">
        <v>343</v>
      </c>
      <c r="AD109" s="1143">
        <v>1.4934380455932501</v>
      </c>
      <c r="AE109" s="1143">
        <v>-0.80755242769482605</v>
      </c>
    </row>
    <row r="110" spans="29:31" ht="13.9">
      <c r="AC110" s="1138" t="s">
        <v>349</v>
      </c>
      <c r="AD110" s="1145">
        <v>84.755017803568407</v>
      </c>
      <c r="AE110" s="1145">
        <v>45.107767642898899</v>
      </c>
    </row>
    <row r="111" spans="29:31" ht="13.9">
      <c r="AC111" s="1139" t="s">
        <v>344</v>
      </c>
      <c r="AD111" s="1146">
        <v>0.10958999999999999</v>
      </c>
      <c r="AE111" s="1144">
        <v>-0.26385999999999998</v>
      </c>
    </row>
    <row r="112" spans="29:31" ht="13.9">
      <c r="AC112" s="1138" t="s">
        <v>345</v>
      </c>
      <c r="AD112" s="1145">
        <v>1439</v>
      </c>
      <c r="AE112" s="1145">
        <v>464</v>
      </c>
    </row>
    <row r="113" spans="29:31" ht="13.9">
      <c r="AC113" s="1137" t="s">
        <v>370</v>
      </c>
      <c r="AD113" s="1142">
        <v>1149.23</v>
      </c>
      <c r="AE113" s="1142">
        <v>220.154</v>
      </c>
    </row>
    <row r="114" spans="29:31" ht="13.9">
      <c r="AC114" s="1138" t="s">
        <v>343</v>
      </c>
      <c r="AD114" s="1143">
        <v>1.5662479763300399</v>
      </c>
      <c r="AE114" s="1143">
        <v>-0.82272879165475599</v>
      </c>
    </row>
    <row r="115" spans="29:31" ht="13.9">
      <c r="AC115" s="1138" t="s">
        <v>349</v>
      </c>
      <c r="AD115" s="1145">
        <v>61.002966199760898</v>
      </c>
      <c r="AE115" s="1145">
        <v>29.073558795136499</v>
      </c>
    </row>
    <row r="116" spans="29:31" ht="13.9">
      <c r="AC116" s="1139" t="s">
        <v>344</v>
      </c>
      <c r="AD116" s="1146">
        <v>0.11684</v>
      </c>
      <c r="AE116" s="1144">
        <v>-0.3226</v>
      </c>
    </row>
    <row r="117" spans="29:31" ht="13.9">
      <c r="AC117" s="1138" t="s">
        <v>345</v>
      </c>
      <c r="AD117" s="1145">
        <v>1029</v>
      </c>
      <c r="AE117" s="1145">
        <v>325</v>
      </c>
    </row>
    <row r="118" spans="29:31" ht="13.9">
      <c r="AC118" s="1137" t="s">
        <v>371</v>
      </c>
      <c r="AD118" s="1142">
        <v>0.379</v>
      </c>
      <c r="AE118" s="1142">
        <v>7.2999999999999995E-2</v>
      </c>
    </row>
    <row r="119" spans="29:31" ht="13.9">
      <c r="AC119" s="1138" t="s">
        <v>343</v>
      </c>
      <c r="AD119" s="1143">
        <v>1.5782312925170101</v>
      </c>
      <c r="AE119" s="1143">
        <v>-0.82195121951219507</v>
      </c>
    </row>
    <row r="120" spans="29:31" ht="13.9">
      <c r="AC120" s="1139" t="s">
        <v>344</v>
      </c>
      <c r="AD120" s="1146">
        <v>0.12798000000000001</v>
      </c>
      <c r="AE120" s="1144">
        <v>-0.30806</v>
      </c>
    </row>
    <row r="121" spans="29:31" ht="13.9">
      <c r="AC121" s="1138" t="s">
        <v>345</v>
      </c>
      <c r="AD121" s="1145">
        <v>0.33600000000000002</v>
      </c>
      <c r="AE121" s="1145">
        <v>0.1055</v>
      </c>
    </row>
    <row r="122" spans="29:31" ht="13.9">
      <c r="AC122" s="1137" t="s">
        <v>372</v>
      </c>
      <c r="AD122" s="1142">
        <v>0.14000000000000001</v>
      </c>
      <c r="AE122" s="1142">
        <v>0</v>
      </c>
    </row>
    <row r="123" spans="29:31" ht="13.9">
      <c r="AC123" s="1138" t="s">
        <v>343</v>
      </c>
      <c r="AD123" s="1143" t="s">
        <v>78</v>
      </c>
      <c r="AE123" s="1143">
        <v>-1</v>
      </c>
    </row>
    <row r="124" spans="29:31" ht="13.9">
      <c r="AC124" s="1139" t="s">
        <v>344</v>
      </c>
      <c r="AD124" s="1146">
        <v>0.4</v>
      </c>
      <c r="AE124" s="1143" t="s">
        <v>78</v>
      </c>
    </row>
    <row r="125" spans="29:31" ht="13.9">
      <c r="AC125" s="1138" t="s">
        <v>345</v>
      </c>
      <c r="AD125" s="1145">
        <v>0.1</v>
      </c>
      <c r="AE125" s="1145">
        <v>0</v>
      </c>
    </row>
    <row r="126" spans="29:31" ht="13.9">
      <c r="AC126" s="1138" t="s">
        <v>347</v>
      </c>
      <c r="AD126" s="1145" t="s">
        <v>78</v>
      </c>
      <c r="AE126" s="1145" t="s">
        <v>78</v>
      </c>
    </row>
    <row r="127" spans="29:31" ht="13.9">
      <c r="AC127" s="1137" t="s">
        <v>373</v>
      </c>
      <c r="AD127" s="1142">
        <v>3033.7428599999998</v>
      </c>
      <c r="AE127" s="1142">
        <v>2998.1869999999999</v>
      </c>
    </row>
    <row r="128" spans="29:31" ht="13.9">
      <c r="AC128" s="1138" t="s">
        <v>343</v>
      </c>
      <c r="AD128" s="1143">
        <v>-2.4038186772805501E-3</v>
      </c>
      <c r="AE128" s="1143">
        <v>7.2382312031169999E-5</v>
      </c>
    </row>
    <row r="129" spans="29:31" ht="13.9">
      <c r="AC129" s="1139" t="s">
        <v>344</v>
      </c>
      <c r="AD129" s="1143">
        <v>1.192E-2</v>
      </c>
      <c r="AE129" s="1143">
        <v>-3.5899999999999999E-3</v>
      </c>
    </row>
    <row r="130" spans="29:31" ht="13.9">
      <c r="AC130" s="1138" t="s">
        <v>345</v>
      </c>
      <c r="AD130" s="1145">
        <v>2998</v>
      </c>
      <c r="AE130" s="1145">
        <v>3009</v>
      </c>
    </row>
    <row r="131" spans="29:31" ht="13.9">
      <c r="AC131" s="1137" t="s">
        <v>374</v>
      </c>
      <c r="AD131" s="1142" t="s">
        <v>78</v>
      </c>
      <c r="AE131" s="1142" t="s">
        <v>78</v>
      </c>
    </row>
    <row r="132" spans="29:31" ht="13.9">
      <c r="AC132" s="1138" t="s">
        <v>343</v>
      </c>
      <c r="AD132" s="1143" t="s">
        <v>78</v>
      </c>
      <c r="AE132" s="1143" t="s">
        <v>78</v>
      </c>
    </row>
    <row r="133" spans="29:31" ht="13.9">
      <c r="AC133" s="1139" t="s">
        <v>344</v>
      </c>
      <c r="AD133" s="1143" t="s">
        <v>78</v>
      </c>
      <c r="AE133" s="1143" t="s">
        <v>78</v>
      </c>
    </row>
    <row r="134" spans="29:31" ht="13.9">
      <c r="AC134" s="1138" t="s">
        <v>345</v>
      </c>
      <c r="AD134" s="1145" t="s">
        <v>78</v>
      </c>
      <c r="AE134" s="1145" t="s">
        <v>78</v>
      </c>
    </row>
  </sheetData>
  <mergeCells count="12">
    <mergeCell ref="K10:K11"/>
    <mergeCell ref="L10:M11"/>
    <mergeCell ref="K12:K13"/>
    <mergeCell ref="L12:M13"/>
    <mergeCell ref="K14:K15"/>
    <mergeCell ref="L14:M15"/>
    <mergeCell ref="D6:F6"/>
    <mergeCell ref="D1:F1"/>
    <mergeCell ref="D2:F2"/>
    <mergeCell ref="D3:F3"/>
    <mergeCell ref="D4:F4"/>
    <mergeCell ref="D5:F5"/>
  </mergeCells>
  <conditionalFormatting sqref="H2:H5">
    <cfRule type="dataBar" priority="1">
      <dataBar>
        <cfvo type="num" val="0"/>
        <cfvo type="num" val="1"/>
        <color rgb="FF63C384"/>
      </dataBar>
      <extLst>
        <ext xmlns:x14="http://schemas.microsoft.com/office/spreadsheetml/2009/9/main" uri="{B025F937-C7B1-47D3-B67F-A62EFF666E3E}">
          <x14:id>{9C89F88C-4A6D-4614-85A4-B62B50C8CF76}</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9C89F88C-4A6D-4614-85A4-B62B50C8CF7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H2:H5</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sheetPr>
    <tabColor rgb="FF00B0F0"/>
  </sheetPr>
  <dimension ref="A1:AZ64"/>
  <sheetViews>
    <sheetView showGridLines="0" topLeftCell="P2" zoomScale="110" zoomScaleNormal="110" workbookViewId="0">
      <pane ySplit="2" topLeftCell="A11" activePane="bottomLeft" state="frozen"/>
      <selection pane="bottomLeft" activeCell="M17" sqref="M17"/>
      <selection activeCell="A2" sqref="A2"/>
    </sheetView>
  </sheetViews>
  <sheetFormatPr defaultColWidth="8.7109375" defaultRowHeight="12.75" customHeight="1"/>
  <cols>
    <col min="1" max="1" width="12.42578125" style="697" customWidth="1"/>
    <col min="2" max="2" width="13.28515625" style="487" bestFit="1" customWidth="1"/>
    <col min="3" max="3" width="38.42578125" style="468" bestFit="1" customWidth="1"/>
    <col min="4" max="4" width="16.28515625" style="468" bestFit="1" customWidth="1"/>
    <col min="5" max="5" width="21.42578125" style="468" bestFit="1" customWidth="1"/>
    <col min="6" max="6" width="11.42578125" style="468" bestFit="1" customWidth="1"/>
    <col min="7" max="7" width="9.7109375" style="468" customWidth="1"/>
    <col min="8" max="8" width="17.140625" style="468" customWidth="1"/>
    <col min="9" max="9" width="11.28515625" style="468" customWidth="1"/>
    <col min="10" max="10" width="13.7109375" style="468" bestFit="1" customWidth="1"/>
    <col min="11" max="11" width="8.7109375" style="468"/>
    <col min="12" max="12" width="10" style="468" customWidth="1"/>
    <col min="13" max="16" width="8.7109375" style="468"/>
    <col min="17" max="17" width="10.28515625" style="468" customWidth="1"/>
    <col min="18" max="24" width="8.7109375" style="468"/>
    <col min="25" max="25" width="10.7109375" style="468" bestFit="1" customWidth="1"/>
    <col min="26" max="26" width="11.28515625" style="468" customWidth="1"/>
    <col min="27" max="27" width="8.28515625" style="468" customWidth="1"/>
    <col min="28" max="28" width="12.140625" style="468" customWidth="1"/>
    <col min="29" max="30" width="8.7109375" style="468"/>
    <col min="31" max="31" width="17.140625" style="468" customWidth="1"/>
    <col min="32" max="32" width="12.140625" style="468" customWidth="1"/>
    <col min="33" max="33" width="12.7109375" style="468" bestFit="1" customWidth="1"/>
    <col min="34" max="34" width="24.42578125" style="468" bestFit="1" customWidth="1"/>
    <col min="35" max="35" width="26" style="468" customWidth="1"/>
    <col min="36" max="38" width="15" style="468" customWidth="1"/>
    <col min="39" max="40" width="20.28515625" style="468" customWidth="1"/>
    <col min="41" max="44" width="8.7109375" style="468"/>
    <col min="45" max="48" width="15.7109375" style="468" bestFit="1" customWidth="1"/>
    <col min="49" max="50" width="16.7109375" style="468" bestFit="1" customWidth="1"/>
    <col min="51" max="51" width="12.7109375" style="468" bestFit="1" customWidth="1"/>
    <col min="52" max="52" width="13.140625" style="468" bestFit="1" customWidth="1"/>
    <col min="53" max="16384" width="8.7109375" style="468"/>
  </cols>
  <sheetData>
    <row r="1" spans="1:52" ht="18">
      <c r="A1" s="468"/>
      <c r="B1" s="475"/>
      <c r="C1" s="707" t="s">
        <v>379</v>
      </c>
      <c r="D1" s="287"/>
      <c r="E1" s="287"/>
      <c r="F1" s="1435" t="s">
        <v>380</v>
      </c>
      <c r="G1" s="1436"/>
      <c r="H1" s="1436"/>
      <c r="I1" s="1436"/>
      <c r="J1" s="1437"/>
      <c r="K1" s="1438" t="s">
        <v>381</v>
      </c>
      <c r="L1" s="1439"/>
      <c r="M1" s="1439"/>
      <c r="N1" s="1439"/>
      <c r="O1" s="1440"/>
      <c r="P1" s="1435" t="s">
        <v>331</v>
      </c>
      <c r="Q1" s="1436"/>
      <c r="R1" s="1436"/>
      <c r="S1" s="1436"/>
      <c r="T1" s="1437"/>
      <c r="U1" s="1441" t="s">
        <v>382</v>
      </c>
      <c r="V1" s="1442"/>
      <c r="W1" s="1442"/>
      <c r="X1" s="476"/>
      <c r="Y1" s="1442" t="s">
        <v>383</v>
      </c>
      <c r="Z1" s="1442"/>
      <c r="AA1" s="1442"/>
      <c r="AB1" s="1442"/>
      <c r="AD1" s="1443" t="str">
        <f>B3</f>
        <v>PLS.AX</v>
      </c>
      <c r="AE1" s="1443" t="s">
        <v>384</v>
      </c>
      <c r="AF1" s="1443"/>
      <c r="AG1" s="1443"/>
      <c r="AH1" s="1443"/>
      <c r="AI1" s="1443"/>
      <c r="AJ1" s="1444" t="s">
        <v>385</v>
      </c>
      <c r="AK1" s="1444"/>
      <c r="AL1" s="1444"/>
      <c r="AM1" s="1444" t="s">
        <v>386</v>
      </c>
      <c r="AN1" s="1444"/>
      <c r="AO1" s="467"/>
    </row>
    <row r="2" spans="1:52" ht="72">
      <c r="A2" s="468"/>
      <c r="B2" s="460" t="s">
        <v>387</v>
      </c>
      <c r="C2" s="460" t="s">
        <v>388</v>
      </c>
      <c r="D2" s="460" t="s">
        <v>389</v>
      </c>
      <c r="E2" s="460" t="s">
        <v>390</v>
      </c>
      <c r="F2" s="461" t="s">
        <v>391</v>
      </c>
      <c r="G2" s="462" t="s">
        <v>392</v>
      </c>
      <c r="H2" s="463" t="s">
        <v>265</v>
      </c>
      <c r="I2" s="461" t="s">
        <v>393</v>
      </c>
      <c r="J2" s="461" t="s">
        <v>394</v>
      </c>
      <c r="K2" s="491" t="s">
        <v>391</v>
      </c>
      <c r="L2" s="492" t="s">
        <v>392</v>
      </c>
      <c r="M2" s="491" t="s">
        <v>265</v>
      </c>
      <c r="N2" s="491" t="s">
        <v>395</v>
      </c>
      <c r="O2" s="491" t="s">
        <v>394</v>
      </c>
      <c r="P2" s="461" t="s">
        <v>391</v>
      </c>
      <c r="Q2" s="462" t="s">
        <v>392</v>
      </c>
      <c r="R2" s="461" t="s">
        <v>265</v>
      </c>
      <c r="S2" s="461" t="s">
        <v>395</v>
      </c>
      <c r="T2" s="461" t="s">
        <v>394</v>
      </c>
      <c r="U2" s="464" t="s">
        <v>396</v>
      </c>
      <c r="V2" s="491" t="s">
        <v>397</v>
      </c>
      <c r="W2" s="464" t="s">
        <v>398</v>
      </c>
      <c r="X2" s="466"/>
      <c r="Y2" s="465" t="s">
        <v>399</v>
      </c>
      <c r="Z2" s="464" t="s">
        <v>400</v>
      </c>
      <c r="AA2" s="464" t="s">
        <v>401</v>
      </c>
      <c r="AB2" s="464" t="s">
        <v>402</v>
      </c>
      <c r="AD2" s="1443"/>
      <c r="AE2" s="493" t="s">
        <v>398</v>
      </c>
      <c r="AF2" s="473" t="s">
        <v>396</v>
      </c>
      <c r="AG2" s="473" t="s">
        <v>387</v>
      </c>
      <c r="AH2" s="473" t="s">
        <v>388</v>
      </c>
      <c r="AI2" s="473" t="s">
        <v>390</v>
      </c>
      <c r="AJ2" s="473" t="s">
        <v>403</v>
      </c>
      <c r="AK2" s="473" t="s">
        <v>404</v>
      </c>
      <c r="AL2" s="473" t="s">
        <v>405</v>
      </c>
      <c r="AM2" s="473" t="s">
        <v>406</v>
      </c>
      <c r="AN2" s="473" t="s">
        <v>407</v>
      </c>
      <c r="AO2" s="467"/>
      <c r="AS2" s="732" t="s">
        <v>330</v>
      </c>
      <c r="AT2" s="732" t="s">
        <v>329</v>
      </c>
      <c r="AU2" s="732" t="s">
        <v>328</v>
      </c>
      <c r="AV2" s="732" t="s">
        <v>315</v>
      </c>
      <c r="AW2" s="732" t="s">
        <v>408</v>
      </c>
      <c r="AX2" s="732" t="s">
        <v>409</v>
      </c>
      <c r="AY2" s="732" t="s">
        <v>410</v>
      </c>
      <c r="AZ2" s="732" t="s">
        <v>411</v>
      </c>
    </row>
    <row r="3" spans="1:52" ht="14.45">
      <c r="A3" s="477" t="s">
        <v>412</v>
      </c>
      <c r="B3" s="708" t="s">
        <v>413</v>
      </c>
      <c r="C3" s="709" t="s">
        <v>414</v>
      </c>
      <c r="D3" s="709" t="s">
        <v>415</v>
      </c>
      <c r="E3" s="709" t="s">
        <v>416</v>
      </c>
      <c r="F3" s="710">
        <f t="shared" ref="F3:F34" si="0">AS3/AT3</f>
        <v>0.70534498006207624</v>
      </c>
      <c r="G3" s="710">
        <f t="shared" ref="G3:G34" si="1">AU3/AV3</f>
        <v>0.1469365859642339</v>
      </c>
      <c r="H3" s="711">
        <f t="shared" ref="H3:H34" si="2">AX3</f>
        <v>13271753637.450001</v>
      </c>
      <c r="I3" s="712">
        <f t="shared" ref="I3:I34" si="3">(AY3/AZ3)-1</f>
        <v>-0.85219897156604851</v>
      </c>
      <c r="J3" s="713">
        <f t="shared" ref="J3:J34" si="4">AV3/AW3</f>
        <v>0.79033168890204497</v>
      </c>
      <c r="K3" s="459">
        <f>IFERROR(_xlfn.RANK.EQ(F3,F$3:F$64),"N/A")</f>
        <v>2</v>
      </c>
      <c r="L3" s="459">
        <f>IFERROR(_xlfn.RANK.EQ(G3,G$3:G$64),"N/A")</f>
        <v>27</v>
      </c>
      <c r="M3" s="459">
        <f>IFERROR(_xlfn.RANK.EQ(H3,H$3:H$64),"N/A")</f>
        <v>11</v>
      </c>
      <c r="N3" s="459">
        <f>IFERROR(_xlfn.RANK.EQ(I3,I$3:I$64),"N/A")</f>
        <v>45</v>
      </c>
      <c r="O3" s="459">
        <f>IFERROR(_xlfn.RANK.EQ(J3,J$3:J$64),"N/A")</f>
        <v>2</v>
      </c>
      <c r="P3" s="478" t="s">
        <v>78</v>
      </c>
      <c r="Q3" s="478" t="s">
        <v>78</v>
      </c>
      <c r="R3" s="478" t="s">
        <v>78</v>
      </c>
      <c r="S3" s="478" t="s">
        <v>78</v>
      </c>
      <c r="T3" s="478" t="s">
        <v>78</v>
      </c>
      <c r="U3" s="478" t="s">
        <v>78</v>
      </c>
      <c r="V3" s="478" t="s">
        <v>78</v>
      </c>
      <c r="W3" s="478" t="s">
        <v>78</v>
      </c>
      <c r="X3" s="287"/>
      <c r="Y3" s="479" t="str">
        <f>IF(OR(Z3="Y",AA3="Y"),"Not suitable","")</f>
        <v/>
      </c>
      <c r="Z3" s="489" t="str">
        <f t="shared" ref="Z3:Z5" si="5">IF(OR(N3="N/A",O3="N/A"),"Y","")</f>
        <v/>
      </c>
      <c r="AA3" s="459"/>
      <c r="AB3" s="478"/>
      <c r="AD3" s="1443"/>
      <c r="AE3" s="263">
        <v>1</v>
      </c>
      <c r="AF3" s="569">
        <f>_xlfn.XLOOKUP(AE3,$W$4:$W$64,$U$4:$U$64,"N/A",0,1)</f>
        <v>24</v>
      </c>
      <c r="AG3" s="569" t="str">
        <f>_xlfn.XLOOKUP(AE3,$W$4:$W$64,$B$4:$B$64,"N/A",0,1)</f>
        <v>HZNC.NS</v>
      </c>
      <c r="AH3" s="569" t="str">
        <f>_xlfn.XLOOKUP(AE3,$W$4:$W$64,$C$4:$C$64,"N/A",0,1)</f>
        <v>Hindustan Zinc Ltd</v>
      </c>
      <c r="AI3" s="569" t="str">
        <f>_xlfn.XLOOKUP(AE3,$W$4:$W$64,$E$4:$E$64,"N/A",0,1)</f>
        <v>India</v>
      </c>
      <c r="AJ3" s="569">
        <v>16.4033134483001</v>
      </c>
      <c r="AK3" s="569">
        <v>9.6729016433446802</v>
      </c>
      <c r="AL3" s="569">
        <v>4.4130355673758901</v>
      </c>
      <c r="AM3" s="569">
        <v>4.4209975638966901</v>
      </c>
      <c r="AN3" s="569">
        <v>9.2660537918945298</v>
      </c>
      <c r="AO3" s="467"/>
      <c r="AS3" s="695">
        <v>2391135000</v>
      </c>
      <c r="AT3" s="695">
        <v>3390022000</v>
      </c>
      <c r="AU3" s="695">
        <v>471949000</v>
      </c>
      <c r="AV3" s="695">
        <v>3211923000</v>
      </c>
      <c r="AW3" s="695">
        <v>4064019000</v>
      </c>
      <c r="AX3" s="695">
        <v>13271753637.450001</v>
      </c>
      <c r="AY3" s="487">
        <v>0.11181000000000001</v>
      </c>
      <c r="AZ3" s="487">
        <v>0.75649</v>
      </c>
    </row>
    <row r="4" spans="1:52" ht="14.45">
      <c r="A4" s="480" t="s">
        <v>417</v>
      </c>
      <c r="B4" s="693" t="s">
        <v>418</v>
      </c>
      <c r="C4" s="693" t="s">
        <v>419</v>
      </c>
      <c r="D4" s="693" t="s">
        <v>415</v>
      </c>
      <c r="E4" s="693" t="s">
        <v>416</v>
      </c>
      <c r="F4" s="533">
        <f t="shared" si="0"/>
        <v>-0.52466315524704454</v>
      </c>
      <c r="G4" s="533">
        <f t="shared" si="1"/>
        <v>-0.18904627294408083</v>
      </c>
      <c r="H4" s="694">
        <f t="shared" si="2"/>
        <v>111265437.09999999</v>
      </c>
      <c r="I4" s="779">
        <f t="shared" si="3"/>
        <v>-0.78780177890724268</v>
      </c>
      <c r="J4" s="533">
        <f t="shared" si="4"/>
        <v>-0.21427778412708778</v>
      </c>
      <c r="K4" s="459">
        <f t="shared" ref="K4:K64" si="6">IFERROR(_xlfn.RANK.EQ(F4,F$3:F$64),"N/A")</f>
        <v>53</v>
      </c>
      <c r="L4" s="459">
        <f t="shared" ref="L4:L64" si="7">IFERROR(_xlfn.RANK.EQ(G4,G$3:G$64),"N/A")</f>
        <v>43</v>
      </c>
      <c r="M4" s="459">
        <f t="shared" ref="M4:M64" si="8">IFERROR(_xlfn.RANK.EQ(H4,H$3:H$64),"N/A")</f>
        <v>42</v>
      </c>
      <c r="N4" s="459">
        <f t="shared" ref="N4:N64" si="9">IFERROR(_xlfn.RANK.EQ(I4,I$3:I$64),"N/A")</f>
        <v>44</v>
      </c>
      <c r="O4" s="459">
        <f t="shared" ref="O4:O64" si="10">IFERROR(_xlfn.RANK.EQ(J4,J$3:J$64),"N/A")</f>
        <v>40</v>
      </c>
      <c r="P4" s="478">
        <f t="shared" ref="P4:P29" si="11">IFERROR(ABS(K$3-K4),"N/A")</f>
        <v>51</v>
      </c>
      <c r="Q4" s="478">
        <f t="shared" ref="Q4:Q29" si="12">IFERROR(ABS(L$3-L4),"N/A")</f>
        <v>16</v>
      </c>
      <c r="R4" s="478">
        <f t="shared" ref="R4:R29" si="13">IFERROR(ABS(M$3-M4),"N/A")</f>
        <v>31</v>
      </c>
      <c r="S4" s="478">
        <f t="shared" ref="S4:S29" si="14">IFERROR(ABS(N$3-N4),"N/A")</f>
        <v>1</v>
      </c>
      <c r="T4" s="478">
        <f t="shared" ref="T4:T29" si="15">IFERROR(ABS(O$3-O4),"N/A")</f>
        <v>38</v>
      </c>
      <c r="U4" s="481">
        <f t="shared" ref="U4:U29" si="16">SUM(P4:T4)</f>
        <v>137</v>
      </c>
      <c r="V4" s="478">
        <f>_xlfn.RANK.EQ(U4,$U$4:$U$64,1)</f>
        <v>36</v>
      </c>
      <c r="W4" s="482">
        <f t="shared" ref="W4:W35" si="17">IF(Y4="Not suitable","-",V4)</f>
        <v>36</v>
      </c>
      <c r="X4" s="287"/>
      <c r="Y4" s="483" t="str">
        <f>IF(OR(Z4="Y",AA4="Y"),"Not suitable","")</f>
        <v/>
      </c>
      <c r="Z4" s="485" t="str">
        <f t="shared" si="5"/>
        <v/>
      </c>
      <c r="AA4" s="459"/>
      <c r="AB4" s="478"/>
      <c r="AD4" s="1443"/>
      <c r="AE4" s="83">
        <v>3</v>
      </c>
      <c r="AF4" s="569">
        <f t="shared" ref="AF4:AF7" si="18">_xlfn.XLOOKUP(AE4,$W$4:$W$64,$U$4:$U$64,"N/A",0,1)</f>
        <v>42</v>
      </c>
      <c r="AG4" s="569" t="str">
        <f t="shared" ref="AG4:AG7" si="19">_xlfn.XLOOKUP(AE4,$W$4:$W$64,$B$4:$B$64,"N/A",0,1)</f>
        <v>DPM.TO</v>
      </c>
      <c r="AH4" s="569" t="str">
        <f t="shared" ref="AH4:AH7" si="20">_xlfn.XLOOKUP(AE4,$W$4:$W$64,$C$4:$C$64,"N/A",0,1)</f>
        <v>Dundee Precious Metals Inc</v>
      </c>
      <c r="AI4" s="569" t="str">
        <f t="shared" ref="AI4:AI7" si="21">_xlfn.XLOOKUP(AE4,$W$4:$W$64,$E$4:$E$64,"N/A",0,1)</f>
        <v>Canada</v>
      </c>
      <c r="AJ4" s="569">
        <v>6.9517221052328599</v>
      </c>
      <c r="AK4" s="569">
        <v>1.12744335844093</v>
      </c>
      <c r="AL4" s="569">
        <v>2.4291069089463901</v>
      </c>
      <c r="AM4" s="569">
        <v>1.3086279927567199</v>
      </c>
      <c r="AN4" s="569">
        <v>2.4998278908137199</v>
      </c>
      <c r="AO4" s="467"/>
      <c r="AS4" s="696">
        <v>-139754000</v>
      </c>
      <c r="AT4" s="696">
        <v>266369000</v>
      </c>
      <c r="AU4" s="696">
        <v>24811000</v>
      </c>
      <c r="AV4" s="696">
        <v>-131243000</v>
      </c>
      <c r="AW4" s="696">
        <v>612490000</v>
      </c>
      <c r="AX4" s="696">
        <v>111265437.09999999</v>
      </c>
      <c r="AY4" s="693">
        <v>-3.3399999999999999E-2</v>
      </c>
      <c r="AZ4" s="693">
        <v>-0.15740000000000001</v>
      </c>
    </row>
    <row r="5" spans="1:52" ht="14.45">
      <c r="A5" s="484"/>
      <c r="B5" s="693" t="s">
        <v>420</v>
      </c>
      <c r="C5" s="693" t="s">
        <v>421</v>
      </c>
      <c r="D5" s="693" t="s">
        <v>415</v>
      </c>
      <c r="E5" s="693" t="s">
        <v>422</v>
      </c>
      <c r="F5" s="533">
        <f t="shared" si="0"/>
        <v>-5.333409239413129E-2</v>
      </c>
      <c r="G5" s="533">
        <f t="shared" si="1"/>
        <v>2.5020664765755658</v>
      </c>
      <c r="H5" s="694">
        <f t="shared" si="2"/>
        <v>16458205.182775</v>
      </c>
      <c r="I5" s="779">
        <f t="shared" si="3"/>
        <v>-2.016285187757064</v>
      </c>
      <c r="J5" s="533">
        <f t="shared" si="4"/>
        <v>0.14057106361599761</v>
      </c>
      <c r="K5" s="472">
        <f t="shared" si="6"/>
        <v>34</v>
      </c>
      <c r="L5" s="472">
        <f t="shared" si="7"/>
        <v>12</v>
      </c>
      <c r="M5" s="472">
        <f t="shared" si="8"/>
        <v>60</v>
      </c>
      <c r="N5" s="472">
        <f t="shared" si="9"/>
        <v>61</v>
      </c>
      <c r="O5" s="472">
        <f t="shared" si="10"/>
        <v>20</v>
      </c>
      <c r="P5" s="483">
        <f t="shared" si="11"/>
        <v>32</v>
      </c>
      <c r="Q5" s="483">
        <f t="shared" si="12"/>
        <v>15</v>
      </c>
      <c r="R5" s="483">
        <f t="shared" si="13"/>
        <v>49</v>
      </c>
      <c r="S5" s="483">
        <f t="shared" si="14"/>
        <v>16</v>
      </c>
      <c r="T5" s="483">
        <f t="shared" si="15"/>
        <v>18</v>
      </c>
      <c r="U5" s="483">
        <f t="shared" si="16"/>
        <v>130</v>
      </c>
      <c r="V5" s="483">
        <f>_xlfn.RANK.EQ(U5,$U$4:$U$64,1)</f>
        <v>32</v>
      </c>
      <c r="W5" s="483">
        <f t="shared" si="17"/>
        <v>32</v>
      </c>
      <c r="Y5" s="483" t="str">
        <f>IF(OR(Z5="Y",AA5="Y"),"Not suitable","")</f>
        <v/>
      </c>
      <c r="Z5" s="485" t="str">
        <f t="shared" si="5"/>
        <v/>
      </c>
      <c r="AA5" s="472"/>
      <c r="AB5" s="483"/>
      <c r="AD5" s="1443"/>
      <c r="AE5" s="83">
        <v>4</v>
      </c>
      <c r="AF5" s="569">
        <f t="shared" si="18"/>
        <v>44</v>
      </c>
      <c r="AG5" s="569" t="str">
        <f t="shared" si="19"/>
        <v>ALS.TO</v>
      </c>
      <c r="AH5" s="569" t="str">
        <f t="shared" si="20"/>
        <v>Altius Minerals Corp</v>
      </c>
      <c r="AI5" s="569" t="str">
        <f t="shared" si="21"/>
        <v>Canada</v>
      </c>
      <c r="AJ5" s="569">
        <v>47.935591514605797</v>
      </c>
      <c r="AK5" s="569">
        <v>1.6986928350896</v>
      </c>
      <c r="AL5" s="569">
        <v>11.1049046010233</v>
      </c>
      <c r="AM5" s="569">
        <v>13.3267275644781</v>
      </c>
      <c r="AN5" s="569">
        <v>18.741648525184502</v>
      </c>
      <c r="AO5" s="467"/>
      <c r="AS5" s="696">
        <v>-4922787.3420000002</v>
      </c>
      <c r="AT5" s="696">
        <v>92300948.999400005</v>
      </c>
      <c r="AU5" s="696">
        <v>33641855.189400002</v>
      </c>
      <c r="AV5" s="696">
        <v>13445628.045600001</v>
      </c>
      <c r="AW5" s="696">
        <v>95650041.336600006</v>
      </c>
      <c r="AX5" s="696">
        <v>16458205.182775</v>
      </c>
      <c r="AY5" s="693">
        <v>-1.52207E-2</v>
      </c>
      <c r="AZ5" s="693">
        <v>1.49768E-2</v>
      </c>
    </row>
    <row r="6" spans="1:52" ht="14.45">
      <c r="A6" s="480"/>
      <c r="B6" s="693" t="s">
        <v>423</v>
      </c>
      <c r="C6" s="693" t="s">
        <v>424</v>
      </c>
      <c r="D6" s="693" t="s">
        <v>415</v>
      </c>
      <c r="E6" s="693" t="s">
        <v>425</v>
      </c>
      <c r="F6" s="533">
        <f t="shared" si="0"/>
        <v>-5.6556672989513626E-2</v>
      </c>
      <c r="G6" s="533">
        <f t="shared" si="1"/>
        <v>0</v>
      </c>
      <c r="H6" s="694">
        <f t="shared" si="2"/>
        <v>35338994.933233596</v>
      </c>
      <c r="I6" s="779">
        <f t="shared" si="3"/>
        <v>3.0178864869986599</v>
      </c>
      <c r="J6" s="533">
        <f t="shared" si="4"/>
        <v>4.2083561604336669E-2</v>
      </c>
      <c r="K6" s="472">
        <f t="shared" si="6"/>
        <v>36</v>
      </c>
      <c r="L6" s="472">
        <f t="shared" si="7"/>
        <v>31</v>
      </c>
      <c r="M6" s="472">
        <f t="shared" si="8"/>
        <v>55</v>
      </c>
      <c r="N6" s="472">
        <f t="shared" si="9"/>
        <v>5</v>
      </c>
      <c r="O6" s="472">
        <f t="shared" si="10"/>
        <v>28</v>
      </c>
      <c r="P6" s="483">
        <f t="shared" si="11"/>
        <v>34</v>
      </c>
      <c r="Q6" s="483">
        <f t="shared" si="12"/>
        <v>4</v>
      </c>
      <c r="R6" s="483">
        <f t="shared" si="13"/>
        <v>44</v>
      </c>
      <c r="S6" s="483">
        <f t="shared" si="14"/>
        <v>40</v>
      </c>
      <c r="T6" s="483">
        <f t="shared" si="15"/>
        <v>26</v>
      </c>
      <c r="U6" s="483">
        <f t="shared" si="16"/>
        <v>148</v>
      </c>
      <c r="V6" s="483">
        <f t="shared" ref="V6:V64" si="22">_xlfn.RANK.EQ(U6,$U$4:$U$64,1)</f>
        <v>42</v>
      </c>
      <c r="W6" s="483">
        <f t="shared" si="17"/>
        <v>42</v>
      </c>
      <c r="Y6" s="483" t="str">
        <f t="shared" ref="Y6:Y43" si="23">IF(OR(Z6="Y",AA6="Y"),"Not suitable","")</f>
        <v/>
      </c>
      <c r="Z6" s="485" t="str">
        <f>IF(OR(N6="N/A",O6="N/A"),"Y","")</f>
        <v/>
      </c>
      <c r="AA6" s="472"/>
      <c r="AB6" s="483"/>
      <c r="AD6" s="1443"/>
      <c r="AE6" s="570">
        <v>5</v>
      </c>
      <c r="AF6" s="569">
        <f t="shared" si="18"/>
        <v>45</v>
      </c>
      <c r="AG6" s="569" t="str">
        <f t="shared" si="19"/>
        <v>VDAN.NS</v>
      </c>
      <c r="AH6" s="569" t="str">
        <f t="shared" si="20"/>
        <v>Vedanta Ltd</v>
      </c>
      <c r="AI6" s="569" t="str">
        <f t="shared" si="21"/>
        <v>India</v>
      </c>
      <c r="AJ6" s="569">
        <v>9.1279843488181491</v>
      </c>
      <c r="AK6" s="569">
        <v>3.21117715775349</v>
      </c>
      <c r="AL6" s="569">
        <v>0.70243226525101199</v>
      </c>
      <c r="AM6" s="569">
        <v>1.08431650667586</v>
      </c>
      <c r="AN6" s="569">
        <v>4.4156084910187001</v>
      </c>
      <c r="AO6" s="467"/>
      <c r="AS6" s="696">
        <v>-9277837.3800000008</v>
      </c>
      <c r="AT6" s="696">
        <v>164044963.91999999</v>
      </c>
      <c r="AU6" s="696">
        <v>0</v>
      </c>
      <c r="AV6" s="696">
        <v>8568899.6400000006</v>
      </c>
      <c r="AW6" s="696">
        <v>203616312.72</v>
      </c>
      <c r="AX6" s="696">
        <v>35338994.933233596</v>
      </c>
      <c r="AY6" s="693">
        <v>-0.29682940000000002</v>
      </c>
      <c r="AZ6" s="693">
        <v>-7.3876999999999998E-2</v>
      </c>
    </row>
    <row r="7" spans="1:52" ht="14.45">
      <c r="A7" s="480"/>
      <c r="B7" s="693" t="s">
        <v>426</v>
      </c>
      <c r="C7" s="693" t="s">
        <v>427</v>
      </c>
      <c r="D7" s="693" t="s">
        <v>415</v>
      </c>
      <c r="E7" s="693" t="s">
        <v>428</v>
      </c>
      <c r="F7" s="533">
        <f t="shared" si="0"/>
        <v>4.3106223402014025E-2</v>
      </c>
      <c r="G7" s="533">
        <f t="shared" si="1"/>
        <v>28.205248687828011</v>
      </c>
      <c r="H7" s="694">
        <f t="shared" si="2"/>
        <v>3515642398.3471799</v>
      </c>
      <c r="I7" s="779">
        <f t="shared" si="3"/>
        <v>4.712746567509341</v>
      </c>
      <c r="J7" s="533">
        <f t="shared" si="4"/>
        <v>1.2303705011215148E-2</v>
      </c>
      <c r="K7" s="472">
        <f t="shared" si="6"/>
        <v>25</v>
      </c>
      <c r="L7" s="472">
        <f t="shared" si="7"/>
        <v>1</v>
      </c>
      <c r="M7" s="472">
        <f t="shared" si="8"/>
        <v>17</v>
      </c>
      <c r="N7" s="472">
        <f t="shared" si="9"/>
        <v>3</v>
      </c>
      <c r="O7" s="472">
        <f t="shared" si="10"/>
        <v>31</v>
      </c>
      <c r="P7" s="483">
        <f t="shared" si="11"/>
        <v>23</v>
      </c>
      <c r="Q7" s="483">
        <f t="shared" si="12"/>
        <v>26</v>
      </c>
      <c r="R7" s="483">
        <f t="shared" si="13"/>
        <v>6</v>
      </c>
      <c r="S7" s="483">
        <f t="shared" si="14"/>
        <v>42</v>
      </c>
      <c r="T7" s="483">
        <f t="shared" si="15"/>
        <v>29</v>
      </c>
      <c r="U7" s="483">
        <f t="shared" si="16"/>
        <v>126</v>
      </c>
      <c r="V7" s="483">
        <f t="shared" si="22"/>
        <v>30</v>
      </c>
      <c r="W7" s="483">
        <f t="shared" si="17"/>
        <v>30</v>
      </c>
      <c r="Y7" s="483" t="str">
        <f t="shared" si="23"/>
        <v/>
      </c>
      <c r="Z7" s="485" t="str">
        <f>IF(OR(N7="N/A",O7="N/A"),"Y","")</f>
        <v/>
      </c>
      <c r="AA7" s="472"/>
      <c r="AB7" s="483"/>
      <c r="AD7" s="1443"/>
      <c r="AE7" s="83">
        <v>6</v>
      </c>
      <c r="AF7" s="569">
        <f t="shared" si="18"/>
        <v>49</v>
      </c>
      <c r="AG7" s="569" t="str">
        <f t="shared" si="19"/>
        <v>BHP.AX</v>
      </c>
      <c r="AH7" s="569" t="str">
        <f t="shared" si="20"/>
        <v>BHP Group Ltd</v>
      </c>
      <c r="AI7" s="569" t="str">
        <f t="shared" si="21"/>
        <v>Australia</v>
      </c>
      <c r="AJ7" s="569">
        <v>19.805163225307201</v>
      </c>
      <c r="AK7" s="569">
        <v>3.5871444608984402</v>
      </c>
      <c r="AL7" s="569">
        <v>2.6427475970055401</v>
      </c>
      <c r="AM7" s="569">
        <v>2.9260532208308998</v>
      </c>
      <c r="AN7" s="569">
        <v>5.2801591726039101</v>
      </c>
      <c r="AO7" s="467"/>
      <c r="AS7" s="696">
        <v>288115691.24181002</v>
      </c>
      <c r="AT7" s="696">
        <v>6683853710.7462902</v>
      </c>
      <c r="AU7" s="696">
        <v>6356276443.5574999</v>
      </c>
      <c r="AV7" s="696">
        <v>225357929.43745801</v>
      </c>
      <c r="AW7" s="696">
        <v>18316265647.7897</v>
      </c>
      <c r="AX7" s="696">
        <v>3515642398.3471799</v>
      </c>
      <c r="AY7" s="693">
        <v>2.8906603327243601</v>
      </c>
      <c r="AZ7" s="693">
        <v>0.50600185017215604</v>
      </c>
    </row>
    <row r="8" spans="1:52" ht="14.45">
      <c r="A8" s="480"/>
      <c r="B8" s="693" t="s">
        <v>429</v>
      </c>
      <c r="C8" s="693" t="s">
        <v>430</v>
      </c>
      <c r="D8" s="693" t="s">
        <v>415</v>
      </c>
      <c r="E8" s="693" t="s">
        <v>431</v>
      </c>
      <c r="F8" s="533">
        <f t="shared" si="0"/>
        <v>7.365764111977971E-2</v>
      </c>
      <c r="G8" s="533">
        <f t="shared" si="1"/>
        <v>5.9518183496400221</v>
      </c>
      <c r="H8" s="694">
        <f t="shared" si="2"/>
        <v>90491118835.923904</v>
      </c>
      <c r="I8" s="779">
        <f t="shared" si="3"/>
        <v>-0.21937300730543985</v>
      </c>
      <c r="J8" s="533">
        <f t="shared" si="4"/>
        <v>2.486813050603914E-2</v>
      </c>
      <c r="K8" s="472">
        <f t="shared" si="6"/>
        <v>20</v>
      </c>
      <c r="L8" s="472">
        <f t="shared" si="7"/>
        <v>5</v>
      </c>
      <c r="M8" s="472">
        <f t="shared" si="8"/>
        <v>4</v>
      </c>
      <c r="N8" s="472">
        <f t="shared" si="9"/>
        <v>29</v>
      </c>
      <c r="O8" s="472">
        <f t="shared" si="10"/>
        <v>30</v>
      </c>
      <c r="P8" s="483">
        <f t="shared" si="11"/>
        <v>18</v>
      </c>
      <c r="Q8" s="483">
        <f t="shared" si="12"/>
        <v>22</v>
      </c>
      <c r="R8" s="483">
        <f t="shared" si="13"/>
        <v>7</v>
      </c>
      <c r="S8" s="483">
        <f t="shared" si="14"/>
        <v>16</v>
      </c>
      <c r="T8" s="483">
        <f t="shared" si="15"/>
        <v>28</v>
      </c>
      <c r="U8" s="483">
        <f t="shared" si="16"/>
        <v>91</v>
      </c>
      <c r="V8" s="483">
        <f t="shared" si="22"/>
        <v>24</v>
      </c>
      <c r="W8" s="483">
        <f t="shared" si="17"/>
        <v>24</v>
      </c>
      <c r="Y8" s="483" t="str">
        <f t="shared" si="23"/>
        <v/>
      </c>
      <c r="Z8" s="485" t="str">
        <f t="shared" ref="Z8:Z43" si="24">IF(OR(N8="N/A",O8="N/A"),"Y","")</f>
        <v/>
      </c>
      <c r="AA8" s="472"/>
      <c r="AB8" s="483"/>
      <c r="AD8" s="1443"/>
      <c r="AE8" s="83">
        <v>7</v>
      </c>
      <c r="AF8" s="569">
        <v>49</v>
      </c>
      <c r="AG8" s="569" t="s">
        <v>432</v>
      </c>
      <c r="AH8" s="569" t="s">
        <v>433</v>
      </c>
      <c r="AI8" s="569" t="s">
        <v>434</v>
      </c>
      <c r="AJ8" s="569">
        <v>11.199676906290501</v>
      </c>
      <c r="AK8" s="569">
        <v>2.0000183971963299</v>
      </c>
      <c r="AL8" s="569">
        <v>2.6456077285898099</v>
      </c>
      <c r="AM8" s="569">
        <v>3.0065952887826501</v>
      </c>
      <c r="AN8" s="569">
        <v>6.0797372947551303</v>
      </c>
      <c r="AO8" s="467"/>
      <c r="AS8" s="696">
        <v>4713660300</v>
      </c>
      <c r="AT8" s="696">
        <v>63994179400</v>
      </c>
      <c r="AU8" s="696">
        <v>47343651630</v>
      </c>
      <c r="AV8" s="696">
        <v>7954485310</v>
      </c>
      <c r="AW8" s="696">
        <v>319866638470</v>
      </c>
      <c r="AX8" s="696">
        <v>90491118835.923904</v>
      </c>
      <c r="AY8" s="693">
        <v>0.61596777550000004</v>
      </c>
      <c r="AZ8" s="693">
        <v>0.78906799439999997</v>
      </c>
    </row>
    <row r="9" spans="1:52" ht="14.45">
      <c r="A9" s="480"/>
      <c r="B9" s="693" t="s">
        <v>435</v>
      </c>
      <c r="C9" s="693" t="s">
        <v>436</v>
      </c>
      <c r="D9" s="693" t="s">
        <v>415</v>
      </c>
      <c r="E9" s="693" t="s">
        <v>422</v>
      </c>
      <c r="F9" s="533">
        <f t="shared" si="0"/>
        <v>-0.197985372049227</v>
      </c>
      <c r="G9" s="533">
        <f t="shared" si="1"/>
        <v>-1.1148915454102883</v>
      </c>
      <c r="H9" s="694">
        <f t="shared" si="2"/>
        <v>46322121.899057299</v>
      </c>
      <c r="I9" s="779">
        <f t="shared" si="3"/>
        <v>2.0574454385706042</v>
      </c>
      <c r="J9" s="533">
        <f t="shared" si="4"/>
        <v>-0.30287689635964482</v>
      </c>
      <c r="K9" s="472">
        <f t="shared" si="6"/>
        <v>47</v>
      </c>
      <c r="L9" s="472">
        <f t="shared" si="7"/>
        <v>50</v>
      </c>
      <c r="M9" s="472">
        <f t="shared" si="8"/>
        <v>53</v>
      </c>
      <c r="N9" s="472">
        <f t="shared" si="9"/>
        <v>6</v>
      </c>
      <c r="O9" s="472">
        <f t="shared" si="10"/>
        <v>42</v>
      </c>
      <c r="P9" s="483">
        <f t="shared" si="11"/>
        <v>45</v>
      </c>
      <c r="Q9" s="483">
        <f t="shared" si="12"/>
        <v>23</v>
      </c>
      <c r="R9" s="483">
        <f t="shared" si="13"/>
        <v>42</v>
      </c>
      <c r="S9" s="483">
        <f t="shared" si="14"/>
        <v>39</v>
      </c>
      <c r="T9" s="483">
        <f t="shared" si="15"/>
        <v>40</v>
      </c>
      <c r="U9" s="483">
        <f t="shared" si="16"/>
        <v>189</v>
      </c>
      <c r="V9" s="483">
        <f t="shared" si="22"/>
        <v>58</v>
      </c>
      <c r="W9" s="483">
        <f t="shared" si="17"/>
        <v>58</v>
      </c>
      <c r="Y9" s="483" t="str">
        <f t="shared" si="23"/>
        <v/>
      </c>
      <c r="Z9" s="485" t="str">
        <f t="shared" si="24"/>
        <v/>
      </c>
      <c r="AA9" s="472"/>
      <c r="AB9" s="483"/>
      <c r="AD9" s="1443"/>
      <c r="AE9" s="1449" t="s">
        <v>437</v>
      </c>
      <c r="AF9" s="1450"/>
      <c r="AG9" s="1450"/>
      <c r="AH9" s="1450"/>
      <c r="AI9" s="1451"/>
      <c r="AJ9" s="471">
        <f>MEDIAN(AJ3:AJ8)</f>
        <v>13.801495177295301</v>
      </c>
      <c r="AK9" s="471">
        <f>MEDIAN(AK3:AK8)</f>
        <v>2.6055977774749097</v>
      </c>
      <c r="AL9" s="471">
        <f>MEDIAN(AL3:AL8)</f>
        <v>2.644177662797675</v>
      </c>
      <c r="AM9" s="471">
        <f>MEDIAN(AM3:AM8)</f>
        <v>2.966324254806775</v>
      </c>
      <c r="AN9" s="471">
        <f>MEDIAN(AN3:AN8)</f>
        <v>5.6799482336795197</v>
      </c>
      <c r="AO9" s="467"/>
      <c r="AS9" s="696">
        <v>-33176231.34</v>
      </c>
      <c r="AT9" s="696">
        <v>167569103.69999999</v>
      </c>
      <c r="AU9" s="696">
        <v>30252413.579999998</v>
      </c>
      <c r="AV9" s="696">
        <v>-27134848.859999999</v>
      </c>
      <c r="AW9" s="696">
        <v>89590355.640000001</v>
      </c>
      <c r="AX9" s="696">
        <v>46322121.899057299</v>
      </c>
      <c r="AY9" s="693">
        <v>-0.31910129999999998</v>
      </c>
      <c r="AZ9" s="693">
        <v>-0.10436860000000001</v>
      </c>
    </row>
    <row r="10" spans="1:52" ht="18">
      <c r="A10" s="480"/>
      <c r="B10" s="693" t="s">
        <v>438</v>
      </c>
      <c r="C10" s="693" t="s">
        <v>439</v>
      </c>
      <c r="D10" s="693" t="s">
        <v>415</v>
      </c>
      <c r="E10" s="693" t="s">
        <v>416</v>
      </c>
      <c r="F10" s="533">
        <f t="shared" si="0"/>
        <v>0.1305369329672883</v>
      </c>
      <c r="G10" s="533">
        <f t="shared" si="1"/>
        <v>8.1939938441061479E-3</v>
      </c>
      <c r="H10" s="694">
        <f t="shared" si="2"/>
        <v>63147962.490999997</v>
      </c>
      <c r="I10" s="779">
        <f t="shared" si="3"/>
        <v>-1</v>
      </c>
      <c r="J10" s="533">
        <f t="shared" si="4"/>
        <v>0.14015635110792424</v>
      </c>
      <c r="K10" s="472">
        <f t="shared" si="6"/>
        <v>12</v>
      </c>
      <c r="L10" s="472">
        <f t="shared" si="7"/>
        <v>30</v>
      </c>
      <c r="M10" s="472">
        <f t="shared" si="8"/>
        <v>49</v>
      </c>
      <c r="N10" s="472">
        <f t="shared" si="9"/>
        <v>47</v>
      </c>
      <c r="O10" s="472">
        <f t="shared" si="10"/>
        <v>21</v>
      </c>
      <c r="P10" s="483">
        <f t="shared" si="11"/>
        <v>10</v>
      </c>
      <c r="Q10" s="483">
        <f t="shared" si="12"/>
        <v>3</v>
      </c>
      <c r="R10" s="483">
        <f t="shared" si="13"/>
        <v>38</v>
      </c>
      <c r="S10" s="483">
        <f t="shared" si="14"/>
        <v>2</v>
      </c>
      <c r="T10" s="483">
        <f t="shared" si="15"/>
        <v>19</v>
      </c>
      <c r="U10" s="483">
        <f t="shared" si="16"/>
        <v>72</v>
      </c>
      <c r="V10" s="483">
        <f t="shared" si="22"/>
        <v>15</v>
      </c>
      <c r="W10" s="483">
        <f t="shared" si="17"/>
        <v>15</v>
      </c>
      <c r="Y10" s="483" t="str">
        <f t="shared" si="23"/>
        <v/>
      </c>
      <c r="Z10" s="485" t="str">
        <f t="shared" si="24"/>
        <v/>
      </c>
      <c r="AA10" s="472"/>
      <c r="AB10" s="483"/>
      <c r="AD10" s="1443"/>
      <c r="AE10" s="1443" t="s">
        <v>440</v>
      </c>
      <c r="AF10" s="1443"/>
      <c r="AG10" s="1443"/>
      <c r="AH10" s="1443"/>
      <c r="AI10" s="1443"/>
      <c r="AJ10" s="1444" t="s">
        <v>441</v>
      </c>
      <c r="AK10" s="1444"/>
      <c r="AL10" s="1444"/>
      <c r="AM10" s="1444"/>
      <c r="AN10" s="1444"/>
      <c r="AO10" s="467"/>
      <c r="AS10" s="696">
        <v>15168000</v>
      </c>
      <c r="AT10" s="696">
        <v>116197000</v>
      </c>
      <c r="AU10" s="696">
        <v>197000</v>
      </c>
      <c r="AV10" s="696">
        <v>24042000</v>
      </c>
      <c r="AW10" s="696">
        <v>171537000</v>
      </c>
      <c r="AX10" s="696">
        <v>63147962.490999997</v>
      </c>
      <c r="AY10" s="693"/>
      <c r="AZ10" s="693">
        <v>5.8000000000000003E-2</v>
      </c>
    </row>
    <row r="11" spans="1:52" ht="14.45">
      <c r="A11" s="480"/>
      <c r="B11" s="693" t="s">
        <v>442</v>
      </c>
      <c r="C11" s="693" t="s">
        <v>443</v>
      </c>
      <c r="D11" s="693" t="s">
        <v>415</v>
      </c>
      <c r="E11" s="693" t="s">
        <v>422</v>
      </c>
      <c r="F11" s="533">
        <f t="shared" si="0"/>
        <v>-0.10479139504563226</v>
      </c>
      <c r="G11" s="533">
        <f t="shared" si="1"/>
        <v>-8.9122807017543906</v>
      </c>
      <c r="H11" s="694">
        <f t="shared" si="2"/>
        <v>125792315.878451</v>
      </c>
      <c r="I11" s="779">
        <f t="shared" si="3"/>
        <v>0.333592905775838</v>
      </c>
      <c r="J11" s="533">
        <f t="shared" si="4"/>
        <v>-0.17868338557993738</v>
      </c>
      <c r="K11" s="472">
        <f t="shared" si="6"/>
        <v>41</v>
      </c>
      <c r="L11" s="472">
        <f t="shared" si="7"/>
        <v>60</v>
      </c>
      <c r="M11" s="472">
        <f t="shared" si="8"/>
        <v>41</v>
      </c>
      <c r="N11" s="472">
        <f t="shared" si="9"/>
        <v>12</v>
      </c>
      <c r="O11" s="472">
        <f t="shared" si="10"/>
        <v>37</v>
      </c>
      <c r="P11" s="483">
        <f t="shared" si="11"/>
        <v>39</v>
      </c>
      <c r="Q11" s="483">
        <f t="shared" si="12"/>
        <v>33</v>
      </c>
      <c r="R11" s="483">
        <f t="shared" si="13"/>
        <v>30</v>
      </c>
      <c r="S11" s="483">
        <f t="shared" si="14"/>
        <v>33</v>
      </c>
      <c r="T11" s="483">
        <f t="shared" si="15"/>
        <v>35</v>
      </c>
      <c r="U11" s="483">
        <f t="shared" si="16"/>
        <v>170</v>
      </c>
      <c r="V11" s="483">
        <f t="shared" si="22"/>
        <v>54</v>
      </c>
      <c r="W11" s="483">
        <f t="shared" si="17"/>
        <v>54</v>
      </c>
      <c r="Y11" s="483" t="str">
        <f t="shared" si="23"/>
        <v/>
      </c>
      <c r="Z11" s="485" t="str">
        <f t="shared" si="24"/>
        <v/>
      </c>
      <c r="AA11" s="472"/>
      <c r="AB11" s="483"/>
      <c r="AD11" s="1443"/>
      <c r="AE11" s="473" t="s">
        <v>412</v>
      </c>
      <c r="AF11" s="474" t="s">
        <v>444</v>
      </c>
      <c r="AG11" s="473" t="s">
        <v>445</v>
      </c>
      <c r="AH11" s="1445" t="s">
        <v>446</v>
      </c>
      <c r="AI11" s="1446"/>
      <c r="AJ11" s="473" t="s">
        <v>403</v>
      </c>
      <c r="AK11" s="473" t="s">
        <v>404</v>
      </c>
      <c r="AL11" s="473" t="s">
        <v>405</v>
      </c>
      <c r="AM11" s="473" t="s">
        <v>406</v>
      </c>
      <c r="AN11" s="473" t="s">
        <v>407</v>
      </c>
      <c r="AO11" s="467"/>
      <c r="AS11" s="696">
        <v>-71287315.213287994</v>
      </c>
      <c r="AT11" s="696">
        <v>680278329.93582499</v>
      </c>
      <c r="AU11" s="696">
        <v>394242135.145338</v>
      </c>
      <c r="AV11" s="696">
        <v>-44235830.124575302</v>
      </c>
      <c r="AW11" s="696">
        <v>247565435.25858799</v>
      </c>
      <c r="AX11" s="696">
        <v>125792315.878451</v>
      </c>
      <c r="AY11" s="693">
        <v>-0.16810808160535101</v>
      </c>
      <c r="AZ11" s="693">
        <v>-0.12605652060480299</v>
      </c>
    </row>
    <row r="12" spans="1:52" ht="14.45">
      <c r="A12" s="480"/>
      <c r="B12" s="693" t="s">
        <v>447</v>
      </c>
      <c r="C12" s="693" t="s">
        <v>448</v>
      </c>
      <c r="D12" s="693" t="s">
        <v>415</v>
      </c>
      <c r="E12" s="693" t="s">
        <v>449</v>
      </c>
      <c r="F12" s="533">
        <f t="shared" si="0"/>
        <v>9.1798852514343415E-2</v>
      </c>
      <c r="G12" s="533">
        <f t="shared" si="1"/>
        <v>4.1619190404797584</v>
      </c>
      <c r="H12" s="694">
        <f t="shared" si="2"/>
        <v>32538544.4624997</v>
      </c>
      <c r="I12" s="779">
        <f t="shared" si="3"/>
        <v>1.5725808662270189</v>
      </c>
      <c r="J12" s="533">
        <f t="shared" si="4"/>
        <v>0.16197183098591553</v>
      </c>
      <c r="K12" s="472">
        <f t="shared" si="6"/>
        <v>15</v>
      </c>
      <c r="L12" s="472">
        <f t="shared" si="7"/>
        <v>8</v>
      </c>
      <c r="M12" s="472">
        <f t="shared" si="8"/>
        <v>57</v>
      </c>
      <c r="N12" s="472">
        <f t="shared" si="9"/>
        <v>8</v>
      </c>
      <c r="O12" s="472">
        <f t="shared" si="10"/>
        <v>19</v>
      </c>
      <c r="P12" s="483">
        <f t="shared" si="11"/>
        <v>13</v>
      </c>
      <c r="Q12" s="483">
        <f t="shared" si="12"/>
        <v>19</v>
      </c>
      <c r="R12" s="483">
        <f t="shared" si="13"/>
        <v>46</v>
      </c>
      <c r="S12" s="483">
        <f t="shared" si="14"/>
        <v>37</v>
      </c>
      <c r="T12" s="483">
        <f t="shared" si="15"/>
        <v>17</v>
      </c>
      <c r="U12" s="483">
        <f t="shared" si="16"/>
        <v>132</v>
      </c>
      <c r="V12" s="483">
        <f t="shared" si="22"/>
        <v>33</v>
      </c>
      <c r="W12" s="483">
        <f t="shared" si="17"/>
        <v>33</v>
      </c>
      <c r="Y12" s="483" t="str">
        <f t="shared" si="23"/>
        <v/>
      </c>
      <c r="Z12" s="485" t="str">
        <f t="shared" si="24"/>
        <v/>
      </c>
      <c r="AA12" s="472"/>
      <c r="AB12" s="483"/>
      <c r="AD12" s="1443"/>
      <c r="AE12" s="469" t="str">
        <f>C3</f>
        <v>Pilbara Minerals Ltd</v>
      </c>
      <c r="AF12" s="332">
        <v>1000000</v>
      </c>
      <c r="AG12" s="332">
        <f ca="1">OP!C22</f>
        <v>3011485000</v>
      </c>
      <c r="AH12" s="1447">
        <f>-'Fin. Data'!B58*SARD!AF12+'Fin. Data'!B39*SARD!AF12</f>
        <v>2866600000</v>
      </c>
      <c r="AI12" s="1448"/>
      <c r="AJ12" s="470">
        <f ca="1">AJ9*'Fin. Data'!B23*AF$12/AG$12</f>
        <v>10.958299682193601</v>
      </c>
      <c r="AK12" s="470">
        <f ca="1">AK9*'Fin. Data'!B64*AF$12/AG$12</f>
        <v>2.9330966169979078</v>
      </c>
      <c r="AL12" s="490">
        <f ca="1">AL9*'Fin. Data'!B5*AF$12/AG$12</f>
        <v>3.5683186273913869</v>
      </c>
      <c r="AM12" s="470">
        <f ca="1">(AM9*'Fin. Data'!B5*$AF12+$AH12)/$AG12</f>
        <v>4.9549447437177125</v>
      </c>
      <c r="AN12" s="470">
        <f ca="1">(AN9*'Fin. Data'!B19*$AF12+$AH12)/$AG12</f>
        <v>6.796333234833555</v>
      </c>
      <c r="AO12" s="467"/>
      <c r="AS12" s="696">
        <v>3967547.0348663898</v>
      </c>
      <c r="AT12" s="696">
        <v>43220006.854077697</v>
      </c>
      <c r="AU12" s="696">
        <v>40492318.267607003</v>
      </c>
      <c r="AV12" s="696">
        <v>9729242.1774113402</v>
      </c>
      <c r="AW12" s="696">
        <v>60067495.1822787</v>
      </c>
      <c r="AX12" s="696">
        <v>32538544.4624997</v>
      </c>
      <c r="AY12" s="693">
        <v>2.1951646911329E-2</v>
      </c>
      <c r="AZ12" s="693">
        <v>8.5329278467050004E-3</v>
      </c>
    </row>
    <row r="13" spans="1:52" ht="18">
      <c r="A13" s="480"/>
      <c r="B13" s="693" t="s">
        <v>450</v>
      </c>
      <c r="C13" s="693" t="s">
        <v>451</v>
      </c>
      <c r="D13" s="693" t="s">
        <v>415</v>
      </c>
      <c r="E13" s="693" t="s">
        <v>416</v>
      </c>
      <c r="F13" s="533">
        <f t="shared" si="0"/>
        <v>-1.0429010474873563</v>
      </c>
      <c r="G13" s="533">
        <f t="shared" si="1"/>
        <v>-0.76254833850442916</v>
      </c>
      <c r="H13" s="694">
        <f t="shared" si="2"/>
        <v>248966942.15000001</v>
      </c>
      <c r="I13" s="779">
        <f t="shared" si="3"/>
        <v>-0.76524995861612322</v>
      </c>
      <c r="J13" s="533">
        <f t="shared" si="4"/>
        <v>-0.79116305130873288</v>
      </c>
      <c r="K13" s="472">
        <f t="shared" si="6"/>
        <v>59</v>
      </c>
      <c r="L13" s="472">
        <f t="shared" si="7"/>
        <v>47</v>
      </c>
      <c r="M13" s="472">
        <f t="shared" si="8"/>
        <v>33</v>
      </c>
      <c r="N13" s="472">
        <f t="shared" si="9"/>
        <v>43</v>
      </c>
      <c r="O13" s="472">
        <f t="shared" si="10"/>
        <v>47</v>
      </c>
      <c r="P13" s="483">
        <f t="shared" si="11"/>
        <v>57</v>
      </c>
      <c r="Q13" s="483">
        <f t="shared" si="12"/>
        <v>20</v>
      </c>
      <c r="R13" s="483">
        <f t="shared" si="13"/>
        <v>22</v>
      </c>
      <c r="S13" s="483">
        <f t="shared" si="14"/>
        <v>2</v>
      </c>
      <c r="T13" s="483">
        <f t="shared" si="15"/>
        <v>45</v>
      </c>
      <c r="U13" s="483">
        <f t="shared" si="16"/>
        <v>146</v>
      </c>
      <c r="V13" s="483">
        <f t="shared" si="22"/>
        <v>40</v>
      </c>
      <c r="W13" s="483">
        <f t="shared" si="17"/>
        <v>40</v>
      </c>
      <c r="Y13" s="483" t="str">
        <f t="shared" si="23"/>
        <v/>
      </c>
      <c r="Z13" s="485" t="str">
        <f t="shared" si="24"/>
        <v/>
      </c>
      <c r="AA13" s="472"/>
      <c r="AB13" s="483"/>
      <c r="AE13" s="1457" t="s">
        <v>452</v>
      </c>
      <c r="AF13" s="1457"/>
      <c r="AG13" s="1458"/>
      <c r="AH13" s="1458"/>
      <c r="AI13" s="1457"/>
      <c r="AJ13" s="1459">
        <f ca="1">AVERAGE(AJ12:AL12)</f>
        <v>5.8199049755276322</v>
      </c>
      <c r="AK13" s="1459"/>
      <c r="AL13" s="1459"/>
      <c r="AM13" s="1459">
        <f ca="1">AVERAGE(AM12:AN12)</f>
        <v>5.8756389892756342</v>
      </c>
      <c r="AN13" s="1459"/>
      <c r="AO13" s="467"/>
      <c r="AS13" s="696">
        <v>-440463000</v>
      </c>
      <c r="AT13" s="696">
        <v>422344000</v>
      </c>
      <c r="AU13" s="696">
        <v>271333000</v>
      </c>
      <c r="AV13" s="696">
        <v>-355824000</v>
      </c>
      <c r="AW13" s="696">
        <v>449748000</v>
      </c>
      <c r="AX13" s="696">
        <v>248966942.15000001</v>
      </c>
      <c r="AY13" s="693">
        <v>-0.11345</v>
      </c>
      <c r="AZ13" s="693">
        <v>-0.48327999999999999</v>
      </c>
    </row>
    <row r="14" spans="1:52" ht="18.75" customHeight="1">
      <c r="A14" s="480"/>
      <c r="B14" s="693" t="s">
        <v>453</v>
      </c>
      <c r="C14" s="693" t="s">
        <v>454</v>
      </c>
      <c r="D14" s="693" t="s">
        <v>415</v>
      </c>
      <c r="E14" s="693" t="s">
        <v>422</v>
      </c>
      <c r="F14" s="533">
        <f t="shared" si="0"/>
        <v>-0.55630516946335573</v>
      </c>
      <c r="G14" s="533">
        <f t="shared" si="1"/>
        <v>-0.43411830670030838</v>
      </c>
      <c r="H14" s="694">
        <f t="shared" si="2"/>
        <v>72364913.335494295</v>
      </c>
      <c r="I14" s="779">
        <f>(AY14/AZ14)-1</f>
        <v>-0.29834754872835989</v>
      </c>
      <c r="J14" s="533">
        <f t="shared" si="4"/>
        <v>-0.41956808130234308</v>
      </c>
      <c r="K14" s="472">
        <f t="shared" si="6"/>
        <v>54</v>
      </c>
      <c r="L14" s="472">
        <f t="shared" si="7"/>
        <v>46</v>
      </c>
      <c r="M14" s="472">
        <f t="shared" si="8"/>
        <v>47</v>
      </c>
      <c r="N14" s="472">
        <f t="shared" si="9"/>
        <v>33</v>
      </c>
      <c r="O14" s="472">
        <f t="shared" si="10"/>
        <v>44</v>
      </c>
      <c r="P14" s="483">
        <f t="shared" si="11"/>
        <v>52</v>
      </c>
      <c r="Q14" s="483">
        <f t="shared" si="12"/>
        <v>19</v>
      </c>
      <c r="R14" s="483">
        <f t="shared" si="13"/>
        <v>36</v>
      </c>
      <c r="S14" s="483">
        <f t="shared" si="14"/>
        <v>12</v>
      </c>
      <c r="T14" s="483">
        <f t="shared" si="15"/>
        <v>42</v>
      </c>
      <c r="U14" s="483">
        <f t="shared" si="16"/>
        <v>161</v>
      </c>
      <c r="V14" s="483">
        <f t="shared" si="22"/>
        <v>49</v>
      </c>
      <c r="W14" s="483">
        <f t="shared" si="17"/>
        <v>49</v>
      </c>
      <c r="Y14" s="483" t="str">
        <f t="shared" si="23"/>
        <v/>
      </c>
      <c r="Z14" s="485" t="str">
        <f t="shared" si="24"/>
        <v/>
      </c>
      <c r="AA14" s="472"/>
      <c r="AB14" s="483"/>
      <c r="AD14" s="486"/>
      <c r="AE14" s="1452" t="s">
        <v>129</v>
      </c>
      <c r="AF14" s="1453"/>
      <c r="AG14" s="1453"/>
      <c r="AH14" s="1453"/>
      <c r="AI14" s="1454"/>
      <c r="AJ14" s="1455">
        <f ca="1">AJ13/OP!C21-1</f>
        <v>0.85939456087144794</v>
      </c>
      <c r="AK14" s="1456"/>
      <c r="AL14" s="1456"/>
      <c r="AM14" s="1456">
        <f ca="1">AM13/OP!C21-1</f>
        <v>0.87720095504013873</v>
      </c>
      <c r="AN14" s="1456"/>
      <c r="AS14" s="696">
        <v>-66324574.859999999</v>
      </c>
      <c r="AT14" s="696">
        <v>119223366.06</v>
      </c>
      <c r="AU14" s="696">
        <v>22728573.300000001</v>
      </c>
      <c r="AV14" s="696">
        <v>-52355712.600000001</v>
      </c>
      <c r="AW14" s="696">
        <v>124784784.48</v>
      </c>
      <c r="AX14" s="696">
        <v>72364913.335494295</v>
      </c>
      <c r="AY14" s="693">
        <v>-0.23335444960000001</v>
      </c>
      <c r="AZ14" s="693">
        <v>-0.3325784</v>
      </c>
    </row>
    <row r="15" spans="1:52" ht="14.45">
      <c r="A15" s="480"/>
      <c r="B15" s="693" t="s">
        <v>455</v>
      </c>
      <c r="C15" s="693" t="s">
        <v>456</v>
      </c>
      <c r="D15" s="693" t="s">
        <v>415</v>
      </c>
      <c r="E15" s="693" t="s">
        <v>422</v>
      </c>
      <c r="F15" s="533">
        <f t="shared" si="0"/>
        <v>-1.081995736025682</v>
      </c>
      <c r="G15" s="533">
        <f t="shared" si="1"/>
        <v>-1.2420034615333801</v>
      </c>
      <c r="H15" s="694">
        <f t="shared" si="2"/>
        <v>192046378.34555599</v>
      </c>
      <c r="I15" s="779">
        <f t="shared" si="3"/>
        <v>-1.2972789326353855</v>
      </c>
      <c r="J15" s="533">
        <f t="shared" si="4"/>
        <v>-0.39396936273871924</v>
      </c>
      <c r="K15" s="472">
        <f t="shared" si="6"/>
        <v>60</v>
      </c>
      <c r="L15" s="472">
        <f t="shared" si="7"/>
        <v>53</v>
      </c>
      <c r="M15" s="472">
        <f t="shared" si="8"/>
        <v>36</v>
      </c>
      <c r="N15" s="472">
        <f t="shared" si="9"/>
        <v>58</v>
      </c>
      <c r="O15" s="472">
        <f t="shared" si="10"/>
        <v>43</v>
      </c>
      <c r="P15" s="483">
        <f t="shared" si="11"/>
        <v>58</v>
      </c>
      <c r="Q15" s="483">
        <f t="shared" si="12"/>
        <v>26</v>
      </c>
      <c r="R15" s="483">
        <f t="shared" si="13"/>
        <v>25</v>
      </c>
      <c r="S15" s="483">
        <f t="shared" si="14"/>
        <v>13</v>
      </c>
      <c r="T15" s="483">
        <f t="shared" si="15"/>
        <v>41</v>
      </c>
      <c r="U15" s="483">
        <f t="shared" si="16"/>
        <v>163</v>
      </c>
      <c r="V15" s="483">
        <f t="shared" si="22"/>
        <v>50</v>
      </c>
      <c r="W15" s="483">
        <f t="shared" si="17"/>
        <v>50</v>
      </c>
      <c r="Y15" s="483" t="str">
        <f t="shared" si="23"/>
        <v/>
      </c>
      <c r="Z15" s="485" t="str">
        <f t="shared" si="24"/>
        <v/>
      </c>
      <c r="AA15" s="472"/>
      <c r="AB15" s="483"/>
      <c r="AE15" s="486"/>
      <c r="AF15" s="486"/>
      <c r="AG15" s="486"/>
      <c r="AH15" s="486"/>
      <c r="AI15" s="486"/>
      <c r="AJ15" s="486"/>
      <c r="AK15" s="486"/>
      <c r="AL15" s="486"/>
      <c r="AM15" s="486"/>
      <c r="AN15" s="486"/>
      <c r="AS15" s="696">
        <v>-129613780.68000001</v>
      </c>
      <c r="AT15" s="696">
        <v>119791396.92</v>
      </c>
      <c r="AU15" s="696">
        <v>137980126.68000001</v>
      </c>
      <c r="AV15" s="696">
        <v>-111094800.42</v>
      </c>
      <c r="AW15" s="696">
        <v>281988425.81999999</v>
      </c>
      <c r="AX15" s="696">
        <v>192046378.34555599</v>
      </c>
      <c r="AY15" s="693">
        <v>7.6781500000000003E-2</v>
      </c>
      <c r="AZ15" s="693">
        <v>-0.25828099999999998</v>
      </c>
    </row>
    <row r="16" spans="1:52" ht="14.45">
      <c r="A16" s="480"/>
      <c r="B16" s="693" t="s">
        <v>457</v>
      </c>
      <c r="C16" s="693" t="s">
        <v>458</v>
      </c>
      <c r="D16" s="693" t="s">
        <v>415</v>
      </c>
      <c r="E16" s="693" t="s">
        <v>422</v>
      </c>
      <c r="F16" s="533">
        <f t="shared" si="0"/>
        <v>-0.40923033529598268</v>
      </c>
      <c r="G16" s="533">
        <f t="shared" si="1"/>
        <v>-4.5051262169380655</v>
      </c>
      <c r="H16" s="694">
        <f t="shared" si="2"/>
        <v>45950629.657484099</v>
      </c>
      <c r="I16" s="779">
        <f t="shared" si="3"/>
        <v>4.7391050589805204</v>
      </c>
      <c r="J16" s="533">
        <f t="shared" si="4"/>
        <v>-0.19603769760843076</v>
      </c>
      <c r="K16" s="472">
        <f t="shared" si="6"/>
        <v>52</v>
      </c>
      <c r="L16" s="472">
        <f t="shared" si="7"/>
        <v>59</v>
      </c>
      <c r="M16" s="472">
        <f t="shared" si="8"/>
        <v>54</v>
      </c>
      <c r="N16" s="472">
        <f t="shared" si="9"/>
        <v>2</v>
      </c>
      <c r="O16" s="472">
        <f t="shared" si="10"/>
        <v>39</v>
      </c>
      <c r="P16" s="483">
        <f t="shared" si="11"/>
        <v>50</v>
      </c>
      <c r="Q16" s="483">
        <f t="shared" si="12"/>
        <v>32</v>
      </c>
      <c r="R16" s="483">
        <f t="shared" si="13"/>
        <v>43</v>
      </c>
      <c r="S16" s="483">
        <f t="shared" si="14"/>
        <v>43</v>
      </c>
      <c r="T16" s="483">
        <f t="shared" si="15"/>
        <v>37</v>
      </c>
      <c r="U16" s="483">
        <f t="shared" si="16"/>
        <v>205</v>
      </c>
      <c r="V16" s="483">
        <f t="shared" si="22"/>
        <v>61</v>
      </c>
      <c r="W16" s="483">
        <f t="shared" si="17"/>
        <v>61</v>
      </c>
      <c r="Y16" s="483" t="str">
        <f t="shared" si="23"/>
        <v/>
      </c>
      <c r="Z16" s="485" t="str">
        <f t="shared" si="24"/>
        <v/>
      </c>
      <c r="AA16" s="472"/>
      <c r="AB16" s="483"/>
      <c r="AE16" s="486"/>
      <c r="AF16" s="486"/>
      <c r="AG16" s="486"/>
      <c r="AH16" s="486"/>
      <c r="AI16" s="486"/>
      <c r="AJ16" s="486"/>
      <c r="AK16" s="486"/>
      <c r="AL16" s="486"/>
      <c r="AM16" s="486"/>
      <c r="AN16" s="486"/>
      <c r="AS16" s="696">
        <v>-12574007.2772898</v>
      </c>
      <c r="AT16" s="696">
        <v>30725990.2132999</v>
      </c>
      <c r="AU16" s="696">
        <v>56647489.836888298</v>
      </c>
      <c r="AV16" s="696">
        <v>-12574007.2772898</v>
      </c>
      <c r="AW16" s="696">
        <v>64140761.856963597</v>
      </c>
      <c r="AX16" s="696">
        <v>45950629.657484099</v>
      </c>
      <c r="AY16" s="693">
        <v>-0.124163569048501</v>
      </c>
      <c r="AZ16" s="693">
        <v>-2.1634656932130999E-2</v>
      </c>
    </row>
    <row r="17" spans="1:52" ht="14.45">
      <c r="A17" s="480"/>
      <c r="B17" s="693" t="s">
        <v>459</v>
      </c>
      <c r="C17" s="693" t="s">
        <v>460</v>
      </c>
      <c r="D17" s="693" t="s">
        <v>415</v>
      </c>
      <c r="E17" s="693" t="s">
        <v>422</v>
      </c>
      <c r="F17" s="533">
        <f t="shared" si="0"/>
        <v>3.9917331870899603E-2</v>
      </c>
      <c r="G17" s="533">
        <f t="shared" si="1"/>
        <v>1.2211354344563474</v>
      </c>
      <c r="H17" s="694">
        <f t="shared" si="2"/>
        <v>160771427.15383899</v>
      </c>
      <c r="I17" s="779">
        <f t="shared" si="3"/>
        <v>1.7688616071428571</v>
      </c>
      <c r="J17" s="533">
        <f t="shared" si="4"/>
        <v>0.11147198633930221</v>
      </c>
      <c r="K17" s="472">
        <f t="shared" si="6"/>
        <v>26</v>
      </c>
      <c r="L17" s="472">
        <f t="shared" si="7"/>
        <v>18</v>
      </c>
      <c r="M17" s="472">
        <f t="shared" si="8"/>
        <v>37</v>
      </c>
      <c r="N17" s="472">
        <f t="shared" si="9"/>
        <v>7</v>
      </c>
      <c r="O17" s="472">
        <f t="shared" si="10"/>
        <v>25</v>
      </c>
      <c r="P17" s="483">
        <f t="shared" si="11"/>
        <v>24</v>
      </c>
      <c r="Q17" s="483">
        <f t="shared" si="12"/>
        <v>9</v>
      </c>
      <c r="R17" s="483">
        <f t="shared" si="13"/>
        <v>26</v>
      </c>
      <c r="S17" s="483">
        <f t="shared" si="14"/>
        <v>38</v>
      </c>
      <c r="T17" s="483">
        <f t="shared" si="15"/>
        <v>23</v>
      </c>
      <c r="U17" s="483">
        <f t="shared" si="16"/>
        <v>120</v>
      </c>
      <c r="V17" s="483">
        <f t="shared" si="22"/>
        <v>27</v>
      </c>
      <c r="W17" s="483">
        <f t="shared" si="17"/>
        <v>27</v>
      </c>
      <c r="Y17" s="483" t="str">
        <f t="shared" si="23"/>
        <v/>
      </c>
      <c r="Z17" s="485" t="str">
        <f t="shared" si="24"/>
        <v/>
      </c>
      <c r="AA17" s="472"/>
      <c r="AB17" s="483"/>
      <c r="AH17" s="486"/>
      <c r="AI17" s="486"/>
      <c r="AJ17" s="486"/>
      <c r="AK17" s="486"/>
      <c r="AL17" s="486"/>
      <c r="AM17" s="486"/>
      <c r="AN17" s="486"/>
      <c r="AS17" s="696">
        <v>11543328.23</v>
      </c>
      <c r="AT17" s="696">
        <v>289180856.75999999</v>
      </c>
      <c r="AU17" s="696">
        <v>34649074.280000001</v>
      </c>
      <c r="AV17" s="696">
        <v>28374472.890000001</v>
      </c>
      <c r="AW17" s="696">
        <v>254543529.91999999</v>
      </c>
      <c r="AX17" s="696">
        <v>160771427.15383899</v>
      </c>
      <c r="AY17" s="693">
        <v>0.34236420000000001</v>
      </c>
      <c r="AZ17" s="693">
        <v>0.12364799999999999</v>
      </c>
    </row>
    <row r="18" spans="1:52" ht="14.45">
      <c r="A18" s="480"/>
      <c r="B18" s="693" t="s">
        <v>461</v>
      </c>
      <c r="C18" s="693" t="s">
        <v>462</v>
      </c>
      <c r="D18" s="693" t="s">
        <v>415</v>
      </c>
      <c r="E18" s="693" t="s">
        <v>422</v>
      </c>
      <c r="F18" s="533">
        <f t="shared" si="0"/>
        <v>-0.82344251116287359</v>
      </c>
      <c r="G18" s="533">
        <f t="shared" si="1"/>
        <v>-0.88894473214600411</v>
      </c>
      <c r="H18" s="694">
        <f t="shared" si="2"/>
        <v>62032415.238278098</v>
      </c>
      <c r="I18" s="779">
        <f t="shared" si="3"/>
        <v>0.15617612507685519</v>
      </c>
      <c r="J18" s="533">
        <f t="shared" si="4"/>
        <v>-0.62312541689036394</v>
      </c>
      <c r="K18" s="472">
        <f t="shared" si="6"/>
        <v>57</v>
      </c>
      <c r="L18" s="472">
        <f t="shared" si="7"/>
        <v>49</v>
      </c>
      <c r="M18" s="472">
        <f t="shared" si="8"/>
        <v>50</v>
      </c>
      <c r="N18" s="472">
        <f t="shared" si="9"/>
        <v>13</v>
      </c>
      <c r="O18" s="472">
        <f t="shared" si="10"/>
        <v>46</v>
      </c>
      <c r="P18" s="483">
        <f t="shared" si="11"/>
        <v>55</v>
      </c>
      <c r="Q18" s="483">
        <f t="shared" si="12"/>
        <v>22</v>
      </c>
      <c r="R18" s="483">
        <f t="shared" si="13"/>
        <v>39</v>
      </c>
      <c r="S18" s="483">
        <f t="shared" si="14"/>
        <v>32</v>
      </c>
      <c r="T18" s="483">
        <f t="shared" si="15"/>
        <v>44</v>
      </c>
      <c r="U18" s="483">
        <f t="shared" si="16"/>
        <v>192</v>
      </c>
      <c r="V18" s="483">
        <f t="shared" si="22"/>
        <v>59</v>
      </c>
      <c r="W18" s="483">
        <f t="shared" si="17"/>
        <v>59</v>
      </c>
      <c r="Y18" s="483" t="str">
        <f t="shared" si="23"/>
        <v/>
      </c>
      <c r="Z18" s="485" t="str">
        <f t="shared" si="24"/>
        <v/>
      </c>
      <c r="AA18" s="472"/>
      <c r="AB18" s="483"/>
      <c r="AS18" s="696">
        <v>-39294804.370200001</v>
      </c>
      <c r="AT18" s="696">
        <v>47720155.126199998</v>
      </c>
      <c r="AU18" s="696">
        <v>29985028.097399998</v>
      </c>
      <c r="AV18" s="696">
        <v>-33731037.5022</v>
      </c>
      <c r="AW18" s="696">
        <v>54132019.956</v>
      </c>
      <c r="AX18" s="696">
        <v>62032415.238278098</v>
      </c>
      <c r="AY18" s="693">
        <v>-0.1194384</v>
      </c>
      <c r="AZ18" s="693">
        <v>-0.103304676</v>
      </c>
    </row>
    <row r="19" spans="1:52" ht="14.45">
      <c r="A19" s="480"/>
      <c r="B19" s="693" t="s">
        <v>463</v>
      </c>
      <c r="C19" s="693" t="s">
        <v>464</v>
      </c>
      <c r="D19" s="693" t="s">
        <v>415</v>
      </c>
      <c r="E19" s="693" t="s">
        <v>416</v>
      </c>
      <c r="F19" s="533">
        <f t="shared" si="0"/>
        <v>-0.16854998789639314</v>
      </c>
      <c r="G19" s="533">
        <f t="shared" si="1"/>
        <v>-0.18348199441978807</v>
      </c>
      <c r="H19" s="694">
        <f t="shared" si="2"/>
        <v>236567436.56</v>
      </c>
      <c r="I19" s="779">
        <f t="shared" si="3"/>
        <v>-1.0032833020637899</v>
      </c>
      <c r="J19" s="533">
        <f t="shared" si="4"/>
        <v>-0.18735813998840742</v>
      </c>
      <c r="K19" s="472">
        <f t="shared" si="6"/>
        <v>46</v>
      </c>
      <c r="L19" s="472">
        <f t="shared" si="7"/>
        <v>42</v>
      </c>
      <c r="M19" s="472">
        <f t="shared" si="8"/>
        <v>34</v>
      </c>
      <c r="N19" s="472">
        <f t="shared" si="9"/>
        <v>56</v>
      </c>
      <c r="O19" s="472">
        <f t="shared" si="10"/>
        <v>38</v>
      </c>
      <c r="P19" s="483">
        <f t="shared" si="11"/>
        <v>44</v>
      </c>
      <c r="Q19" s="483">
        <f t="shared" si="12"/>
        <v>15</v>
      </c>
      <c r="R19" s="483">
        <f t="shared" si="13"/>
        <v>23</v>
      </c>
      <c r="S19" s="483">
        <f t="shared" si="14"/>
        <v>11</v>
      </c>
      <c r="T19" s="483">
        <f t="shared" si="15"/>
        <v>36</v>
      </c>
      <c r="U19" s="483">
        <f t="shared" si="16"/>
        <v>129</v>
      </c>
      <c r="V19" s="483">
        <f t="shared" si="22"/>
        <v>31</v>
      </c>
      <c r="W19" s="483">
        <f t="shared" si="17"/>
        <v>31</v>
      </c>
      <c r="Y19" s="483" t="str">
        <f t="shared" si="23"/>
        <v/>
      </c>
      <c r="Z19" s="485" t="str">
        <f t="shared" si="24"/>
        <v/>
      </c>
      <c r="AA19" s="472"/>
      <c r="AB19" s="483"/>
      <c r="AS19" s="696">
        <v>-52221000</v>
      </c>
      <c r="AT19" s="696">
        <v>309825000</v>
      </c>
      <c r="AU19" s="696">
        <v>12692000</v>
      </c>
      <c r="AV19" s="696">
        <v>-69173000</v>
      </c>
      <c r="AW19" s="696">
        <v>369202000</v>
      </c>
      <c r="AX19" s="696">
        <v>236567436.56</v>
      </c>
      <c r="AY19" s="693">
        <v>6.9999999999999994E-5</v>
      </c>
      <c r="AZ19" s="693">
        <v>-2.1319999999999999E-2</v>
      </c>
    </row>
    <row r="20" spans="1:52" ht="14.45">
      <c r="A20" s="480"/>
      <c r="B20" s="693" t="s">
        <v>465</v>
      </c>
      <c r="C20" s="693" t="s">
        <v>466</v>
      </c>
      <c r="D20" s="693" t="s">
        <v>415</v>
      </c>
      <c r="E20" s="693" t="s">
        <v>467</v>
      </c>
      <c r="F20" s="533">
        <f t="shared" si="0"/>
        <v>0.36795779113715349</v>
      </c>
      <c r="G20" s="533">
        <f t="shared" si="1"/>
        <v>2.7517449304092874</v>
      </c>
      <c r="H20" s="694">
        <f t="shared" si="2"/>
        <v>18998024964.161201</v>
      </c>
      <c r="I20" s="779">
        <f t="shared" si="3"/>
        <v>-0.48843879252776468</v>
      </c>
      <c r="J20" s="533">
        <f t="shared" si="4"/>
        <v>0.16436989165557872</v>
      </c>
      <c r="K20" s="472">
        <f t="shared" si="6"/>
        <v>4</v>
      </c>
      <c r="L20" s="472">
        <f t="shared" si="7"/>
        <v>10</v>
      </c>
      <c r="M20" s="472">
        <f t="shared" si="8"/>
        <v>9</v>
      </c>
      <c r="N20" s="472">
        <f t="shared" si="9"/>
        <v>37</v>
      </c>
      <c r="O20" s="472">
        <f t="shared" si="10"/>
        <v>18</v>
      </c>
      <c r="P20" s="483">
        <f t="shared" si="11"/>
        <v>2</v>
      </c>
      <c r="Q20" s="483">
        <f t="shared" si="12"/>
        <v>17</v>
      </c>
      <c r="R20" s="483">
        <f t="shared" si="13"/>
        <v>2</v>
      </c>
      <c r="S20" s="483">
        <f t="shared" si="14"/>
        <v>8</v>
      </c>
      <c r="T20" s="483">
        <f t="shared" si="15"/>
        <v>16</v>
      </c>
      <c r="U20" s="483">
        <f t="shared" si="16"/>
        <v>45</v>
      </c>
      <c r="V20" s="483">
        <f t="shared" si="22"/>
        <v>5</v>
      </c>
      <c r="W20" s="483">
        <f t="shared" si="17"/>
        <v>5</v>
      </c>
      <c r="Y20" s="483" t="str">
        <f t="shared" si="23"/>
        <v/>
      </c>
      <c r="Z20" s="485" t="str">
        <f t="shared" si="24"/>
        <v/>
      </c>
      <c r="AA20" s="472"/>
      <c r="AB20" s="483"/>
      <c r="AS20" s="696">
        <v>2641112504.8685498</v>
      </c>
      <c r="AT20" s="696">
        <v>7177759429.1626101</v>
      </c>
      <c r="AU20" s="696">
        <v>12130983315.482</v>
      </c>
      <c r="AV20" s="696">
        <v>4408469397.5170403</v>
      </c>
      <c r="AW20" s="696">
        <v>26820419196.6894</v>
      </c>
      <c r="AX20" s="696">
        <v>18998024964.161201</v>
      </c>
      <c r="AY20" s="693">
        <v>0.27362083433082601</v>
      </c>
      <c r="AZ20" s="693">
        <v>0.53487408805460801</v>
      </c>
    </row>
    <row r="21" spans="1:52" ht="14.45">
      <c r="A21" s="480"/>
      <c r="B21" s="693" t="s">
        <v>468</v>
      </c>
      <c r="C21" s="693" t="s">
        <v>469</v>
      </c>
      <c r="D21" s="693" t="s">
        <v>415</v>
      </c>
      <c r="E21" s="693" t="s">
        <v>434</v>
      </c>
      <c r="F21" s="533">
        <f t="shared" si="0"/>
        <v>7.9909451908168741E-2</v>
      </c>
      <c r="G21" s="533">
        <f t="shared" si="1"/>
        <v>7.947618897040222</v>
      </c>
      <c r="H21" s="694">
        <f t="shared" si="2"/>
        <v>7791455788.9125299</v>
      </c>
      <c r="I21" s="779">
        <f t="shared" si="3"/>
        <v>-0.30565795930738848</v>
      </c>
      <c r="J21" s="533">
        <f t="shared" si="4"/>
        <v>6.8706029918755948E-2</v>
      </c>
      <c r="K21" s="472">
        <f t="shared" si="6"/>
        <v>19</v>
      </c>
      <c r="L21" s="472">
        <f t="shared" si="7"/>
        <v>4</v>
      </c>
      <c r="M21" s="472">
        <f t="shared" si="8"/>
        <v>14</v>
      </c>
      <c r="N21" s="472">
        <f t="shared" si="9"/>
        <v>34</v>
      </c>
      <c r="O21" s="472">
        <f t="shared" si="10"/>
        <v>26</v>
      </c>
      <c r="P21" s="483">
        <f t="shared" si="11"/>
        <v>17</v>
      </c>
      <c r="Q21" s="483">
        <f t="shared" si="12"/>
        <v>23</v>
      </c>
      <c r="R21" s="483">
        <f t="shared" si="13"/>
        <v>3</v>
      </c>
      <c r="S21" s="483">
        <f t="shared" si="14"/>
        <v>11</v>
      </c>
      <c r="T21" s="483">
        <f t="shared" si="15"/>
        <v>24</v>
      </c>
      <c r="U21" s="483">
        <f t="shared" si="16"/>
        <v>78</v>
      </c>
      <c r="V21" s="483">
        <f t="shared" si="22"/>
        <v>16</v>
      </c>
      <c r="W21" s="483">
        <f t="shared" si="17"/>
        <v>16</v>
      </c>
      <c r="Y21" s="483" t="str">
        <f t="shared" si="23"/>
        <v/>
      </c>
      <c r="Z21" s="485" t="str">
        <f t="shared" si="24"/>
        <v/>
      </c>
      <c r="AA21" s="472"/>
      <c r="AB21" s="483"/>
      <c r="AS21" s="696">
        <v>477872473.5</v>
      </c>
      <c r="AT21" s="696">
        <v>5980174586.2200003</v>
      </c>
      <c r="AU21" s="696">
        <v>4426862642.2799997</v>
      </c>
      <c r="AV21" s="696">
        <v>557004896.63999999</v>
      </c>
      <c r="AW21" s="696">
        <v>8107074405.2399998</v>
      </c>
      <c r="AX21" s="696">
        <v>7791455788.9125299</v>
      </c>
      <c r="AY21" s="693">
        <v>0.23091149999999999</v>
      </c>
      <c r="AZ21" s="693">
        <v>0.33256160000000001</v>
      </c>
    </row>
    <row r="22" spans="1:52" ht="14.45">
      <c r="A22" s="480"/>
      <c r="B22" s="693" t="s">
        <v>470</v>
      </c>
      <c r="C22" s="693" t="s">
        <v>471</v>
      </c>
      <c r="D22" s="693" t="s">
        <v>415</v>
      </c>
      <c r="E22" s="693" t="s">
        <v>472</v>
      </c>
      <c r="F22" s="533">
        <f t="shared" si="0"/>
        <v>0.51322015324891146</v>
      </c>
      <c r="G22" s="533">
        <f t="shared" si="1"/>
        <v>1.1338420891185523</v>
      </c>
      <c r="H22" s="694">
        <f t="shared" si="2"/>
        <v>264754094.60738701</v>
      </c>
      <c r="I22" s="779">
        <f t="shared" si="3"/>
        <v>1.2673816762869716E-2</v>
      </c>
      <c r="J22" s="533">
        <f t="shared" si="4"/>
        <v>0.58583497134628382</v>
      </c>
      <c r="K22" s="472">
        <f t="shared" si="6"/>
        <v>3</v>
      </c>
      <c r="L22" s="472">
        <f t="shared" si="7"/>
        <v>19</v>
      </c>
      <c r="M22" s="472">
        <f t="shared" si="8"/>
        <v>32</v>
      </c>
      <c r="N22" s="472">
        <f t="shared" si="9"/>
        <v>21</v>
      </c>
      <c r="O22" s="472">
        <f t="shared" si="10"/>
        <v>3</v>
      </c>
      <c r="P22" s="483">
        <f t="shared" si="11"/>
        <v>1</v>
      </c>
      <c r="Q22" s="483">
        <f t="shared" si="12"/>
        <v>8</v>
      </c>
      <c r="R22" s="483">
        <f t="shared" si="13"/>
        <v>21</v>
      </c>
      <c r="S22" s="483">
        <f t="shared" si="14"/>
        <v>24</v>
      </c>
      <c r="T22" s="483">
        <f t="shared" si="15"/>
        <v>1</v>
      </c>
      <c r="U22" s="483">
        <f t="shared" si="16"/>
        <v>55</v>
      </c>
      <c r="V22" s="483">
        <f t="shared" si="22"/>
        <v>8</v>
      </c>
      <c r="W22" s="483">
        <f t="shared" si="17"/>
        <v>8</v>
      </c>
      <c r="Y22" s="483" t="str">
        <f t="shared" si="23"/>
        <v/>
      </c>
      <c r="Z22" s="485" t="str">
        <f t="shared" si="24"/>
        <v/>
      </c>
      <c r="AA22" s="472"/>
      <c r="AB22" s="483"/>
      <c r="AS22" s="696">
        <v>103966090.160317</v>
      </c>
      <c r="AT22" s="696">
        <v>202576008.56506801</v>
      </c>
      <c r="AU22" s="696">
        <v>172621389.702483</v>
      </c>
      <c r="AV22" s="696">
        <v>152244647.96211499</v>
      </c>
      <c r="AW22" s="696">
        <v>259876339.59824499</v>
      </c>
      <c r="AX22" s="696">
        <v>264754094.60738701</v>
      </c>
      <c r="AY22" s="693">
        <v>21.8845750883427</v>
      </c>
      <c r="AZ22" s="693">
        <v>21.610685223697502</v>
      </c>
    </row>
    <row r="23" spans="1:52" ht="14.45">
      <c r="A23" s="480"/>
      <c r="B23" s="693" t="s">
        <v>473</v>
      </c>
      <c r="C23" s="693" t="s">
        <v>474</v>
      </c>
      <c r="D23" s="693" t="s">
        <v>415</v>
      </c>
      <c r="E23" s="693" t="s">
        <v>416</v>
      </c>
      <c r="F23" s="533">
        <f t="shared" si="0"/>
        <v>-3.7688767904595244E-2</v>
      </c>
      <c r="G23" s="533">
        <f t="shared" si="1"/>
        <v>-0.39186384391863843</v>
      </c>
      <c r="H23" s="694">
        <f t="shared" si="2"/>
        <v>143365895.91999999</v>
      </c>
      <c r="I23" s="779">
        <f t="shared" si="3"/>
        <v>-1.7399001361779391</v>
      </c>
      <c r="J23" s="533">
        <f t="shared" si="4"/>
        <v>-5.7523779201655592E-2</v>
      </c>
      <c r="K23" s="472">
        <f t="shared" si="6"/>
        <v>33</v>
      </c>
      <c r="L23" s="472">
        <f t="shared" si="7"/>
        <v>44</v>
      </c>
      <c r="M23" s="472">
        <f t="shared" si="8"/>
        <v>39</v>
      </c>
      <c r="N23" s="472">
        <f t="shared" si="9"/>
        <v>60</v>
      </c>
      <c r="O23" s="472">
        <f t="shared" si="10"/>
        <v>32</v>
      </c>
      <c r="P23" s="483">
        <f t="shared" si="11"/>
        <v>31</v>
      </c>
      <c r="Q23" s="483">
        <f t="shared" si="12"/>
        <v>17</v>
      </c>
      <c r="R23" s="483">
        <f t="shared" si="13"/>
        <v>28</v>
      </c>
      <c r="S23" s="483">
        <f t="shared" si="14"/>
        <v>15</v>
      </c>
      <c r="T23" s="483">
        <f t="shared" si="15"/>
        <v>30</v>
      </c>
      <c r="U23" s="483">
        <f t="shared" si="16"/>
        <v>121</v>
      </c>
      <c r="V23" s="483">
        <f t="shared" si="22"/>
        <v>28</v>
      </c>
      <c r="W23" s="483">
        <f t="shared" si="17"/>
        <v>28</v>
      </c>
      <c r="Y23" s="483" t="str">
        <f t="shared" si="23"/>
        <v/>
      </c>
      <c r="Z23" s="485" t="str">
        <f t="shared" si="24"/>
        <v/>
      </c>
      <c r="AA23" s="472"/>
      <c r="AB23" s="483"/>
      <c r="AS23" s="696">
        <v>-5815000</v>
      </c>
      <c r="AT23" s="696">
        <v>154290000</v>
      </c>
      <c r="AU23" s="696">
        <v>2832000</v>
      </c>
      <c r="AV23" s="696">
        <v>-7227000</v>
      </c>
      <c r="AW23" s="696">
        <v>125635000</v>
      </c>
      <c r="AX23" s="696">
        <v>143365895.91999999</v>
      </c>
      <c r="AY23" s="693">
        <v>1.6299999999999999E-2</v>
      </c>
      <c r="AZ23" s="693">
        <v>-2.2030000000000001E-2</v>
      </c>
    </row>
    <row r="24" spans="1:52" ht="14.45">
      <c r="A24" s="480"/>
      <c r="B24" s="693" t="s">
        <v>475</v>
      </c>
      <c r="C24" s="693" t="s">
        <v>476</v>
      </c>
      <c r="D24" s="693" t="s">
        <v>415</v>
      </c>
      <c r="E24" s="693" t="s">
        <v>477</v>
      </c>
      <c r="F24" s="533">
        <f t="shared" si="0"/>
        <v>5.3637706030251031E-2</v>
      </c>
      <c r="G24" s="533">
        <f t="shared" si="1"/>
        <v>4.4823747680890538</v>
      </c>
      <c r="H24" s="694">
        <f t="shared" si="2"/>
        <v>45674650913.297897</v>
      </c>
      <c r="I24" s="779">
        <f t="shared" si="3"/>
        <v>-7.2794501575871529E-2</v>
      </c>
      <c r="J24" s="533">
        <f t="shared" si="4"/>
        <v>0.12309147853321153</v>
      </c>
      <c r="K24" s="472">
        <f t="shared" si="6"/>
        <v>24</v>
      </c>
      <c r="L24" s="472">
        <f t="shared" si="7"/>
        <v>7</v>
      </c>
      <c r="M24" s="472">
        <f t="shared" si="8"/>
        <v>6</v>
      </c>
      <c r="N24" s="472">
        <f t="shared" si="9"/>
        <v>25</v>
      </c>
      <c r="O24" s="472">
        <f t="shared" si="10"/>
        <v>23</v>
      </c>
      <c r="P24" s="483">
        <f t="shared" si="11"/>
        <v>22</v>
      </c>
      <c r="Q24" s="483">
        <f t="shared" si="12"/>
        <v>20</v>
      </c>
      <c r="R24" s="483">
        <f t="shared" si="13"/>
        <v>5</v>
      </c>
      <c r="S24" s="483">
        <f t="shared" si="14"/>
        <v>20</v>
      </c>
      <c r="T24" s="483">
        <f t="shared" si="15"/>
        <v>21</v>
      </c>
      <c r="U24" s="483">
        <f t="shared" si="16"/>
        <v>88</v>
      </c>
      <c r="V24" s="483">
        <f t="shared" si="22"/>
        <v>21</v>
      </c>
      <c r="W24" s="483">
        <f t="shared" si="17"/>
        <v>21</v>
      </c>
      <c r="Y24" s="483" t="str">
        <f t="shared" si="23"/>
        <v/>
      </c>
      <c r="Z24" s="485" t="str">
        <f t="shared" si="24"/>
        <v/>
      </c>
      <c r="AA24" s="472"/>
      <c r="AB24" s="483"/>
      <c r="AS24" s="696">
        <v>1973569920</v>
      </c>
      <c r="AT24" s="696">
        <v>36794450510</v>
      </c>
      <c r="AU24" s="696">
        <v>24834088160</v>
      </c>
      <c r="AV24" s="696">
        <v>5540386390</v>
      </c>
      <c r="AW24" s="696">
        <v>45010316360</v>
      </c>
      <c r="AX24" s="696">
        <v>45674650913.297897</v>
      </c>
      <c r="AY24" s="693">
        <v>3.2940195889999999</v>
      </c>
      <c r="AZ24" s="693">
        <v>3.5526316383999998</v>
      </c>
    </row>
    <row r="25" spans="1:52" ht="14.45">
      <c r="A25" s="480"/>
      <c r="B25" s="693" t="s">
        <v>478</v>
      </c>
      <c r="C25" s="693" t="s">
        <v>479</v>
      </c>
      <c r="D25" s="693" t="s">
        <v>415</v>
      </c>
      <c r="E25" s="693" t="s">
        <v>477</v>
      </c>
      <c r="F25" s="533">
        <f t="shared" si="0"/>
        <v>-4.131340935902478</v>
      </c>
      <c r="G25" s="533">
        <f t="shared" si="1"/>
        <v>-1.1269665683382497</v>
      </c>
      <c r="H25" s="694">
        <f t="shared" si="2"/>
        <v>5852771.9110063901</v>
      </c>
      <c r="I25" s="779">
        <f t="shared" si="3"/>
        <v>-1</v>
      </c>
      <c r="J25" s="533">
        <f t="shared" si="4"/>
        <v>-2.1870967741935483</v>
      </c>
      <c r="K25" s="472">
        <f t="shared" si="6"/>
        <v>62</v>
      </c>
      <c r="L25" s="472">
        <f t="shared" si="7"/>
        <v>52</v>
      </c>
      <c r="M25" s="472">
        <f t="shared" si="8"/>
        <v>62</v>
      </c>
      <c r="N25" s="472">
        <f t="shared" si="9"/>
        <v>47</v>
      </c>
      <c r="O25" s="472">
        <f t="shared" si="10"/>
        <v>50</v>
      </c>
      <c r="P25" s="483">
        <f t="shared" si="11"/>
        <v>60</v>
      </c>
      <c r="Q25" s="483">
        <f t="shared" si="12"/>
        <v>25</v>
      </c>
      <c r="R25" s="483">
        <f t="shared" si="13"/>
        <v>51</v>
      </c>
      <c r="S25" s="483">
        <f t="shared" si="14"/>
        <v>2</v>
      </c>
      <c r="T25" s="483">
        <f t="shared" si="15"/>
        <v>48</v>
      </c>
      <c r="U25" s="483">
        <f t="shared" si="16"/>
        <v>186</v>
      </c>
      <c r="V25" s="483">
        <f t="shared" si="22"/>
        <v>57</v>
      </c>
      <c r="W25" s="483">
        <f t="shared" si="17"/>
        <v>57</v>
      </c>
      <c r="Y25" s="483" t="str">
        <f t="shared" si="23"/>
        <v/>
      </c>
      <c r="Z25" s="485" t="str">
        <f t="shared" si="24"/>
        <v/>
      </c>
      <c r="AA25" s="472"/>
      <c r="AB25" s="483"/>
      <c r="AS25" s="696">
        <v>-15901356.300000001</v>
      </c>
      <c r="AT25" s="696">
        <v>3848957.65</v>
      </c>
      <c r="AU25" s="696">
        <v>13877739.949999999</v>
      </c>
      <c r="AV25" s="696">
        <v>-12314242.800000001</v>
      </c>
      <c r="AW25" s="696">
        <v>5630406</v>
      </c>
      <c r="AX25" s="696">
        <v>5852771.9110063901</v>
      </c>
      <c r="AY25" s="693"/>
      <c r="AZ25" s="693">
        <v>-0.125907516451924</v>
      </c>
    </row>
    <row r="26" spans="1:52" ht="14.45">
      <c r="A26" s="480"/>
      <c r="B26" s="693" t="s">
        <v>480</v>
      </c>
      <c r="C26" s="693" t="s">
        <v>481</v>
      </c>
      <c r="D26" s="693" t="s">
        <v>415</v>
      </c>
      <c r="E26" s="693" t="s">
        <v>422</v>
      </c>
      <c r="F26" s="533">
        <f t="shared" si="0"/>
        <v>-0.10918284386658911</v>
      </c>
      <c r="G26" s="533">
        <f t="shared" si="1"/>
        <v>-2.118157319994364</v>
      </c>
      <c r="H26" s="694">
        <f t="shared" si="2"/>
        <v>1365968676.81868</v>
      </c>
      <c r="I26" s="779">
        <f t="shared" si="3"/>
        <v>0.69984486147918434</v>
      </c>
      <c r="J26" s="533">
        <f t="shared" si="4"/>
        <v>-0.16662289010419801</v>
      </c>
      <c r="K26" s="472">
        <f t="shared" si="6"/>
        <v>43</v>
      </c>
      <c r="L26" s="472">
        <f t="shared" si="7"/>
        <v>54</v>
      </c>
      <c r="M26" s="472">
        <f t="shared" si="8"/>
        <v>21</v>
      </c>
      <c r="N26" s="472">
        <f t="shared" si="9"/>
        <v>10</v>
      </c>
      <c r="O26" s="472">
        <f t="shared" si="10"/>
        <v>34</v>
      </c>
      <c r="P26" s="483">
        <f t="shared" si="11"/>
        <v>41</v>
      </c>
      <c r="Q26" s="483">
        <f t="shared" si="12"/>
        <v>27</v>
      </c>
      <c r="R26" s="483">
        <f t="shared" si="13"/>
        <v>10</v>
      </c>
      <c r="S26" s="483">
        <f t="shared" si="14"/>
        <v>35</v>
      </c>
      <c r="T26" s="483">
        <f t="shared" si="15"/>
        <v>32</v>
      </c>
      <c r="U26" s="483">
        <f t="shared" si="16"/>
        <v>145</v>
      </c>
      <c r="V26" s="483">
        <f t="shared" si="22"/>
        <v>39</v>
      </c>
      <c r="W26" s="483">
        <f t="shared" si="17"/>
        <v>39</v>
      </c>
      <c r="Y26" s="483" t="str">
        <f t="shared" si="23"/>
        <v/>
      </c>
      <c r="Z26" s="485" t="str">
        <f t="shared" si="24"/>
        <v/>
      </c>
      <c r="AA26" s="472"/>
      <c r="AB26" s="483"/>
      <c r="AS26" s="696">
        <v>-199480108.68000001</v>
      </c>
      <c r="AT26" s="696">
        <v>1827027961.6800001</v>
      </c>
      <c r="AU26" s="696">
        <v>353031913.38</v>
      </c>
      <c r="AV26" s="696">
        <v>-166669354.56</v>
      </c>
      <c r="AW26" s="696">
        <v>1000278859.98</v>
      </c>
      <c r="AX26" s="696">
        <v>1365968676.81868</v>
      </c>
      <c r="AY26" s="693">
        <v>0.39154383349999999</v>
      </c>
      <c r="AZ26" s="693">
        <v>0.23034092249999999</v>
      </c>
    </row>
    <row r="27" spans="1:52" ht="14.45">
      <c r="A27" s="480"/>
      <c r="B27" s="693" t="s">
        <v>482</v>
      </c>
      <c r="C27" s="693" t="s">
        <v>483</v>
      </c>
      <c r="D27" s="693" t="s">
        <v>415</v>
      </c>
      <c r="E27" s="693" t="s">
        <v>416</v>
      </c>
      <c r="F27" s="533">
        <f t="shared" si="0"/>
        <v>-1.8451365187713311E-2</v>
      </c>
      <c r="G27" s="533">
        <f t="shared" si="1"/>
        <v>8.7929292929292924</v>
      </c>
      <c r="H27" s="694">
        <f t="shared" si="2"/>
        <v>13361312775.6</v>
      </c>
      <c r="I27" s="779">
        <f t="shared" si="3"/>
        <v>-0.53175067652765862</v>
      </c>
      <c r="J27" s="533">
        <f t="shared" si="4"/>
        <v>2.665230852066227E-2</v>
      </c>
      <c r="K27" s="472">
        <f t="shared" si="6"/>
        <v>31</v>
      </c>
      <c r="L27" s="472">
        <f t="shared" si="7"/>
        <v>3</v>
      </c>
      <c r="M27" s="472">
        <f t="shared" si="8"/>
        <v>10</v>
      </c>
      <c r="N27" s="472">
        <f t="shared" si="9"/>
        <v>38</v>
      </c>
      <c r="O27" s="472">
        <f t="shared" si="10"/>
        <v>29</v>
      </c>
      <c r="P27" s="483">
        <f t="shared" si="11"/>
        <v>29</v>
      </c>
      <c r="Q27" s="483">
        <f t="shared" si="12"/>
        <v>24</v>
      </c>
      <c r="R27" s="483">
        <f t="shared" si="13"/>
        <v>1</v>
      </c>
      <c r="S27" s="483">
        <f t="shared" si="14"/>
        <v>7</v>
      </c>
      <c r="T27" s="483">
        <f t="shared" si="15"/>
        <v>27</v>
      </c>
      <c r="U27" s="483">
        <f t="shared" si="16"/>
        <v>88</v>
      </c>
      <c r="V27" s="483">
        <f t="shared" si="22"/>
        <v>21</v>
      </c>
      <c r="W27" s="483">
        <f t="shared" si="17"/>
        <v>21</v>
      </c>
      <c r="Y27" s="483" t="str">
        <f t="shared" si="23"/>
        <v/>
      </c>
      <c r="Z27" s="485" t="str">
        <f t="shared" si="24"/>
        <v/>
      </c>
      <c r="AA27" s="472"/>
      <c r="AB27" s="483"/>
      <c r="AS27" s="696">
        <v>-259525950</v>
      </c>
      <c r="AT27" s="696">
        <v>14065406400</v>
      </c>
      <c r="AU27" s="696">
        <v>2611761150</v>
      </c>
      <c r="AV27" s="696">
        <v>297029700</v>
      </c>
      <c r="AW27" s="696">
        <v>11144614350</v>
      </c>
      <c r="AX27" s="696">
        <v>13361312775.6</v>
      </c>
      <c r="AY27" s="693">
        <v>0.13638219700000001</v>
      </c>
      <c r="AZ27" s="693">
        <v>0.2912597844</v>
      </c>
    </row>
    <row r="28" spans="1:52" ht="14.45">
      <c r="A28" s="480"/>
      <c r="B28" s="693" t="s">
        <v>484</v>
      </c>
      <c r="C28" s="693" t="s">
        <v>485</v>
      </c>
      <c r="D28" s="693" t="s">
        <v>415</v>
      </c>
      <c r="E28" s="693" t="s">
        <v>422</v>
      </c>
      <c r="F28" s="533">
        <f t="shared" si="0"/>
        <v>3.1585068505728363E-2</v>
      </c>
      <c r="G28" s="533">
        <f t="shared" si="1"/>
        <v>0.84267952296371473</v>
      </c>
      <c r="H28" s="694">
        <f t="shared" si="2"/>
        <v>93867702.715982601</v>
      </c>
      <c r="I28" s="779">
        <f t="shared" si="3"/>
        <v>-0.61143312282929396</v>
      </c>
      <c r="J28" s="533">
        <f t="shared" si="4"/>
        <v>0.17837825604815899</v>
      </c>
      <c r="K28" s="472">
        <f t="shared" si="6"/>
        <v>27</v>
      </c>
      <c r="L28" s="472">
        <f t="shared" si="7"/>
        <v>23</v>
      </c>
      <c r="M28" s="472">
        <f t="shared" si="8"/>
        <v>44</v>
      </c>
      <c r="N28" s="472">
        <f t="shared" si="9"/>
        <v>40</v>
      </c>
      <c r="O28" s="472">
        <f t="shared" si="10"/>
        <v>16</v>
      </c>
      <c r="P28" s="483">
        <f t="shared" si="11"/>
        <v>25</v>
      </c>
      <c r="Q28" s="483">
        <f t="shared" si="12"/>
        <v>4</v>
      </c>
      <c r="R28" s="483">
        <f t="shared" si="13"/>
        <v>33</v>
      </c>
      <c r="S28" s="483">
        <f t="shared" si="14"/>
        <v>5</v>
      </c>
      <c r="T28" s="483">
        <f t="shared" si="15"/>
        <v>14</v>
      </c>
      <c r="U28" s="483">
        <f t="shared" si="16"/>
        <v>81</v>
      </c>
      <c r="V28" s="483">
        <f t="shared" si="22"/>
        <v>19</v>
      </c>
      <c r="W28" s="483">
        <f t="shared" si="17"/>
        <v>19</v>
      </c>
      <c r="Y28" s="483" t="str">
        <f t="shared" si="23"/>
        <v/>
      </c>
      <c r="Z28" s="485" t="str">
        <f t="shared" si="24"/>
        <v/>
      </c>
      <c r="AA28" s="472"/>
      <c r="AB28" s="483"/>
      <c r="AS28" s="696">
        <v>4544246.88</v>
      </c>
      <c r="AT28" s="696">
        <v>143873263.38</v>
      </c>
      <c r="AU28" s="696">
        <v>9748994.7599999998</v>
      </c>
      <c r="AV28" s="696">
        <v>11569041.960000001</v>
      </c>
      <c r="AW28" s="696">
        <v>64856794.859999999</v>
      </c>
      <c r="AX28" s="696">
        <v>93867702.715982601</v>
      </c>
      <c r="AY28" s="693">
        <v>1.66488144E-2</v>
      </c>
      <c r="AZ28" s="693">
        <v>4.2846715399999999E-2</v>
      </c>
    </row>
    <row r="29" spans="1:52" ht="14.45">
      <c r="A29" s="480"/>
      <c r="B29" s="693" t="s">
        <v>486</v>
      </c>
      <c r="C29" s="693" t="s">
        <v>487</v>
      </c>
      <c r="D29" s="693" t="s">
        <v>415</v>
      </c>
      <c r="E29" s="693" t="s">
        <v>434</v>
      </c>
      <c r="F29" s="533">
        <f t="shared" si="0"/>
        <v>8.3644465643314722E-2</v>
      </c>
      <c r="G29" s="533">
        <f t="shared" si="1"/>
        <v>4.5087431636182842</v>
      </c>
      <c r="H29" s="694">
        <f t="shared" si="2"/>
        <v>6625128769.8410797</v>
      </c>
      <c r="I29" s="779">
        <f t="shared" si="3"/>
        <v>6.5260736947288622E-2</v>
      </c>
      <c r="J29" s="533">
        <f t="shared" si="4"/>
        <v>0.11656151484387524</v>
      </c>
      <c r="K29" s="472">
        <f t="shared" si="6"/>
        <v>17</v>
      </c>
      <c r="L29" s="472">
        <f t="shared" si="7"/>
        <v>6</v>
      </c>
      <c r="M29" s="472">
        <f t="shared" si="8"/>
        <v>15</v>
      </c>
      <c r="N29" s="472">
        <f t="shared" si="9"/>
        <v>17</v>
      </c>
      <c r="O29" s="472">
        <f t="shared" si="10"/>
        <v>24</v>
      </c>
      <c r="P29" s="483">
        <f t="shared" si="11"/>
        <v>15</v>
      </c>
      <c r="Q29" s="483">
        <f t="shared" si="12"/>
        <v>21</v>
      </c>
      <c r="R29" s="483">
        <f t="shared" si="13"/>
        <v>4</v>
      </c>
      <c r="S29" s="483">
        <f t="shared" si="14"/>
        <v>28</v>
      </c>
      <c r="T29" s="483">
        <f t="shared" si="15"/>
        <v>22</v>
      </c>
      <c r="U29" s="483">
        <f t="shared" si="16"/>
        <v>90</v>
      </c>
      <c r="V29" s="483">
        <f t="shared" si="22"/>
        <v>23</v>
      </c>
      <c r="W29" s="483">
        <f t="shared" si="17"/>
        <v>23</v>
      </c>
      <c r="Y29" s="483" t="str">
        <f t="shared" si="23"/>
        <v/>
      </c>
      <c r="Z29" s="485" t="str">
        <f t="shared" si="24"/>
        <v/>
      </c>
      <c r="AA29" s="472"/>
      <c r="AB29" s="483"/>
      <c r="AS29" s="696">
        <v>452503363.98000002</v>
      </c>
      <c r="AT29" s="696">
        <v>5409842247.1800003</v>
      </c>
      <c r="AU29" s="696">
        <v>1876773961.4400001</v>
      </c>
      <c r="AV29" s="696">
        <v>416252133.54000002</v>
      </c>
      <c r="AW29" s="696">
        <v>3571094062.1999998</v>
      </c>
      <c r="AX29" s="696">
        <v>6625128769.8410797</v>
      </c>
      <c r="AY29" s="693">
        <v>0.20869781370000001</v>
      </c>
      <c r="AZ29" s="693">
        <v>0.19591242449999999</v>
      </c>
    </row>
    <row r="30" spans="1:52" ht="14.45">
      <c r="A30" s="480"/>
      <c r="B30" s="693" t="s">
        <v>488</v>
      </c>
      <c r="C30" s="693" t="s">
        <v>489</v>
      </c>
      <c r="D30" s="693" t="s">
        <v>415</v>
      </c>
      <c r="E30" s="693" t="s">
        <v>477</v>
      </c>
      <c r="F30" s="533">
        <f t="shared" si="0"/>
        <v>3.1385329884097528E-2</v>
      </c>
      <c r="G30" s="533">
        <f t="shared" si="1"/>
        <v>5.4528E-2</v>
      </c>
      <c r="H30" s="694">
        <f t="shared" si="2"/>
        <v>352633735.07867801</v>
      </c>
      <c r="I30" s="779">
        <f t="shared" si="3"/>
        <v>-0.2348853370396109</v>
      </c>
      <c r="J30" s="533">
        <f t="shared" si="4"/>
        <v>0.16552432810364737</v>
      </c>
      <c r="K30" s="472">
        <f t="shared" si="6"/>
        <v>28</v>
      </c>
      <c r="L30" s="472">
        <f t="shared" si="7"/>
        <v>29</v>
      </c>
      <c r="M30" s="472">
        <f t="shared" si="8"/>
        <v>31</v>
      </c>
      <c r="N30" s="472">
        <f t="shared" si="9"/>
        <v>30</v>
      </c>
      <c r="O30" s="472">
        <f t="shared" si="10"/>
        <v>17</v>
      </c>
      <c r="P30" s="483">
        <f t="shared" ref="P30:P42" si="25">IFERROR(ABS(K$3-K30),"N/A")</f>
        <v>26</v>
      </c>
      <c r="Q30" s="483">
        <f t="shared" ref="Q30:Q42" si="26">IFERROR(ABS(L$3-L30),"N/A")</f>
        <v>2</v>
      </c>
      <c r="R30" s="483">
        <f t="shared" ref="R30:R42" si="27">IFERROR(ABS(M$3-M30),"N/A")</f>
        <v>20</v>
      </c>
      <c r="S30" s="483">
        <f t="shared" ref="S30:S42" si="28">IFERROR(ABS(N$3-N30),"N/A")</f>
        <v>15</v>
      </c>
      <c r="T30" s="483">
        <f t="shared" ref="T30:T42" si="29">IFERROR(ABS(O$3-O30),"N/A")</f>
        <v>15</v>
      </c>
      <c r="U30" s="483">
        <f t="shared" ref="U30:U42" si="30">SUM(P30:T30)</f>
        <v>78</v>
      </c>
      <c r="V30" s="483">
        <f t="shared" si="22"/>
        <v>16</v>
      </c>
      <c r="W30" s="483">
        <f t="shared" si="17"/>
        <v>16</v>
      </c>
      <c r="Y30" s="483" t="str">
        <f t="shared" si="23"/>
        <v/>
      </c>
      <c r="Z30" s="485" t="str">
        <f t="shared" si="24"/>
        <v/>
      </c>
      <c r="AA30" s="472"/>
      <c r="AB30" s="483"/>
      <c r="AS30" s="696">
        <v>11307777.119999999</v>
      </c>
      <c r="AT30" s="696">
        <v>360288617.69999999</v>
      </c>
      <c r="AU30" s="696">
        <v>1250548.56</v>
      </c>
      <c r="AV30" s="696">
        <v>22934062.5</v>
      </c>
      <c r="AW30" s="696">
        <v>138554028.66</v>
      </c>
      <c r="AX30" s="696">
        <v>352633735.07867801</v>
      </c>
      <c r="AY30" s="693">
        <v>0.13740479999999999</v>
      </c>
      <c r="AZ30" s="693">
        <v>0.1795872</v>
      </c>
    </row>
    <row r="31" spans="1:52" ht="14.45">
      <c r="A31" s="480"/>
      <c r="B31" s="693" t="s">
        <v>490</v>
      </c>
      <c r="C31" s="693" t="s">
        <v>491</v>
      </c>
      <c r="D31" s="693" t="s">
        <v>415</v>
      </c>
      <c r="E31" s="693" t="s">
        <v>422</v>
      </c>
      <c r="F31" s="533">
        <f t="shared" si="0"/>
        <v>6.3541394351540118E-2</v>
      </c>
      <c r="G31" s="533">
        <f t="shared" si="1"/>
        <v>2.3415255292358168</v>
      </c>
      <c r="H31" s="694">
        <f t="shared" si="2"/>
        <v>9460102300.7017002</v>
      </c>
      <c r="I31" s="779">
        <f>(AY31/AZ31)-1</f>
        <v>1.1027128142699016E-2</v>
      </c>
      <c r="J31" s="533">
        <f t="shared" si="4"/>
        <v>0.18706739263289132</v>
      </c>
      <c r="K31" s="472">
        <f t="shared" si="6"/>
        <v>22</v>
      </c>
      <c r="L31" s="472">
        <f t="shared" si="7"/>
        <v>14</v>
      </c>
      <c r="M31" s="472">
        <f t="shared" si="8"/>
        <v>12</v>
      </c>
      <c r="N31" s="472">
        <f t="shared" si="9"/>
        <v>22</v>
      </c>
      <c r="O31" s="472">
        <f t="shared" si="10"/>
        <v>14</v>
      </c>
      <c r="P31" s="483">
        <f t="shared" si="25"/>
        <v>20</v>
      </c>
      <c r="Q31" s="483">
        <f t="shared" si="26"/>
        <v>13</v>
      </c>
      <c r="R31" s="483">
        <f t="shared" si="27"/>
        <v>1</v>
      </c>
      <c r="S31" s="483">
        <f t="shared" si="28"/>
        <v>23</v>
      </c>
      <c r="T31" s="483">
        <f t="shared" si="29"/>
        <v>12</v>
      </c>
      <c r="U31" s="483">
        <f t="shared" si="30"/>
        <v>69</v>
      </c>
      <c r="V31" s="483">
        <f t="shared" si="22"/>
        <v>14</v>
      </c>
      <c r="W31" s="483">
        <f t="shared" si="17"/>
        <v>14</v>
      </c>
      <c r="Y31" s="483" t="str">
        <f t="shared" si="23"/>
        <v/>
      </c>
      <c r="Z31" s="485" t="str">
        <f t="shared" si="24"/>
        <v/>
      </c>
      <c r="AA31" s="472"/>
      <c r="AB31" s="483"/>
      <c r="AS31" s="696">
        <v>462921089.06999999</v>
      </c>
      <c r="AT31" s="696">
        <v>7285346722.3100004</v>
      </c>
      <c r="AU31" s="696">
        <v>2181805041.4400001</v>
      </c>
      <c r="AV31" s="696">
        <v>931787851.21000004</v>
      </c>
      <c r="AW31" s="696">
        <v>4981027629.1099997</v>
      </c>
      <c r="AX31" s="696">
        <v>9460102300.7017002</v>
      </c>
      <c r="AY31" s="693">
        <v>0.69291874959999999</v>
      </c>
      <c r="AZ31" s="693">
        <v>0.68536118400000001</v>
      </c>
    </row>
    <row r="32" spans="1:52" ht="14.45">
      <c r="A32" s="480"/>
      <c r="B32" s="693" t="s">
        <v>492</v>
      </c>
      <c r="C32" s="693" t="s">
        <v>493</v>
      </c>
      <c r="D32" s="693" t="s">
        <v>415</v>
      </c>
      <c r="E32" s="693" t="s">
        <v>422</v>
      </c>
      <c r="F32" s="533">
        <f t="shared" si="0"/>
        <v>8.6482881280569412E-2</v>
      </c>
      <c r="G32" s="533">
        <f t="shared" si="1"/>
        <v>2.5382151029748288</v>
      </c>
      <c r="H32" s="694">
        <f t="shared" si="2"/>
        <v>31090269602.133701</v>
      </c>
      <c r="I32" s="779">
        <f t="shared" si="3"/>
        <v>-0.12085815282256007</v>
      </c>
      <c r="J32" s="533">
        <f t="shared" si="4"/>
        <v>0.29111984544667174</v>
      </c>
      <c r="K32" s="472">
        <f t="shared" si="6"/>
        <v>16</v>
      </c>
      <c r="L32" s="472">
        <f t="shared" si="7"/>
        <v>11</v>
      </c>
      <c r="M32" s="472">
        <f t="shared" si="8"/>
        <v>7</v>
      </c>
      <c r="N32" s="472">
        <f t="shared" si="9"/>
        <v>27</v>
      </c>
      <c r="O32" s="472">
        <f t="shared" si="10"/>
        <v>9</v>
      </c>
      <c r="P32" s="483">
        <f t="shared" si="25"/>
        <v>14</v>
      </c>
      <c r="Q32" s="483">
        <f t="shared" si="26"/>
        <v>16</v>
      </c>
      <c r="R32" s="483">
        <f t="shared" si="27"/>
        <v>4</v>
      </c>
      <c r="S32" s="483">
        <f t="shared" si="28"/>
        <v>18</v>
      </c>
      <c r="T32" s="483">
        <f t="shared" si="29"/>
        <v>7</v>
      </c>
      <c r="U32" s="483">
        <f t="shared" si="30"/>
        <v>59</v>
      </c>
      <c r="V32" s="483">
        <f t="shared" si="22"/>
        <v>9</v>
      </c>
      <c r="W32" s="483">
        <f t="shared" si="17"/>
        <v>9</v>
      </c>
      <c r="Y32" s="483" t="str">
        <f t="shared" si="23"/>
        <v/>
      </c>
      <c r="Z32" s="485" t="str">
        <f t="shared" si="24"/>
        <v/>
      </c>
      <c r="AA32" s="472"/>
      <c r="AB32" s="483"/>
      <c r="AS32" s="696">
        <v>2587629762.1744099</v>
      </c>
      <c r="AT32" s="696">
        <v>29920716375.990898</v>
      </c>
      <c r="AU32" s="696">
        <v>12297339041.1476</v>
      </c>
      <c r="AV32" s="696">
        <v>4844876632.6915798</v>
      </c>
      <c r="AW32" s="696">
        <v>16642206666.6667</v>
      </c>
      <c r="AX32" s="696">
        <v>31090269602.133701</v>
      </c>
      <c r="AY32" s="693">
        <v>5.2905202484325402</v>
      </c>
      <c r="AZ32" s="693">
        <v>6.0178232505007099</v>
      </c>
    </row>
    <row r="33" spans="1:52" ht="14.45">
      <c r="A33" s="480"/>
      <c r="B33" s="693" t="s">
        <v>494</v>
      </c>
      <c r="C33" s="693" t="s">
        <v>495</v>
      </c>
      <c r="D33" s="693" t="s">
        <v>415</v>
      </c>
      <c r="E33" s="693" t="s">
        <v>477</v>
      </c>
      <c r="F33" s="533">
        <f t="shared" si="0"/>
        <v>0.18233613014326017</v>
      </c>
      <c r="G33" s="533">
        <f t="shared" si="1"/>
        <v>0.96822505565674966</v>
      </c>
      <c r="H33" s="694">
        <f t="shared" si="2"/>
        <v>170345851833.11301</v>
      </c>
      <c r="I33" s="779">
        <f t="shared" si="3"/>
        <v>9.451994113342832E-2</v>
      </c>
      <c r="J33" s="533">
        <f t="shared" si="4"/>
        <v>0.27429174145556151</v>
      </c>
      <c r="K33" s="472">
        <f t="shared" si="6"/>
        <v>9</v>
      </c>
      <c r="L33" s="472">
        <f t="shared" si="7"/>
        <v>21</v>
      </c>
      <c r="M33" s="472">
        <f t="shared" si="8"/>
        <v>2</v>
      </c>
      <c r="N33" s="472">
        <f t="shared" si="9"/>
        <v>16</v>
      </c>
      <c r="O33" s="472">
        <f t="shared" si="10"/>
        <v>10</v>
      </c>
      <c r="P33" s="483">
        <f t="shared" si="25"/>
        <v>7</v>
      </c>
      <c r="Q33" s="483">
        <f t="shared" si="26"/>
        <v>6</v>
      </c>
      <c r="R33" s="483">
        <f t="shared" si="27"/>
        <v>9</v>
      </c>
      <c r="S33" s="483">
        <f t="shared" si="28"/>
        <v>29</v>
      </c>
      <c r="T33" s="483">
        <f t="shared" si="29"/>
        <v>8</v>
      </c>
      <c r="U33" s="483">
        <f t="shared" si="30"/>
        <v>59</v>
      </c>
      <c r="V33" s="483">
        <f t="shared" si="22"/>
        <v>9</v>
      </c>
      <c r="W33" s="483">
        <f t="shared" si="17"/>
        <v>9</v>
      </c>
      <c r="Y33" s="483" t="str">
        <f t="shared" si="23"/>
        <v/>
      </c>
      <c r="Z33" s="485" t="str">
        <f t="shared" si="24"/>
        <v/>
      </c>
      <c r="AA33" s="472"/>
      <c r="AB33" s="483"/>
      <c r="AS33" s="696">
        <v>14615283790</v>
      </c>
      <c r="AT33" s="696">
        <v>80155719980</v>
      </c>
      <c r="AU33" s="696">
        <v>21074907360</v>
      </c>
      <c r="AV33" s="696">
        <v>21766537890</v>
      </c>
      <c r="AW33" s="696">
        <v>79355425630</v>
      </c>
      <c r="AX33" s="696">
        <v>170345851833.11301</v>
      </c>
      <c r="AY33" s="693">
        <v>12.1400335656</v>
      </c>
      <c r="AZ33" s="693">
        <v>11.0916513344</v>
      </c>
    </row>
    <row r="34" spans="1:52" ht="14.45">
      <c r="A34" s="480"/>
      <c r="B34" s="693" t="s">
        <v>496</v>
      </c>
      <c r="C34" s="693" t="s">
        <v>497</v>
      </c>
      <c r="D34" s="693" t="s">
        <v>415</v>
      </c>
      <c r="E34" s="693" t="s">
        <v>498</v>
      </c>
      <c r="F34" s="533">
        <f t="shared" si="0"/>
        <v>5.8164536190664799E-2</v>
      </c>
      <c r="G34" s="533">
        <f t="shared" si="1"/>
        <v>3.5132474139202947</v>
      </c>
      <c r="H34" s="694">
        <f t="shared" si="2"/>
        <v>458243891.17467898</v>
      </c>
      <c r="I34" s="779">
        <f t="shared" si="3"/>
        <v>4.5454545454478579E-2</v>
      </c>
      <c r="J34" s="533">
        <f t="shared" si="4"/>
        <v>0.23126215235938222</v>
      </c>
      <c r="K34" s="472">
        <f t="shared" si="6"/>
        <v>23</v>
      </c>
      <c r="L34" s="472">
        <f t="shared" si="7"/>
        <v>9</v>
      </c>
      <c r="M34" s="472">
        <f t="shared" si="8"/>
        <v>27</v>
      </c>
      <c r="N34" s="472">
        <f t="shared" si="9"/>
        <v>19</v>
      </c>
      <c r="O34" s="472">
        <f t="shared" si="10"/>
        <v>12</v>
      </c>
      <c r="P34" s="483">
        <f t="shared" si="25"/>
        <v>21</v>
      </c>
      <c r="Q34" s="483">
        <f t="shared" si="26"/>
        <v>18</v>
      </c>
      <c r="R34" s="483">
        <f t="shared" si="27"/>
        <v>16</v>
      </c>
      <c r="S34" s="483">
        <f t="shared" si="28"/>
        <v>26</v>
      </c>
      <c r="T34" s="483">
        <f t="shared" si="29"/>
        <v>10</v>
      </c>
      <c r="U34" s="483">
        <f t="shared" si="30"/>
        <v>91</v>
      </c>
      <c r="V34" s="483">
        <f t="shared" si="22"/>
        <v>24</v>
      </c>
      <c r="W34" s="483">
        <f t="shared" si="17"/>
        <v>24</v>
      </c>
      <c r="Y34" s="483" t="str">
        <f t="shared" si="23"/>
        <v/>
      </c>
      <c r="Z34" s="485" t="str">
        <f t="shared" si="24"/>
        <v/>
      </c>
      <c r="AA34" s="472"/>
      <c r="AB34" s="483"/>
      <c r="AS34" s="696">
        <v>47340004.870486803</v>
      </c>
      <c r="AT34" s="696">
        <v>813898089.29800606</v>
      </c>
      <c r="AU34" s="696">
        <v>198398296.02443001</v>
      </c>
      <c r="AV34" s="696">
        <v>56471484.256511599</v>
      </c>
      <c r="AW34" s="696">
        <v>244188180.730735</v>
      </c>
      <c r="AX34" s="696">
        <v>458243891.17467898</v>
      </c>
      <c r="AY34" s="693">
        <v>4.9725784349080003E-3</v>
      </c>
      <c r="AZ34" s="693">
        <v>4.756379372521E-3</v>
      </c>
    </row>
    <row r="35" spans="1:52" ht="14.45">
      <c r="A35" s="480"/>
      <c r="B35" s="693" t="s">
        <v>499</v>
      </c>
      <c r="C35" s="693" t="s">
        <v>500</v>
      </c>
      <c r="D35" s="693" t="s">
        <v>415</v>
      </c>
      <c r="E35" s="693" t="s">
        <v>416</v>
      </c>
      <c r="F35" s="533">
        <f t="shared" ref="F35:F64" si="31">AS35/AT35</f>
        <v>0.18233613014326017</v>
      </c>
      <c r="G35" s="533">
        <f t="shared" ref="G35:G64" si="32">AU35/AV35</f>
        <v>0.96822505565674966</v>
      </c>
      <c r="H35" s="694">
        <f t="shared" ref="H35:H64" si="33">AX35</f>
        <v>170345851833.11301</v>
      </c>
      <c r="I35" s="779">
        <f t="shared" ref="I35:I64" si="34">(AY35/AZ35)-1</f>
        <v>0.11449035241683081</v>
      </c>
      <c r="J35" s="533">
        <f t="shared" ref="J35:J64" si="35">AV35/AW35</f>
        <v>0.27429174145556151</v>
      </c>
      <c r="K35" s="472">
        <f t="shared" si="6"/>
        <v>9</v>
      </c>
      <c r="L35" s="472">
        <f t="shared" si="7"/>
        <v>21</v>
      </c>
      <c r="M35" s="472">
        <f t="shared" si="8"/>
        <v>2</v>
      </c>
      <c r="N35" s="472">
        <f t="shared" si="9"/>
        <v>15</v>
      </c>
      <c r="O35" s="472">
        <f t="shared" si="10"/>
        <v>10</v>
      </c>
      <c r="P35" s="483">
        <f t="shared" si="25"/>
        <v>7</v>
      </c>
      <c r="Q35" s="483">
        <f t="shared" si="26"/>
        <v>6</v>
      </c>
      <c r="R35" s="483">
        <f t="shared" si="27"/>
        <v>9</v>
      </c>
      <c r="S35" s="483">
        <f t="shared" si="28"/>
        <v>30</v>
      </c>
      <c r="T35" s="483">
        <f t="shared" si="29"/>
        <v>8</v>
      </c>
      <c r="U35" s="483">
        <f t="shared" si="30"/>
        <v>60</v>
      </c>
      <c r="V35" s="483">
        <f t="shared" si="22"/>
        <v>11</v>
      </c>
      <c r="W35" s="483">
        <f t="shared" si="17"/>
        <v>11</v>
      </c>
      <c r="Y35" s="483" t="str">
        <f t="shared" si="23"/>
        <v/>
      </c>
      <c r="Z35" s="485" t="str">
        <f t="shared" si="24"/>
        <v/>
      </c>
      <c r="AA35" s="472"/>
      <c r="AB35" s="483"/>
      <c r="AS35" s="696">
        <v>14615283790</v>
      </c>
      <c r="AT35" s="696">
        <v>80155719980</v>
      </c>
      <c r="AU35" s="696">
        <v>21074907360</v>
      </c>
      <c r="AV35" s="696">
        <v>21766537890</v>
      </c>
      <c r="AW35" s="696">
        <v>79355425630</v>
      </c>
      <c r="AX35" s="696">
        <v>170345851833.11301</v>
      </c>
      <c r="AY35" s="693">
        <v>12.428439712499999</v>
      </c>
      <c r="AZ35" s="693">
        <v>11.1516799455</v>
      </c>
    </row>
    <row r="36" spans="1:52" ht="14.45">
      <c r="A36" s="480"/>
      <c r="B36" s="693" t="s">
        <v>501</v>
      </c>
      <c r="C36" s="693" t="s">
        <v>502</v>
      </c>
      <c r="D36" s="693" t="s">
        <v>415</v>
      </c>
      <c r="E36" s="693" t="s">
        <v>422</v>
      </c>
      <c r="F36" s="533">
        <f t="shared" si="31"/>
        <v>0.16239882200705011</v>
      </c>
      <c r="G36" s="533">
        <f t="shared" si="32"/>
        <v>6.7138036316888972E-2</v>
      </c>
      <c r="H36" s="694">
        <f t="shared" si="33"/>
        <v>1936776265.50248</v>
      </c>
      <c r="I36" s="779">
        <f t="shared" si="34"/>
        <v>-8.7244598167406373E-2</v>
      </c>
      <c r="J36" s="533">
        <f t="shared" si="35"/>
        <v>0.35895641339688628</v>
      </c>
      <c r="K36" s="472">
        <f t="shared" si="6"/>
        <v>11</v>
      </c>
      <c r="L36" s="472">
        <f t="shared" si="7"/>
        <v>28</v>
      </c>
      <c r="M36" s="472">
        <f t="shared" si="8"/>
        <v>18</v>
      </c>
      <c r="N36" s="472">
        <f t="shared" si="9"/>
        <v>26</v>
      </c>
      <c r="O36" s="472">
        <f t="shared" si="10"/>
        <v>8</v>
      </c>
      <c r="P36" s="483">
        <f t="shared" si="25"/>
        <v>9</v>
      </c>
      <c r="Q36" s="483">
        <f t="shared" si="26"/>
        <v>1</v>
      </c>
      <c r="R36" s="483">
        <f t="shared" si="27"/>
        <v>7</v>
      </c>
      <c r="S36" s="483">
        <f t="shared" si="28"/>
        <v>19</v>
      </c>
      <c r="T36" s="483">
        <f t="shared" si="29"/>
        <v>6</v>
      </c>
      <c r="U36" s="483">
        <f t="shared" si="30"/>
        <v>42</v>
      </c>
      <c r="V36" s="483">
        <f t="shared" si="22"/>
        <v>3</v>
      </c>
      <c r="W36" s="483">
        <f t="shared" ref="W36:W64" si="36">IF(Y36="Not suitable","-",V36)</f>
        <v>3</v>
      </c>
      <c r="Y36" s="483" t="str">
        <f t="shared" si="23"/>
        <v/>
      </c>
      <c r="Z36" s="485" t="str">
        <f t="shared" si="24"/>
        <v/>
      </c>
      <c r="AA36" s="472"/>
      <c r="AB36" s="483"/>
      <c r="AS36" s="696">
        <v>267219017.68000001</v>
      </c>
      <c r="AT36" s="696">
        <v>1645449236.5</v>
      </c>
      <c r="AU36" s="696">
        <v>18405301.620000001</v>
      </c>
      <c r="AV36" s="696">
        <v>274141196.69999999</v>
      </c>
      <c r="AW36" s="696">
        <v>763717227.13</v>
      </c>
      <c r="AX36" s="696">
        <v>1936776265.50248</v>
      </c>
      <c r="AY36" s="693">
        <v>1.4423809877</v>
      </c>
      <c r="AZ36" s="693">
        <v>1.5802491936</v>
      </c>
    </row>
    <row r="37" spans="1:52" ht="14.45">
      <c r="A37" s="480"/>
      <c r="B37" s="693" t="s">
        <v>503</v>
      </c>
      <c r="C37" s="693" t="s">
        <v>504</v>
      </c>
      <c r="D37" s="693" t="s">
        <v>415</v>
      </c>
      <c r="E37" s="693" t="s">
        <v>505</v>
      </c>
      <c r="F37" s="533">
        <f t="shared" si="31"/>
        <v>6.4638625711704797E-2</v>
      </c>
      <c r="G37" s="533">
        <f t="shared" si="32"/>
        <v>12.72792798185645</v>
      </c>
      <c r="H37" s="694">
        <f t="shared" si="33"/>
        <v>5369570497.5100603</v>
      </c>
      <c r="I37" s="779">
        <f t="shared" si="34"/>
        <v>-1.1155456277093028</v>
      </c>
      <c r="J37" s="533">
        <f t="shared" si="35"/>
        <v>0.12751689602806829</v>
      </c>
      <c r="K37" s="472">
        <f t="shared" si="6"/>
        <v>21</v>
      </c>
      <c r="L37" s="472">
        <f t="shared" si="7"/>
        <v>2</v>
      </c>
      <c r="M37" s="472">
        <f t="shared" si="8"/>
        <v>16</v>
      </c>
      <c r="N37" s="472">
        <f t="shared" si="9"/>
        <v>57</v>
      </c>
      <c r="O37" s="472">
        <f t="shared" si="10"/>
        <v>22</v>
      </c>
      <c r="P37" s="483">
        <f t="shared" si="25"/>
        <v>19</v>
      </c>
      <c r="Q37" s="483">
        <f t="shared" si="26"/>
        <v>25</v>
      </c>
      <c r="R37" s="483">
        <f t="shared" si="27"/>
        <v>5</v>
      </c>
      <c r="S37" s="483">
        <f t="shared" si="28"/>
        <v>12</v>
      </c>
      <c r="T37" s="483">
        <f t="shared" si="29"/>
        <v>20</v>
      </c>
      <c r="U37" s="483">
        <f t="shared" si="30"/>
        <v>81</v>
      </c>
      <c r="V37" s="483">
        <f t="shared" si="22"/>
        <v>19</v>
      </c>
      <c r="W37" s="483">
        <f t="shared" si="36"/>
        <v>19</v>
      </c>
      <c r="Y37" s="483" t="str">
        <f t="shared" si="23"/>
        <v/>
      </c>
      <c r="Z37" s="485" t="str">
        <f t="shared" si="24"/>
        <v/>
      </c>
      <c r="AA37" s="472"/>
      <c r="AB37" s="483"/>
      <c r="AS37" s="696">
        <v>95177915.221799999</v>
      </c>
      <c r="AT37" s="696">
        <v>1472461924.6440001</v>
      </c>
      <c r="AU37" s="696">
        <v>2072264820.2135999</v>
      </c>
      <c r="AV37" s="696">
        <v>162812425.02059999</v>
      </c>
      <c r="AW37" s="696">
        <v>1276790998.6199999</v>
      </c>
      <c r="AX37" s="696">
        <v>5369570497.5100603</v>
      </c>
      <c r="AY37" s="693">
        <v>-7.0121940000000002E-4</v>
      </c>
      <c r="AZ37" s="693">
        <v>6.0687661999999998E-3</v>
      </c>
    </row>
    <row r="38" spans="1:52" ht="14.45">
      <c r="A38" s="480"/>
      <c r="B38" s="693" t="s">
        <v>506</v>
      </c>
      <c r="C38" s="693" t="s">
        <v>507</v>
      </c>
      <c r="D38" s="693" t="s">
        <v>415</v>
      </c>
      <c r="E38" s="693" t="s">
        <v>416</v>
      </c>
      <c r="F38" s="533">
        <f t="shared" si="31"/>
        <v>0.32191657677094571</v>
      </c>
      <c r="G38" s="533">
        <f t="shared" si="32"/>
        <v>0.97440258154543868</v>
      </c>
      <c r="H38" s="694">
        <f t="shared" si="33"/>
        <v>224190360779.01001</v>
      </c>
      <c r="I38" s="779">
        <f t="shared" si="34"/>
        <v>2.7713231908457869E-2</v>
      </c>
      <c r="J38" s="533">
        <f t="shared" si="35"/>
        <v>0.42611070851218019</v>
      </c>
      <c r="K38" s="472">
        <f t="shared" si="6"/>
        <v>6</v>
      </c>
      <c r="L38" s="472">
        <f t="shared" si="7"/>
        <v>20</v>
      </c>
      <c r="M38" s="472">
        <f t="shared" si="8"/>
        <v>1</v>
      </c>
      <c r="N38" s="472">
        <f t="shared" si="9"/>
        <v>20</v>
      </c>
      <c r="O38" s="472">
        <f t="shared" si="10"/>
        <v>5</v>
      </c>
      <c r="P38" s="483">
        <f t="shared" si="25"/>
        <v>4</v>
      </c>
      <c r="Q38" s="483">
        <f t="shared" si="26"/>
        <v>7</v>
      </c>
      <c r="R38" s="483">
        <f t="shared" si="27"/>
        <v>10</v>
      </c>
      <c r="S38" s="483">
        <f t="shared" si="28"/>
        <v>25</v>
      </c>
      <c r="T38" s="483">
        <f t="shared" si="29"/>
        <v>3</v>
      </c>
      <c r="U38" s="483">
        <f t="shared" si="30"/>
        <v>49</v>
      </c>
      <c r="V38" s="483">
        <f t="shared" si="22"/>
        <v>6</v>
      </c>
      <c r="W38" s="483">
        <f t="shared" si="36"/>
        <v>6</v>
      </c>
      <c r="Y38" s="483" t="str">
        <f t="shared" si="23"/>
        <v/>
      </c>
      <c r="Z38" s="485" t="str">
        <f t="shared" si="24"/>
        <v/>
      </c>
      <c r="AA38" s="472"/>
      <c r="AB38" s="483"/>
      <c r="AS38" s="696">
        <v>21488148600</v>
      </c>
      <c r="AT38" s="696">
        <v>66750674400</v>
      </c>
      <c r="AU38" s="696">
        <v>33520851750</v>
      </c>
      <c r="AV38" s="696">
        <v>34401439800</v>
      </c>
      <c r="AW38" s="696">
        <v>80733572550</v>
      </c>
      <c r="AX38" s="696">
        <v>224190360779.01001</v>
      </c>
      <c r="AY38" s="693">
        <v>4.3539608384999999</v>
      </c>
      <c r="AZ38" s="693">
        <v>4.2365522825999999</v>
      </c>
    </row>
    <row r="39" spans="1:52" ht="14.45">
      <c r="A39" s="480"/>
      <c r="B39" s="693" t="s">
        <v>432</v>
      </c>
      <c r="C39" s="693" t="s">
        <v>433</v>
      </c>
      <c r="D39" s="693" t="s">
        <v>415</v>
      </c>
      <c r="E39" s="693" t="s">
        <v>434</v>
      </c>
      <c r="F39" s="533">
        <f t="shared" si="31"/>
        <v>0.21043800150612776</v>
      </c>
      <c r="G39" s="533">
        <f t="shared" si="32"/>
        <v>1.5662498434658565</v>
      </c>
      <c r="H39" s="694">
        <f t="shared" si="33"/>
        <v>58344758378.441902</v>
      </c>
      <c r="I39" s="779">
        <f t="shared" si="34"/>
        <v>-5.7117464370220694E-2</v>
      </c>
      <c r="J39" s="533">
        <f t="shared" si="35"/>
        <v>0.4085599931931137</v>
      </c>
      <c r="K39" s="472">
        <f t="shared" si="6"/>
        <v>7</v>
      </c>
      <c r="L39" s="472">
        <f t="shared" si="7"/>
        <v>16</v>
      </c>
      <c r="M39" s="472">
        <f t="shared" si="8"/>
        <v>5</v>
      </c>
      <c r="N39" s="472">
        <f t="shared" si="9"/>
        <v>23</v>
      </c>
      <c r="O39" s="472">
        <f t="shared" si="10"/>
        <v>7</v>
      </c>
      <c r="P39" s="483">
        <f t="shared" si="25"/>
        <v>5</v>
      </c>
      <c r="Q39" s="483">
        <f t="shared" si="26"/>
        <v>11</v>
      </c>
      <c r="R39" s="483">
        <f t="shared" si="27"/>
        <v>6</v>
      </c>
      <c r="S39" s="483">
        <f t="shared" si="28"/>
        <v>22</v>
      </c>
      <c r="T39" s="483">
        <f t="shared" si="29"/>
        <v>5</v>
      </c>
      <c r="U39" s="483">
        <f t="shared" si="30"/>
        <v>49</v>
      </c>
      <c r="V39" s="483">
        <f t="shared" si="22"/>
        <v>6</v>
      </c>
      <c r="W39" s="483">
        <f t="shared" si="36"/>
        <v>6</v>
      </c>
      <c r="Y39" s="483" t="str">
        <f t="shared" si="23"/>
        <v/>
      </c>
      <c r="Z39" s="485" t="str">
        <f t="shared" si="24"/>
        <v/>
      </c>
      <c r="AA39" s="472"/>
      <c r="AB39" s="483"/>
      <c r="AS39" s="696">
        <v>5880195776.3000002</v>
      </c>
      <c r="AT39" s="696">
        <v>27942651679.900002</v>
      </c>
      <c r="AU39" s="696">
        <v>13517395947.77</v>
      </c>
      <c r="AV39" s="696">
        <v>8630421260.1599998</v>
      </c>
      <c r="AW39" s="696">
        <v>21123999911.759998</v>
      </c>
      <c r="AX39" s="696">
        <v>58344758378.441902</v>
      </c>
      <c r="AY39" s="693">
        <v>0.60256584960000004</v>
      </c>
      <c r="AZ39" s="693">
        <v>0.63906778080000004</v>
      </c>
    </row>
    <row r="40" spans="1:52" ht="14.45">
      <c r="A40" s="480"/>
      <c r="B40" s="693" t="s">
        <v>508</v>
      </c>
      <c r="C40" s="693" t="s">
        <v>509</v>
      </c>
      <c r="D40" s="693" t="s">
        <v>415</v>
      </c>
      <c r="E40" s="693" t="s">
        <v>477</v>
      </c>
      <c r="F40" s="533">
        <f t="shared" si="31"/>
        <v>0.18791947641400786</v>
      </c>
      <c r="G40" s="533">
        <f t="shared" si="32"/>
        <v>0.37920262614496741</v>
      </c>
      <c r="H40" s="694">
        <f t="shared" si="33"/>
        <v>374314784.65258801</v>
      </c>
      <c r="I40" s="779">
        <f t="shared" si="34"/>
        <v>-0.67302021243879928</v>
      </c>
      <c r="J40" s="533">
        <f t="shared" si="35"/>
        <v>0.7987735250581518</v>
      </c>
      <c r="K40" s="472">
        <f t="shared" si="6"/>
        <v>8</v>
      </c>
      <c r="L40" s="472">
        <f t="shared" si="7"/>
        <v>25</v>
      </c>
      <c r="M40" s="472">
        <f t="shared" si="8"/>
        <v>29</v>
      </c>
      <c r="N40" s="472">
        <f t="shared" si="9"/>
        <v>41</v>
      </c>
      <c r="O40" s="472">
        <f t="shared" si="10"/>
        <v>1</v>
      </c>
      <c r="P40" s="483">
        <f t="shared" si="25"/>
        <v>6</v>
      </c>
      <c r="Q40" s="483">
        <f t="shared" si="26"/>
        <v>2</v>
      </c>
      <c r="R40" s="483">
        <f t="shared" si="27"/>
        <v>18</v>
      </c>
      <c r="S40" s="483">
        <f t="shared" si="28"/>
        <v>4</v>
      </c>
      <c r="T40" s="483">
        <f t="shared" si="29"/>
        <v>1</v>
      </c>
      <c r="U40" s="483">
        <f t="shared" si="30"/>
        <v>31</v>
      </c>
      <c r="V40" s="483">
        <f t="shared" si="22"/>
        <v>2</v>
      </c>
      <c r="W40" s="483">
        <f t="shared" si="36"/>
        <v>2</v>
      </c>
      <c r="Y40" s="483" t="str">
        <f t="shared" si="23"/>
        <v/>
      </c>
      <c r="Z40" s="485" t="str">
        <f t="shared" si="24"/>
        <v/>
      </c>
      <c r="AA40" s="483"/>
      <c r="AB40" s="734" t="s">
        <v>510</v>
      </c>
      <c r="AS40" s="696">
        <v>138906295.86000001</v>
      </c>
      <c r="AT40" s="696">
        <v>739179879.12</v>
      </c>
      <c r="AU40" s="696">
        <v>63073442.159999996</v>
      </c>
      <c r="AV40" s="696">
        <v>166331765.16</v>
      </c>
      <c r="AW40" s="696">
        <v>208233948.59999999</v>
      </c>
      <c r="AX40" s="696">
        <v>374314784.65258801</v>
      </c>
      <c r="AY40" s="693">
        <v>0.18805058029999999</v>
      </c>
      <c r="AZ40" s="693">
        <v>0.57511377600000002</v>
      </c>
    </row>
    <row r="41" spans="1:52" ht="14.45">
      <c r="A41" s="480"/>
      <c r="B41" s="693" t="s">
        <v>511</v>
      </c>
      <c r="C41" s="693" t="s">
        <v>512</v>
      </c>
      <c r="D41" s="693" t="s">
        <v>415</v>
      </c>
      <c r="E41" s="693" t="s">
        <v>416</v>
      </c>
      <c r="F41" s="533">
        <f t="shared" si="31"/>
        <v>-6.1595824011931394E-2</v>
      </c>
      <c r="G41" s="533">
        <f t="shared" si="32"/>
        <v>-3.2411559730323458</v>
      </c>
      <c r="H41" s="694">
        <f t="shared" si="33"/>
        <v>468329068.88999999</v>
      </c>
      <c r="I41" s="779">
        <f t="shared" si="34"/>
        <v>1.3799491401620463</v>
      </c>
      <c r="J41" s="533">
        <f t="shared" si="35"/>
        <v>-0.24865323036353362</v>
      </c>
      <c r="K41" s="472">
        <f t="shared" si="6"/>
        <v>37</v>
      </c>
      <c r="L41" s="472">
        <f t="shared" si="7"/>
        <v>58</v>
      </c>
      <c r="M41" s="472">
        <f t="shared" si="8"/>
        <v>26</v>
      </c>
      <c r="N41" s="472">
        <f t="shared" si="9"/>
        <v>9</v>
      </c>
      <c r="O41" s="472">
        <f t="shared" si="10"/>
        <v>41</v>
      </c>
      <c r="P41" s="483">
        <f t="shared" si="25"/>
        <v>35</v>
      </c>
      <c r="Q41" s="483">
        <f t="shared" si="26"/>
        <v>31</v>
      </c>
      <c r="R41" s="483">
        <f t="shared" si="27"/>
        <v>15</v>
      </c>
      <c r="S41" s="483">
        <f t="shared" si="28"/>
        <v>36</v>
      </c>
      <c r="T41" s="483">
        <f t="shared" si="29"/>
        <v>39</v>
      </c>
      <c r="U41" s="483">
        <f t="shared" si="30"/>
        <v>156</v>
      </c>
      <c r="V41" s="483">
        <f t="shared" si="22"/>
        <v>48</v>
      </c>
      <c r="W41" s="483">
        <f t="shared" si="36"/>
        <v>48</v>
      </c>
      <c r="Y41" s="483" t="str">
        <f t="shared" si="23"/>
        <v/>
      </c>
      <c r="Z41" s="485" t="str">
        <f t="shared" si="24"/>
        <v/>
      </c>
      <c r="AA41" s="483"/>
      <c r="AB41" s="483"/>
      <c r="AS41" s="696">
        <v>-39402554.100000001</v>
      </c>
      <c r="AT41" s="696">
        <v>639695218.5</v>
      </c>
      <c r="AU41" s="696">
        <v>125602337.94</v>
      </c>
      <c r="AV41" s="696">
        <v>-38752327.560000002</v>
      </c>
      <c r="AW41" s="696">
        <v>155848880.40000001</v>
      </c>
      <c r="AX41" s="696">
        <v>468329068.88999999</v>
      </c>
      <c r="AY41" s="693">
        <v>-0.13968090480000001</v>
      </c>
      <c r="AZ41" s="693">
        <v>-5.869071E-2</v>
      </c>
    </row>
    <row r="42" spans="1:52" ht="14.45">
      <c r="A42" s="480"/>
      <c r="B42" s="693" t="s">
        <v>513</v>
      </c>
      <c r="C42" s="693" t="s">
        <v>514</v>
      </c>
      <c r="D42" s="693" t="s">
        <v>415</v>
      </c>
      <c r="E42" s="693" t="s">
        <v>467</v>
      </c>
      <c r="F42" s="533">
        <f t="shared" si="31"/>
        <v>0.79322610578409958</v>
      </c>
      <c r="G42" s="533">
        <f t="shared" si="32"/>
        <v>0.83276091680101261</v>
      </c>
      <c r="H42" s="694">
        <f t="shared" si="33"/>
        <v>24411842264.254101</v>
      </c>
      <c r="I42" s="779">
        <f t="shared" si="34"/>
        <v>-0.25640387156563105</v>
      </c>
      <c r="J42" s="533">
        <f t="shared" si="35"/>
        <v>0.41841163704616008</v>
      </c>
      <c r="K42" s="472">
        <f t="shared" si="6"/>
        <v>1</v>
      </c>
      <c r="L42" s="472">
        <f t="shared" si="7"/>
        <v>24</v>
      </c>
      <c r="M42" s="472">
        <f t="shared" si="8"/>
        <v>8</v>
      </c>
      <c r="N42" s="472">
        <f t="shared" si="9"/>
        <v>32</v>
      </c>
      <c r="O42" s="472">
        <f t="shared" si="10"/>
        <v>6</v>
      </c>
      <c r="P42" s="483">
        <f t="shared" si="25"/>
        <v>1</v>
      </c>
      <c r="Q42" s="483">
        <f t="shared" si="26"/>
        <v>3</v>
      </c>
      <c r="R42" s="483">
        <f t="shared" si="27"/>
        <v>3</v>
      </c>
      <c r="S42" s="483">
        <f t="shared" si="28"/>
        <v>13</v>
      </c>
      <c r="T42" s="483">
        <f t="shared" si="29"/>
        <v>4</v>
      </c>
      <c r="U42" s="483">
        <f t="shared" si="30"/>
        <v>24</v>
      </c>
      <c r="V42" s="483">
        <f t="shared" si="22"/>
        <v>1</v>
      </c>
      <c r="W42" s="483">
        <f t="shared" si="36"/>
        <v>1</v>
      </c>
      <c r="Y42" s="483" t="str">
        <f t="shared" si="23"/>
        <v/>
      </c>
      <c r="Z42" s="485" t="str">
        <f t="shared" si="24"/>
        <v/>
      </c>
      <c r="AA42" s="483"/>
      <c r="AB42" s="483"/>
      <c r="AS42" s="696">
        <v>1867677655.79357</v>
      </c>
      <c r="AT42" s="696">
        <v>2354533773.1256099</v>
      </c>
      <c r="AU42" s="696">
        <v>2163177834.71276</v>
      </c>
      <c r="AV42" s="696">
        <v>2597597691.0905499</v>
      </c>
      <c r="AW42" s="696">
        <v>6208234812.5608597</v>
      </c>
      <c r="AX42" s="696">
        <v>24411842264.254101</v>
      </c>
      <c r="AY42" s="693">
        <v>0.343415595470836</v>
      </c>
      <c r="AZ42" s="693">
        <v>0.46183080080566402</v>
      </c>
    </row>
    <row r="43" spans="1:52" ht="14.45">
      <c r="A43" s="480"/>
      <c r="B43" s="693" t="s">
        <v>515</v>
      </c>
      <c r="C43" s="693" t="s">
        <v>516</v>
      </c>
      <c r="D43" s="693" t="s">
        <v>415</v>
      </c>
      <c r="E43" s="693" t="s">
        <v>228</v>
      </c>
      <c r="F43" s="533">
        <f t="shared" si="31"/>
        <v>0.11401759883242486</v>
      </c>
      <c r="G43" s="533">
        <f t="shared" si="32"/>
        <v>1.4145771120205131</v>
      </c>
      <c r="H43" s="694">
        <f t="shared" si="33"/>
        <v>9139517280.7872391</v>
      </c>
      <c r="I43" s="779">
        <f t="shared" si="34"/>
        <v>0.15545733215698299</v>
      </c>
      <c r="J43" s="533">
        <f t="shared" si="35"/>
        <v>0.19259609712675257</v>
      </c>
      <c r="K43" s="472">
        <f t="shared" si="6"/>
        <v>14</v>
      </c>
      <c r="L43" s="472">
        <f t="shared" si="7"/>
        <v>17</v>
      </c>
      <c r="M43" s="472">
        <f t="shared" si="8"/>
        <v>13</v>
      </c>
      <c r="N43" s="472">
        <f t="shared" si="9"/>
        <v>14</v>
      </c>
      <c r="O43" s="472">
        <f t="shared" si="10"/>
        <v>13</v>
      </c>
      <c r="P43" s="483">
        <f t="shared" ref="P43:P56" si="37">IFERROR(ABS(K$3-K43),"N/A")</f>
        <v>12</v>
      </c>
      <c r="Q43" s="483">
        <f t="shared" ref="Q43:Q56" si="38">IFERROR(ABS(L$3-L43),"N/A")</f>
        <v>10</v>
      </c>
      <c r="R43" s="483">
        <f t="shared" ref="R43:R56" si="39">IFERROR(ABS(M$3-M43),"N/A")</f>
        <v>2</v>
      </c>
      <c r="S43" s="483">
        <f t="shared" ref="S43:S56" si="40">IFERROR(ABS(N$3-N43),"N/A")</f>
        <v>31</v>
      </c>
      <c r="T43" s="483">
        <f t="shared" ref="T43:T56" si="41">IFERROR(ABS(O$3-O43),"N/A")</f>
        <v>11</v>
      </c>
      <c r="U43" s="483">
        <f t="shared" ref="U43:U56" si="42">SUM(P43:T43)</f>
        <v>66</v>
      </c>
      <c r="V43" s="483">
        <f t="shared" si="22"/>
        <v>12</v>
      </c>
      <c r="W43" s="483">
        <f t="shared" si="36"/>
        <v>12</v>
      </c>
      <c r="Y43" s="483" t="str">
        <f t="shared" si="23"/>
        <v/>
      </c>
      <c r="Z43" s="485" t="str">
        <f t="shared" si="24"/>
        <v/>
      </c>
      <c r="AA43" s="483"/>
      <c r="AB43" s="483"/>
      <c r="AS43" s="696">
        <v>264786245.79182801</v>
      </c>
      <c r="AT43" s="696">
        <v>2322327855.5531802</v>
      </c>
      <c r="AU43" s="696">
        <v>485944069.64658099</v>
      </c>
      <c r="AV43" s="696">
        <v>343526037.22852701</v>
      </c>
      <c r="AW43" s="696">
        <v>1783660429.0192001</v>
      </c>
      <c r="AX43" s="696">
        <v>9139517280.7872391</v>
      </c>
      <c r="AY43" s="693">
        <v>0.11860813079178099</v>
      </c>
      <c r="AZ43" s="693">
        <v>0.10265037703327901</v>
      </c>
    </row>
    <row r="44" spans="1:52" ht="14.45">
      <c r="A44" s="480"/>
      <c r="B44" s="693" t="s">
        <v>517</v>
      </c>
      <c r="C44" s="693" t="s">
        <v>518</v>
      </c>
      <c r="D44" s="693" t="s">
        <v>415</v>
      </c>
      <c r="E44" s="693" t="s">
        <v>519</v>
      </c>
      <c r="F44" s="533">
        <f t="shared" si="31"/>
        <v>0.33967741677144475</v>
      </c>
      <c r="G44" s="533">
        <f t="shared" si="32"/>
        <v>-12.329851345922084</v>
      </c>
      <c r="H44" s="694">
        <f t="shared" si="33"/>
        <v>12737562.3944957</v>
      </c>
      <c r="I44" s="779">
        <f t="shared" si="34"/>
        <v>-1</v>
      </c>
      <c r="J44" s="533">
        <f t="shared" si="35"/>
        <v>-1.5858237929318053</v>
      </c>
      <c r="K44" s="472">
        <f t="shared" si="6"/>
        <v>5</v>
      </c>
      <c r="L44" s="472">
        <f t="shared" si="7"/>
        <v>61</v>
      </c>
      <c r="M44" s="472">
        <f t="shared" si="8"/>
        <v>61</v>
      </c>
      <c r="N44" s="472">
        <f t="shared" si="9"/>
        <v>47</v>
      </c>
      <c r="O44" s="472">
        <f t="shared" si="10"/>
        <v>49</v>
      </c>
      <c r="P44" s="483">
        <f t="shared" si="37"/>
        <v>3</v>
      </c>
      <c r="Q44" s="483">
        <f t="shared" si="38"/>
        <v>34</v>
      </c>
      <c r="R44" s="483">
        <f t="shared" si="39"/>
        <v>50</v>
      </c>
      <c r="S44" s="483">
        <f t="shared" si="40"/>
        <v>2</v>
      </c>
      <c r="T44" s="483">
        <f t="shared" si="41"/>
        <v>47</v>
      </c>
      <c r="U44" s="483">
        <f t="shared" si="42"/>
        <v>136</v>
      </c>
      <c r="V44" s="483">
        <f t="shared" si="22"/>
        <v>35</v>
      </c>
      <c r="W44" s="483" t="str">
        <f t="shared" si="36"/>
        <v>-</v>
      </c>
      <c r="Y44" s="735" t="s">
        <v>520</v>
      </c>
      <c r="Z44" s="733"/>
      <c r="AA44" s="483"/>
      <c r="AB44" s="483"/>
      <c r="AS44" s="696">
        <v>-1332516.15603596</v>
      </c>
      <c r="AT44" s="696">
        <v>-3922887.09888699</v>
      </c>
      <c r="AU44" s="696">
        <v>15426267.267123301</v>
      </c>
      <c r="AV44" s="696">
        <v>-1251131.6506849299</v>
      </c>
      <c r="AW44" s="696">
        <v>788947.45826198603</v>
      </c>
      <c r="AX44" s="696">
        <v>12737562.3944957</v>
      </c>
      <c r="AY44" s="693"/>
      <c r="AZ44" s="693">
        <v>-2.2552791001496799</v>
      </c>
    </row>
    <row r="45" spans="1:52" ht="14.45">
      <c r="A45" s="480"/>
      <c r="B45" s="693" t="s">
        <v>521</v>
      </c>
      <c r="C45" s="693" t="s">
        <v>522</v>
      </c>
      <c r="D45" s="693" t="s">
        <v>415</v>
      </c>
      <c r="E45" s="693" t="s">
        <v>416</v>
      </c>
      <c r="F45" s="533">
        <f t="shared" si="31"/>
        <v>-1.0941847776594229</v>
      </c>
      <c r="G45" s="533">
        <f t="shared" si="32"/>
        <v>-1.4668866890382191E-2</v>
      </c>
      <c r="H45" s="694">
        <f t="shared" si="33"/>
        <v>29877753.84</v>
      </c>
      <c r="I45" s="779">
        <f t="shared" si="34"/>
        <v>-1</v>
      </c>
      <c r="J45" s="533">
        <f t="shared" si="35"/>
        <v>-7.0645501767035883</v>
      </c>
      <c r="K45" s="472">
        <f t="shared" si="6"/>
        <v>61</v>
      </c>
      <c r="L45" s="472">
        <f t="shared" si="7"/>
        <v>36</v>
      </c>
      <c r="M45" s="472">
        <f t="shared" si="8"/>
        <v>58</v>
      </c>
      <c r="N45" s="472">
        <f t="shared" si="9"/>
        <v>47</v>
      </c>
      <c r="O45" s="472">
        <f t="shared" si="10"/>
        <v>53</v>
      </c>
      <c r="P45" s="483">
        <f t="shared" si="37"/>
        <v>59</v>
      </c>
      <c r="Q45" s="483">
        <f t="shared" si="38"/>
        <v>9</v>
      </c>
      <c r="R45" s="483">
        <f t="shared" si="39"/>
        <v>47</v>
      </c>
      <c r="S45" s="483">
        <f t="shared" si="40"/>
        <v>2</v>
      </c>
      <c r="T45" s="483">
        <f t="shared" si="41"/>
        <v>51</v>
      </c>
      <c r="U45" s="483">
        <f t="shared" si="42"/>
        <v>168</v>
      </c>
      <c r="V45" s="483">
        <f t="shared" si="22"/>
        <v>52</v>
      </c>
      <c r="W45" s="483" t="str">
        <f t="shared" si="36"/>
        <v>-</v>
      </c>
      <c r="Y45" s="735" t="s">
        <v>520</v>
      </c>
      <c r="Z45" s="733"/>
      <c r="AA45" s="483"/>
      <c r="AB45" s="483"/>
      <c r="AS45" s="696">
        <v>-34483660</v>
      </c>
      <c r="AT45" s="696">
        <v>31515390</v>
      </c>
      <c r="AU45" s="696">
        <v>436910</v>
      </c>
      <c r="AV45" s="696">
        <v>-29784850</v>
      </c>
      <c r="AW45" s="696">
        <v>4216100</v>
      </c>
      <c r="AX45" s="696">
        <v>29877753.84</v>
      </c>
      <c r="AY45" s="693"/>
      <c r="AZ45" s="693">
        <v>-1.908E-2</v>
      </c>
    </row>
    <row r="46" spans="1:52" ht="14.45">
      <c r="A46" s="480"/>
      <c r="B46" s="693" t="s">
        <v>523</v>
      </c>
      <c r="C46" s="693" t="s">
        <v>524</v>
      </c>
      <c r="D46" s="693" t="s">
        <v>415</v>
      </c>
      <c r="E46" s="693" t="s">
        <v>416</v>
      </c>
      <c r="F46" s="533">
        <f t="shared" si="31"/>
        <v>-0.11952959265988793</v>
      </c>
      <c r="G46" s="533">
        <f t="shared" si="32"/>
        <v>-2.3935377486305809</v>
      </c>
      <c r="H46" s="694">
        <f t="shared" si="33"/>
        <v>609060488.30999994</v>
      </c>
      <c r="I46" s="779">
        <f t="shared" si="34"/>
        <v>-1</v>
      </c>
      <c r="J46" s="533">
        <f t="shared" si="35"/>
        <v>-0.1720672464958754</v>
      </c>
      <c r="K46" s="472">
        <f t="shared" si="6"/>
        <v>44</v>
      </c>
      <c r="L46" s="472">
        <f t="shared" si="7"/>
        <v>55</v>
      </c>
      <c r="M46" s="472">
        <f t="shared" si="8"/>
        <v>23</v>
      </c>
      <c r="N46" s="472">
        <f t="shared" si="9"/>
        <v>47</v>
      </c>
      <c r="O46" s="472">
        <f t="shared" si="10"/>
        <v>36</v>
      </c>
      <c r="P46" s="483">
        <f t="shared" si="37"/>
        <v>42</v>
      </c>
      <c r="Q46" s="483">
        <f t="shared" si="38"/>
        <v>28</v>
      </c>
      <c r="R46" s="483">
        <f t="shared" si="39"/>
        <v>12</v>
      </c>
      <c r="S46" s="483">
        <f t="shared" si="40"/>
        <v>2</v>
      </c>
      <c r="T46" s="483">
        <f t="shared" si="41"/>
        <v>34</v>
      </c>
      <c r="U46" s="483">
        <f t="shared" si="42"/>
        <v>118</v>
      </c>
      <c r="V46" s="483">
        <f t="shared" si="22"/>
        <v>26</v>
      </c>
      <c r="W46" s="483" t="str">
        <f t="shared" si="36"/>
        <v>-</v>
      </c>
      <c r="Y46" s="735" t="s">
        <v>520</v>
      </c>
      <c r="Z46" s="733"/>
      <c r="AA46" s="483"/>
      <c r="AB46" s="483"/>
      <c r="AS46" s="696">
        <v>-17888910</v>
      </c>
      <c r="AT46" s="696">
        <v>149660930</v>
      </c>
      <c r="AU46" s="696">
        <v>27913150</v>
      </c>
      <c r="AV46" s="696">
        <v>-11661880</v>
      </c>
      <c r="AW46" s="696">
        <v>67775130</v>
      </c>
      <c r="AX46" s="696">
        <v>609060488.30999994</v>
      </c>
      <c r="AY46" s="693"/>
      <c r="AZ46" s="693">
        <v>-4.9880000000000001E-2</v>
      </c>
    </row>
    <row r="47" spans="1:52" ht="14.45">
      <c r="A47" s="480"/>
      <c r="B47" s="693" t="s">
        <v>525</v>
      </c>
      <c r="C47" s="693" t="s">
        <v>526</v>
      </c>
      <c r="D47" s="693" t="s">
        <v>415</v>
      </c>
      <c r="E47" s="693" t="s">
        <v>422</v>
      </c>
      <c r="F47" s="533">
        <f t="shared" si="31"/>
        <v>-2.8022744950400805E-2</v>
      </c>
      <c r="G47" s="533">
        <f t="shared" si="32"/>
        <v>-0.11599190283400809</v>
      </c>
      <c r="H47" s="694">
        <f t="shared" si="33"/>
        <v>404561673.91458303</v>
      </c>
      <c r="I47" s="779">
        <f t="shared" si="34"/>
        <v>-2.1903448595531656</v>
      </c>
      <c r="J47" s="533">
        <f t="shared" si="35"/>
        <v>-0.48975545274289495</v>
      </c>
      <c r="K47" s="472">
        <f t="shared" si="6"/>
        <v>32</v>
      </c>
      <c r="L47" s="472">
        <f t="shared" si="7"/>
        <v>41</v>
      </c>
      <c r="M47" s="472">
        <f t="shared" si="8"/>
        <v>28</v>
      </c>
      <c r="N47" s="472">
        <f t="shared" si="9"/>
        <v>62</v>
      </c>
      <c r="O47" s="472">
        <f t="shared" si="10"/>
        <v>45</v>
      </c>
      <c r="P47" s="483">
        <f t="shared" si="37"/>
        <v>30</v>
      </c>
      <c r="Q47" s="483">
        <f t="shared" si="38"/>
        <v>14</v>
      </c>
      <c r="R47" s="483">
        <f t="shared" si="39"/>
        <v>17</v>
      </c>
      <c r="S47" s="483">
        <f t="shared" si="40"/>
        <v>17</v>
      </c>
      <c r="T47" s="483">
        <f t="shared" si="41"/>
        <v>43</v>
      </c>
      <c r="U47" s="483">
        <f t="shared" si="42"/>
        <v>121</v>
      </c>
      <c r="V47" s="483">
        <f t="shared" si="22"/>
        <v>28</v>
      </c>
      <c r="W47" s="483">
        <f t="shared" si="36"/>
        <v>28</v>
      </c>
      <c r="Y47" s="483" t="str">
        <f t="shared" ref="Y47:Y62" si="43">IF(OR(Z47="Y",AA47="Y"),"Not suitable","")</f>
        <v/>
      </c>
      <c r="Z47" s="485" t="str">
        <f t="shared" ref="Z47:Z57" si="44">IF(OR(N47="N/A",O47="N/A"),"Y","")</f>
        <v/>
      </c>
      <c r="AA47" s="483"/>
      <c r="AB47" s="483"/>
      <c r="AS47" s="696">
        <v>-12262953.6</v>
      </c>
      <c r="AT47" s="696">
        <v>437607151.68000001</v>
      </c>
      <c r="AU47" s="696">
        <v>2671738.56</v>
      </c>
      <c r="AV47" s="696">
        <v>-23033836.800000001</v>
      </c>
      <c r="AW47" s="696">
        <v>47031302.399999999</v>
      </c>
      <c r="AX47" s="696">
        <v>404561673.91458303</v>
      </c>
      <c r="AY47" s="693">
        <v>9.7996787999999994E-3</v>
      </c>
      <c r="AZ47" s="693">
        <v>-8.2326384000000006E-3</v>
      </c>
    </row>
    <row r="48" spans="1:52" ht="14.45">
      <c r="A48" s="480"/>
      <c r="B48" s="693" t="s">
        <v>527</v>
      </c>
      <c r="C48" s="693" t="s">
        <v>528</v>
      </c>
      <c r="D48" s="693" t="s">
        <v>415</v>
      </c>
      <c r="E48" s="693" t="s">
        <v>416</v>
      </c>
      <c r="F48" s="533">
        <f t="shared" si="31"/>
        <v>3.0457396272983925E-2</v>
      </c>
      <c r="G48" s="533">
        <f t="shared" si="32"/>
        <v>2.4863459037711313</v>
      </c>
      <c r="H48" s="694">
        <f t="shared" si="33"/>
        <v>523549208.27999997</v>
      </c>
      <c r="I48" s="779">
        <f t="shared" si="34"/>
        <v>-0.91279620853080567</v>
      </c>
      <c r="J48" s="533">
        <f t="shared" si="35"/>
        <v>0.18237875014822721</v>
      </c>
      <c r="K48" s="472">
        <f t="shared" si="6"/>
        <v>29</v>
      </c>
      <c r="L48" s="472">
        <f t="shared" si="7"/>
        <v>13</v>
      </c>
      <c r="M48" s="472">
        <f t="shared" si="8"/>
        <v>24</v>
      </c>
      <c r="N48" s="472">
        <f t="shared" si="9"/>
        <v>46</v>
      </c>
      <c r="O48" s="472">
        <f t="shared" si="10"/>
        <v>15</v>
      </c>
      <c r="P48" s="483">
        <f t="shared" si="37"/>
        <v>27</v>
      </c>
      <c r="Q48" s="483">
        <f t="shared" si="38"/>
        <v>14</v>
      </c>
      <c r="R48" s="483">
        <f t="shared" si="39"/>
        <v>13</v>
      </c>
      <c r="S48" s="483">
        <f t="shared" si="40"/>
        <v>1</v>
      </c>
      <c r="T48" s="483">
        <f t="shared" si="41"/>
        <v>13</v>
      </c>
      <c r="U48" s="483">
        <f t="shared" si="42"/>
        <v>68</v>
      </c>
      <c r="V48" s="483">
        <f t="shared" si="22"/>
        <v>13</v>
      </c>
      <c r="W48" s="483">
        <f t="shared" si="36"/>
        <v>13</v>
      </c>
      <c r="Y48" s="483" t="str">
        <f t="shared" si="43"/>
        <v/>
      </c>
      <c r="Z48" s="485" t="str">
        <f t="shared" si="44"/>
        <v/>
      </c>
      <c r="AA48" s="483"/>
      <c r="AB48" s="483"/>
      <c r="AS48" s="696">
        <v>10810000</v>
      </c>
      <c r="AT48" s="696">
        <v>354922000</v>
      </c>
      <c r="AU48" s="696">
        <v>22944000</v>
      </c>
      <c r="AV48" s="696">
        <v>9228000</v>
      </c>
      <c r="AW48" s="696">
        <v>50598000</v>
      </c>
      <c r="AX48" s="696">
        <v>523549208.27999997</v>
      </c>
      <c r="AY48" s="693">
        <v>9.2000000000000003E-4</v>
      </c>
      <c r="AZ48" s="693">
        <v>1.055E-2</v>
      </c>
    </row>
    <row r="49" spans="1:52" ht="14.45">
      <c r="A49" s="480"/>
      <c r="B49" s="693" t="s">
        <v>529</v>
      </c>
      <c r="C49" s="693" t="s">
        <v>530</v>
      </c>
      <c r="D49" s="693" t="s">
        <v>415</v>
      </c>
      <c r="E49" s="693" t="s">
        <v>422</v>
      </c>
      <c r="F49" s="533">
        <f t="shared" si="31"/>
        <v>8.1206434481779888E-2</v>
      </c>
      <c r="G49" s="533">
        <f t="shared" si="32"/>
        <v>2.0956517216269703</v>
      </c>
      <c r="H49" s="694">
        <f t="shared" si="33"/>
        <v>964532428.186324</v>
      </c>
      <c r="I49" s="779">
        <f t="shared" si="34"/>
        <v>-0.70000657716320569</v>
      </c>
      <c r="J49" s="533">
        <f t="shared" si="35"/>
        <v>0.56521014826501526</v>
      </c>
      <c r="K49" s="472">
        <f t="shared" si="6"/>
        <v>18</v>
      </c>
      <c r="L49" s="472">
        <f t="shared" si="7"/>
        <v>15</v>
      </c>
      <c r="M49" s="472">
        <f t="shared" si="8"/>
        <v>22</v>
      </c>
      <c r="N49" s="472">
        <f t="shared" si="9"/>
        <v>42</v>
      </c>
      <c r="O49" s="472">
        <f t="shared" si="10"/>
        <v>4</v>
      </c>
      <c r="P49" s="483">
        <f t="shared" si="37"/>
        <v>16</v>
      </c>
      <c r="Q49" s="483">
        <f t="shared" si="38"/>
        <v>12</v>
      </c>
      <c r="R49" s="483">
        <f t="shared" si="39"/>
        <v>11</v>
      </c>
      <c r="S49" s="483">
        <f t="shared" si="40"/>
        <v>3</v>
      </c>
      <c r="T49" s="483">
        <f t="shared" si="41"/>
        <v>2</v>
      </c>
      <c r="U49" s="483">
        <f t="shared" si="42"/>
        <v>44</v>
      </c>
      <c r="V49" s="483">
        <f t="shared" si="22"/>
        <v>4</v>
      </c>
      <c r="W49" s="483">
        <f t="shared" si="36"/>
        <v>4</v>
      </c>
      <c r="Y49" s="483" t="str">
        <f t="shared" si="43"/>
        <v/>
      </c>
      <c r="Z49" s="485" t="str">
        <f t="shared" si="44"/>
        <v/>
      </c>
      <c r="AA49" s="483"/>
      <c r="AB49" s="483"/>
      <c r="AS49" s="696">
        <v>42771341.0288582</v>
      </c>
      <c r="AT49" s="696">
        <v>526698916.18569601</v>
      </c>
      <c r="AU49" s="696">
        <v>130943222.33375201</v>
      </c>
      <c r="AV49" s="696">
        <v>62483293.851944797</v>
      </c>
      <c r="AW49" s="696">
        <v>110548782.68506899</v>
      </c>
      <c r="AX49" s="696">
        <v>964532428.186324</v>
      </c>
      <c r="AY49" s="693">
        <v>0.26900810562281802</v>
      </c>
      <c r="AZ49" s="693">
        <v>0.89671334484278598</v>
      </c>
    </row>
    <row r="50" spans="1:52" ht="14.45">
      <c r="A50" s="480"/>
      <c r="B50" s="693" t="s">
        <v>531</v>
      </c>
      <c r="C50" s="693" t="s">
        <v>532</v>
      </c>
      <c r="D50" s="693" t="s">
        <v>415</v>
      </c>
      <c r="E50" s="693" t="s">
        <v>422</v>
      </c>
      <c r="F50" s="533">
        <f t="shared" si="31"/>
        <v>0.12982739642072536</v>
      </c>
      <c r="G50" s="533">
        <f t="shared" si="32"/>
        <v>0.31065585408019158</v>
      </c>
      <c r="H50" s="694">
        <f t="shared" si="33"/>
        <v>154598933.86881399</v>
      </c>
      <c r="I50" s="779">
        <f t="shared" si="34"/>
        <v>-1.3880565368024969</v>
      </c>
      <c r="J50" s="533">
        <f t="shared" si="35"/>
        <v>5.5111775132432338E-2</v>
      </c>
      <c r="K50" s="472">
        <f t="shared" si="6"/>
        <v>13</v>
      </c>
      <c r="L50" s="472">
        <f t="shared" si="7"/>
        <v>26</v>
      </c>
      <c r="M50" s="472">
        <f t="shared" si="8"/>
        <v>38</v>
      </c>
      <c r="N50" s="472">
        <f t="shared" si="9"/>
        <v>59</v>
      </c>
      <c r="O50" s="472">
        <f t="shared" si="10"/>
        <v>27</v>
      </c>
      <c r="P50" s="483">
        <f t="shared" si="37"/>
        <v>11</v>
      </c>
      <c r="Q50" s="483">
        <f t="shared" si="38"/>
        <v>1</v>
      </c>
      <c r="R50" s="483">
        <f t="shared" si="39"/>
        <v>27</v>
      </c>
      <c r="S50" s="483">
        <f t="shared" si="40"/>
        <v>14</v>
      </c>
      <c r="T50" s="483">
        <f t="shared" si="41"/>
        <v>25</v>
      </c>
      <c r="U50" s="483">
        <f t="shared" si="42"/>
        <v>78</v>
      </c>
      <c r="V50" s="483">
        <f t="shared" si="22"/>
        <v>16</v>
      </c>
      <c r="W50" s="483">
        <f t="shared" si="36"/>
        <v>16</v>
      </c>
      <c r="Y50" s="483" t="str">
        <f t="shared" si="43"/>
        <v/>
      </c>
      <c r="Z50" s="485" t="str">
        <f t="shared" si="44"/>
        <v/>
      </c>
      <c r="AA50" s="483"/>
      <c r="AB50" s="483"/>
      <c r="AS50" s="696">
        <v>6076721.8644918399</v>
      </c>
      <c r="AT50" s="696">
        <v>46806159.809284799</v>
      </c>
      <c r="AU50" s="696">
        <v>402959.72145545803</v>
      </c>
      <c r="AV50" s="696">
        <v>1297125.7942283601</v>
      </c>
      <c r="AW50" s="696">
        <v>23536273.166875798</v>
      </c>
      <c r="AX50" s="696">
        <v>154598933.86881399</v>
      </c>
      <c r="AY50" s="693">
        <v>-1.2279899719805001E-2</v>
      </c>
      <c r="AZ50" s="693">
        <v>3.1644615037253999E-2</v>
      </c>
    </row>
    <row r="51" spans="1:52" ht="14.45">
      <c r="A51" s="480"/>
      <c r="B51" s="693" t="s">
        <v>533</v>
      </c>
      <c r="C51" s="693" t="s">
        <v>534</v>
      </c>
      <c r="D51" s="693" t="s">
        <v>415</v>
      </c>
      <c r="E51" s="693" t="s">
        <v>422</v>
      </c>
      <c r="F51" s="533">
        <f t="shared" si="31"/>
        <v>-0.12436913957125392</v>
      </c>
      <c r="G51" s="533">
        <f t="shared" si="32"/>
        <v>-2.4379514649784921</v>
      </c>
      <c r="H51" s="694">
        <f t="shared" si="33"/>
        <v>228276863.515697</v>
      </c>
      <c r="I51" s="779">
        <f t="shared" si="34"/>
        <v>-0.53638305326274027</v>
      </c>
      <c r="J51" s="533">
        <f t="shared" si="35"/>
        <v>-1.2782446311858076</v>
      </c>
      <c r="K51" s="472">
        <f t="shared" si="6"/>
        <v>45</v>
      </c>
      <c r="L51" s="472">
        <f t="shared" si="7"/>
        <v>56</v>
      </c>
      <c r="M51" s="472">
        <f t="shared" si="8"/>
        <v>35</v>
      </c>
      <c r="N51" s="472">
        <f t="shared" si="9"/>
        <v>39</v>
      </c>
      <c r="O51" s="472">
        <f t="shared" si="10"/>
        <v>48</v>
      </c>
      <c r="P51" s="483">
        <f t="shared" si="37"/>
        <v>43</v>
      </c>
      <c r="Q51" s="483">
        <f t="shared" si="38"/>
        <v>29</v>
      </c>
      <c r="R51" s="483">
        <f t="shared" si="39"/>
        <v>24</v>
      </c>
      <c r="S51" s="483">
        <f t="shared" si="40"/>
        <v>6</v>
      </c>
      <c r="T51" s="483">
        <f t="shared" si="41"/>
        <v>46</v>
      </c>
      <c r="U51" s="483">
        <f t="shared" si="42"/>
        <v>148</v>
      </c>
      <c r="V51" s="483">
        <f t="shared" si="22"/>
        <v>42</v>
      </c>
      <c r="W51" s="483">
        <f t="shared" si="36"/>
        <v>42</v>
      </c>
      <c r="Y51" s="483" t="str">
        <f t="shared" si="43"/>
        <v/>
      </c>
      <c r="Z51" s="485" t="str">
        <f t="shared" si="44"/>
        <v/>
      </c>
      <c r="AA51" s="483"/>
      <c r="AB51" s="483"/>
      <c r="AS51" s="696">
        <v>-26729741.579999998</v>
      </c>
      <c r="AT51" s="696">
        <v>214922622.06</v>
      </c>
      <c r="AU51" s="696">
        <v>44089175.640000001</v>
      </c>
      <c r="AV51" s="696">
        <v>-18084517.379999999</v>
      </c>
      <c r="AW51" s="696">
        <v>14147931.42</v>
      </c>
      <c r="AX51" s="696">
        <v>228276863.515697</v>
      </c>
      <c r="AY51" s="693">
        <v>-6.3441574799999997E-2</v>
      </c>
      <c r="AZ51" s="693">
        <v>-0.1368405</v>
      </c>
    </row>
    <row r="52" spans="1:52" ht="14.45">
      <c r="A52" s="480"/>
      <c r="B52" s="693" t="s">
        <v>535</v>
      </c>
      <c r="C52" s="693" t="s">
        <v>536</v>
      </c>
      <c r="D52" s="693" t="s">
        <v>415</v>
      </c>
      <c r="E52" s="693" t="s">
        <v>416</v>
      </c>
      <c r="F52" s="533">
        <f t="shared" si="31"/>
        <v>-0.56512579006072627</v>
      </c>
      <c r="G52" s="533">
        <f t="shared" si="32"/>
        <v>-1.0206321334503951E-2</v>
      </c>
      <c r="H52" s="694">
        <f t="shared" si="33"/>
        <v>33835311.75</v>
      </c>
      <c r="I52" s="779">
        <f t="shared" si="34"/>
        <v>6.127659574468086</v>
      </c>
      <c r="J52" s="533">
        <f t="shared" si="35"/>
        <v>-6.1609195402298846</v>
      </c>
      <c r="K52" s="472">
        <f t="shared" si="6"/>
        <v>55</v>
      </c>
      <c r="L52" s="472">
        <f t="shared" si="7"/>
        <v>35</v>
      </c>
      <c r="M52" s="472">
        <f t="shared" si="8"/>
        <v>56</v>
      </c>
      <c r="N52" s="472">
        <f t="shared" si="9"/>
        <v>1</v>
      </c>
      <c r="O52" s="472">
        <f t="shared" si="10"/>
        <v>52</v>
      </c>
      <c r="P52" s="483">
        <f t="shared" si="37"/>
        <v>53</v>
      </c>
      <c r="Q52" s="483">
        <f t="shared" si="38"/>
        <v>8</v>
      </c>
      <c r="R52" s="483">
        <f t="shared" si="39"/>
        <v>45</v>
      </c>
      <c r="S52" s="483">
        <f t="shared" si="40"/>
        <v>44</v>
      </c>
      <c r="T52" s="483">
        <f t="shared" si="41"/>
        <v>50</v>
      </c>
      <c r="U52" s="483">
        <f t="shared" si="42"/>
        <v>200</v>
      </c>
      <c r="V52" s="483">
        <f t="shared" si="22"/>
        <v>60</v>
      </c>
      <c r="W52" s="483">
        <f t="shared" si="36"/>
        <v>60</v>
      </c>
      <c r="Y52" s="483" t="str">
        <f t="shared" si="43"/>
        <v/>
      </c>
      <c r="Z52" s="485" t="str">
        <f t="shared" si="44"/>
        <v/>
      </c>
      <c r="AA52" s="483"/>
      <c r="AB52" s="483"/>
      <c r="AS52" s="696">
        <v>-9120000</v>
      </c>
      <c r="AT52" s="696">
        <v>16138000</v>
      </c>
      <c r="AU52" s="696">
        <v>93000</v>
      </c>
      <c r="AV52" s="696">
        <v>-9112000</v>
      </c>
      <c r="AW52" s="696">
        <v>1479000</v>
      </c>
      <c r="AX52" s="696">
        <v>33835311.75</v>
      </c>
      <c r="AY52" s="693">
        <v>-0.67</v>
      </c>
      <c r="AZ52" s="693">
        <v>-9.4E-2</v>
      </c>
    </row>
    <row r="53" spans="1:52" ht="14.45">
      <c r="A53" s="480"/>
      <c r="B53" s="693" t="s">
        <v>537</v>
      </c>
      <c r="C53" s="693" t="s">
        <v>538</v>
      </c>
      <c r="D53" s="693" t="s">
        <v>415</v>
      </c>
      <c r="E53" s="693" t="s">
        <v>425</v>
      </c>
      <c r="F53" s="533">
        <f t="shared" si="31"/>
        <v>0</v>
      </c>
      <c r="G53" s="533">
        <f t="shared" si="32"/>
        <v>-0.84806623697681138</v>
      </c>
      <c r="H53" s="694">
        <f t="shared" si="33"/>
        <v>75533256.2292317</v>
      </c>
      <c r="I53" s="779">
        <f t="shared" si="34"/>
        <v>3.9807518115942031</v>
      </c>
      <c r="J53" s="533">
        <f t="shared" si="35"/>
        <v>-9.8901016124602776</v>
      </c>
      <c r="K53" s="472">
        <f t="shared" si="6"/>
        <v>30</v>
      </c>
      <c r="L53" s="472">
        <f t="shared" si="7"/>
        <v>48</v>
      </c>
      <c r="M53" s="472">
        <f t="shared" si="8"/>
        <v>46</v>
      </c>
      <c r="N53" s="472">
        <f t="shared" si="9"/>
        <v>4</v>
      </c>
      <c r="O53" s="472">
        <f t="shared" si="10"/>
        <v>54</v>
      </c>
      <c r="P53" s="483">
        <f t="shared" si="37"/>
        <v>28</v>
      </c>
      <c r="Q53" s="483">
        <f t="shared" si="38"/>
        <v>21</v>
      </c>
      <c r="R53" s="483">
        <f t="shared" si="39"/>
        <v>35</v>
      </c>
      <c r="S53" s="483">
        <f t="shared" si="40"/>
        <v>41</v>
      </c>
      <c r="T53" s="483">
        <f t="shared" si="41"/>
        <v>52</v>
      </c>
      <c r="U53" s="483">
        <f t="shared" si="42"/>
        <v>177</v>
      </c>
      <c r="V53" s="483">
        <f t="shared" si="22"/>
        <v>56</v>
      </c>
      <c r="W53" s="483">
        <f t="shared" si="36"/>
        <v>56</v>
      </c>
      <c r="Y53" s="483" t="str">
        <f t="shared" si="43"/>
        <v/>
      </c>
      <c r="Z53" s="485" t="str">
        <f t="shared" si="44"/>
        <v/>
      </c>
      <c r="AA53" s="483"/>
      <c r="AB53" s="483"/>
      <c r="AS53" s="696"/>
      <c r="AT53" s="696">
        <v>114944544.7431</v>
      </c>
      <c r="AU53" s="696">
        <v>15696635.642000001</v>
      </c>
      <c r="AV53" s="696">
        <v>-18508737.8292</v>
      </c>
      <c r="AW53" s="696">
        <v>1871440.6135</v>
      </c>
      <c r="AX53" s="696">
        <v>75533256.2292317</v>
      </c>
      <c r="AY53" s="693">
        <v>-0.2309475</v>
      </c>
      <c r="AZ53" s="693">
        <v>-4.6367999999999999E-2</v>
      </c>
    </row>
    <row r="54" spans="1:52" ht="14.45">
      <c r="A54" s="480"/>
      <c r="B54" s="693" t="s">
        <v>539</v>
      </c>
      <c r="C54" s="693" t="s">
        <v>540</v>
      </c>
      <c r="D54" s="693" t="s">
        <v>415</v>
      </c>
      <c r="E54" s="693" t="s">
        <v>422</v>
      </c>
      <c r="F54" s="533">
        <f t="shared" si="31"/>
        <v>-9.2174621098511517E-2</v>
      </c>
      <c r="G54" s="533">
        <f t="shared" si="32"/>
        <v>-1.1172123940974257</v>
      </c>
      <c r="H54" s="694">
        <f t="shared" si="33"/>
        <v>352931823.67862302</v>
      </c>
      <c r="I54" s="779">
        <f t="shared" si="34"/>
        <v>-0.24775650914163849</v>
      </c>
      <c r="J54" s="533">
        <f t="shared" si="35"/>
        <v>-3.9257446870222048</v>
      </c>
      <c r="K54" s="472">
        <f t="shared" si="6"/>
        <v>39</v>
      </c>
      <c r="L54" s="472">
        <f t="shared" si="7"/>
        <v>51</v>
      </c>
      <c r="M54" s="472">
        <f t="shared" si="8"/>
        <v>30</v>
      </c>
      <c r="N54" s="472">
        <f t="shared" si="9"/>
        <v>31</v>
      </c>
      <c r="O54" s="472">
        <f t="shared" si="10"/>
        <v>51</v>
      </c>
      <c r="P54" s="483">
        <f t="shared" si="37"/>
        <v>37</v>
      </c>
      <c r="Q54" s="483">
        <f t="shared" si="38"/>
        <v>24</v>
      </c>
      <c r="R54" s="483">
        <f t="shared" si="39"/>
        <v>19</v>
      </c>
      <c r="S54" s="483">
        <f t="shared" si="40"/>
        <v>14</v>
      </c>
      <c r="T54" s="483">
        <f t="shared" si="41"/>
        <v>49</v>
      </c>
      <c r="U54" s="483">
        <f t="shared" si="42"/>
        <v>143</v>
      </c>
      <c r="V54" s="483">
        <f t="shared" si="22"/>
        <v>38</v>
      </c>
      <c r="W54" s="483">
        <f t="shared" si="36"/>
        <v>38</v>
      </c>
      <c r="Y54" s="483" t="str">
        <f t="shared" si="43"/>
        <v/>
      </c>
      <c r="Z54" s="485" t="str">
        <f t="shared" si="44"/>
        <v/>
      </c>
      <c r="AA54" s="483"/>
      <c r="AB54" s="483"/>
      <c r="AS54" s="696">
        <v>-16040384.2074</v>
      </c>
      <c r="AT54" s="696">
        <v>174021699.42480001</v>
      </c>
      <c r="AU54" s="696">
        <v>15536510.0112</v>
      </c>
      <c r="AV54" s="696">
        <v>-13906496.287799999</v>
      </c>
      <c r="AW54" s="696">
        <v>3542384.2853999999</v>
      </c>
      <c r="AX54" s="696">
        <v>352931823.67862302</v>
      </c>
      <c r="AY54" s="693">
        <v>-0.1794528</v>
      </c>
      <c r="AZ54" s="693">
        <v>-0.23855680000000001</v>
      </c>
    </row>
    <row r="55" spans="1:52" ht="14.45">
      <c r="A55" s="480"/>
      <c r="B55" s="693" t="s">
        <v>541</v>
      </c>
      <c r="C55" s="693" t="s">
        <v>542</v>
      </c>
      <c r="D55" s="693" t="s">
        <v>415</v>
      </c>
      <c r="E55" s="693" t="s">
        <v>416</v>
      </c>
      <c r="F55" s="533">
        <f t="shared" si="31"/>
        <v>-0.34198138175047488</v>
      </c>
      <c r="G55" s="533">
        <f t="shared" si="32"/>
        <v>-7.0672115448605225E-3</v>
      </c>
      <c r="H55" s="694">
        <f t="shared" si="33"/>
        <v>59904965.174999997</v>
      </c>
      <c r="I55" s="779">
        <f t="shared" si="34"/>
        <v>-0.1235955056179775</v>
      </c>
      <c r="J55" s="533">
        <f t="shared" si="35"/>
        <v>-23.309337575096293</v>
      </c>
      <c r="K55" s="472">
        <f t="shared" si="6"/>
        <v>49</v>
      </c>
      <c r="L55" s="472">
        <f t="shared" si="7"/>
        <v>33</v>
      </c>
      <c r="M55" s="472">
        <f t="shared" si="8"/>
        <v>51</v>
      </c>
      <c r="N55" s="472">
        <f t="shared" si="9"/>
        <v>28</v>
      </c>
      <c r="O55" s="472">
        <f t="shared" si="10"/>
        <v>57</v>
      </c>
      <c r="P55" s="483">
        <f t="shared" si="37"/>
        <v>47</v>
      </c>
      <c r="Q55" s="483">
        <f t="shared" si="38"/>
        <v>6</v>
      </c>
      <c r="R55" s="483">
        <f t="shared" si="39"/>
        <v>40</v>
      </c>
      <c r="S55" s="483">
        <f t="shared" si="40"/>
        <v>17</v>
      </c>
      <c r="T55" s="483">
        <f t="shared" si="41"/>
        <v>55</v>
      </c>
      <c r="U55" s="483">
        <f t="shared" si="42"/>
        <v>165</v>
      </c>
      <c r="V55" s="483">
        <f t="shared" si="22"/>
        <v>51</v>
      </c>
      <c r="W55" s="483">
        <f t="shared" si="36"/>
        <v>51</v>
      </c>
      <c r="Y55" s="483" t="str">
        <f t="shared" si="43"/>
        <v/>
      </c>
      <c r="Z55" s="485" t="str">
        <f t="shared" si="44"/>
        <v/>
      </c>
      <c r="AA55" s="483"/>
      <c r="AB55" s="483"/>
      <c r="AS55" s="696">
        <v>-17735110</v>
      </c>
      <c r="AT55" s="696">
        <v>51859870</v>
      </c>
      <c r="AU55" s="696">
        <v>125310</v>
      </c>
      <c r="AV55" s="696">
        <v>-17731180</v>
      </c>
      <c r="AW55" s="696">
        <v>760690</v>
      </c>
      <c r="AX55" s="696">
        <v>59904965.174999997</v>
      </c>
      <c r="AY55" s="693">
        <v>-7.8E-2</v>
      </c>
      <c r="AZ55" s="693">
        <v>-8.8999999999999996E-2</v>
      </c>
    </row>
    <row r="56" spans="1:52" ht="14.45">
      <c r="A56" s="480"/>
      <c r="B56" s="693" t="s">
        <v>543</v>
      </c>
      <c r="C56" s="693" t="s">
        <v>544</v>
      </c>
      <c r="D56" s="693" t="s">
        <v>415</v>
      </c>
      <c r="E56" s="693" t="s">
        <v>416</v>
      </c>
      <c r="F56" s="533">
        <f t="shared" si="31"/>
        <v>-0.38705013392289356</v>
      </c>
      <c r="G56" s="533">
        <f t="shared" si="32"/>
        <v>-1.5305404582950221E-3</v>
      </c>
      <c r="H56" s="694">
        <f t="shared" si="33"/>
        <v>87122790.295000002</v>
      </c>
      <c r="I56" s="779">
        <f t="shared" si="34"/>
        <v>0.65151515151515138</v>
      </c>
      <c r="J56" s="533">
        <f t="shared" si="35"/>
        <v>-23.01460953385044</v>
      </c>
      <c r="K56" s="472">
        <f t="shared" si="6"/>
        <v>51</v>
      </c>
      <c r="L56" s="472">
        <f t="shared" si="7"/>
        <v>32</v>
      </c>
      <c r="M56" s="472">
        <f t="shared" si="8"/>
        <v>45</v>
      </c>
      <c r="N56" s="472">
        <f t="shared" si="9"/>
        <v>11</v>
      </c>
      <c r="O56" s="472">
        <f t="shared" si="10"/>
        <v>56</v>
      </c>
      <c r="P56" s="483">
        <f t="shared" si="37"/>
        <v>49</v>
      </c>
      <c r="Q56" s="483">
        <f t="shared" si="38"/>
        <v>5</v>
      </c>
      <c r="R56" s="483">
        <f t="shared" si="39"/>
        <v>34</v>
      </c>
      <c r="S56" s="483">
        <f t="shared" si="40"/>
        <v>34</v>
      </c>
      <c r="T56" s="483">
        <f t="shared" si="41"/>
        <v>54</v>
      </c>
      <c r="U56" s="483">
        <f t="shared" si="42"/>
        <v>176</v>
      </c>
      <c r="V56" s="483">
        <f t="shared" si="22"/>
        <v>55</v>
      </c>
      <c r="W56" s="483">
        <f t="shared" si="36"/>
        <v>55</v>
      </c>
      <c r="Y56" s="483" t="str">
        <f t="shared" si="43"/>
        <v/>
      </c>
      <c r="Z56" s="485" t="str">
        <f t="shared" si="44"/>
        <v/>
      </c>
      <c r="AA56" s="483"/>
      <c r="AB56" s="483"/>
      <c r="AS56" s="696">
        <v>-12233780</v>
      </c>
      <c r="AT56" s="696">
        <v>31607740</v>
      </c>
      <c r="AU56" s="696">
        <v>18710</v>
      </c>
      <c r="AV56" s="696">
        <v>-12224440</v>
      </c>
      <c r="AW56" s="696">
        <v>531160</v>
      </c>
      <c r="AX56" s="696">
        <v>87122790.295000002</v>
      </c>
      <c r="AY56" s="693">
        <v>-0.109</v>
      </c>
      <c r="AZ56" s="693">
        <v>-6.6000000000000003E-2</v>
      </c>
    </row>
    <row r="57" spans="1:52" ht="14.45">
      <c r="A57" s="480"/>
      <c r="B57" s="693" t="s">
        <v>545</v>
      </c>
      <c r="C57" s="693" t="s">
        <v>546</v>
      </c>
      <c r="D57" s="693" t="s">
        <v>415</v>
      </c>
      <c r="E57" s="693" t="s">
        <v>422</v>
      </c>
      <c r="F57" s="533">
        <f t="shared" si="31"/>
        <v>-0.57735316672500547</v>
      </c>
      <c r="G57" s="533">
        <f t="shared" si="32"/>
        <v>-0.42842097094267245</v>
      </c>
      <c r="H57" s="694">
        <f t="shared" si="33"/>
        <v>1409079923.1777999</v>
      </c>
      <c r="I57" s="779">
        <f t="shared" si="34"/>
        <v>-0.41336577215020254</v>
      </c>
      <c r="J57" s="533">
        <f t="shared" si="35"/>
        <v>-46.221368178324369</v>
      </c>
      <c r="K57" s="472">
        <f t="shared" si="6"/>
        <v>56</v>
      </c>
      <c r="L57" s="472">
        <f t="shared" si="7"/>
        <v>45</v>
      </c>
      <c r="M57" s="472">
        <f t="shared" si="8"/>
        <v>20</v>
      </c>
      <c r="N57" s="472">
        <f t="shared" si="9"/>
        <v>36</v>
      </c>
      <c r="O57" s="472">
        <f t="shared" si="10"/>
        <v>58</v>
      </c>
      <c r="P57" s="483">
        <f t="shared" ref="P57:P63" si="45">IFERROR(ABS(K$3-K57),"N/A")</f>
        <v>54</v>
      </c>
      <c r="Q57" s="483">
        <f t="shared" ref="Q57:Q63" si="46">IFERROR(ABS(L$3-L57),"N/A")</f>
        <v>18</v>
      </c>
      <c r="R57" s="483">
        <f t="shared" ref="R57:R63" si="47">IFERROR(ABS(M$3-M57),"N/A")</f>
        <v>9</v>
      </c>
      <c r="S57" s="483">
        <f t="shared" ref="S57:S63" si="48">IFERROR(ABS(N$3-N57),"N/A")</f>
        <v>9</v>
      </c>
      <c r="T57" s="483">
        <f t="shared" ref="T57:T63" si="49">IFERROR(ABS(O$3-O57),"N/A")</f>
        <v>56</v>
      </c>
      <c r="U57" s="483">
        <f t="shared" ref="U57:U63" si="50">SUM(P57:T57)</f>
        <v>146</v>
      </c>
      <c r="V57" s="483">
        <f t="shared" si="22"/>
        <v>40</v>
      </c>
      <c r="W57" s="483">
        <f t="shared" si="36"/>
        <v>40</v>
      </c>
      <c r="Y57" s="483" t="str">
        <f t="shared" si="43"/>
        <v/>
      </c>
      <c r="Z57" s="485" t="str">
        <f t="shared" si="44"/>
        <v/>
      </c>
      <c r="AA57" s="483"/>
      <c r="AB57" s="483"/>
      <c r="AS57" s="696">
        <v>-317291012.25</v>
      </c>
      <c r="AT57" s="696">
        <v>549561395.92999995</v>
      </c>
      <c r="AU57" s="696">
        <v>113492017.84</v>
      </c>
      <c r="AV57" s="696">
        <v>-264907708.86000001</v>
      </c>
      <c r="AW57" s="696">
        <v>5731282.29</v>
      </c>
      <c r="AX57" s="696">
        <v>1409079923.1777999</v>
      </c>
      <c r="AY57" s="693">
        <v>-1.5359458994999999</v>
      </c>
      <c r="AZ57" s="693">
        <v>-2.6182343725999999</v>
      </c>
    </row>
    <row r="58" spans="1:52" ht="14.45">
      <c r="A58" s="480"/>
      <c r="B58" s="693" t="s">
        <v>547</v>
      </c>
      <c r="C58" s="693" t="s">
        <v>548</v>
      </c>
      <c r="D58" s="693" t="s">
        <v>415</v>
      </c>
      <c r="E58" s="693" t="s">
        <v>416</v>
      </c>
      <c r="F58" s="533">
        <f t="shared" si="31"/>
        <v>-5.5744823535466996E-2</v>
      </c>
      <c r="G58" s="533">
        <f t="shared" si="32"/>
        <v>-8.4974906968010647E-2</v>
      </c>
      <c r="H58" s="694">
        <f t="shared" si="33"/>
        <v>26903123.594999999</v>
      </c>
      <c r="I58" s="779">
        <f t="shared" si="34"/>
        <v>-1</v>
      </c>
      <c r="J58" s="533">
        <f t="shared" si="35"/>
        <v>-19.767175057362667</v>
      </c>
      <c r="K58" s="472">
        <f t="shared" si="6"/>
        <v>35</v>
      </c>
      <c r="L58" s="472">
        <f t="shared" si="7"/>
        <v>40</v>
      </c>
      <c r="M58" s="472">
        <f t="shared" si="8"/>
        <v>59</v>
      </c>
      <c r="N58" s="472">
        <f t="shared" si="9"/>
        <v>47</v>
      </c>
      <c r="O58" s="472">
        <f t="shared" si="10"/>
        <v>55</v>
      </c>
      <c r="P58" s="483">
        <f t="shared" si="45"/>
        <v>33</v>
      </c>
      <c r="Q58" s="483">
        <f t="shared" si="46"/>
        <v>13</v>
      </c>
      <c r="R58" s="483">
        <f t="shared" si="47"/>
        <v>48</v>
      </c>
      <c r="S58" s="483">
        <f t="shared" si="48"/>
        <v>2</v>
      </c>
      <c r="T58" s="483">
        <f t="shared" si="49"/>
        <v>53</v>
      </c>
      <c r="U58" s="483">
        <f t="shared" si="50"/>
        <v>149</v>
      </c>
      <c r="V58" s="483">
        <f t="shared" si="22"/>
        <v>45</v>
      </c>
      <c r="W58" s="483" t="str">
        <f t="shared" si="36"/>
        <v>-</v>
      </c>
      <c r="Y58" s="734" t="s">
        <v>520</v>
      </c>
      <c r="Z58" s="733"/>
      <c r="AA58" s="483"/>
      <c r="AB58" s="483"/>
      <c r="AS58" s="696">
        <v>-1472970</v>
      </c>
      <c r="AT58" s="696">
        <v>26423440</v>
      </c>
      <c r="AU58" s="696">
        <v>124450</v>
      </c>
      <c r="AV58" s="696">
        <v>-1464550</v>
      </c>
      <c r="AW58" s="696">
        <v>74090</v>
      </c>
      <c r="AX58" s="696">
        <v>26903123.594999999</v>
      </c>
      <c r="AY58" s="693"/>
      <c r="AZ58" s="693">
        <v>9.1E-4</v>
      </c>
    </row>
    <row r="59" spans="1:52" ht="14.45">
      <c r="A59" s="480"/>
      <c r="B59" s="693" t="s">
        <v>549</v>
      </c>
      <c r="C59" s="693" t="s">
        <v>550</v>
      </c>
      <c r="D59" s="693" t="s">
        <v>415</v>
      </c>
      <c r="E59" s="693" t="s">
        <v>416</v>
      </c>
      <c r="F59" s="533">
        <f t="shared" si="31"/>
        <v>-0.10861203325949589</v>
      </c>
      <c r="G59" s="533">
        <f t="shared" si="32"/>
        <v>-3.0703657914530506E-2</v>
      </c>
      <c r="H59" s="694">
        <f t="shared" si="33"/>
        <v>66149886.240000002</v>
      </c>
      <c r="I59" s="779">
        <f t="shared" si="34"/>
        <v>-1</v>
      </c>
      <c r="J59" s="533">
        <f t="shared" si="35"/>
        <v>-97.691722972972968</v>
      </c>
      <c r="K59" s="472">
        <f t="shared" si="6"/>
        <v>42</v>
      </c>
      <c r="L59" s="472">
        <f t="shared" si="7"/>
        <v>39</v>
      </c>
      <c r="M59" s="472">
        <f t="shared" si="8"/>
        <v>48</v>
      </c>
      <c r="N59" s="472">
        <f t="shared" si="9"/>
        <v>47</v>
      </c>
      <c r="O59" s="472">
        <f t="shared" si="10"/>
        <v>61</v>
      </c>
      <c r="P59" s="483">
        <f t="shared" si="45"/>
        <v>40</v>
      </c>
      <c r="Q59" s="483">
        <f t="shared" si="46"/>
        <v>12</v>
      </c>
      <c r="R59" s="483">
        <f t="shared" si="47"/>
        <v>37</v>
      </c>
      <c r="S59" s="483">
        <f t="shared" si="48"/>
        <v>2</v>
      </c>
      <c r="T59" s="483">
        <f t="shared" si="49"/>
        <v>59</v>
      </c>
      <c r="U59" s="483">
        <f t="shared" si="50"/>
        <v>150</v>
      </c>
      <c r="V59" s="483">
        <f t="shared" si="22"/>
        <v>46</v>
      </c>
      <c r="W59" s="483" t="str">
        <f t="shared" si="36"/>
        <v>-</v>
      </c>
      <c r="Y59" s="734" t="s">
        <v>520</v>
      </c>
      <c r="Z59" s="733"/>
      <c r="AA59" s="483"/>
      <c r="AB59" s="483"/>
      <c r="AS59" s="696">
        <v>-5521990</v>
      </c>
      <c r="AT59" s="696">
        <v>50841420</v>
      </c>
      <c r="AU59" s="696">
        <v>177570</v>
      </c>
      <c r="AV59" s="696">
        <v>-5783350</v>
      </c>
      <c r="AW59" s="696">
        <v>59200</v>
      </c>
      <c r="AX59" s="696">
        <v>66149886.240000002</v>
      </c>
      <c r="AY59" s="693"/>
      <c r="AZ59" s="693">
        <v>-1E-3</v>
      </c>
    </row>
    <row r="60" spans="1:52" ht="14.45">
      <c r="A60" s="480"/>
      <c r="B60" s="693" t="s">
        <v>551</v>
      </c>
      <c r="C60" s="693" t="s">
        <v>552</v>
      </c>
      <c r="D60" s="693" t="s">
        <v>415</v>
      </c>
      <c r="E60" s="693" t="s">
        <v>416</v>
      </c>
      <c r="F60" s="533">
        <f t="shared" si="31"/>
        <v>-0.35071905907511358</v>
      </c>
      <c r="G60" s="533">
        <f t="shared" si="32"/>
        <v>-2.4714148742826885E-2</v>
      </c>
      <c r="H60" s="694">
        <f t="shared" si="33"/>
        <v>474535230.88</v>
      </c>
      <c r="I60" s="779">
        <f t="shared" si="34"/>
        <v>-0.30784234983649816</v>
      </c>
      <c r="J60" s="533">
        <f t="shared" si="35"/>
        <v>-76.537787513691129</v>
      </c>
      <c r="K60" s="472">
        <f t="shared" si="6"/>
        <v>50</v>
      </c>
      <c r="L60" s="472">
        <f t="shared" si="7"/>
        <v>38</v>
      </c>
      <c r="M60" s="472">
        <f t="shared" si="8"/>
        <v>25</v>
      </c>
      <c r="N60" s="472">
        <f t="shared" si="9"/>
        <v>35</v>
      </c>
      <c r="O60" s="472">
        <f t="shared" si="10"/>
        <v>60</v>
      </c>
      <c r="P60" s="483">
        <f t="shared" si="45"/>
        <v>48</v>
      </c>
      <c r="Q60" s="483">
        <f t="shared" si="46"/>
        <v>11</v>
      </c>
      <c r="R60" s="483">
        <f t="shared" si="47"/>
        <v>14</v>
      </c>
      <c r="S60" s="483">
        <f t="shared" si="48"/>
        <v>10</v>
      </c>
      <c r="T60" s="483">
        <f t="shared" si="49"/>
        <v>58</v>
      </c>
      <c r="U60" s="483">
        <f t="shared" si="50"/>
        <v>141</v>
      </c>
      <c r="V60" s="483">
        <f t="shared" si="22"/>
        <v>37</v>
      </c>
      <c r="W60" s="483">
        <f t="shared" si="36"/>
        <v>37</v>
      </c>
      <c r="Y60" s="483" t="str">
        <f t="shared" si="43"/>
        <v/>
      </c>
      <c r="Z60" s="485"/>
      <c r="AA60" s="483"/>
      <c r="AB60" s="483"/>
      <c r="AS60" s="696">
        <v>-65602000</v>
      </c>
      <c r="AT60" s="696">
        <v>187050000</v>
      </c>
      <c r="AU60" s="696">
        <v>1727000</v>
      </c>
      <c r="AV60" s="696">
        <v>-69879000</v>
      </c>
      <c r="AW60" s="696">
        <v>913000</v>
      </c>
      <c r="AX60" s="696">
        <v>474535230.88</v>
      </c>
      <c r="AY60" s="693">
        <v>-0.12064999999999999</v>
      </c>
      <c r="AZ60" s="693">
        <v>-0.17430999999999999</v>
      </c>
    </row>
    <row r="61" spans="1:52" ht="14.45">
      <c r="A61" s="480"/>
      <c r="B61" s="693" t="s">
        <v>553</v>
      </c>
      <c r="C61" s="693" t="s">
        <v>554</v>
      </c>
      <c r="D61" s="693" t="s">
        <v>415</v>
      </c>
      <c r="E61" s="693" t="s">
        <v>416</v>
      </c>
      <c r="F61" s="533">
        <f t="shared" si="31"/>
        <v>-9.8721299955252195E-2</v>
      </c>
      <c r="G61" s="533">
        <f t="shared" si="32"/>
        <v>-1.9379265966492771E-2</v>
      </c>
      <c r="H61" s="694">
        <f t="shared" si="33"/>
        <v>53946292.169</v>
      </c>
      <c r="I61" s="779">
        <f t="shared" si="34"/>
        <v>-1</v>
      </c>
      <c r="J61" s="533">
        <f t="shared" si="35"/>
        <v>-66.729201277955269</v>
      </c>
      <c r="K61" s="472">
        <f t="shared" si="6"/>
        <v>40</v>
      </c>
      <c r="L61" s="472">
        <f t="shared" si="7"/>
        <v>37</v>
      </c>
      <c r="M61" s="472">
        <f t="shared" si="8"/>
        <v>52</v>
      </c>
      <c r="N61" s="472">
        <f t="shared" si="9"/>
        <v>47</v>
      </c>
      <c r="O61" s="472">
        <f t="shared" si="10"/>
        <v>59</v>
      </c>
      <c r="P61" s="483">
        <f t="shared" si="45"/>
        <v>38</v>
      </c>
      <c r="Q61" s="483">
        <f t="shared" si="46"/>
        <v>10</v>
      </c>
      <c r="R61" s="483">
        <f t="shared" si="47"/>
        <v>41</v>
      </c>
      <c r="S61" s="483">
        <f t="shared" si="48"/>
        <v>2</v>
      </c>
      <c r="T61" s="483">
        <f t="shared" si="49"/>
        <v>57</v>
      </c>
      <c r="U61" s="483">
        <f t="shared" si="50"/>
        <v>148</v>
      </c>
      <c r="V61" s="483">
        <f t="shared" si="22"/>
        <v>42</v>
      </c>
      <c r="W61" s="483" t="str">
        <f t="shared" si="36"/>
        <v>-</v>
      </c>
      <c r="Y61" s="734" t="s">
        <v>520</v>
      </c>
      <c r="Z61" s="733"/>
      <c r="AA61" s="483"/>
      <c r="AB61" s="483"/>
      <c r="AS61" s="696">
        <v>-5012420</v>
      </c>
      <c r="AT61" s="696">
        <v>50773440</v>
      </c>
      <c r="AU61" s="696">
        <v>101190</v>
      </c>
      <c r="AV61" s="696">
        <v>-5221560</v>
      </c>
      <c r="AW61" s="696">
        <v>78250</v>
      </c>
      <c r="AX61" s="696">
        <v>53946292.169</v>
      </c>
      <c r="AY61" s="693"/>
      <c r="AZ61" s="693">
        <v>-5.47E-3</v>
      </c>
    </row>
    <row r="62" spans="1:52" ht="14.45">
      <c r="A62" s="480"/>
      <c r="B62" s="693" t="s">
        <v>555</v>
      </c>
      <c r="C62" s="693" t="s">
        <v>556</v>
      </c>
      <c r="D62" s="693" t="s">
        <v>415</v>
      </c>
      <c r="E62" s="693" t="s">
        <v>416</v>
      </c>
      <c r="F62" s="533">
        <f t="shared" si="31"/>
        <v>-0.9381763972814906</v>
      </c>
      <c r="G62" s="533">
        <f t="shared" si="32"/>
        <v>-9.2008796770708095E-3</v>
      </c>
      <c r="H62" s="694">
        <f t="shared" si="33"/>
        <v>1651246470</v>
      </c>
      <c r="I62" s="779">
        <f t="shared" si="34"/>
        <v>-5.7142857142857162E-2</v>
      </c>
      <c r="J62" s="533">
        <f t="shared" si="35"/>
        <v>-418.12852619458835</v>
      </c>
      <c r="K62" s="472">
        <f t="shared" si="6"/>
        <v>58</v>
      </c>
      <c r="L62" s="472">
        <f t="shared" si="7"/>
        <v>34</v>
      </c>
      <c r="M62" s="472">
        <f t="shared" si="8"/>
        <v>19</v>
      </c>
      <c r="N62" s="472">
        <f t="shared" si="9"/>
        <v>24</v>
      </c>
      <c r="O62" s="472">
        <f t="shared" si="10"/>
        <v>62</v>
      </c>
      <c r="P62" s="483">
        <f t="shared" si="45"/>
        <v>56</v>
      </c>
      <c r="Q62" s="483">
        <f t="shared" si="46"/>
        <v>7</v>
      </c>
      <c r="R62" s="483">
        <f t="shared" si="47"/>
        <v>8</v>
      </c>
      <c r="S62" s="483">
        <f t="shared" si="48"/>
        <v>21</v>
      </c>
      <c r="T62" s="483">
        <f t="shared" si="49"/>
        <v>60</v>
      </c>
      <c r="U62" s="483">
        <f t="shared" si="50"/>
        <v>152</v>
      </c>
      <c r="V62" s="483">
        <f t="shared" si="22"/>
        <v>47</v>
      </c>
      <c r="W62" s="483">
        <f t="shared" si="36"/>
        <v>47</v>
      </c>
      <c r="Y62" s="483" t="str">
        <f t="shared" si="43"/>
        <v/>
      </c>
      <c r="Z62" s="485"/>
      <c r="AA62" s="483"/>
      <c r="AB62" s="483"/>
      <c r="AS62" s="696">
        <v>-29081470</v>
      </c>
      <c r="AT62" s="696">
        <v>30997870</v>
      </c>
      <c r="AU62" s="696">
        <v>267300</v>
      </c>
      <c r="AV62" s="696">
        <v>-29051570</v>
      </c>
      <c r="AW62" s="696">
        <v>69480</v>
      </c>
      <c r="AX62" s="696">
        <v>1651246470</v>
      </c>
      <c r="AY62" s="693">
        <v>-3.3000000000000002E-2</v>
      </c>
      <c r="AZ62" s="693">
        <v>-3.5000000000000003E-2</v>
      </c>
    </row>
    <row r="63" spans="1:52" ht="14.45">
      <c r="A63" s="480"/>
      <c r="B63" s="693" t="s">
        <v>557</v>
      </c>
      <c r="C63" s="693" t="s">
        <v>558</v>
      </c>
      <c r="D63" s="693" t="s">
        <v>415</v>
      </c>
      <c r="E63" s="693" t="s">
        <v>416</v>
      </c>
      <c r="F63" s="533">
        <f t="shared" si="31"/>
        <v>-6.8907004976583516E-2</v>
      </c>
      <c r="G63" s="533">
        <f t="shared" si="32"/>
        <v>-25.221914328345747</v>
      </c>
      <c r="H63" s="694">
        <f t="shared" si="33"/>
        <v>138943602.22999999</v>
      </c>
      <c r="I63" s="779">
        <f t="shared" si="34"/>
        <v>-1</v>
      </c>
      <c r="J63" s="533">
        <f t="shared" si="35"/>
        <v>-0.14976720183750436</v>
      </c>
      <c r="K63" s="472">
        <f t="shared" si="6"/>
        <v>38</v>
      </c>
      <c r="L63" s="472">
        <f t="shared" si="7"/>
        <v>62</v>
      </c>
      <c r="M63" s="472">
        <f t="shared" si="8"/>
        <v>40</v>
      </c>
      <c r="N63" s="472">
        <f t="shared" si="9"/>
        <v>47</v>
      </c>
      <c r="O63" s="472">
        <f t="shared" si="10"/>
        <v>33</v>
      </c>
      <c r="P63" s="483">
        <f t="shared" si="45"/>
        <v>36</v>
      </c>
      <c r="Q63" s="483">
        <f t="shared" si="46"/>
        <v>35</v>
      </c>
      <c r="R63" s="483">
        <f t="shared" si="47"/>
        <v>29</v>
      </c>
      <c r="S63" s="483">
        <f t="shared" si="48"/>
        <v>2</v>
      </c>
      <c r="T63" s="483">
        <f t="shared" si="49"/>
        <v>31</v>
      </c>
      <c r="U63" s="483">
        <f t="shared" si="50"/>
        <v>133</v>
      </c>
      <c r="V63" s="483">
        <f t="shared" si="22"/>
        <v>34</v>
      </c>
      <c r="W63" s="483" t="str">
        <f t="shared" si="36"/>
        <v>-</v>
      </c>
      <c r="Y63" s="734" t="s">
        <v>520</v>
      </c>
      <c r="Z63" s="733"/>
      <c r="AA63" s="483"/>
      <c r="AB63" s="483"/>
      <c r="AS63" s="696">
        <v>-11540570</v>
      </c>
      <c r="AT63" s="696">
        <v>167480360</v>
      </c>
      <c r="AU63" s="696">
        <v>229551200</v>
      </c>
      <c r="AV63" s="696">
        <v>-9101260</v>
      </c>
      <c r="AW63" s="696">
        <v>60769380</v>
      </c>
      <c r="AX63" s="696">
        <v>138943602.22999999</v>
      </c>
      <c r="AY63" s="693"/>
      <c r="AZ63" s="693">
        <v>-0.01</v>
      </c>
    </row>
    <row r="64" spans="1:52" ht="14.45">
      <c r="A64" s="727"/>
      <c r="B64" s="728" t="s">
        <v>559</v>
      </c>
      <c r="C64" s="728" t="s">
        <v>560</v>
      </c>
      <c r="D64" s="728" t="s">
        <v>415</v>
      </c>
      <c r="E64" s="728" t="s">
        <v>416</v>
      </c>
      <c r="F64" s="729">
        <f t="shared" si="31"/>
        <v>-0.23443772262113416</v>
      </c>
      <c r="G64" s="729">
        <f t="shared" si="32"/>
        <v>-2.7180453394429036</v>
      </c>
      <c r="H64" s="730">
        <f t="shared" si="33"/>
        <v>103937991.64</v>
      </c>
      <c r="I64" s="780">
        <f t="shared" si="34"/>
        <v>5.8201058201058142E-2</v>
      </c>
      <c r="J64" s="731">
        <f t="shared" si="35"/>
        <v>-0.16966733499734032</v>
      </c>
      <c r="K64" s="726">
        <f t="shared" si="6"/>
        <v>48</v>
      </c>
      <c r="L64" s="726">
        <f t="shared" si="7"/>
        <v>57</v>
      </c>
      <c r="M64" s="726">
        <f t="shared" si="8"/>
        <v>43</v>
      </c>
      <c r="N64" s="726">
        <f t="shared" si="9"/>
        <v>18</v>
      </c>
      <c r="O64" s="726">
        <f t="shared" si="10"/>
        <v>35</v>
      </c>
      <c r="P64" s="488">
        <f t="shared" ref="P64" si="51">IFERROR(ABS(K$3-K64),"N/A")</f>
        <v>46</v>
      </c>
      <c r="Q64" s="488">
        <f t="shared" ref="Q64" si="52">IFERROR(ABS(L$3-L64),"N/A")</f>
        <v>30</v>
      </c>
      <c r="R64" s="488">
        <f t="shared" ref="R64" si="53">IFERROR(ABS(M$3-M64),"N/A")</f>
        <v>32</v>
      </c>
      <c r="S64" s="488">
        <f t="shared" ref="S64" si="54">IFERROR(ABS(N$3-N64),"N/A")</f>
        <v>27</v>
      </c>
      <c r="T64" s="488">
        <f t="shared" ref="T64" si="55">IFERROR(ABS(O$3-O64),"N/A")</f>
        <v>33</v>
      </c>
      <c r="U64" s="488">
        <f t="shared" ref="U64" si="56">SUM(P64:T64)</f>
        <v>168</v>
      </c>
      <c r="V64" s="724">
        <f t="shared" si="22"/>
        <v>52</v>
      </c>
      <c r="W64" s="488">
        <f t="shared" si="36"/>
        <v>52</v>
      </c>
      <c r="Y64" s="724" t="str">
        <f t="shared" ref="Y64" si="57">IF(OR(Z64="Y",AA64="Y"),"Not suitable","")</f>
        <v/>
      </c>
      <c r="Z64" s="725" t="str">
        <f t="shared" ref="Z64" si="58">IF(OR(N64="N/A",O64="N/A"),"Y","")</f>
        <v/>
      </c>
      <c r="AA64" s="724"/>
      <c r="AB64" s="724"/>
      <c r="AS64" s="696">
        <v>-33172000</v>
      </c>
      <c r="AT64" s="696">
        <v>141496000</v>
      </c>
      <c r="AU64" s="696">
        <v>90163000</v>
      </c>
      <c r="AV64" s="696">
        <v>-33172000</v>
      </c>
      <c r="AW64" s="696">
        <v>195512000</v>
      </c>
      <c r="AX64" s="696">
        <v>103937991.64</v>
      </c>
      <c r="AY64" s="693">
        <v>-0.01</v>
      </c>
      <c r="AZ64" s="693">
        <v>-9.4500000000000001E-3</v>
      </c>
    </row>
  </sheetData>
  <mergeCells count="20">
    <mergeCell ref="AE14:AI14"/>
    <mergeCell ref="AJ14:AL14"/>
    <mergeCell ref="AM14:AN14"/>
    <mergeCell ref="AE13:AI13"/>
    <mergeCell ref="AJ13:AL13"/>
    <mergeCell ref="AM13:AN13"/>
    <mergeCell ref="AD1:AD12"/>
    <mergeCell ref="AE1:AI1"/>
    <mergeCell ref="AJ1:AL1"/>
    <mergeCell ref="AM1:AN1"/>
    <mergeCell ref="AE10:AI10"/>
    <mergeCell ref="AJ10:AN10"/>
    <mergeCell ref="AH11:AI11"/>
    <mergeCell ref="AH12:AI12"/>
    <mergeCell ref="AE9:AI9"/>
    <mergeCell ref="F1:J1"/>
    <mergeCell ref="K1:O1"/>
    <mergeCell ref="P1:T1"/>
    <mergeCell ref="U1:W1"/>
    <mergeCell ref="Y1:AB1"/>
  </mergeCells>
  <conditionalFormatting sqref="AJ14:AN14">
    <cfRule type="cellIs" dxfId="593" priority="1" operator="lessThan">
      <formula>0</formula>
    </cfRule>
    <cfRule type="cellIs" dxfId="592" priority="2" operator="greaterThan">
      <formula>0</formula>
    </cfRule>
  </conditionalFormatting>
  <dataValidations count="1">
    <dataValidation allowBlank="1" showInputMessage="1" showErrorMessage="1" prompt="Average: 0.5347106581265141" sqref="I3:I64" xr:uid="{441619D8-68EF-4763-B7AA-BE34DD4CF6E1}"/>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M100"/>
  <sheetViews>
    <sheetView showGridLines="0" topLeftCell="A7" zoomScale="80" zoomScaleNormal="80" workbookViewId="0">
      <selection activeCell="I10" sqref="I10"/>
    </sheetView>
  </sheetViews>
  <sheetFormatPr defaultColWidth="11.42578125" defaultRowHeight="13.15"/>
  <cols>
    <col min="1" max="1" width="3.42578125" style="64" bestFit="1" customWidth="1"/>
    <col min="2" max="2" width="62" style="64" customWidth="1"/>
    <col min="3" max="4" width="12.7109375" style="64" customWidth="1"/>
    <col min="5" max="5" width="11.42578125" style="64" bestFit="1" customWidth="1"/>
    <col min="6" max="6" width="11" style="64" customWidth="1"/>
    <col min="7" max="7" width="10.28515625" style="64" customWidth="1"/>
    <col min="8" max="8" width="20.28515625" style="350" customWidth="1"/>
    <col min="9" max="9" width="28.7109375" style="350" customWidth="1"/>
    <col min="10" max="10" width="70.140625" style="64" customWidth="1"/>
    <col min="11" max="11" width="34.7109375" style="64" bestFit="1" customWidth="1"/>
    <col min="12" max="12" width="21.28515625" style="64" customWidth="1"/>
    <col min="13" max="13" width="19.7109375" style="64" customWidth="1"/>
    <col min="14" max="14" width="20.7109375" style="64" bestFit="1" customWidth="1"/>
    <col min="15" max="16" width="20.7109375" style="64" customWidth="1"/>
    <col min="17" max="18" width="19.7109375" style="64" hidden="1" customWidth="1"/>
    <col min="19" max="19" width="22.28515625" style="64" hidden="1" customWidth="1"/>
    <col min="20" max="20" width="13.42578125" style="64" bestFit="1" customWidth="1"/>
    <col min="21" max="23" width="18.7109375" style="64" bestFit="1" customWidth="1"/>
    <col min="24" max="24" width="20.28515625" style="64" bestFit="1" customWidth="1"/>
    <col min="25" max="25" width="18.42578125" style="64" bestFit="1" customWidth="1"/>
    <col min="26" max="26" width="18.7109375" style="64" bestFit="1" customWidth="1"/>
    <col min="27" max="27" width="16.42578125" style="64" bestFit="1" customWidth="1"/>
    <col min="28" max="28" width="18.7109375" style="64" bestFit="1" customWidth="1"/>
    <col min="29" max="29" width="20.28515625" style="64" bestFit="1" customWidth="1"/>
    <col min="30" max="30" width="13.7109375" style="64" bestFit="1" customWidth="1"/>
    <col min="31" max="33" width="18.7109375" style="64" bestFit="1" customWidth="1"/>
    <col min="34" max="34" width="20.28515625" style="64" bestFit="1" customWidth="1"/>
    <col min="35" max="35" width="11.42578125" style="64" bestFit="1" customWidth="1"/>
    <col min="36" max="36" width="20.28515625" style="64" bestFit="1" customWidth="1"/>
    <col min="37" max="37" width="13.7109375" style="64" bestFit="1" customWidth="1"/>
    <col min="38" max="39" width="11.42578125" style="64"/>
    <col min="40" max="42" width="12.7109375" style="64" bestFit="1" customWidth="1"/>
    <col min="43" max="43" width="13.7109375" style="64" bestFit="1" customWidth="1"/>
    <col min="44" max="45" width="11.42578125" style="64"/>
    <col min="46" max="46" width="13.7109375" style="64" bestFit="1" customWidth="1"/>
    <col min="47" max="16384" width="11.42578125" style="64"/>
  </cols>
  <sheetData>
    <row r="1" spans="1:37">
      <c r="B1" s="182" t="s">
        <v>561</v>
      </c>
      <c r="C1" s="68"/>
      <c r="D1" s="68"/>
      <c r="E1" s="68"/>
      <c r="F1" s="68"/>
      <c r="G1" s="68"/>
      <c r="H1" s="345"/>
      <c r="I1" s="345"/>
      <c r="J1" s="68"/>
    </row>
    <row r="2" spans="1:37" ht="13.9" thickBot="1">
      <c r="B2" s="74" t="s">
        <v>562</v>
      </c>
      <c r="C2" s="183" t="s">
        <v>563</v>
      </c>
      <c r="D2" s="68"/>
      <c r="E2" s="68"/>
      <c r="F2" s="68"/>
      <c r="G2" s="68"/>
      <c r="H2" s="345"/>
      <c r="I2" s="345"/>
      <c r="J2" s="68"/>
      <c r="U2"/>
      <c r="V2" s="352"/>
      <c r="W2" s="352"/>
      <c r="X2" s="352"/>
      <c r="Y2" s="352"/>
      <c r="Z2" s="352"/>
      <c r="AA2" s="352"/>
      <c r="AB2" s="352"/>
      <c r="AC2" s="352"/>
      <c r="AD2" s="352"/>
      <c r="AE2" s="352"/>
      <c r="AF2" s="352"/>
      <c r="AG2" s="352"/>
      <c r="AH2" s="352"/>
      <c r="AI2" s="352"/>
      <c r="AJ2" s="352"/>
    </row>
    <row r="3" spans="1:37" ht="21.6" thickBot="1">
      <c r="B3" s="1460" t="s">
        <v>564</v>
      </c>
      <c r="C3" s="1460"/>
      <c r="D3" s="1460"/>
      <c r="E3" s="1460"/>
      <c r="F3" s="1460"/>
      <c r="G3" s="1460"/>
      <c r="H3" s="1460"/>
      <c r="I3" s="1460"/>
      <c r="J3" s="1460"/>
      <c r="K3" s="1461" t="s">
        <v>565</v>
      </c>
      <c r="L3" s="1461"/>
      <c r="M3" s="1461"/>
      <c r="N3" s="1461"/>
      <c r="O3" s="1461"/>
      <c r="P3" s="1461"/>
      <c r="Q3" s="1461"/>
      <c r="R3" s="1461"/>
      <c r="S3" s="1461"/>
      <c r="U3" s="352"/>
      <c r="V3" s="352"/>
      <c r="W3" s="352"/>
      <c r="X3" s="352"/>
      <c r="Y3" s="352"/>
      <c r="Z3" s="352"/>
      <c r="AA3" s="352"/>
      <c r="AB3" s="352"/>
      <c r="AC3" s="352"/>
      <c r="AD3" s="352"/>
      <c r="AE3" s="352"/>
      <c r="AF3" s="352"/>
      <c r="AG3" s="352"/>
      <c r="AH3" s="352"/>
      <c r="AI3" s="352"/>
      <c r="AJ3" s="352"/>
    </row>
    <row r="4" spans="1:37" ht="31.9" thickBot="1">
      <c r="B4" s="173" t="s">
        <v>566</v>
      </c>
      <c r="C4" s="202" t="s">
        <v>567</v>
      </c>
      <c r="D4" s="202" t="s">
        <v>568</v>
      </c>
      <c r="E4" s="202" t="s">
        <v>569</v>
      </c>
      <c r="F4" s="202" t="s">
        <v>570</v>
      </c>
      <c r="G4" s="202" t="s">
        <v>571</v>
      </c>
      <c r="H4" s="174" t="s">
        <v>572</v>
      </c>
      <c r="I4" s="174" t="s">
        <v>573</v>
      </c>
      <c r="J4" s="175" t="s">
        <v>574</v>
      </c>
      <c r="K4" s="173" t="s">
        <v>566</v>
      </c>
      <c r="L4" s="531" t="e" vm="1">
        <f>Peers!C8</f>
        <v>#VALUE!</v>
      </c>
      <c r="M4" s="531" t="e" vm="2">
        <f>Peers!D8</f>
        <v>#VALUE!</v>
      </c>
      <c r="N4" s="531" t="e" vm="3">
        <f>Peers!E8</f>
        <v>#VALUE!</v>
      </c>
      <c r="O4" s="530" t="e" vm="4">
        <f>Peers!F8</f>
        <v>#VALUE!</v>
      </c>
      <c r="P4" s="530" t="e" vm="5">
        <f>Peers!G8</f>
        <v>#VALUE!</v>
      </c>
      <c r="Q4" s="530" t="e">
        <f>Peers!#REF!</f>
        <v>#REF!</v>
      </c>
      <c r="R4" s="205" t="e">
        <f>Peers!#REF!</f>
        <v>#REF!</v>
      </c>
      <c r="S4" s="205" t="e">
        <f>Peers!#REF!</f>
        <v>#REF!</v>
      </c>
      <c r="T4" s="574" t="s">
        <v>242</v>
      </c>
      <c r="U4" s="352"/>
      <c r="V4" s="352"/>
      <c r="W4" s="352"/>
      <c r="X4" s="352"/>
      <c r="Y4" s="352"/>
      <c r="Z4" s="352"/>
      <c r="AA4" s="352"/>
      <c r="AB4" s="352"/>
      <c r="AC4" s="352"/>
      <c r="AD4" s="352"/>
      <c r="AE4" s="352"/>
      <c r="AF4" s="352"/>
      <c r="AG4" s="352"/>
      <c r="AH4" s="352"/>
      <c r="AI4" s="352"/>
      <c r="AJ4" s="352"/>
    </row>
    <row r="5" spans="1:37" ht="14.45" thickBot="1">
      <c r="B5" s="184" t="s">
        <v>575</v>
      </c>
      <c r="C5" s="185"/>
      <c r="D5" s="186"/>
      <c r="E5" s="186"/>
      <c r="F5" s="186"/>
      <c r="G5" s="186"/>
      <c r="H5" s="346"/>
      <c r="I5" s="346"/>
      <c r="J5" s="187"/>
      <c r="K5" s="184" t="s">
        <v>576</v>
      </c>
      <c r="L5" s="186"/>
      <c r="M5" s="186"/>
      <c r="N5" s="186"/>
      <c r="O5" s="186"/>
      <c r="P5" s="186"/>
      <c r="Q5" s="186"/>
      <c r="R5" s="187"/>
      <c r="S5" s="187"/>
      <c r="T5" s="186"/>
    </row>
    <row r="6" spans="1:37" ht="81.599999999999994" customHeight="1" thickBot="1">
      <c r="A6" s="64">
        <v>1</v>
      </c>
      <c r="B6" s="178" t="s">
        <v>577</v>
      </c>
      <c r="C6" s="176" t="str">
        <f>VLOOKUP($B$2,'Sector Impact'!$K$4:$AA$16,A6+1,FALSE)</f>
        <v>Very High</v>
      </c>
      <c r="D6" s="176" t="s">
        <v>578</v>
      </c>
      <c r="E6" s="799" t="s">
        <v>579</v>
      </c>
      <c r="F6" s="800" t="s">
        <v>578</v>
      </c>
      <c r="G6" s="437"/>
      <c r="H6" s="1090" t="s">
        <v>578</v>
      </c>
      <c r="I6" s="1096" t="s">
        <v>580</v>
      </c>
      <c r="J6" s="177" t="s">
        <v>581</v>
      </c>
      <c r="K6" s="178" t="s">
        <v>582</v>
      </c>
      <c r="L6" s="1046">
        <f t="shared" ref="L6:Q9" si="0">IFERROR(L12/L$11,"N/A")</f>
        <v>36.699803149606296</v>
      </c>
      <c r="M6" s="1046">
        <f t="shared" si="0"/>
        <v>200.41407867494823</v>
      </c>
      <c r="N6" s="1046">
        <f t="shared" si="0"/>
        <v>131.67522886854502</v>
      </c>
      <c r="O6" s="1046" t="str">
        <f t="shared" si="0"/>
        <v>N/A</v>
      </c>
      <c r="P6" s="1046" t="str">
        <f t="shared" si="0"/>
        <v>N/A</v>
      </c>
      <c r="Q6" s="576" t="str">
        <f t="shared" si="0"/>
        <v>N/A</v>
      </c>
      <c r="R6" s="575" t="e">
        <f t="shared" ref="R6:S9" si="1">R12/R$11</f>
        <v>#DIV/0!</v>
      </c>
      <c r="S6" s="575" t="e">
        <f t="shared" si="1"/>
        <v>#DIV/0!</v>
      </c>
      <c r="T6" s="1101">
        <f>IFERROR(AVERAGE(L6:Q6),"")</f>
        <v>122.92970356436653</v>
      </c>
    </row>
    <row r="7" spans="1:37" s="68" customFormat="1" ht="75" customHeight="1" thickBot="1">
      <c r="A7" s="68">
        <v>2</v>
      </c>
      <c r="B7" s="178" t="s">
        <v>583</v>
      </c>
      <c r="C7" s="176" t="str">
        <f>VLOOKUP($B$2,'Sector Impact'!$K$4:$AA$16,A7+1,FALSE)</f>
        <v>Very High</v>
      </c>
      <c r="D7" s="797" t="s">
        <v>584</v>
      </c>
      <c r="E7" s="176" t="s">
        <v>88</v>
      </c>
      <c r="F7" s="176" t="s">
        <v>88</v>
      </c>
      <c r="G7" s="798"/>
      <c r="H7" s="176" t="s">
        <v>88</v>
      </c>
      <c r="I7" s="176" t="s">
        <v>88</v>
      </c>
      <c r="J7" s="177" t="s">
        <v>585</v>
      </c>
      <c r="K7" s="178" t="s">
        <v>586</v>
      </c>
      <c r="L7" s="1046">
        <f t="shared" si="0"/>
        <v>1072.8346456692914</v>
      </c>
      <c r="M7" s="1046">
        <f t="shared" si="0"/>
        <v>786.74948240165634</v>
      </c>
      <c r="N7" s="1046">
        <f t="shared" si="0"/>
        <v>2611.1141231890497</v>
      </c>
      <c r="O7" s="1046" t="str">
        <f t="shared" si="0"/>
        <v>N/A</v>
      </c>
      <c r="P7" s="1046" t="str">
        <f t="shared" si="0"/>
        <v>N/A</v>
      </c>
      <c r="Q7" s="576" t="str">
        <f t="shared" si="0"/>
        <v>N/A</v>
      </c>
      <c r="R7" s="575" t="e">
        <f t="shared" si="1"/>
        <v>#DIV/0!</v>
      </c>
      <c r="S7" s="575" t="e">
        <f t="shared" si="1"/>
        <v>#DIV/0!</v>
      </c>
      <c r="T7" s="1101">
        <f t="shared" ref="T7:T9" si="2">IFERROR(AVERAGE(L7:Q7),"")</f>
        <v>1490.2327504199991</v>
      </c>
      <c r="U7" s="64"/>
      <c r="V7" s="64"/>
      <c r="W7" s="64"/>
      <c r="X7" s="64"/>
      <c r="Y7" s="64"/>
      <c r="Z7" s="64"/>
      <c r="AA7" s="64"/>
      <c r="AB7" s="64"/>
      <c r="AC7" s="64"/>
      <c r="AD7" s="64"/>
      <c r="AE7" s="64"/>
      <c r="AF7" s="64"/>
      <c r="AG7" s="64"/>
      <c r="AH7" s="64"/>
      <c r="AI7" s="64"/>
      <c r="AJ7" s="64"/>
    </row>
    <row r="8" spans="1:37" ht="36.6" customHeight="1" thickBot="1">
      <c r="A8" s="64">
        <v>3</v>
      </c>
      <c r="B8" s="178" t="s">
        <v>587</v>
      </c>
      <c r="C8" s="176" t="str">
        <f>VLOOKUP($B$2,'Sector Impact'!$K$4:$AA$16,A8+1,FALSE)</f>
        <v>Very High</v>
      </c>
      <c r="D8" s="797" t="s">
        <v>584</v>
      </c>
      <c r="E8" s="176" t="s">
        <v>88</v>
      </c>
      <c r="F8" s="176" t="s">
        <v>578</v>
      </c>
      <c r="G8" s="820"/>
      <c r="H8" s="176" t="s">
        <v>88</v>
      </c>
      <c r="I8" s="177" t="s">
        <v>588</v>
      </c>
      <c r="J8" s="1094" t="s">
        <v>589</v>
      </c>
      <c r="K8" s="178" t="s">
        <v>590</v>
      </c>
      <c r="L8" s="1046">
        <f t="shared" si="0"/>
        <v>370.91633858267716</v>
      </c>
      <c r="M8" s="1046">
        <f t="shared" si="0"/>
        <v>959.28226363008969</v>
      </c>
      <c r="N8" s="1046">
        <f t="shared" si="0"/>
        <v>665.08630343969423</v>
      </c>
      <c r="O8" s="1046" t="str">
        <f t="shared" si="0"/>
        <v>N/A</v>
      </c>
      <c r="P8" s="1046" t="str">
        <f t="shared" si="0"/>
        <v>N/A</v>
      </c>
      <c r="Q8" s="576" t="str">
        <f t="shared" si="0"/>
        <v>N/A</v>
      </c>
      <c r="R8" s="575" t="e">
        <f t="shared" si="1"/>
        <v>#DIV/0!</v>
      </c>
      <c r="S8" s="575" t="e">
        <f t="shared" si="1"/>
        <v>#DIV/0!</v>
      </c>
      <c r="T8" s="1101">
        <f>IFERROR(AVERAGE(L8:Q8),"N/A")</f>
        <v>665.09496855082034</v>
      </c>
    </row>
    <row r="9" spans="1:37" ht="59.45" customHeight="1" thickBot="1">
      <c r="A9" s="64">
        <v>4</v>
      </c>
      <c r="B9" s="178" t="s">
        <v>591</v>
      </c>
      <c r="C9" s="176" t="str">
        <f>VLOOKUP($B$2,'Sector Impact'!$K$4:$AA$16,A9+1,FALSE)</f>
        <v>Very High</v>
      </c>
      <c r="D9" s="176" t="s">
        <v>578</v>
      </c>
      <c r="E9" s="795" t="s">
        <v>592</v>
      </c>
      <c r="F9" s="796" t="s">
        <v>584</v>
      </c>
      <c r="G9" s="436"/>
      <c r="H9" s="1090" t="s">
        <v>578</v>
      </c>
      <c r="I9" s="176" t="s">
        <v>88</v>
      </c>
      <c r="J9" s="179" t="s">
        <v>593</v>
      </c>
      <c r="K9" s="178" t="s">
        <v>594</v>
      </c>
      <c r="L9" s="1046">
        <f t="shared" si="0"/>
        <v>2.4279035433070866</v>
      </c>
      <c r="M9" s="1046">
        <f t="shared" si="0"/>
        <v>0.6211180124223602</v>
      </c>
      <c r="N9" s="1046">
        <f t="shared" si="0"/>
        <v>1.7933517020709271</v>
      </c>
      <c r="O9" s="1046" t="str">
        <f t="shared" si="0"/>
        <v>N/A</v>
      </c>
      <c r="P9" s="1046" t="str">
        <f t="shared" si="0"/>
        <v>N/A</v>
      </c>
      <c r="Q9" s="576" t="str">
        <f t="shared" si="0"/>
        <v>N/A</v>
      </c>
      <c r="R9" s="575" t="e">
        <f t="shared" si="1"/>
        <v>#DIV/0!</v>
      </c>
      <c r="S9" s="575" t="e">
        <f t="shared" si="1"/>
        <v>#DIV/0!</v>
      </c>
      <c r="T9" s="1101">
        <f t="shared" si="2"/>
        <v>1.6141244192667912</v>
      </c>
    </row>
    <row r="10" spans="1:37" ht="67.150000000000006" customHeight="1" thickBot="1">
      <c r="A10" s="64">
        <v>5</v>
      </c>
      <c r="B10" s="178" t="s">
        <v>595</v>
      </c>
      <c r="C10" s="176" t="str">
        <f>VLOOKUP($B$2,'Sector Impact'!$K$4:$AA$16,A10+1,FALSE)</f>
        <v>High</v>
      </c>
      <c r="D10" s="176" t="s">
        <v>584</v>
      </c>
      <c r="E10" s="176"/>
      <c r="F10" s="188"/>
      <c r="G10" s="437"/>
      <c r="H10" s="176" t="s">
        <v>88</v>
      </c>
      <c r="I10" s="177" t="s">
        <v>596</v>
      </c>
      <c r="J10" s="177" t="s">
        <v>597</v>
      </c>
      <c r="K10" s="184" t="s">
        <v>598</v>
      </c>
      <c r="L10" s="186"/>
      <c r="M10" s="186"/>
      <c r="N10" s="186"/>
      <c r="O10" s="186"/>
      <c r="P10" s="187"/>
      <c r="Q10" s="186"/>
      <c r="R10" s="186"/>
      <c r="S10" s="187"/>
    </row>
    <row r="11" spans="1:37" ht="18" thickBot="1">
      <c r="B11" s="184" t="s">
        <v>599</v>
      </c>
      <c r="C11" s="181"/>
      <c r="D11" s="181"/>
      <c r="E11" s="189"/>
      <c r="F11" s="663"/>
      <c r="G11" s="190"/>
      <c r="H11" s="1091"/>
      <c r="I11" s="347"/>
      <c r="J11" s="191"/>
      <c r="K11" s="178" t="s">
        <v>135</v>
      </c>
      <c r="L11" s="1098">
        <f>Peers!C61</f>
        <v>4064</v>
      </c>
      <c r="M11" s="1098">
        <f>Peers!D61</f>
        <v>14490</v>
      </c>
      <c r="N11" s="1098">
        <f>Peers!E61</f>
        <v>11251</v>
      </c>
      <c r="O11" s="1098">
        <f>Peers!F61</f>
        <v>4779.1000000000004</v>
      </c>
      <c r="P11" s="1098">
        <f>Peers!G61</f>
        <v>1795.8</v>
      </c>
      <c r="Q11" s="801"/>
      <c r="R11" s="335"/>
      <c r="S11" s="335"/>
      <c r="T11" s="565"/>
    </row>
    <row r="12" spans="1:37" ht="18" thickBot="1">
      <c r="A12" s="64">
        <v>6</v>
      </c>
      <c r="B12" s="178" t="s">
        <v>600</v>
      </c>
      <c r="C12" s="176" t="str">
        <f>VLOOKUP($B$2,'Sector Impact'!$K$4:$AA$16,A12+1,FALSE)</f>
        <v>High</v>
      </c>
      <c r="D12" s="176"/>
      <c r="E12" s="176"/>
      <c r="F12" s="188"/>
      <c r="G12" s="437"/>
      <c r="H12" s="176" t="s">
        <v>88</v>
      </c>
      <c r="I12" s="176" t="s">
        <v>88</v>
      </c>
      <c r="J12" s="176" t="s">
        <v>88</v>
      </c>
      <c r="K12" s="178" t="s">
        <v>601</v>
      </c>
      <c r="L12" s="1099">
        <v>149148</v>
      </c>
      <c r="M12" s="1098">
        <v>2904000</v>
      </c>
      <c r="N12" s="1098">
        <v>1481478</v>
      </c>
      <c r="O12" s="1100" t="s">
        <v>88</v>
      </c>
      <c r="P12" s="1098" t="s">
        <v>88</v>
      </c>
      <c r="Q12" s="802"/>
      <c r="R12" s="577"/>
      <c r="S12" s="577"/>
      <c r="T12" s="578"/>
    </row>
    <row r="13" spans="1:37" ht="18" thickBot="1">
      <c r="A13" s="64">
        <v>7</v>
      </c>
      <c r="B13" s="178" t="s">
        <v>602</v>
      </c>
      <c r="C13" s="176" t="str">
        <f>VLOOKUP($B$2,'Sector Impact'!$K$4:$AA$16,A13+1,FALSE)</f>
        <v>High</v>
      </c>
      <c r="D13" s="176" t="s">
        <v>578</v>
      </c>
      <c r="E13" s="176" t="s">
        <v>603</v>
      </c>
      <c r="F13" s="193" t="s">
        <v>584</v>
      </c>
      <c r="G13" s="437"/>
      <c r="H13" s="1090" t="s">
        <v>604</v>
      </c>
      <c r="I13" s="176" t="s">
        <v>88</v>
      </c>
      <c r="J13" s="194" t="s">
        <v>605</v>
      </c>
      <c r="K13" s="178" t="s">
        <v>606</v>
      </c>
      <c r="L13" s="1098">
        <v>4360000</v>
      </c>
      <c r="M13" s="1098">
        <v>11400000</v>
      </c>
      <c r="N13" s="1098">
        <v>29377645</v>
      </c>
      <c r="O13" s="1100" t="s">
        <v>88</v>
      </c>
      <c r="P13" s="1098" t="s">
        <v>88</v>
      </c>
      <c r="Q13" s="802"/>
      <c r="R13" s="577"/>
      <c r="S13" s="577"/>
      <c r="T13" s="578"/>
    </row>
    <row r="14" spans="1:37" ht="18" thickBot="1">
      <c r="A14" s="64">
        <v>8</v>
      </c>
      <c r="B14" s="195" t="s">
        <v>607</v>
      </c>
      <c r="C14" s="176" t="str">
        <f>VLOOKUP($B$2,'Sector Impact'!$K$4:$AA$16,A14+1,FALSE)</f>
        <v>Medium</v>
      </c>
      <c r="D14" s="176" t="s">
        <v>584</v>
      </c>
      <c r="E14" s="176" t="s">
        <v>603</v>
      </c>
      <c r="F14" s="188" t="s">
        <v>584</v>
      </c>
      <c r="G14" s="786"/>
      <c r="H14" s="1090" t="s">
        <v>578</v>
      </c>
      <c r="I14" s="176" t="s">
        <v>88</v>
      </c>
      <c r="J14" s="176" t="s">
        <v>88</v>
      </c>
      <c r="K14" s="178" t="s">
        <v>608</v>
      </c>
      <c r="L14" s="1098">
        <v>1507404</v>
      </c>
      <c r="M14" s="1098">
        <v>13900000</v>
      </c>
      <c r="N14" s="1098">
        <v>7482886</v>
      </c>
      <c r="O14" s="1100" t="s">
        <v>88</v>
      </c>
      <c r="P14" s="1098" t="s">
        <v>88</v>
      </c>
      <c r="Q14" s="802"/>
      <c r="R14" s="577"/>
      <c r="S14" s="577"/>
      <c r="T14" s="578"/>
    </row>
    <row r="15" spans="1:37" ht="27" thickBot="1">
      <c r="A15" s="64">
        <v>9</v>
      </c>
      <c r="B15" s="195" t="s">
        <v>609</v>
      </c>
      <c r="C15" s="176" t="str">
        <f>VLOOKUP($B$2,'Sector Impact'!$K$4:$AA$16,A15+1,FALSE)</f>
        <v>High</v>
      </c>
      <c r="D15" s="176" t="s">
        <v>584</v>
      </c>
      <c r="E15" s="176" t="s">
        <v>592</v>
      </c>
      <c r="F15" s="188" t="s">
        <v>578</v>
      </c>
      <c r="G15" s="436"/>
      <c r="H15" s="1092" t="s">
        <v>584</v>
      </c>
      <c r="I15" s="176" t="s">
        <v>88</v>
      </c>
      <c r="J15" s="194" t="s">
        <v>610</v>
      </c>
      <c r="K15" s="178" t="s">
        <v>611</v>
      </c>
      <c r="L15" s="1099">
        <v>9867</v>
      </c>
      <c r="M15" s="1098">
        <v>9000</v>
      </c>
      <c r="N15" s="1098">
        <v>20177</v>
      </c>
      <c r="O15" s="1100" t="s">
        <v>88</v>
      </c>
      <c r="P15" s="1098" t="s">
        <v>88</v>
      </c>
      <c r="Q15" s="802"/>
      <c r="R15" s="577"/>
      <c r="S15" s="577"/>
      <c r="T15" s="578"/>
      <c r="AK15" s="561"/>
    </row>
    <row r="16" spans="1:37" ht="27" thickBot="1">
      <c r="A16" s="64">
        <v>10</v>
      </c>
      <c r="B16" s="178" t="s">
        <v>612</v>
      </c>
      <c r="C16" s="176" t="str">
        <f>VLOOKUP($B$2,'Sector Impact'!$K$4:$AA$16,A16+1,FALSE)</f>
        <v>Low</v>
      </c>
      <c r="D16" s="176" t="s">
        <v>578</v>
      </c>
      <c r="E16" s="176" t="s">
        <v>592</v>
      </c>
      <c r="F16" s="188" t="s">
        <v>578</v>
      </c>
      <c r="G16" s="436"/>
      <c r="H16" s="1090" t="s">
        <v>578</v>
      </c>
      <c r="I16" s="348"/>
      <c r="J16" s="789" t="s">
        <v>613</v>
      </c>
      <c r="K16" s="184" t="s">
        <v>614</v>
      </c>
      <c r="L16" s="186"/>
      <c r="M16" s="186"/>
      <c r="N16" s="186"/>
      <c r="O16" s="186"/>
      <c r="P16" s="187"/>
      <c r="Q16" s="186"/>
      <c r="R16" s="187"/>
      <c r="S16" s="187"/>
    </row>
    <row r="17" spans="1:39" ht="14.45" thickBot="1">
      <c r="A17" s="64">
        <v>11</v>
      </c>
      <c r="B17" s="178" t="s">
        <v>615</v>
      </c>
      <c r="C17" s="176" t="str">
        <f>VLOOKUP($B$2,'Sector Impact'!$K$4:$AA$16,A17+1,FALSE)</f>
        <v>Very High</v>
      </c>
      <c r="D17" s="196" t="s">
        <v>578</v>
      </c>
      <c r="E17" s="196" t="s">
        <v>616</v>
      </c>
      <c r="F17" s="196" t="s">
        <v>578</v>
      </c>
      <c r="G17" s="437"/>
      <c r="H17" s="1090" t="s">
        <v>578</v>
      </c>
      <c r="I17" s="348"/>
      <c r="J17" s="176" t="s">
        <v>88</v>
      </c>
      <c r="K17" s="178" t="s">
        <v>617</v>
      </c>
      <c r="L17" s="580">
        <v>44</v>
      </c>
      <c r="M17" s="579">
        <v>72</v>
      </c>
      <c r="N17" s="579">
        <v>81</v>
      </c>
      <c r="O17" s="579" t="s">
        <v>88</v>
      </c>
      <c r="P17" s="579" t="s">
        <v>88</v>
      </c>
      <c r="Q17" s="579"/>
      <c r="R17" s="203"/>
      <c r="S17" s="203"/>
      <c r="T17" s="352"/>
      <c r="AK17" s="352"/>
      <c r="AL17" s="352"/>
      <c r="AM17" s="352"/>
    </row>
    <row r="18" spans="1:39" ht="40.15" thickBot="1">
      <c r="A18" s="64">
        <v>12</v>
      </c>
      <c r="B18" s="178" t="s">
        <v>618</v>
      </c>
      <c r="C18" s="176" t="str">
        <f>VLOOKUP($B$2,'Sector Impact'!$K$4:$AA$16,A18+1,FALSE)</f>
        <v>Medium</v>
      </c>
      <c r="D18" s="176" t="s">
        <v>578</v>
      </c>
      <c r="E18" s="176" t="s">
        <v>603</v>
      </c>
      <c r="F18" s="188" t="s">
        <v>578</v>
      </c>
      <c r="G18" s="786"/>
      <c r="H18" s="1092" t="s">
        <v>578</v>
      </c>
      <c r="I18" s="176" t="s">
        <v>88</v>
      </c>
      <c r="J18" s="1095" t="s">
        <v>619</v>
      </c>
      <c r="K18" s="178" t="s">
        <v>620</v>
      </c>
      <c r="L18" s="579" t="s">
        <v>621</v>
      </c>
      <c r="M18" s="579" t="s">
        <v>622</v>
      </c>
      <c r="N18" s="579" t="s">
        <v>623</v>
      </c>
      <c r="O18" s="579" t="s">
        <v>624</v>
      </c>
      <c r="P18" s="579" t="s">
        <v>625</v>
      </c>
      <c r="Q18" s="579"/>
      <c r="R18" s="203"/>
      <c r="S18" s="203"/>
      <c r="T18" s="352"/>
      <c r="AK18" s="352"/>
      <c r="AL18" s="352"/>
      <c r="AM18" s="352"/>
    </row>
    <row r="19" spans="1:39" ht="70.900000000000006" customHeight="1" thickBot="1">
      <c r="A19" s="64">
        <v>13</v>
      </c>
      <c r="B19" s="178" t="s">
        <v>626</v>
      </c>
      <c r="C19" s="176" t="str">
        <f>VLOOKUP($B$2,'Sector Impact'!$K$4:$AA$16,A19+1,FALSE)</f>
        <v>Medium</v>
      </c>
      <c r="D19" s="176" t="s">
        <v>578</v>
      </c>
      <c r="E19" s="176" t="s">
        <v>603</v>
      </c>
      <c r="F19" s="188" t="s">
        <v>584</v>
      </c>
      <c r="G19" s="437"/>
      <c r="H19" s="1090" t="s">
        <v>584</v>
      </c>
      <c r="I19" s="348"/>
      <c r="J19" s="194" t="s">
        <v>627</v>
      </c>
      <c r="K19" s="178" t="s">
        <v>628</v>
      </c>
      <c r="L19" s="579" t="s">
        <v>629</v>
      </c>
      <c r="M19" s="579" t="s">
        <v>630</v>
      </c>
      <c r="N19" s="579" t="s">
        <v>629</v>
      </c>
      <c r="O19" s="579" t="s">
        <v>629</v>
      </c>
      <c r="P19" s="579" t="s">
        <v>629</v>
      </c>
      <c r="Q19" s="579"/>
      <c r="R19" s="204"/>
      <c r="S19" s="204"/>
      <c r="T19" s="352"/>
      <c r="AK19" s="352"/>
      <c r="AL19" s="352"/>
      <c r="AM19" s="352"/>
    </row>
    <row r="20" spans="1:39" ht="27" thickBot="1">
      <c r="A20" s="64">
        <v>14</v>
      </c>
      <c r="B20" s="178" t="s">
        <v>631</v>
      </c>
      <c r="C20" s="176" t="str">
        <f>VLOOKUP($B$2,'Sector Impact'!$K$4:$AA$16,A20+1,FALSE)</f>
        <v>Very High</v>
      </c>
      <c r="D20" s="176" t="s">
        <v>578</v>
      </c>
      <c r="E20" s="176" t="s">
        <v>603</v>
      </c>
      <c r="F20" s="661" t="s">
        <v>584</v>
      </c>
      <c r="G20" s="436"/>
      <c r="H20" s="1093" t="s">
        <v>578</v>
      </c>
      <c r="I20" s="176" t="s">
        <v>88</v>
      </c>
      <c r="J20" s="194" t="s">
        <v>632</v>
      </c>
      <c r="K20" s="178" t="s">
        <v>633</v>
      </c>
      <c r="L20" s="579" t="s">
        <v>634</v>
      </c>
      <c r="M20" s="579" t="s">
        <v>635</v>
      </c>
      <c r="N20" s="579" t="s">
        <v>636</v>
      </c>
      <c r="O20" s="579" t="s">
        <v>88</v>
      </c>
      <c r="P20" s="579" t="s">
        <v>88</v>
      </c>
      <c r="Q20" s="579"/>
      <c r="R20" s="203"/>
      <c r="S20" s="203"/>
      <c r="V20" s="72"/>
    </row>
    <row r="21" spans="1:39" ht="13.9" thickBot="1">
      <c r="A21" s="64">
        <v>15</v>
      </c>
      <c r="B21" s="178" t="s">
        <v>637</v>
      </c>
      <c r="C21" s="176" t="str">
        <f>VLOOKUP($B$2,'Sector Impact'!$K$4:$AA$16,A21+1,FALSE)</f>
        <v>High</v>
      </c>
      <c r="D21" s="176" t="s">
        <v>578</v>
      </c>
      <c r="E21" s="176" t="s">
        <v>603</v>
      </c>
      <c r="F21" s="188" t="s">
        <v>584</v>
      </c>
      <c r="G21" s="437"/>
      <c r="H21" s="1090" t="s">
        <v>584</v>
      </c>
      <c r="I21" s="348"/>
      <c r="J21" s="176" t="s">
        <v>88</v>
      </c>
      <c r="V21" s="72"/>
    </row>
    <row r="22" spans="1:39" ht="16.149999999999999" customHeight="1" thickBot="1">
      <c r="A22" s="64">
        <v>16</v>
      </c>
      <c r="B22" s="178" t="s">
        <v>638</v>
      </c>
      <c r="C22" s="180" t="str">
        <f>VLOOKUP($B$2,'Sector Impact'!$K$4:$AA$16,A22+1,FALSE)</f>
        <v>Medium</v>
      </c>
      <c r="D22" s="176" t="s">
        <v>578</v>
      </c>
      <c r="E22" s="176" t="s">
        <v>603</v>
      </c>
      <c r="F22" s="188" t="s">
        <v>584</v>
      </c>
      <c r="G22" s="436"/>
      <c r="H22" s="1092" t="s">
        <v>584</v>
      </c>
      <c r="I22" s="176" t="s">
        <v>88</v>
      </c>
      <c r="J22" s="179" t="s">
        <v>639</v>
      </c>
      <c r="V22" s="72"/>
    </row>
    <row r="23" spans="1:39" ht="14.45" thickBot="1">
      <c r="B23" s="184" t="s">
        <v>640</v>
      </c>
      <c r="C23" s="197"/>
      <c r="D23" s="181"/>
      <c r="E23" s="189"/>
      <c r="F23" s="189"/>
      <c r="G23" s="190"/>
      <c r="H23" s="1091"/>
      <c r="I23" s="347"/>
      <c r="J23" s="191"/>
      <c r="K23" s="1462" t="s">
        <v>641</v>
      </c>
      <c r="L23" s="1463"/>
      <c r="M23" s="1464"/>
      <c r="U23"/>
      <c r="V23"/>
      <c r="W23"/>
      <c r="X23"/>
      <c r="Y23"/>
      <c r="Z23"/>
      <c r="AA23"/>
      <c r="AB23"/>
      <c r="AC23"/>
    </row>
    <row r="24" spans="1:39" ht="40.15" thickBot="1">
      <c r="A24" s="64">
        <v>17</v>
      </c>
      <c r="B24" s="178" t="s">
        <v>642</v>
      </c>
      <c r="C24" s="198"/>
      <c r="D24" s="199"/>
      <c r="E24" s="193" t="s">
        <v>592</v>
      </c>
      <c r="F24" s="193" t="s">
        <v>578</v>
      </c>
      <c r="G24" s="437"/>
      <c r="H24" s="1090" t="s">
        <v>584</v>
      </c>
      <c r="I24" s="348"/>
      <c r="J24" s="200" t="s">
        <v>643</v>
      </c>
      <c r="K24" s="225" t="s">
        <v>644</v>
      </c>
      <c r="L24" s="65" t="s">
        <v>645</v>
      </c>
      <c r="M24" s="66" t="s">
        <v>646</v>
      </c>
      <c r="P24" s="435" t="s">
        <v>264</v>
      </c>
      <c r="U24"/>
      <c r="V24"/>
      <c r="W24"/>
      <c r="X24"/>
      <c r="Y24"/>
      <c r="Z24"/>
      <c r="AA24"/>
      <c r="AB24"/>
      <c r="AC24"/>
    </row>
    <row r="25" spans="1:39" ht="18" customHeight="1" thickBot="1">
      <c r="A25" s="64">
        <v>18</v>
      </c>
      <c r="B25" s="178" t="s">
        <v>647</v>
      </c>
      <c r="C25" s="198"/>
      <c r="D25" s="199"/>
      <c r="E25" s="193" t="s">
        <v>616</v>
      </c>
      <c r="F25" s="193" t="s">
        <v>584</v>
      </c>
      <c r="G25" s="436"/>
      <c r="H25" s="1090" t="s">
        <v>584</v>
      </c>
      <c r="I25" s="348"/>
      <c r="J25" s="194" t="s">
        <v>648</v>
      </c>
      <c r="K25" s="167" t="s">
        <v>649</v>
      </c>
      <c r="L25" s="168" t="s">
        <v>616</v>
      </c>
      <c r="M25" s="1465" t="s">
        <v>650</v>
      </c>
      <c r="P25" s="436"/>
    </row>
    <row r="26" spans="1:39" ht="15.75" customHeight="1" thickBot="1">
      <c r="A26" s="64">
        <v>19</v>
      </c>
      <c r="B26" s="178" t="s">
        <v>651</v>
      </c>
      <c r="C26" s="198"/>
      <c r="D26" s="199"/>
      <c r="E26" s="193" t="s">
        <v>603</v>
      </c>
      <c r="F26" s="193" t="s">
        <v>578</v>
      </c>
      <c r="G26" s="437"/>
      <c r="H26" s="1090" t="s">
        <v>578</v>
      </c>
      <c r="I26" s="348"/>
      <c r="J26" s="1097" t="str">
        <f>"Approximately "&amp;ROUND(AVERAGE(2,1/6,6,7,8,2),1)&amp;" years"</f>
        <v>Approximately 4,2 years</v>
      </c>
      <c r="K26" s="167" t="s">
        <v>603</v>
      </c>
      <c r="L26" s="168" t="s">
        <v>592</v>
      </c>
      <c r="M26" s="1466"/>
      <c r="P26" s="437"/>
    </row>
    <row r="27" spans="1:39" ht="13.9" thickBot="1">
      <c r="A27" s="64">
        <v>20</v>
      </c>
      <c r="B27" s="178" t="s">
        <v>652</v>
      </c>
      <c r="C27" s="198"/>
      <c r="D27" s="199"/>
      <c r="E27" s="193" t="s">
        <v>616</v>
      </c>
      <c r="F27" s="193" t="s">
        <v>578</v>
      </c>
      <c r="G27" s="1103"/>
      <c r="H27" s="1090" t="s">
        <v>578</v>
      </c>
      <c r="I27" s="348"/>
      <c r="J27" s="200" t="s">
        <v>653</v>
      </c>
      <c r="K27" s="169" t="s">
        <v>654</v>
      </c>
      <c r="L27" s="170" t="s">
        <v>603</v>
      </c>
      <c r="M27" s="1466"/>
      <c r="N27" s="64" t="s">
        <v>332</v>
      </c>
      <c r="P27" s="438"/>
    </row>
    <row r="28" spans="1:39" ht="13.9" thickBot="1">
      <c r="A28" s="64">
        <v>21</v>
      </c>
      <c r="B28" s="178" t="s">
        <v>655</v>
      </c>
      <c r="C28" s="198"/>
      <c r="D28" s="199"/>
      <c r="E28" s="193" t="s">
        <v>592</v>
      </c>
      <c r="F28" s="193" t="s">
        <v>584</v>
      </c>
      <c r="G28" s="820"/>
      <c r="H28" s="1090" t="s">
        <v>584</v>
      </c>
      <c r="I28" s="348"/>
      <c r="J28" s="194" t="s">
        <v>656</v>
      </c>
      <c r="K28" s="171" t="s">
        <v>657</v>
      </c>
      <c r="L28" s="172" t="s">
        <v>579</v>
      </c>
      <c r="M28" s="1467"/>
    </row>
    <row r="29" spans="1:39" ht="13.9" thickBot="1">
      <c r="A29" s="64">
        <v>22</v>
      </c>
      <c r="B29" s="178" t="s">
        <v>658</v>
      </c>
      <c r="C29" s="198"/>
      <c r="D29" s="199"/>
      <c r="E29" s="193" t="s">
        <v>603</v>
      </c>
      <c r="F29" s="193" t="s">
        <v>578</v>
      </c>
      <c r="G29" s="437"/>
      <c r="H29" s="1090" t="s">
        <v>584</v>
      </c>
      <c r="I29" s="348"/>
      <c r="J29" s="1097" t="s">
        <v>659</v>
      </c>
    </row>
    <row r="30" spans="1:39" ht="27" thickBot="1">
      <c r="A30" s="64">
        <v>23</v>
      </c>
      <c r="B30" s="178" t="s">
        <v>660</v>
      </c>
      <c r="C30" s="198"/>
      <c r="D30" s="199"/>
      <c r="E30" s="193" t="s">
        <v>603</v>
      </c>
      <c r="F30" s="193" t="s">
        <v>584</v>
      </c>
      <c r="G30" s="437"/>
      <c r="H30" s="1090" t="s">
        <v>584</v>
      </c>
      <c r="I30" s="348"/>
      <c r="J30" s="1104" t="s">
        <v>661</v>
      </c>
    </row>
    <row r="31" spans="1:39" ht="15.6" customHeight="1" thickBot="1">
      <c r="A31" s="64">
        <v>24</v>
      </c>
      <c r="B31" s="1105" t="s">
        <v>662</v>
      </c>
      <c r="C31" s="198"/>
      <c r="D31" s="199"/>
      <c r="E31" s="193" t="s">
        <v>592</v>
      </c>
      <c r="F31" s="193" t="s">
        <v>584</v>
      </c>
      <c r="G31" s="436"/>
      <c r="H31" s="1090" t="s">
        <v>584</v>
      </c>
      <c r="I31" s="348"/>
      <c r="J31" s="192" t="s">
        <v>663</v>
      </c>
      <c r="L31" s="411"/>
    </row>
    <row r="32" spans="1:39" ht="13.9" thickBot="1">
      <c r="A32" s="64">
        <v>25</v>
      </c>
      <c r="B32" s="178" t="s">
        <v>664</v>
      </c>
      <c r="C32" s="198"/>
      <c r="D32" s="193" t="s">
        <v>578</v>
      </c>
      <c r="E32" s="193" t="s">
        <v>592</v>
      </c>
      <c r="F32" s="193" t="s">
        <v>584</v>
      </c>
      <c r="G32" s="437"/>
      <c r="H32" s="1090" t="s">
        <v>578</v>
      </c>
      <c r="I32" s="348"/>
      <c r="J32" s="176" t="s">
        <v>665</v>
      </c>
      <c r="L32" s="412"/>
    </row>
    <row r="33" spans="1:21" ht="30.75" customHeight="1" thickBot="1">
      <c r="A33" s="64">
        <v>26</v>
      </c>
      <c r="B33" s="178" t="s">
        <v>666</v>
      </c>
      <c r="C33" s="198"/>
      <c r="D33" s="193" t="s">
        <v>578</v>
      </c>
      <c r="E33" s="193" t="s">
        <v>616</v>
      </c>
      <c r="F33" s="193" t="s">
        <v>578</v>
      </c>
      <c r="G33" s="437"/>
      <c r="H33" s="1090" t="s">
        <v>584</v>
      </c>
      <c r="I33" s="348"/>
      <c r="J33" s="194" t="s">
        <v>667</v>
      </c>
      <c r="L33" s="257"/>
      <c r="N33" s="257"/>
      <c r="O33" s="257"/>
      <c r="P33" s="257"/>
    </row>
    <row r="34" spans="1:21" ht="17.25" customHeight="1" thickBot="1">
      <c r="A34" s="64">
        <v>27</v>
      </c>
      <c r="B34" s="178" t="s">
        <v>668</v>
      </c>
      <c r="C34" s="198"/>
      <c r="D34" s="201" t="s">
        <v>578</v>
      </c>
      <c r="E34" s="193" t="s">
        <v>592</v>
      </c>
      <c r="F34" s="193" t="s">
        <v>578</v>
      </c>
      <c r="G34" s="1102"/>
      <c r="H34" s="1090" t="s">
        <v>584</v>
      </c>
      <c r="I34" s="348"/>
      <c r="J34" s="194" t="s">
        <v>669</v>
      </c>
      <c r="L34" s="258"/>
      <c r="N34" s="258"/>
      <c r="O34" s="258"/>
      <c r="P34" s="258"/>
    </row>
    <row r="35" spans="1:21">
      <c r="B35" s="71"/>
      <c r="C35" s="71"/>
      <c r="D35" s="71"/>
      <c r="E35" s="71"/>
      <c r="F35" s="71"/>
      <c r="G35" s="71"/>
      <c r="H35" s="349"/>
      <c r="I35" s="349"/>
      <c r="J35" s="71"/>
      <c r="M35" s="554"/>
    </row>
    <row r="36" spans="1:21" ht="17.45">
      <c r="B36" s="73"/>
    </row>
    <row r="37" spans="1:21">
      <c r="K37"/>
    </row>
    <row r="38" spans="1:21">
      <c r="C38"/>
      <c r="D38"/>
      <c r="E38"/>
      <c r="J38"/>
      <c r="K38"/>
      <c r="L38"/>
      <c r="M38"/>
      <c r="N38"/>
      <c r="O38"/>
      <c r="P38"/>
      <c r="Q38"/>
      <c r="R38"/>
      <c r="S38"/>
      <c r="T38"/>
    </row>
    <row r="39" spans="1:21">
      <c r="C39" s="256"/>
      <c r="D39" s="146"/>
      <c r="E39"/>
      <c r="J39"/>
      <c r="M39"/>
      <c r="N39"/>
      <c r="O39"/>
      <c r="P39"/>
      <c r="Q39"/>
      <c r="R39"/>
      <c r="S39"/>
      <c r="T39"/>
      <c r="U39" s="675"/>
    </row>
    <row r="40" spans="1:21">
      <c r="C40" s="534"/>
      <c r="D40" s="535"/>
      <c r="F40" s="534"/>
      <c r="G40" s="672"/>
      <c r="U40" s="352"/>
    </row>
    <row r="41" spans="1:21">
      <c r="C41" s="534"/>
      <c r="D41" s="535"/>
      <c r="U41" s="353"/>
    </row>
    <row r="42" spans="1:21">
      <c r="C42" s="534"/>
      <c r="D42" s="535"/>
      <c r="U42" s="353"/>
    </row>
    <row r="43" spans="1:21">
      <c r="D43" s="534"/>
      <c r="U43" s="353"/>
    </row>
    <row r="44" spans="1:21">
      <c r="U44" s="353"/>
    </row>
    <row r="45" spans="1:21">
      <c r="U45" s="353"/>
    </row>
    <row r="46" spans="1:21">
      <c r="C46"/>
      <c r="D46"/>
      <c r="E46" s="351"/>
      <c r="F46" s="351"/>
      <c r="U46" s="353"/>
    </row>
    <row r="47" spans="1:21">
      <c r="C47"/>
      <c r="D47" s="256"/>
      <c r="E47" s="548"/>
      <c r="F47" s="549"/>
      <c r="G47" s="534"/>
      <c r="U47" s="353"/>
    </row>
    <row r="48" spans="1:21">
      <c r="D48" s="534"/>
      <c r="E48" s="548"/>
      <c r="F48" s="548"/>
      <c r="G48" s="534"/>
      <c r="U48" s="353"/>
    </row>
    <row r="49" spans="4:21">
      <c r="E49" s="350"/>
      <c r="F49" s="350"/>
      <c r="U49" s="353"/>
    </row>
    <row r="50" spans="4:21">
      <c r="U50" s="353"/>
    </row>
    <row r="51" spans="4:21">
      <c r="U51" s="674"/>
    </row>
    <row r="52" spans="4:21">
      <c r="U52" s="353"/>
    </row>
    <row r="53" spans="4:21">
      <c r="U53" s="353"/>
    </row>
    <row r="54" spans="4:21">
      <c r="D54" s="535"/>
      <c r="E54" s="535"/>
      <c r="F54" s="534"/>
      <c r="N54" s="675"/>
      <c r="O54" s="675"/>
      <c r="P54" s="675"/>
      <c r="Q54" s="675"/>
      <c r="R54" s="675"/>
      <c r="S54" s="675"/>
      <c r="T54" s="675"/>
      <c r="U54" s="353"/>
    </row>
    <row r="55" spans="4:21">
      <c r="Q55" s="352"/>
      <c r="R55" s="352"/>
      <c r="S55" s="352"/>
      <c r="T55" s="352"/>
      <c r="U55" s="353"/>
    </row>
    <row r="56" spans="4:21">
      <c r="N56" s="353"/>
      <c r="O56" s="353"/>
      <c r="P56" s="353"/>
      <c r="Q56" s="353"/>
      <c r="R56" s="353"/>
      <c r="S56" s="353"/>
      <c r="T56" s="353"/>
      <c r="U56" s="353"/>
    </row>
    <row r="57" spans="4:21">
      <c r="N57" s="353"/>
      <c r="O57" s="353"/>
      <c r="P57" s="353"/>
      <c r="Q57" s="353"/>
      <c r="R57" s="353"/>
      <c r="S57" s="353"/>
      <c r="T57" s="353"/>
      <c r="U57" s="353"/>
    </row>
    <row r="58" spans="4:21">
      <c r="N58" s="353"/>
      <c r="O58" s="353"/>
      <c r="P58" s="353"/>
      <c r="Q58" s="353"/>
      <c r="R58" s="353"/>
      <c r="S58" s="353"/>
      <c r="T58" s="353"/>
      <c r="U58" s="353"/>
    </row>
    <row r="59" spans="4:21">
      <c r="N59" s="353"/>
      <c r="O59" s="353"/>
      <c r="P59" s="353"/>
      <c r="Q59" s="353"/>
      <c r="R59" s="353"/>
      <c r="S59" s="353"/>
      <c r="T59" s="353"/>
      <c r="U59" s="353"/>
    </row>
    <row r="60" spans="4:21">
      <c r="N60" s="353"/>
      <c r="O60" s="353"/>
      <c r="P60" s="353"/>
      <c r="Q60" s="353"/>
      <c r="R60" s="353"/>
      <c r="S60" s="353"/>
      <c r="T60" s="353"/>
      <c r="U60" s="353"/>
    </row>
    <row r="61" spans="4:21">
      <c r="G61" s="672"/>
      <c r="N61" s="353"/>
      <c r="O61" s="353"/>
      <c r="P61" s="353"/>
      <c r="Q61" s="353"/>
      <c r="R61" s="353"/>
      <c r="S61" s="353"/>
      <c r="T61" s="353"/>
      <c r="U61" s="353"/>
    </row>
    <row r="62" spans="4:21">
      <c r="N62" s="353"/>
      <c r="O62" s="353"/>
      <c r="P62" s="353"/>
      <c r="Q62" s="353"/>
      <c r="R62" s="353"/>
      <c r="S62" s="353"/>
      <c r="T62" s="353"/>
      <c r="U62" s="353"/>
    </row>
    <row r="63" spans="4:21">
      <c r="N63" s="353"/>
      <c r="O63" s="353"/>
      <c r="P63" s="353"/>
      <c r="Q63" s="353"/>
      <c r="R63" s="353"/>
      <c r="S63" s="353"/>
      <c r="T63" s="353"/>
      <c r="U63" s="674"/>
    </row>
    <row r="64" spans="4:21">
      <c r="N64" s="353"/>
      <c r="O64" s="353"/>
      <c r="P64" s="353"/>
      <c r="Q64" s="353"/>
      <c r="R64" s="353"/>
      <c r="S64" s="353"/>
      <c r="T64" s="353"/>
      <c r="U64" s="353"/>
    </row>
    <row r="65" spans="14:21">
      <c r="N65" s="353"/>
      <c r="O65" s="353"/>
      <c r="P65" s="353"/>
      <c r="Q65" s="353"/>
      <c r="R65" s="353"/>
      <c r="S65" s="353"/>
      <c r="T65" s="353"/>
      <c r="U65" s="353"/>
    </row>
    <row r="66" spans="14:21">
      <c r="N66" s="674"/>
      <c r="O66" s="674"/>
      <c r="P66" s="674"/>
      <c r="Q66" s="674"/>
      <c r="R66" s="674"/>
      <c r="S66" s="674"/>
      <c r="T66" s="674"/>
      <c r="U66" s="353"/>
    </row>
    <row r="67" spans="14:21">
      <c r="N67" s="353"/>
      <c r="O67" s="353"/>
      <c r="P67" s="353"/>
      <c r="Q67" s="353"/>
      <c r="R67" s="353"/>
      <c r="S67" s="353"/>
      <c r="T67" s="353"/>
      <c r="U67" s="353"/>
    </row>
    <row r="68" spans="14:21">
      <c r="N68" s="353"/>
      <c r="O68" s="353"/>
      <c r="P68" s="353"/>
      <c r="Q68" s="353"/>
      <c r="R68" s="353"/>
      <c r="S68" s="353"/>
      <c r="T68" s="353"/>
      <c r="U68" s="353"/>
    </row>
    <row r="69" spans="14:21">
      <c r="N69" s="353"/>
      <c r="O69" s="353"/>
      <c r="P69" s="353"/>
      <c r="Q69" s="353"/>
      <c r="R69" s="353"/>
      <c r="S69" s="353"/>
      <c r="T69" s="353"/>
      <c r="U69" s="353"/>
    </row>
    <row r="70" spans="14:21">
      <c r="N70" s="353"/>
      <c r="O70" s="353"/>
      <c r="P70" s="353"/>
      <c r="Q70" s="353"/>
      <c r="R70" s="353"/>
      <c r="S70" s="353"/>
      <c r="T70" s="353"/>
      <c r="U70" s="353"/>
    </row>
    <row r="71" spans="14:21">
      <c r="N71" s="353"/>
      <c r="O71" s="353"/>
      <c r="P71" s="353"/>
      <c r="Q71" s="353"/>
      <c r="R71" s="353"/>
      <c r="S71" s="353"/>
      <c r="T71" s="353"/>
      <c r="U71" s="353"/>
    </row>
    <row r="72" spans="14:21">
      <c r="N72" s="353"/>
      <c r="O72" s="353"/>
      <c r="P72" s="353"/>
      <c r="Q72" s="353"/>
      <c r="R72" s="353"/>
      <c r="S72" s="353"/>
      <c r="T72" s="353"/>
      <c r="U72" s="353"/>
    </row>
    <row r="73" spans="14:21">
      <c r="N73" s="353"/>
      <c r="O73" s="353"/>
      <c r="P73" s="353"/>
      <c r="Q73" s="353"/>
      <c r="R73" s="353"/>
      <c r="S73" s="353"/>
      <c r="T73" s="353"/>
      <c r="U73" s="353"/>
    </row>
    <row r="74" spans="14:21">
      <c r="N74" s="354"/>
      <c r="O74" s="354"/>
      <c r="P74" s="354"/>
      <c r="Q74" s="353"/>
      <c r="R74" s="353"/>
      <c r="S74" s="353"/>
      <c r="T74" s="353"/>
      <c r="U74" s="353"/>
    </row>
    <row r="75" spans="14:21">
      <c r="N75" s="354"/>
      <c r="O75" s="354"/>
      <c r="P75" s="354"/>
      <c r="Q75" s="353"/>
      <c r="R75" s="353"/>
      <c r="S75" s="353"/>
      <c r="T75" s="353"/>
      <c r="U75" s="674"/>
    </row>
    <row r="76" spans="14:21">
      <c r="N76" s="354"/>
      <c r="O76" s="354"/>
      <c r="P76" s="354"/>
      <c r="Q76" s="353"/>
      <c r="R76" s="353"/>
      <c r="S76" s="353"/>
      <c r="T76" s="353"/>
      <c r="U76" s="353"/>
    </row>
    <row r="77" spans="14:21">
      <c r="N77" s="353"/>
      <c r="O77" s="353"/>
      <c r="P77" s="353"/>
      <c r="Q77" s="353"/>
      <c r="R77" s="353"/>
      <c r="S77" s="353"/>
      <c r="T77" s="353"/>
      <c r="U77" s="353"/>
    </row>
    <row r="78" spans="14:21">
      <c r="N78" s="674"/>
      <c r="O78" s="674"/>
      <c r="P78" s="674"/>
      <c r="Q78" s="674"/>
      <c r="R78" s="674"/>
      <c r="S78" s="674"/>
      <c r="T78" s="674"/>
      <c r="U78" s="353"/>
    </row>
    <row r="79" spans="14:21">
      <c r="N79" s="353"/>
      <c r="O79" s="353"/>
      <c r="P79" s="353"/>
      <c r="Q79" s="353"/>
      <c r="R79" s="353"/>
      <c r="S79" s="353"/>
      <c r="T79" s="353"/>
      <c r="U79" s="353"/>
    </row>
    <row r="80" spans="14:21">
      <c r="N80" s="353"/>
      <c r="O80" s="353"/>
      <c r="P80" s="353"/>
      <c r="Q80" s="353"/>
      <c r="R80" s="353"/>
      <c r="S80" s="353"/>
      <c r="T80" s="353"/>
      <c r="U80" s="353"/>
    </row>
    <row r="81" spans="14:21">
      <c r="N81" s="353"/>
      <c r="O81" s="353"/>
      <c r="P81" s="353"/>
      <c r="Q81" s="353"/>
      <c r="R81" s="353"/>
      <c r="S81" s="353"/>
      <c r="T81" s="353"/>
      <c r="U81" s="353"/>
    </row>
    <row r="82" spans="14:21">
      <c r="N82" s="353"/>
      <c r="O82" s="353"/>
      <c r="P82" s="353"/>
      <c r="Q82" s="353"/>
      <c r="R82" s="353"/>
      <c r="S82" s="353"/>
      <c r="T82" s="353"/>
      <c r="U82" s="353"/>
    </row>
    <row r="83" spans="14:21">
      <c r="N83" s="353"/>
      <c r="O83" s="353"/>
      <c r="P83" s="353"/>
      <c r="Q83" s="353"/>
      <c r="R83" s="353"/>
      <c r="S83" s="353"/>
      <c r="T83" s="353"/>
      <c r="U83" s="353"/>
    </row>
    <row r="84" spans="14:21">
      <c r="N84" s="353"/>
      <c r="O84" s="353"/>
      <c r="P84" s="353"/>
      <c r="Q84" s="353"/>
      <c r="R84" s="353"/>
      <c r="S84" s="353"/>
      <c r="T84" s="353"/>
      <c r="U84" s="353"/>
    </row>
    <row r="85" spans="14:21">
      <c r="N85" s="353"/>
      <c r="O85" s="353"/>
      <c r="P85" s="353"/>
      <c r="Q85" s="353"/>
      <c r="R85" s="353"/>
      <c r="S85" s="353"/>
      <c r="T85" s="353"/>
      <c r="U85" s="353"/>
    </row>
    <row r="86" spans="14:21">
      <c r="N86" s="354"/>
      <c r="O86" s="354"/>
      <c r="P86" s="354"/>
      <c r="Q86" s="353"/>
      <c r="R86" s="353"/>
      <c r="S86" s="353"/>
      <c r="T86" s="353"/>
    </row>
    <row r="87" spans="14:21">
      <c r="N87" s="354"/>
      <c r="O87" s="354"/>
      <c r="P87" s="354"/>
      <c r="Q87" s="353"/>
      <c r="R87" s="353"/>
      <c r="S87" s="353"/>
      <c r="T87" s="353"/>
    </row>
    <row r="88" spans="14:21">
      <c r="N88" s="354"/>
      <c r="O88" s="354"/>
      <c r="P88" s="354"/>
      <c r="Q88" s="353"/>
      <c r="R88" s="353"/>
      <c r="S88" s="353"/>
      <c r="T88" s="353"/>
    </row>
    <row r="89" spans="14:21">
      <c r="N89" s="353"/>
      <c r="O89" s="353"/>
      <c r="P89" s="353"/>
      <c r="Q89" s="353"/>
      <c r="R89" s="353"/>
      <c r="S89" s="353"/>
      <c r="T89" s="353"/>
    </row>
    <row r="90" spans="14:21">
      <c r="N90" s="674"/>
      <c r="O90" s="674"/>
      <c r="P90" s="674"/>
      <c r="Q90" s="674"/>
      <c r="R90" s="674"/>
      <c r="S90" s="674"/>
      <c r="T90" s="674"/>
    </row>
    <row r="91" spans="14:21">
      <c r="N91" s="353"/>
      <c r="O91" s="353"/>
      <c r="P91" s="353"/>
      <c r="Q91" s="353"/>
      <c r="R91" s="353"/>
      <c r="S91" s="353"/>
      <c r="T91" s="353"/>
    </row>
    <row r="92" spans="14:21">
      <c r="N92" s="354"/>
      <c r="O92" s="354"/>
      <c r="P92" s="354"/>
      <c r="Q92" s="353"/>
      <c r="R92" s="353"/>
      <c r="S92" s="353"/>
      <c r="T92" s="353"/>
    </row>
    <row r="93" spans="14:21">
      <c r="N93" s="354"/>
      <c r="O93" s="354"/>
      <c r="P93" s="354"/>
      <c r="Q93" s="353"/>
      <c r="R93" s="353"/>
      <c r="S93" s="353"/>
      <c r="T93" s="353"/>
    </row>
    <row r="94" spans="14:21">
      <c r="N94" s="354"/>
      <c r="O94" s="354"/>
      <c r="P94" s="354"/>
      <c r="Q94" s="353"/>
      <c r="R94" s="353"/>
      <c r="S94" s="353"/>
      <c r="T94" s="353"/>
    </row>
    <row r="95" spans="14:21">
      <c r="N95" s="354"/>
      <c r="O95" s="354"/>
      <c r="P95" s="354"/>
      <c r="Q95" s="353"/>
      <c r="R95" s="353"/>
      <c r="S95" s="353"/>
      <c r="T95" s="353"/>
    </row>
    <row r="96" spans="14:21">
      <c r="N96" s="354"/>
      <c r="O96" s="354"/>
      <c r="P96" s="354"/>
      <c r="Q96" s="353"/>
      <c r="R96" s="353"/>
      <c r="S96" s="353"/>
      <c r="T96" s="353"/>
    </row>
    <row r="97" spans="14:20">
      <c r="N97" s="354"/>
      <c r="O97" s="354"/>
      <c r="P97" s="354"/>
      <c r="Q97" s="353"/>
      <c r="R97" s="353"/>
      <c r="S97" s="353"/>
      <c r="T97" s="353"/>
    </row>
    <row r="98" spans="14:20">
      <c r="N98" s="354"/>
      <c r="O98" s="354"/>
      <c r="P98" s="354"/>
      <c r="Q98" s="353"/>
      <c r="R98" s="353"/>
      <c r="S98" s="353"/>
      <c r="T98" s="353"/>
    </row>
    <row r="99" spans="14:20">
      <c r="N99" s="354"/>
      <c r="O99" s="354"/>
      <c r="P99" s="354"/>
      <c r="Q99" s="353"/>
      <c r="R99" s="353"/>
      <c r="S99" s="353"/>
      <c r="T99" s="353"/>
    </row>
    <row r="100" spans="14:20">
      <c r="N100" s="354"/>
      <c r="O100" s="354"/>
      <c r="P100" s="354"/>
      <c r="Q100" s="353"/>
      <c r="R100" s="353"/>
      <c r="S100" s="353"/>
      <c r="T100" s="353"/>
    </row>
  </sheetData>
  <mergeCells count="4">
    <mergeCell ref="B3:J3"/>
    <mergeCell ref="K3:S3"/>
    <mergeCell ref="K23:M23"/>
    <mergeCell ref="M25:M28"/>
  </mergeCells>
  <conditionalFormatting sqref="C10:F10">
    <cfRule type="expression" dxfId="591" priority="31">
      <formula>$C$10="Low"</formula>
    </cfRule>
  </conditionalFormatting>
  <conditionalFormatting sqref="D7">
    <cfRule type="expression" dxfId="590" priority="47">
      <formula>$C$7="Low"</formula>
    </cfRule>
  </conditionalFormatting>
  <conditionalFormatting sqref="D8">
    <cfRule type="expression" dxfId="589" priority="46">
      <formula>$C$8="Low"</formula>
    </cfRule>
  </conditionalFormatting>
  <conditionalFormatting sqref="D6:F6">
    <cfRule type="expression" dxfId="588" priority="48">
      <formula>$C$6="Low"</formula>
    </cfRule>
  </conditionalFormatting>
  <conditionalFormatting sqref="D9:F9 J9">
    <cfRule type="expression" dxfId="587" priority="45">
      <formula>$C$9="Low"</formula>
    </cfRule>
  </conditionalFormatting>
  <conditionalFormatting sqref="D12:F12">
    <cfRule type="expression" dxfId="586" priority="43">
      <formula>$C$12="Low"</formula>
    </cfRule>
  </conditionalFormatting>
  <conditionalFormatting sqref="D13:F13 J13">
    <cfRule type="expression" dxfId="585" priority="42">
      <formula>$C$13="Low"</formula>
    </cfRule>
  </conditionalFormatting>
  <conditionalFormatting sqref="D14:F14">
    <cfRule type="expression" dxfId="584" priority="41">
      <formula>$C$14="Low"</formula>
    </cfRule>
  </conditionalFormatting>
  <conditionalFormatting sqref="D15:F15 H15 J15">
    <cfRule type="expression" dxfId="583" priority="40">
      <formula>$C$15="Low"</formula>
    </cfRule>
  </conditionalFormatting>
  <conditionalFormatting sqref="D16:F16">
    <cfRule type="expression" dxfId="582" priority="39">
      <formula>$C$16="Low"</formula>
    </cfRule>
  </conditionalFormatting>
  <conditionalFormatting sqref="D17:F17">
    <cfRule type="expression" dxfId="581" priority="38">
      <formula>$C$17="Low"</formula>
    </cfRule>
  </conditionalFormatting>
  <conditionalFormatting sqref="D18:F18 H18 J18">
    <cfRule type="expression" dxfId="580" priority="37">
      <formula>$C$18="Low"</formula>
    </cfRule>
  </conditionalFormatting>
  <conditionalFormatting sqref="D19:F19 J20">
    <cfRule type="expression" dxfId="579" priority="36">
      <formula>$C$19="Low"</formula>
    </cfRule>
  </conditionalFormatting>
  <conditionalFormatting sqref="D20:F20 H20 J20">
    <cfRule type="expression" dxfId="578" priority="35">
      <formula>$C$20="Low"</formula>
    </cfRule>
  </conditionalFormatting>
  <conditionalFormatting sqref="D21:F21">
    <cfRule type="expression" dxfId="577" priority="34">
      <formula>$C$21="Low"</formula>
    </cfRule>
  </conditionalFormatting>
  <conditionalFormatting sqref="D22:F22 H22 J22">
    <cfRule type="expression" dxfId="576" priority="33">
      <formula>$C$22="Low"</formula>
    </cfRule>
  </conditionalFormatting>
  <conditionalFormatting sqref="H13:H14">
    <cfRule type="expression" dxfId="575" priority="19">
      <formula>$C$6="Low"</formula>
    </cfRule>
  </conditionalFormatting>
  <conditionalFormatting sqref="H16:H17">
    <cfRule type="expression" dxfId="574" priority="18">
      <formula>$C$6="Low"</formula>
    </cfRule>
  </conditionalFormatting>
  <conditionalFormatting sqref="H19">
    <cfRule type="expression" dxfId="573" priority="17">
      <formula>$C$6="Low"</formula>
    </cfRule>
  </conditionalFormatting>
  <conditionalFormatting sqref="H21">
    <cfRule type="expression" dxfId="572" priority="16">
      <formula>$C$6="Low"</formula>
    </cfRule>
  </conditionalFormatting>
  <conditionalFormatting sqref="H24:H34">
    <cfRule type="expression" dxfId="571" priority="7">
      <formula>$C$6="Low"</formula>
    </cfRule>
  </conditionalFormatting>
  <conditionalFormatting sqref="H6:J6 J7 I8 H9 I10:J10">
    <cfRule type="expression" dxfId="570" priority="26">
      <formula>$C$6="Low"</formula>
    </cfRule>
  </conditionalFormatting>
  <conditionalFormatting sqref="I16:I17">
    <cfRule type="expression" dxfId="569" priority="23">
      <formula>$C$16="Low"</formula>
    </cfRule>
  </conditionalFormatting>
  <conditionalFormatting sqref="I19">
    <cfRule type="expression" dxfId="568" priority="22">
      <formula>$C$16="Low"</formula>
    </cfRule>
  </conditionalFormatting>
  <conditionalFormatting sqref="I21">
    <cfRule type="expression" dxfId="567" priority="21">
      <formula>$C$16="Low"</formula>
    </cfRule>
  </conditionalFormatting>
  <conditionalFormatting sqref="I24:I34">
    <cfRule type="expression" dxfId="566" priority="20">
      <formula>$C$16="Low"</formula>
    </cfRule>
  </conditionalFormatting>
  <conditionalFormatting sqref="J19">
    <cfRule type="expression" dxfId="565" priority="14">
      <formula>$C$17="Low"</formula>
    </cfRule>
  </conditionalFormatting>
  <dataValidations disablePrompts="1" count="3">
    <dataValidation type="list" showInputMessage="1" showErrorMessage="1" sqref="B2" xr:uid="{A02853CE-D21D-44BD-9939-055BC887EFBD}">
      <formula1>Sectors</formula1>
    </dataValidation>
    <dataValidation type="list" allowBlank="1" showInputMessage="1" showErrorMessage="1" sqref="E12:E22 E24:E34 E6 E9:E10" xr:uid="{21B53BAA-5CFE-4F77-8669-06D93A31F2C2}">
      <formula1>$L$25:$L$28</formula1>
    </dataValidation>
    <dataValidation type="list" allowBlank="1" showInputMessage="1" showErrorMessage="1" sqref="D6:D22 C11 F12:F22 D32:D34 F24:F34 F6 F9:F10" xr:uid="{3F3EAFB5-AA53-4ACB-815F-B2974A5D886C}">
      <formula1>#REF!</formula1>
    </dataValidation>
  </dataValidations>
  <pageMargins left="0.7" right="0.7" top="0.75" bottom="0.75" header="0.3" footer="0.3"/>
  <pageSetup paperSize="9"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159"/>
  <sheetViews>
    <sheetView showGridLines="0" tabSelected="1" topLeftCell="A56" zoomScale="99" zoomScaleNormal="99" workbookViewId="0">
      <selection activeCell="G27" sqref="G27"/>
    </sheetView>
  </sheetViews>
  <sheetFormatPr defaultColWidth="11.42578125" defaultRowHeight="13.15" outlineLevelCol="1"/>
  <cols>
    <col min="1" max="1" width="24.42578125" bestFit="1" customWidth="1"/>
    <col min="2" max="2" width="22.710937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1" width="11.28515625" style="2" customWidth="1"/>
    <col min="12" max="12" width="19" style="2" customWidth="1"/>
    <col min="13" max="14" width="24.28515625" style="2" bestFit="1" customWidth="1"/>
    <col min="15" max="15" width="23.28515625" style="2" bestFit="1" customWidth="1"/>
    <col min="16" max="25" width="24.28515625" style="2" bestFit="1" customWidth="1"/>
    <col min="26" max="28" width="23.28515625" style="2" bestFit="1" customWidth="1"/>
    <col min="29" max="30" width="24.28515625" style="2" bestFit="1" customWidth="1"/>
    <col min="31" max="32" width="23.28515625" style="2" bestFit="1" customWidth="1"/>
    <col min="33" max="33" width="14.42578125" customWidth="1"/>
  </cols>
  <sheetData>
    <row r="1" spans="1:40" ht="21" customHeight="1">
      <c r="A1" s="1473" t="s">
        <v>670</v>
      </c>
      <c r="B1" s="1473"/>
      <c r="C1" s="1473"/>
      <c r="D1" s="1473"/>
      <c r="E1" s="1473"/>
      <c r="F1" s="1473"/>
      <c r="G1" s="1473"/>
      <c r="H1" s="1473"/>
      <c r="I1" s="1473"/>
      <c r="J1" s="1473"/>
      <c r="K1" s="1473"/>
      <c r="L1" s="1473"/>
      <c r="M1" s="1473"/>
      <c r="N1" s="1473"/>
      <c r="O1" s="1473"/>
      <c r="P1" s="1473"/>
      <c r="Q1" s="1473"/>
      <c r="R1" s="1473"/>
      <c r="S1" s="1473"/>
      <c r="T1" s="1473"/>
      <c r="U1" s="1473"/>
      <c r="V1" s="1473"/>
      <c r="W1" s="1473"/>
      <c r="X1" s="1473"/>
      <c r="Y1" s="1473"/>
      <c r="Z1" s="1473"/>
      <c r="AA1" s="1473"/>
      <c r="AB1" s="1473"/>
      <c r="AC1" s="1473"/>
      <c r="AD1" s="1473"/>
      <c r="AE1" s="1473"/>
      <c r="AF1" s="1473"/>
      <c r="AG1" s="10"/>
      <c r="AH1" s="10"/>
      <c r="AI1" s="10"/>
      <c r="AJ1" s="10"/>
      <c r="AK1" s="10"/>
      <c r="AL1" s="10"/>
      <c r="AM1" s="10"/>
      <c r="AN1" s="10"/>
    </row>
    <row r="2" spans="1:40" ht="3.75" customHeight="1" thickBot="1">
      <c r="A2" s="1473"/>
      <c r="B2" s="1473"/>
      <c r="C2" s="1473"/>
      <c r="D2" s="1473"/>
      <c r="E2" s="1473"/>
      <c r="F2" s="1473"/>
      <c r="G2" s="1473"/>
      <c r="H2" s="1473"/>
      <c r="I2" s="1473"/>
      <c r="J2" s="1473"/>
      <c r="K2" s="1473"/>
      <c r="L2" s="1473"/>
      <c r="M2" s="1473"/>
      <c r="N2" s="1473"/>
      <c r="O2" s="1473"/>
      <c r="P2" s="1473"/>
      <c r="Q2" s="1473"/>
      <c r="R2" s="1473"/>
      <c r="S2" s="1473"/>
      <c r="T2" s="1473"/>
      <c r="U2" s="1473"/>
      <c r="V2" s="1473"/>
      <c r="W2" s="1473"/>
      <c r="X2" s="1473"/>
      <c r="Y2" s="1473"/>
      <c r="Z2" s="1473"/>
      <c r="AA2" s="1473"/>
      <c r="AB2" s="1473"/>
      <c r="AC2" s="1473"/>
      <c r="AD2" s="1473"/>
      <c r="AE2" s="1473"/>
      <c r="AF2" s="1473"/>
      <c r="AG2" s="355"/>
      <c r="AH2" s="10"/>
      <c r="AI2" s="10"/>
      <c r="AJ2" s="10"/>
      <c r="AK2" s="10"/>
      <c r="AL2" s="10"/>
      <c r="AM2" s="10"/>
      <c r="AN2" s="10"/>
    </row>
    <row r="3" spans="1:40" ht="18.600000000000001" thickBot="1">
      <c r="A3" s="206"/>
      <c r="B3" s="206"/>
      <c r="C3" s="206"/>
      <c r="D3" s="206"/>
      <c r="E3" s="206"/>
      <c r="F3" s="206"/>
      <c r="G3" s="1479" t="s">
        <v>671</v>
      </c>
      <c r="H3" s="1479"/>
      <c r="I3" s="1479"/>
      <c r="J3" s="1479"/>
      <c r="K3" s="1480" t="s">
        <v>672</v>
      </c>
      <c r="L3" s="1480"/>
      <c r="M3" s="1480"/>
      <c r="N3" s="1480"/>
      <c r="O3" s="1480"/>
      <c r="P3" s="1480"/>
      <c r="Q3" s="1480"/>
      <c r="R3" s="1480"/>
      <c r="S3" s="1480"/>
      <c r="T3" s="1480"/>
      <c r="U3" s="1480"/>
      <c r="V3" s="1480"/>
      <c r="W3" s="1480"/>
      <c r="X3" s="1480"/>
      <c r="Y3" s="1480"/>
      <c r="Z3" s="1480"/>
      <c r="AA3" s="1480"/>
      <c r="AB3" s="1480"/>
      <c r="AC3" s="1480"/>
      <c r="AD3" s="1480"/>
      <c r="AE3" s="1480"/>
      <c r="AF3" s="1480"/>
      <c r="AG3" s="355"/>
      <c r="AH3" s="10"/>
      <c r="AI3" s="10"/>
      <c r="AJ3" s="10"/>
      <c r="AK3" s="10"/>
      <c r="AL3" s="10"/>
      <c r="AM3" s="10"/>
      <c r="AN3" s="10"/>
    </row>
    <row r="4" spans="1:40" ht="15" thickBot="1">
      <c r="A4" s="227" t="s">
        <v>673</v>
      </c>
      <c r="B4" s="230" t="s">
        <v>674</v>
      </c>
      <c r="C4" s="231" t="s">
        <v>675</v>
      </c>
      <c r="D4" s="240" t="str">
        <f>OP!J21-2&amp;" (Real)"</f>
        <v>2021 (Real)</v>
      </c>
      <c r="E4" s="240" t="str">
        <f>OP!J21-1&amp;" (Real)"</f>
        <v>2022 (Real)</v>
      </c>
      <c r="F4" s="241" t="str">
        <f>OP!J21&amp;" (Real)"</f>
        <v>2023 (Real)</v>
      </c>
      <c r="G4" s="240">
        <f>OP!J21+1</f>
        <v>2024</v>
      </c>
      <c r="H4" s="240">
        <f>G4+1</f>
        <v>2025</v>
      </c>
      <c r="I4" s="240">
        <f t="shared" ref="I4:AF4" si="0">H4+1</f>
        <v>2026</v>
      </c>
      <c r="J4" s="241">
        <f t="shared" si="0"/>
        <v>2027</v>
      </c>
      <c r="K4" s="242">
        <f t="shared" si="0"/>
        <v>2028</v>
      </c>
      <c r="L4" s="242">
        <f t="shared" si="0"/>
        <v>2029</v>
      </c>
      <c r="M4" s="242">
        <f t="shared" si="0"/>
        <v>2030</v>
      </c>
      <c r="N4" s="242">
        <f t="shared" si="0"/>
        <v>2031</v>
      </c>
      <c r="O4" s="242">
        <f t="shared" si="0"/>
        <v>2032</v>
      </c>
      <c r="P4" s="242">
        <f t="shared" si="0"/>
        <v>2033</v>
      </c>
      <c r="Q4" s="242">
        <f t="shared" si="0"/>
        <v>2034</v>
      </c>
      <c r="R4" s="242">
        <f t="shared" si="0"/>
        <v>2035</v>
      </c>
      <c r="S4" s="242">
        <f t="shared" si="0"/>
        <v>2036</v>
      </c>
      <c r="T4" s="242">
        <f t="shared" si="0"/>
        <v>2037</v>
      </c>
      <c r="U4" s="242">
        <f t="shared" si="0"/>
        <v>2038</v>
      </c>
      <c r="V4" s="242">
        <f t="shared" si="0"/>
        <v>2039</v>
      </c>
      <c r="W4" s="242">
        <f t="shared" si="0"/>
        <v>2040</v>
      </c>
      <c r="X4" s="242">
        <f t="shared" si="0"/>
        <v>2041</v>
      </c>
      <c r="Y4" s="242">
        <f t="shared" si="0"/>
        <v>2042</v>
      </c>
      <c r="Z4" s="242">
        <f t="shared" si="0"/>
        <v>2043</v>
      </c>
      <c r="AA4" s="242">
        <f t="shared" si="0"/>
        <v>2044</v>
      </c>
      <c r="AB4" s="242">
        <f t="shared" si="0"/>
        <v>2045</v>
      </c>
      <c r="AC4" s="242">
        <f t="shared" si="0"/>
        <v>2046</v>
      </c>
      <c r="AD4" s="242">
        <f t="shared" si="0"/>
        <v>2047</v>
      </c>
      <c r="AE4" s="242">
        <f t="shared" si="0"/>
        <v>2048</v>
      </c>
      <c r="AF4" s="243">
        <f t="shared" si="0"/>
        <v>2049</v>
      </c>
      <c r="AG4" s="355"/>
      <c r="AH4" s="10"/>
      <c r="AI4" s="10"/>
      <c r="AJ4" s="10"/>
      <c r="AK4" s="10"/>
      <c r="AL4" s="10"/>
      <c r="AM4" s="10"/>
      <c r="AN4" s="10"/>
    </row>
    <row r="5" spans="1:40">
      <c r="A5" s="1198" t="s">
        <v>676</v>
      </c>
      <c r="B5" s="232">
        <v>1</v>
      </c>
      <c r="C5" s="238" t="s">
        <v>677</v>
      </c>
      <c r="D5" s="246">
        <f>'Fin. Data'!D6</f>
        <v>1.0903686087990492</v>
      </c>
      <c r="E5" s="249">
        <f t="shared" ref="E5:F5" si="1">+E6/D6-1</f>
        <v>5.7667804323094414</v>
      </c>
      <c r="F5" s="835">
        <f t="shared" si="1"/>
        <v>2.4162743779421656</v>
      </c>
      <c r="G5" s="1106">
        <v>-0.6</v>
      </c>
      <c r="H5" s="1107">
        <f>D136</f>
        <v>-1.0784295530546301E-2</v>
      </c>
      <c r="I5" s="1107">
        <f>Assumptions!Q153</f>
        <v>0.40692169061165018</v>
      </c>
      <c r="J5" s="1108">
        <f>Assumptions!R153</f>
        <v>0.19813857193062867</v>
      </c>
      <c r="K5" s="1106">
        <f>Assumptions!S153</f>
        <v>0.12220070343408884</v>
      </c>
      <c r="L5" s="1107">
        <f>Assumptions!T153</f>
        <v>-8.6028584563467736E-2</v>
      </c>
      <c r="M5" s="1107">
        <f>Assumptions!U153</f>
        <v>0.20099173729455844</v>
      </c>
      <c r="N5" s="1107">
        <f>Assumptions!V153</f>
        <v>0.11512577611331931</v>
      </c>
      <c r="O5" s="1107">
        <f>Assumptions!W153</f>
        <v>8.5566695144856597E-2</v>
      </c>
      <c r="P5" s="1107">
        <f>Assumptions!X153</f>
        <v>0.16578895324677778</v>
      </c>
      <c r="Q5" s="1107">
        <f>Assumptions!Y153</f>
        <v>0.1078881592346197</v>
      </c>
      <c r="R5" s="1107">
        <f>Assumptions!Z153</f>
        <v>0.10268237773318856</v>
      </c>
      <c r="S5" s="1107">
        <f>Assumptions!AA153</f>
        <v>9.7920406435489604E-2</v>
      </c>
      <c r="T5" s="1107">
        <f>Assumptions!AB153</f>
        <v>9.3553839288429974E-2</v>
      </c>
      <c r="U5" s="1107">
        <f>Assumptions!AC153</f>
        <v>8.953966934261004E-2</v>
      </c>
      <c r="V5" s="1107">
        <f>Assumptions!AD153</f>
        <v>8.5839975654545708E-2</v>
      </c>
      <c r="W5" s="1107">
        <f>Assumptions!AE153</f>
        <v>8.2421459834404631E-2</v>
      </c>
      <c r="X5" s="1107">
        <f>Assumptions!AF153</f>
        <v>7.9254928894747945E-2</v>
      </c>
      <c r="Y5" s="1107">
        <f>Assumptions!AG153</f>
        <v>7.6314788700239999E-2</v>
      </c>
      <c r="Z5" s="1107">
        <f>Assumptions!AH153</f>
        <v>7.3578577024861813E-2</v>
      </c>
      <c r="AA5" s="1107">
        <f>Assumptions!AI153</f>
        <v>7.1026546922421718E-2</v>
      </c>
      <c r="AB5" s="1107">
        <f>Assumptions!AJ153</f>
        <v>6.8641301869392879E-2</v>
      </c>
      <c r="AC5" s="1107">
        <f>Assumptions!AK153</f>
        <v>6.6407479723034513E-2</v>
      </c>
      <c r="AD5" s="1107">
        <f>Assumptions!AL153</f>
        <v>6.431148068089243E-2</v>
      </c>
      <c r="AE5" s="1107">
        <f>Assumptions!AM153</f>
        <v>6.2341233900014559E-2</v>
      </c>
      <c r="AF5" s="1108">
        <v>0.03</v>
      </c>
      <c r="AG5" s="300"/>
      <c r="AH5" s="10"/>
      <c r="AI5" s="10"/>
      <c r="AJ5" s="10"/>
      <c r="AK5" s="10"/>
      <c r="AL5" s="10"/>
      <c r="AM5" s="10"/>
      <c r="AN5" s="10"/>
    </row>
    <row r="6" spans="1:40" ht="14.45">
      <c r="A6" s="1198"/>
      <c r="B6" s="232">
        <v>2</v>
      </c>
      <c r="C6" s="226" t="s">
        <v>678</v>
      </c>
      <c r="D6" s="497">
        <f>'Inputs (AUD)'!D6</f>
        <v>175.8</v>
      </c>
      <c r="E6" s="781">
        <f>'Inputs (AUD)'!C6</f>
        <v>1189.5999999999999</v>
      </c>
      <c r="F6" s="836">
        <f>'Inputs (AUD)'!B6</f>
        <v>4064</v>
      </c>
      <c r="G6" s="834">
        <f>F6*(1+G5)</f>
        <v>1625.6000000000001</v>
      </c>
      <c r="H6" s="856">
        <f>G6*(1+H5)</f>
        <v>1608.0690491855441</v>
      </c>
      <c r="I6" s="856">
        <f>H6*(1+I5)</f>
        <v>2262.4272253003946</v>
      </c>
      <c r="J6" s="602">
        <f>I6*(1+J5)</f>
        <v>2710.7013248183898</v>
      </c>
      <c r="K6" s="279">
        <f>J6*(1+K5)</f>
        <v>3041.9509335109137</v>
      </c>
      <c r="L6" s="278">
        <f t="shared" ref="L6:AF6" si="2">K6*(1+L5)</f>
        <v>2780.2562003894504</v>
      </c>
      <c r="M6" s="278">
        <f t="shared" si="2"/>
        <v>3339.0647242296941</v>
      </c>
      <c r="N6" s="278">
        <f t="shared" si="2"/>
        <v>3723.4771420992442</v>
      </c>
      <c r="O6" s="278">
        <f t="shared" si="2"/>
        <v>4042.0827755960922</v>
      </c>
      <c r="P6" s="278">
        <f t="shared" si="2"/>
        <v>4712.2154478989987</v>
      </c>
      <c r="Q6" s="278">
        <f t="shared" si="2"/>
        <v>5220.6076984897609</v>
      </c>
      <c r="R6" s="278">
        <f t="shared" si="2"/>
        <v>5756.672110182878</v>
      </c>
      <c r="S6" s="278">
        <f t="shared" si="2"/>
        <v>6320.3677829278322</v>
      </c>
      <c r="T6" s="278">
        <f t="shared" si="2"/>
        <v>6911.6624547356323</v>
      </c>
      <c r="U6" s="278">
        <f t="shared" si="2"/>
        <v>7530.5304255403935</v>
      </c>
      <c r="V6" s="278">
        <f t="shared" si="2"/>
        <v>8176.9509739345958</v>
      </c>
      <c r="W6" s="278">
        <f t="shared" si="2"/>
        <v>8850.9072102006412</v>
      </c>
      <c r="X6" s="278">
        <f t="shared" si="2"/>
        <v>9552.3852317991041</v>
      </c>
      <c r="Y6" s="278">
        <f t="shared" si="2"/>
        <v>10281.373492347146</v>
      </c>
      <c r="Z6" s="278">
        <f t="shared" si="2"/>
        <v>11037.862323775182</v>
      </c>
      <c r="AA6" s="278">
        <f t="shared" si="2"/>
        <v>11821.843570038032</v>
      </c>
      <c r="AB6" s="278">
        <f t="shared" si="2"/>
        <v>12633.310303181755</v>
      </c>
      <c r="AC6" s="278">
        <f t="shared" si="2"/>
        <v>13472.256600975101</v>
      </c>
      <c r="AD6" s="278">
        <f t="shared" si="2"/>
        <v>14338.677371096737</v>
      </c>
      <c r="AE6" s="278">
        <f t="shared" si="2"/>
        <v>15232.568210905123</v>
      </c>
      <c r="AF6" s="405">
        <f t="shared" si="2"/>
        <v>15689.545257232277</v>
      </c>
      <c r="AG6" s="356"/>
      <c r="AH6" s="10"/>
      <c r="AI6" s="10"/>
      <c r="AJ6" s="10"/>
      <c r="AK6" s="10"/>
      <c r="AL6" s="10"/>
      <c r="AM6" s="10"/>
      <c r="AN6" s="10"/>
    </row>
    <row r="7" spans="1:40" ht="14.45">
      <c r="A7" s="1198"/>
      <c r="B7" s="232">
        <v>3</v>
      </c>
      <c r="C7" s="78" t="s">
        <v>136</v>
      </c>
      <c r="D7" s="267">
        <f>D8/D6</f>
        <v>-0.19169510807736065</v>
      </c>
      <c r="E7" s="854">
        <f t="shared" ref="E7:F7" si="3">E8/E6</f>
        <v>0.61054135843981183</v>
      </c>
      <c r="F7" s="270">
        <f t="shared" si="3"/>
        <v>0.76210629921259854</v>
      </c>
      <c r="G7" s="855">
        <v>0.55000000000000004</v>
      </c>
      <c r="H7" s="837">
        <v>0.65</v>
      </c>
      <c r="I7" s="838">
        <v>0.65</v>
      </c>
      <c r="J7" s="1109">
        <v>0.6</v>
      </c>
      <c r="K7" s="1110">
        <v>0.57999999999999996</v>
      </c>
      <c r="L7" s="838">
        <f t="shared" ref="L7" si="4">M7+1.75%</f>
        <v>0.6</v>
      </c>
      <c r="M7" s="838">
        <f t="shared" ref="M7:Q7" si="5">N7+1.75%</f>
        <v>0.58250000000000002</v>
      </c>
      <c r="N7" s="838">
        <f t="shared" si="5"/>
        <v>0.56500000000000006</v>
      </c>
      <c r="O7" s="838">
        <f t="shared" si="5"/>
        <v>0.5475000000000001</v>
      </c>
      <c r="P7" s="838">
        <f t="shared" si="5"/>
        <v>0.53000000000000014</v>
      </c>
      <c r="Q7" s="838">
        <f t="shared" si="5"/>
        <v>0.51250000000000018</v>
      </c>
      <c r="R7" s="838">
        <f t="shared" ref="R7:V7" si="6">S7+1.75%</f>
        <v>0.49500000000000022</v>
      </c>
      <c r="S7" s="838">
        <f t="shared" si="6"/>
        <v>0.4775000000000002</v>
      </c>
      <c r="T7" s="838">
        <f t="shared" si="6"/>
        <v>0.46000000000000019</v>
      </c>
      <c r="U7" s="838">
        <f t="shared" si="6"/>
        <v>0.44250000000000017</v>
      </c>
      <c r="V7" s="838">
        <f t="shared" si="6"/>
        <v>0.42500000000000016</v>
      </c>
      <c r="W7" s="838">
        <f t="shared" ref="W7:AD7" si="7">X7+1.75%</f>
        <v>0.40750000000000014</v>
      </c>
      <c r="X7" s="838">
        <f t="shared" si="7"/>
        <v>0.39000000000000012</v>
      </c>
      <c r="Y7" s="838">
        <f t="shared" si="7"/>
        <v>0.37250000000000011</v>
      </c>
      <c r="Z7" s="838">
        <f t="shared" si="7"/>
        <v>0.35500000000000009</v>
      </c>
      <c r="AA7" s="838">
        <f t="shared" si="7"/>
        <v>0.33750000000000008</v>
      </c>
      <c r="AB7" s="838">
        <f t="shared" si="7"/>
        <v>0.32000000000000006</v>
      </c>
      <c r="AC7" s="838">
        <f t="shared" si="7"/>
        <v>0.30250000000000005</v>
      </c>
      <c r="AD7" s="838">
        <f t="shared" si="7"/>
        <v>0.28500000000000003</v>
      </c>
      <c r="AE7" s="838">
        <f>AF7+1.75%</f>
        <v>0.26750000000000002</v>
      </c>
      <c r="AF7" s="1109">
        <v>0.25</v>
      </c>
      <c r="AH7" s="10"/>
      <c r="AI7" s="10"/>
      <c r="AJ7" s="10"/>
      <c r="AK7" s="10"/>
      <c r="AL7" s="10"/>
      <c r="AM7" s="10"/>
      <c r="AN7" s="10"/>
    </row>
    <row r="8" spans="1:40" ht="14.45">
      <c r="A8" s="1198"/>
      <c r="B8" s="232">
        <v>4</v>
      </c>
      <c r="C8" s="215" t="s">
        <v>71</v>
      </c>
      <c r="D8" s="851">
        <f>'Fin. Data'!D16</f>
        <v>-33.700000000000003</v>
      </c>
      <c r="E8" s="593">
        <f>'Fin. Data'!C16</f>
        <v>726.30000000000007</v>
      </c>
      <c r="F8" s="834">
        <f>'Fin. Data'!B16</f>
        <v>3097.2000000000003</v>
      </c>
      <c r="G8" s="586">
        <f>G7*G6</f>
        <v>894.08000000000015</v>
      </c>
      <c r="H8" s="624">
        <f t="shared" ref="H8:AF8" si="8">H7*H6</f>
        <v>1045.2448819706037</v>
      </c>
      <c r="I8" s="624">
        <f t="shared" si="8"/>
        <v>1470.5776964452566</v>
      </c>
      <c r="J8" s="584">
        <f t="shared" si="8"/>
        <v>1626.4207948910339</v>
      </c>
      <c r="K8" s="586">
        <f t="shared" si="8"/>
        <v>1764.3315414363299</v>
      </c>
      <c r="L8" s="587">
        <f t="shared" si="8"/>
        <v>1668.1537202336701</v>
      </c>
      <c r="M8" s="587">
        <f t="shared" si="8"/>
        <v>1945.0052018637969</v>
      </c>
      <c r="N8" s="587">
        <f t="shared" si="8"/>
        <v>2103.7645852860733</v>
      </c>
      <c r="O8" s="587">
        <f t="shared" si="8"/>
        <v>2213.0403196388611</v>
      </c>
      <c r="P8" s="587">
        <f t="shared" si="8"/>
        <v>2497.47418738647</v>
      </c>
      <c r="Q8" s="587">
        <f t="shared" si="8"/>
        <v>2675.5614454760034</v>
      </c>
      <c r="R8" s="587">
        <f t="shared" si="8"/>
        <v>2849.5526945405259</v>
      </c>
      <c r="S8" s="587">
        <f t="shared" si="8"/>
        <v>3017.9756163480411</v>
      </c>
      <c r="T8" s="587">
        <f t="shared" si="8"/>
        <v>3179.3647291783923</v>
      </c>
      <c r="U8" s="587">
        <f t="shared" si="8"/>
        <v>3332.2597133016252</v>
      </c>
      <c r="V8" s="587">
        <f t="shared" si="8"/>
        <v>3475.2041639222043</v>
      </c>
      <c r="W8" s="587">
        <f t="shared" si="8"/>
        <v>3606.7446881567625</v>
      </c>
      <c r="X8" s="587">
        <f t="shared" si="8"/>
        <v>3725.4302404016516</v>
      </c>
      <c r="Y8" s="587">
        <f t="shared" si="8"/>
        <v>3829.8116258993127</v>
      </c>
      <c r="Z8" s="587">
        <f t="shared" si="8"/>
        <v>3918.4411249401905</v>
      </c>
      <c r="AA8" s="587">
        <f t="shared" si="8"/>
        <v>3989.8722048878367</v>
      </c>
      <c r="AB8" s="587">
        <f t="shared" si="8"/>
        <v>4042.6592970181623</v>
      </c>
      <c r="AC8" s="587">
        <f t="shared" si="8"/>
        <v>4075.3576217949685</v>
      </c>
      <c r="AD8" s="587">
        <f t="shared" si="8"/>
        <v>4086.5230507625706</v>
      </c>
      <c r="AE8" s="587">
        <f t="shared" si="8"/>
        <v>4074.7119964171206</v>
      </c>
      <c r="AF8" s="584">
        <f t="shared" si="8"/>
        <v>3922.3863143080694</v>
      </c>
      <c r="AH8" s="7"/>
      <c r="AI8" s="7"/>
      <c r="AJ8" s="7"/>
      <c r="AK8" s="10"/>
      <c r="AL8" s="10"/>
      <c r="AM8" s="10"/>
      <c r="AN8" s="10"/>
    </row>
    <row r="9" spans="1:40" ht="14.45">
      <c r="A9" s="1198"/>
      <c r="B9" s="232" t="s">
        <v>679</v>
      </c>
      <c r="C9" s="226" t="s">
        <v>680</v>
      </c>
      <c r="D9" s="852">
        <f>-'Fin. Data'!D17</f>
        <v>-0.5</v>
      </c>
      <c r="E9" s="631">
        <f>-'Fin. Data'!C17</f>
        <v>-0.7</v>
      </c>
      <c r="F9" s="853">
        <f>-'Fin. Data'!B17</f>
        <v>-1.5</v>
      </c>
      <c r="G9" s="334">
        <f>$D$53*DCF!F40</f>
        <v>-46.178999999999995</v>
      </c>
      <c r="H9" s="308">
        <f>$D$53*DCF!G40</f>
        <v>-49.592759999999991</v>
      </c>
      <c r="I9" s="308">
        <f>$D$53*DCF!H40</f>
        <v>-52.96970500328964</v>
      </c>
      <c r="J9" s="309">
        <f>$D$53*DCF!I40</f>
        <v>-57.720802176420463</v>
      </c>
      <c r="K9" s="588">
        <f>$E$53*DCF!J40</f>
        <v>-84.551033278052117</v>
      </c>
      <c r="L9" s="589">
        <f>$E$53*DCF!K40</f>
        <v>-95.5020566386914</v>
      </c>
      <c r="M9" s="589">
        <f>$E$53*DCF!L40</f>
        <v>-105.51097896009342</v>
      </c>
      <c r="N9" s="589">
        <f>$E$53*DCF!M40</f>
        <v>-117.53161196732032</v>
      </c>
      <c r="O9" s="589">
        <f>$E$53*DCF!N40</f>
        <v>-130.93612967887759</v>
      </c>
      <c r="P9" s="589">
        <f>$E$53*DCF!O40</f>
        <v>-145.48762767102352</v>
      </c>
      <c r="Q9" s="589">
        <f>$E$53*DCF!P40</f>
        <v>-162.45160328345989</v>
      </c>
      <c r="R9" s="589">
        <f>$E$53*DCF!Q40</f>
        <v>-181.24579099802304</v>
      </c>
      <c r="S9" s="589">
        <f>$E$53*DCF!R40</f>
        <v>-201.96981059468141</v>
      </c>
      <c r="T9" s="589">
        <f>$E$53*DCF!S40</f>
        <v>-224.72313461322159</v>
      </c>
      <c r="U9" s="589">
        <f>$E$53*DCF!T40</f>
        <v>-249.60511945026985</v>
      </c>
      <c r="V9" s="589">
        <f>$E$53*DCF!U40</f>
        <v>-276.71502898221524</v>
      </c>
      <c r="W9" s="589">
        <f>$E$53*DCF!V40</f>
        <v>-306.15205248837981</v>
      </c>
      <c r="X9" s="589">
        <f>$E$53*DCF!W40</f>
        <v>-338.01531844510208</v>
      </c>
      <c r="Y9" s="589">
        <f>$E$53*DCF!X40</f>
        <v>-372.40390527957891</v>
      </c>
      <c r="Z9" s="589">
        <f>$E$53*DCF!Y40</f>
        <v>-409.41684985202863</v>
      </c>
      <c r="AA9" s="589">
        <f>$E$53*DCF!Z40</f>
        <v>-449.15315421761926</v>
      </c>
      <c r="AB9" s="589">
        <f>$E$53*DCF!AA40</f>
        <v>-491.71179106975615</v>
      </c>
      <c r="AC9" s="589">
        <f>$E$53*DCF!AB40</f>
        <v>-537.1917081612105</v>
      </c>
      <c r="AD9" s="589">
        <f>$E$53*DCF!AC40</f>
        <v>-585.69183192472087</v>
      </c>
      <c r="AE9" s="589">
        <f>$E$53*DCF!AD40</f>
        <v>-637.31107046066904</v>
      </c>
      <c r="AF9" s="590">
        <f>$E$53*DCF!AE40</f>
        <v>-692.14831601992751</v>
      </c>
      <c r="AG9" s="343">
        <f>SUM(D9:AF9)</f>
        <v>-7004.5881912146324</v>
      </c>
      <c r="AH9" s="7"/>
      <c r="AI9" s="7"/>
      <c r="AJ9" s="7"/>
      <c r="AK9" s="10"/>
      <c r="AL9" s="10"/>
      <c r="AM9" s="10"/>
      <c r="AN9" s="10"/>
    </row>
    <row r="10" spans="1:40" ht="14.45" hidden="1">
      <c r="A10" s="1198"/>
      <c r="B10" s="232" t="s">
        <v>681</v>
      </c>
      <c r="C10" s="317" t="s">
        <v>682</v>
      </c>
      <c r="D10" s="571">
        <v>0</v>
      </c>
      <c r="E10" s="631">
        <v>0</v>
      </c>
      <c r="F10" s="632">
        <v>0</v>
      </c>
      <c r="G10" s="334">
        <f>F38*0</f>
        <v>0</v>
      </c>
      <c r="H10" s="334">
        <f t="shared" ref="H10:AF10" si="9">G38*0</f>
        <v>0</v>
      </c>
      <c r="I10" s="334">
        <f t="shared" si="9"/>
        <v>0</v>
      </c>
      <c r="J10" s="334">
        <f t="shared" si="9"/>
        <v>0</v>
      </c>
      <c r="K10" s="334">
        <f t="shared" si="9"/>
        <v>0</v>
      </c>
      <c r="L10" s="591">
        <f t="shared" si="9"/>
        <v>0</v>
      </c>
      <c r="M10" s="591">
        <f t="shared" si="9"/>
        <v>0</v>
      </c>
      <c r="N10" s="591">
        <f t="shared" si="9"/>
        <v>0</v>
      </c>
      <c r="O10" s="591">
        <f t="shared" si="9"/>
        <v>0</v>
      </c>
      <c r="P10" s="591">
        <f t="shared" si="9"/>
        <v>0</v>
      </c>
      <c r="Q10" s="591">
        <f t="shared" si="9"/>
        <v>0</v>
      </c>
      <c r="R10" s="591">
        <f t="shared" si="9"/>
        <v>0</v>
      </c>
      <c r="S10" s="591">
        <f t="shared" si="9"/>
        <v>0</v>
      </c>
      <c r="T10" s="591">
        <f t="shared" si="9"/>
        <v>0</v>
      </c>
      <c r="U10" s="591">
        <f t="shared" si="9"/>
        <v>0</v>
      </c>
      <c r="V10" s="591">
        <f t="shared" si="9"/>
        <v>0</v>
      </c>
      <c r="W10" s="591">
        <f t="shared" si="9"/>
        <v>0</v>
      </c>
      <c r="X10" s="591">
        <f t="shared" si="9"/>
        <v>0</v>
      </c>
      <c r="Y10" s="591">
        <f t="shared" si="9"/>
        <v>0</v>
      </c>
      <c r="Z10" s="591">
        <f t="shared" si="9"/>
        <v>0</v>
      </c>
      <c r="AA10" s="591">
        <f t="shared" si="9"/>
        <v>0</v>
      </c>
      <c r="AB10" s="591">
        <f t="shared" si="9"/>
        <v>0</v>
      </c>
      <c r="AC10" s="591">
        <f t="shared" si="9"/>
        <v>0</v>
      </c>
      <c r="AD10" s="591">
        <f t="shared" si="9"/>
        <v>0</v>
      </c>
      <c r="AE10" s="591">
        <f t="shared" si="9"/>
        <v>0</v>
      </c>
      <c r="AF10" s="591">
        <f t="shared" si="9"/>
        <v>0</v>
      </c>
      <c r="AG10" s="342"/>
      <c r="AH10" s="7"/>
      <c r="AI10" s="7"/>
      <c r="AJ10" s="7"/>
    </row>
    <row r="11" spans="1:40" ht="14.45">
      <c r="A11" s="1198"/>
      <c r="B11" s="232" t="s">
        <v>683</v>
      </c>
      <c r="C11" s="226" t="s">
        <v>684</v>
      </c>
      <c r="D11" s="571">
        <f>D20</f>
        <v>0</v>
      </c>
      <c r="E11" s="631">
        <f>E20</f>
        <v>0</v>
      </c>
      <c r="F11" s="632">
        <f>F20</f>
        <v>-12.8</v>
      </c>
      <c r="G11" s="334">
        <f>G6*$D$55</f>
        <v>0</v>
      </c>
      <c r="H11" s="591">
        <f t="shared" ref="H11:J11" si="10">H6*$D$55</f>
        <v>0</v>
      </c>
      <c r="I11" s="591">
        <f t="shared" si="10"/>
        <v>0</v>
      </c>
      <c r="J11" s="592">
        <f t="shared" si="10"/>
        <v>0</v>
      </c>
      <c r="K11" s="334">
        <f>K6*$E$55</f>
        <v>-60.839018670218273</v>
      </c>
      <c r="L11" s="591">
        <f t="shared" ref="L11:AF11" si="11">L6*$E$55</f>
        <v>-55.605124007789009</v>
      </c>
      <c r="M11" s="591">
        <f t="shared" si="11"/>
        <v>-66.781294484593886</v>
      </c>
      <c r="N11" s="591">
        <f t="shared" si="11"/>
        <v>-74.469542841984889</v>
      </c>
      <c r="O11" s="591">
        <f t="shared" si="11"/>
        <v>-80.841655511921843</v>
      </c>
      <c r="P11" s="591">
        <f t="shared" si="11"/>
        <v>-94.244308957979982</v>
      </c>
      <c r="Q11" s="591">
        <f t="shared" si="11"/>
        <v>-104.41215396979521</v>
      </c>
      <c r="R11" s="591">
        <f t="shared" si="11"/>
        <v>-115.13344220365757</v>
      </c>
      <c r="S11" s="591">
        <f t="shared" si="11"/>
        <v>-126.40735565855665</v>
      </c>
      <c r="T11" s="591">
        <f t="shared" si="11"/>
        <v>-138.23324909471265</v>
      </c>
      <c r="U11" s="591">
        <f t="shared" si="11"/>
        <v>-150.61060851080788</v>
      </c>
      <c r="V11" s="591">
        <f t="shared" si="11"/>
        <v>-163.53901947869193</v>
      </c>
      <c r="W11" s="591">
        <f t="shared" si="11"/>
        <v>-177.01814420401283</v>
      </c>
      <c r="X11" s="591">
        <f t="shared" si="11"/>
        <v>-191.04770463598209</v>
      </c>
      <c r="Y11" s="591">
        <f t="shared" si="11"/>
        <v>-205.62746984694292</v>
      </c>
      <c r="Z11" s="591">
        <f t="shared" si="11"/>
        <v>-220.75724647550365</v>
      </c>
      <c r="AA11" s="591">
        <f t="shared" si="11"/>
        <v>-236.43687140076065</v>
      </c>
      <c r="AB11" s="591">
        <f t="shared" si="11"/>
        <v>-252.66620606363512</v>
      </c>
      <c r="AC11" s="591">
        <f t="shared" si="11"/>
        <v>-269.44513201950201</v>
      </c>
      <c r="AD11" s="591">
        <f t="shared" si="11"/>
        <v>-286.77354742193478</v>
      </c>
      <c r="AE11" s="591">
        <f t="shared" si="11"/>
        <v>-304.65136421810246</v>
      </c>
      <c r="AF11" s="592">
        <f t="shared" si="11"/>
        <v>-313.79090514464554</v>
      </c>
      <c r="AG11" s="342"/>
      <c r="AH11" s="7"/>
      <c r="AI11" s="7"/>
      <c r="AJ11" s="7"/>
      <c r="AK11" s="10"/>
      <c r="AL11" s="10"/>
      <c r="AM11" s="10"/>
      <c r="AN11" s="10"/>
    </row>
    <row r="12" spans="1:40" ht="14.45">
      <c r="A12" s="1198"/>
      <c r="B12" s="232">
        <v>6</v>
      </c>
      <c r="C12" s="215" t="s">
        <v>63</v>
      </c>
      <c r="D12" s="268">
        <f t="shared" ref="D12:AF12" si="12">D8-D9-D10</f>
        <v>-33.200000000000003</v>
      </c>
      <c r="E12" s="593">
        <f t="shared" si="12"/>
        <v>727.00000000000011</v>
      </c>
      <c r="F12" s="633">
        <f t="shared" si="12"/>
        <v>3098.7000000000003</v>
      </c>
      <c r="G12" s="268">
        <f t="shared" si="12"/>
        <v>940.25900000000013</v>
      </c>
      <c r="H12" s="593">
        <f t="shared" si="12"/>
        <v>1094.8376419706037</v>
      </c>
      <c r="I12" s="593">
        <f t="shared" si="12"/>
        <v>1523.5474014485462</v>
      </c>
      <c r="J12" s="594">
        <f t="shared" si="12"/>
        <v>1684.1415970674543</v>
      </c>
      <c r="K12" s="268">
        <f t="shared" si="12"/>
        <v>1848.8825747143819</v>
      </c>
      <c r="L12" s="593">
        <f t="shared" si="12"/>
        <v>1763.6557768723615</v>
      </c>
      <c r="M12" s="593">
        <f t="shared" si="12"/>
        <v>2050.5161808238904</v>
      </c>
      <c r="N12" s="593">
        <f t="shared" si="12"/>
        <v>2221.2961972533935</v>
      </c>
      <c r="O12" s="593">
        <f t="shared" si="12"/>
        <v>2343.9764493177386</v>
      </c>
      <c r="P12" s="593">
        <f t="shared" si="12"/>
        <v>2642.9618150574934</v>
      </c>
      <c r="Q12" s="593">
        <f t="shared" si="12"/>
        <v>2838.0130487594633</v>
      </c>
      <c r="R12" s="593">
        <f t="shared" si="12"/>
        <v>3030.7984855385489</v>
      </c>
      <c r="S12" s="593">
        <f t="shared" si="12"/>
        <v>3219.9454269427224</v>
      </c>
      <c r="T12" s="593">
        <f t="shared" si="12"/>
        <v>3404.0878637916139</v>
      </c>
      <c r="U12" s="593">
        <f t="shared" si="12"/>
        <v>3581.8648327518949</v>
      </c>
      <c r="V12" s="593">
        <f t="shared" si="12"/>
        <v>3751.9191929044196</v>
      </c>
      <c r="W12" s="593">
        <f t="shared" si="12"/>
        <v>3912.8967406451425</v>
      </c>
      <c r="X12" s="593">
        <f t="shared" si="12"/>
        <v>4063.4455588467536</v>
      </c>
      <c r="Y12" s="593">
        <f t="shared" si="12"/>
        <v>4202.215531178892</v>
      </c>
      <c r="Z12" s="593">
        <f t="shared" si="12"/>
        <v>4327.8579747922195</v>
      </c>
      <c r="AA12" s="593">
        <f t="shared" si="12"/>
        <v>4439.0253591054561</v>
      </c>
      <c r="AB12" s="593">
        <f t="shared" si="12"/>
        <v>4534.3710880879189</v>
      </c>
      <c r="AC12" s="593">
        <f t="shared" si="12"/>
        <v>4612.5493299561786</v>
      </c>
      <c r="AD12" s="593">
        <f t="shared" si="12"/>
        <v>4672.2148826872917</v>
      </c>
      <c r="AE12" s="593">
        <f t="shared" si="12"/>
        <v>4712.0230668777895</v>
      </c>
      <c r="AF12" s="594">
        <f t="shared" si="12"/>
        <v>4614.5346303279966</v>
      </c>
      <c r="AG12" s="261"/>
      <c r="AH12" s="7"/>
      <c r="AI12" s="7"/>
      <c r="AJ12" s="7"/>
      <c r="AK12" s="10"/>
      <c r="AL12" s="10"/>
      <c r="AM12" s="10"/>
      <c r="AN12" s="10"/>
    </row>
    <row r="13" spans="1:40" ht="14.45">
      <c r="A13" s="1198"/>
      <c r="B13" s="232">
        <v>7</v>
      </c>
      <c r="C13" s="226" t="s">
        <v>685</v>
      </c>
      <c r="D13" s="339">
        <f>'Fin. Data'!D14</f>
        <v>-15.100000000000001</v>
      </c>
      <c r="E13" s="340">
        <f>'Fin. Data'!C14</f>
        <v>-12.5</v>
      </c>
      <c r="F13" s="341">
        <f>'Fin. Data'!B14</f>
        <v>44.900000000000006</v>
      </c>
      <c r="G13" s="588">
        <f>F43*$D$58-F44*$D$57</f>
        <v>-9.44</v>
      </c>
      <c r="H13" s="589">
        <f t="shared" ref="H13:I13" si="13">G43*$D$58-G44*$D$57</f>
        <v>-1.8805180000000004</v>
      </c>
      <c r="I13" s="589">
        <f t="shared" si="13"/>
        <v>-2.1896752839412077</v>
      </c>
      <c r="J13" s="590">
        <f>I43*$D$58-I44*$D$57</f>
        <v>-3.0470948028970923</v>
      </c>
      <c r="K13" s="588">
        <f>J43*$E$58-J44*$E$57</f>
        <v>-3.368283194134909</v>
      </c>
      <c r="L13" s="589">
        <f t="shared" ref="L13:AF13" si="14">K43*$E$58-K44*$E$57</f>
        <v>-5.1768712092002707</v>
      </c>
      <c r="M13" s="589">
        <f t="shared" si="14"/>
        <v>-4.9382361752426123</v>
      </c>
      <c r="N13" s="589">
        <f t="shared" si="14"/>
        <v>-5.7414453063068933</v>
      </c>
      <c r="O13" s="589">
        <f t="shared" si="14"/>
        <v>-6.2196293523095028</v>
      </c>
      <c r="P13" s="589">
        <f t="shared" si="14"/>
        <v>-6.5631340580896689</v>
      </c>
      <c r="Q13" s="589">
        <f t="shared" si="14"/>
        <v>-7.4002930821609825</v>
      </c>
      <c r="R13" s="589">
        <f t="shared" si="14"/>
        <v>-7.9464365365264991</v>
      </c>
      <c r="S13" s="589">
        <f t="shared" si="14"/>
        <v>-8.4862357595079381</v>
      </c>
      <c r="T13" s="589">
        <f t="shared" si="14"/>
        <v>-9.0158471954396244</v>
      </c>
      <c r="U13" s="589">
        <f t="shared" si="14"/>
        <v>-9.5314460186165189</v>
      </c>
      <c r="V13" s="589">
        <f t="shared" si="14"/>
        <v>-10.029221531705307</v>
      </c>
      <c r="W13" s="589">
        <f t="shared" si="14"/>
        <v>-10.505373740132375</v>
      </c>
      <c r="X13" s="589">
        <f t="shared" si="14"/>
        <v>-10.956110873806399</v>
      </c>
      <c r="Y13" s="589">
        <f t="shared" si="14"/>
        <v>-11.377647564770912</v>
      </c>
      <c r="Z13" s="589">
        <f t="shared" si="14"/>
        <v>-11.766203487300899</v>
      </c>
      <c r="AA13" s="589">
        <f t="shared" si="14"/>
        <v>-12.118002329418216</v>
      </c>
      <c r="AB13" s="589">
        <f t="shared" si="14"/>
        <v>-12.429271005495277</v>
      </c>
      <c r="AC13" s="589">
        <f t="shared" si="14"/>
        <v>-12.696239046646173</v>
      </c>
      <c r="AD13" s="589">
        <f t="shared" si="14"/>
        <v>-12.9151381238773</v>
      </c>
      <c r="AE13" s="589">
        <f t="shared" si="14"/>
        <v>-13.082201671524418</v>
      </c>
      <c r="AF13" s="590">
        <f t="shared" si="14"/>
        <v>-13.193664587257814</v>
      </c>
      <c r="AG13" s="342"/>
      <c r="AH13" s="7"/>
      <c r="AI13" s="7"/>
      <c r="AJ13" s="7"/>
      <c r="AK13" s="10"/>
      <c r="AL13" s="10"/>
      <c r="AM13" s="10"/>
      <c r="AN13" s="10"/>
    </row>
    <row r="14" spans="1:40" ht="14.45">
      <c r="A14" s="1198"/>
      <c r="B14" s="232">
        <v>8</v>
      </c>
      <c r="C14" s="226" t="s">
        <v>686</v>
      </c>
      <c r="D14" s="269">
        <f>'Fin. Data'!D15</f>
        <v>-1.2999999999999989</v>
      </c>
      <c r="E14" s="266">
        <f>'Fin. Data'!C15</f>
        <v>5.5999999999998629</v>
      </c>
      <c r="F14" s="271">
        <f>'Fin. Data'!B15</f>
        <v>114.69999999999963</v>
      </c>
      <c r="G14" s="586">
        <f t="shared" ref="G14:AF14" si="15">AVERAGE(D14:F14)*(1+G5)</f>
        <v>15.866666666666601</v>
      </c>
      <c r="H14" s="587">
        <f t="shared" si="15"/>
        <v>44.899401697307788</v>
      </c>
      <c r="I14" s="587">
        <f t="shared" si="15"/>
        <v>82.289005849207243</v>
      </c>
      <c r="J14" s="584">
        <f>AVERAGE(G14:I14)*(1+J5)</f>
        <v>57.133267441737189</v>
      </c>
      <c r="K14" s="586">
        <f t="shared" si="15"/>
        <v>68.948637776655374</v>
      </c>
      <c r="L14" s="587">
        <f t="shared" si="15"/>
        <v>63.481685508084659</v>
      </c>
      <c r="M14" s="587">
        <f t="shared" si="15"/>
        <v>75.88810205146217</v>
      </c>
      <c r="N14" s="587">
        <f t="shared" si="15"/>
        <v>77.43374857724568</v>
      </c>
      <c r="O14" s="587">
        <f t="shared" si="15"/>
        <v>78.451566073245431</v>
      </c>
      <c r="P14" s="587">
        <f t="shared" si="15"/>
        <v>90.066296282466453</v>
      </c>
      <c r="Q14" s="587">
        <f t="shared" si="15"/>
        <v>90.828959165767913</v>
      </c>
      <c r="R14" s="587">
        <f t="shared" si="15"/>
        <v>95.325723270950064</v>
      </c>
      <c r="S14" s="587">
        <f t="shared" si="15"/>
        <v>101.08954974045855</v>
      </c>
      <c r="T14" s="587">
        <f t="shared" si="15"/>
        <v>104.70567763693617</v>
      </c>
      <c r="U14" s="587">
        <f t="shared" si="15"/>
        <v>109.36107366717665</v>
      </c>
      <c r="V14" s="587">
        <f t="shared" si="15"/>
        <v>114.06977008453799</v>
      </c>
      <c r="W14" s="587">
        <f t="shared" si="15"/>
        <v>118.39400416882891</v>
      </c>
      <c r="X14" s="587">
        <f t="shared" si="15"/>
        <v>122.97205064564808</v>
      </c>
      <c r="Y14" s="587">
        <f t="shared" si="15"/>
        <v>127.52027825755962</v>
      </c>
      <c r="Z14" s="587">
        <f t="shared" si="15"/>
        <v>132.0094881811321</v>
      </c>
      <c r="AA14" s="587">
        <f t="shared" si="15"/>
        <v>136.55653344779742</v>
      </c>
      <c r="AB14" s="587">
        <f t="shared" si="15"/>
        <v>141.09139305444282</v>
      </c>
      <c r="AC14" s="587">
        <f t="shared" si="15"/>
        <v>145.62057704744973</v>
      </c>
      <c r="AD14" s="587">
        <f t="shared" si="15"/>
        <v>150.16317591285204</v>
      </c>
      <c r="AE14" s="587">
        <f t="shared" si="15"/>
        <v>154.7034938925176</v>
      </c>
      <c r="AF14" s="584">
        <f t="shared" si="15"/>
        <v>154.66728808613465</v>
      </c>
      <c r="AG14" s="342"/>
      <c r="AH14" s="7"/>
      <c r="AI14" s="7"/>
      <c r="AJ14" s="7"/>
      <c r="AK14" s="10"/>
      <c r="AL14" s="10"/>
      <c r="AM14" s="10"/>
      <c r="AN14" s="10"/>
    </row>
    <row r="15" spans="1:40" ht="14.45">
      <c r="A15" s="1198"/>
      <c r="B15" s="232">
        <v>9</v>
      </c>
      <c r="C15" s="215" t="s">
        <v>687</v>
      </c>
      <c r="D15" s="268">
        <f t="shared" ref="D15:AF15" si="16">D8+D13+D14</f>
        <v>-50.1</v>
      </c>
      <c r="E15" s="593">
        <f t="shared" si="16"/>
        <v>719.4</v>
      </c>
      <c r="F15" s="633">
        <f t="shared" si="16"/>
        <v>3256.8</v>
      </c>
      <c r="G15" s="268">
        <f t="shared" si="16"/>
        <v>900.50666666666666</v>
      </c>
      <c r="H15" s="593">
        <f t="shared" si="16"/>
        <v>1088.2637656679117</v>
      </c>
      <c r="I15" s="593">
        <f t="shared" si="16"/>
        <v>1550.6770270105228</v>
      </c>
      <c r="J15" s="594">
        <f t="shared" si="16"/>
        <v>1680.5069675298739</v>
      </c>
      <c r="K15" s="268">
        <f t="shared" si="16"/>
        <v>1829.9118960188505</v>
      </c>
      <c r="L15" s="593">
        <f t="shared" si="16"/>
        <v>1726.4585345325545</v>
      </c>
      <c r="M15" s="593">
        <f t="shared" si="16"/>
        <v>2015.9550677400166</v>
      </c>
      <c r="N15" s="593">
        <f t="shared" si="16"/>
        <v>2175.456888557012</v>
      </c>
      <c r="O15" s="593">
        <f t="shared" si="16"/>
        <v>2285.2722563597972</v>
      </c>
      <c r="P15" s="593">
        <f t="shared" si="16"/>
        <v>2580.9773496108464</v>
      </c>
      <c r="Q15" s="593">
        <f t="shared" si="16"/>
        <v>2758.9901115596103</v>
      </c>
      <c r="R15" s="593">
        <f t="shared" si="16"/>
        <v>2936.9319812749495</v>
      </c>
      <c r="S15" s="593">
        <f t="shared" si="16"/>
        <v>3110.5789303289916</v>
      </c>
      <c r="T15" s="593">
        <f t="shared" si="16"/>
        <v>3275.054559619889</v>
      </c>
      <c r="U15" s="593">
        <f t="shared" si="16"/>
        <v>3432.0893409501855</v>
      </c>
      <c r="V15" s="593">
        <f t="shared" si="16"/>
        <v>3579.244712475037</v>
      </c>
      <c r="W15" s="593">
        <f t="shared" si="16"/>
        <v>3714.6333185854592</v>
      </c>
      <c r="X15" s="593">
        <f t="shared" si="16"/>
        <v>3837.4461801734933</v>
      </c>
      <c r="Y15" s="593">
        <f t="shared" si="16"/>
        <v>3945.9542565921015</v>
      </c>
      <c r="Z15" s="593">
        <f t="shared" si="16"/>
        <v>4038.6844096340214</v>
      </c>
      <c r="AA15" s="593">
        <f t="shared" si="16"/>
        <v>4114.3107360062158</v>
      </c>
      <c r="AB15" s="593">
        <f t="shared" si="16"/>
        <v>4171.3214190671097</v>
      </c>
      <c r="AC15" s="593">
        <f t="shared" si="16"/>
        <v>4208.2819597957723</v>
      </c>
      <c r="AD15" s="593">
        <f t="shared" si="16"/>
        <v>4223.7710885515453</v>
      </c>
      <c r="AE15" s="593">
        <f t="shared" si="16"/>
        <v>4216.333288638114</v>
      </c>
      <c r="AF15" s="594">
        <f t="shared" si="16"/>
        <v>4063.8599378069462</v>
      </c>
      <c r="AG15" s="342"/>
      <c r="AH15" s="7"/>
      <c r="AI15" s="7"/>
      <c r="AJ15" s="7"/>
      <c r="AK15" s="10"/>
      <c r="AL15" s="10"/>
      <c r="AM15" s="10"/>
      <c r="AN15" s="10"/>
    </row>
    <row r="16" spans="1:40" ht="14.45">
      <c r="A16" s="1198"/>
      <c r="B16" s="232">
        <v>10</v>
      </c>
      <c r="C16" s="226" t="s">
        <v>688</v>
      </c>
      <c r="D16" s="336">
        <f>'Fin. Data'!D21</f>
        <v>0</v>
      </c>
      <c r="E16" s="337">
        <f>'Fin. Data'!C21</f>
        <v>-163.19999999999999</v>
      </c>
      <c r="F16" s="338">
        <f>'Fin. Data'!B21</f>
        <v>-980.4</v>
      </c>
      <c r="G16" s="334">
        <f>-(1*$D$56)*G15</f>
        <v>-225.12666666666667</v>
      </c>
      <c r="H16" s="308">
        <f>-(1*$D$56)*H15</f>
        <v>-272.06594141697792</v>
      </c>
      <c r="I16" s="308">
        <f t="shared" ref="I16:J16" si="17">-(1*$D$56)*I15</f>
        <v>-387.6692567526307</v>
      </c>
      <c r="J16" s="309">
        <f t="shared" si="17"/>
        <v>-420.12674188246848</v>
      </c>
      <c r="K16" s="307">
        <f>-(1*$E$56)*K15</f>
        <v>-548.97356880565508</v>
      </c>
      <c r="L16" s="308">
        <f>-(1*$E$56)*L15</f>
        <v>-517.93756035976628</v>
      </c>
      <c r="M16" s="308">
        <f t="shared" ref="M16:AF16" si="18">-(1*$E$56)*M15</f>
        <v>-604.786520322005</v>
      </c>
      <c r="N16" s="308">
        <f t="shared" si="18"/>
        <v>-652.6370665671036</v>
      </c>
      <c r="O16" s="308">
        <f t="shared" si="18"/>
        <v>-685.58167690793914</v>
      </c>
      <c r="P16" s="308">
        <f t="shared" si="18"/>
        <v>-774.29320488325391</v>
      </c>
      <c r="Q16" s="308">
        <f t="shared" si="18"/>
        <v>-827.6970334678831</v>
      </c>
      <c r="R16" s="308">
        <f t="shared" si="18"/>
        <v>-881.07959438248486</v>
      </c>
      <c r="S16" s="308">
        <f t="shared" si="18"/>
        <v>-933.17367909869745</v>
      </c>
      <c r="T16" s="308">
        <f t="shared" si="18"/>
        <v>-982.5163678859667</v>
      </c>
      <c r="U16" s="308">
        <f t="shared" si="18"/>
        <v>-1029.6268022850556</v>
      </c>
      <c r="V16" s="308">
        <f t="shared" si="18"/>
        <v>-1073.7734137425111</v>
      </c>
      <c r="W16" s="308">
        <f t="shared" si="18"/>
        <v>-1114.3899955756376</v>
      </c>
      <c r="X16" s="308">
        <f t="shared" si="18"/>
        <v>-1151.2338540520479</v>
      </c>
      <c r="Y16" s="308">
        <f t="shared" si="18"/>
        <v>-1183.7862769776305</v>
      </c>
      <c r="Z16" s="308">
        <f t="shared" si="18"/>
        <v>-1211.6053228902065</v>
      </c>
      <c r="AA16" s="308">
        <f t="shared" si="18"/>
        <v>-1234.2932208018647</v>
      </c>
      <c r="AB16" s="308">
        <f t="shared" si="18"/>
        <v>-1251.3964257201328</v>
      </c>
      <c r="AC16" s="308">
        <f t="shared" si="18"/>
        <v>-1262.4845879387317</v>
      </c>
      <c r="AD16" s="308">
        <f t="shared" si="18"/>
        <v>-1267.1313265654635</v>
      </c>
      <c r="AE16" s="308">
        <f t="shared" si="18"/>
        <v>-1264.8999865914341</v>
      </c>
      <c r="AF16" s="309">
        <f t="shared" si="18"/>
        <v>-1219.1579813420838</v>
      </c>
      <c r="AG16" s="342"/>
      <c r="AH16" s="7"/>
      <c r="AI16" s="7"/>
      <c r="AJ16" s="7"/>
      <c r="AK16" s="10"/>
      <c r="AL16" s="10"/>
      <c r="AM16" s="10"/>
      <c r="AN16" s="10"/>
    </row>
    <row r="17" spans="1:40" ht="15" thickBot="1">
      <c r="A17" s="1198"/>
      <c r="B17" s="233">
        <v>11</v>
      </c>
      <c r="C17" s="239" t="s">
        <v>689</v>
      </c>
      <c r="D17" s="595">
        <f>'Fin. Data'!D23</f>
        <v>-51.4</v>
      </c>
      <c r="E17" s="494">
        <f>'Fin. Data'!C23</f>
        <v>561.79999999999995</v>
      </c>
      <c r="F17" s="494">
        <f>'Fin. Data'!B23</f>
        <v>2391.1</v>
      </c>
      <c r="G17" s="595">
        <f>G16+G15</f>
        <v>675.38</v>
      </c>
      <c r="H17" s="596">
        <f t="shared" ref="H17:AF17" si="19">H16+H15</f>
        <v>816.19782425093376</v>
      </c>
      <c r="I17" s="596">
        <f t="shared" si="19"/>
        <v>1163.0077702578922</v>
      </c>
      <c r="J17" s="597">
        <f t="shared" si="19"/>
        <v>1260.3802256474055</v>
      </c>
      <c r="K17" s="595">
        <f t="shared" si="19"/>
        <v>1280.9383272131954</v>
      </c>
      <c r="L17" s="596">
        <f t="shared" si="19"/>
        <v>1208.5209741727881</v>
      </c>
      <c r="M17" s="596">
        <f t="shared" si="19"/>
        <v>1411.1685474180117</v>
      </c>
      <c r="N17" s="596">
        <f t="shared" si="19"/>
        <v>1522.8198219899084</v>
      </c>
      <c r="O17" s="596">
        <f t="shared" si="19"/>
        <v>1599.690579451858</v>
      </c>
      <c r="P17" s="596">
        <f t="shared" si="19"/>
        <v>1806.6841447275924</v>
      </c>
      <c r="Q17" s="596">
        <f t="shared" si="19"/>
        <v>1931.2930780917272</v>
      </c>
      <c r="R17" s="596">
        <f t="shared" si="19"/>
        <v>2055.8523868924649</v>
      </c>
      <c r="S17" s="596">
        <f t="shared" si="19"/>
        <v>2177.4052512302942</v>
      </c>
      <c r="T17" s="596">
        <f t="shared" si="19"/>
        <v>2292.5381917339223</v>
      </c>
      <c r="U17" s="596">
        <f t="shared" si="19"/>
        <v>2402.4625386651296</v>
      </c>
      <c r="V17" s="596">
        <f t="shared" si="19"/>
        <v>2505.4712987325256</v>
      </c>
      <c r="W17" s="596">
        <f t="shared" si="19"/>
        <v>2600.2433230098213</v>
      </c>
      <c r="X17" s="596">
        <f t="shared" si="19"/>
        <v>2686.2123261214456</v>
      </c>
      <c r="Y17" s="596">
        <f t="shared" si="19"/>
        <v>2762.1679796144708</v>
      </c>
      <c r="Z17" s="596">
        <f t="shared" si="19"/>
        <v>2827.079086743815</v>
      </c>
      <c r="AA17" s="596">
        <f t="shared" si="19"/>
        <v>2880.0175152043512</v>
      </c>
      <c r="AB17" s="596">
        <f t="shared" si="19"/>
        <v>2919.9249933469769</v>
      </c>
      <c r="AC17" s="596">
        <f t="shared" si="19"/>
        <v>2945.7973718570406</v>
      </c>
      <c r="AD17" s="596">
        <f t="shared" si="19"/>
        <v>2956.6397619860818</v>
      </c>
      <c r="AE17" s="596">
        <f t="shared" si="19"/>
        <v>2951.4333020466802</v>
      </c>
      <c r="AF17" s="597">
        <f t="shared" si="19"/>
        <v>2844.7019564648626</v>
      </c>
      <c r="AG17" s="342"/>
      <c r="AH17" s="7"/>
      <c r="AI17" s="7"/>
      <c r="AJ17" s="7"/>
      <c r="AK17" s="10"/>
      <c r="AL17" s="10"/>
      <c r="AM17" s="10"/>
      <c r="AN17" s="10"/>
    </row>
    <row r="18" spans="1:40" ht="15" thickBot="1">
      <c r="A18" s="219"/>
      <c r="B18" s="228"/>
      <c r="C18" s="229" t="s">
        <v>690</v>
      </c>
      <c r="D18" s="237" t="s">
        <v>690</v>
      </c>
      <c r="E18" s="237" t="s">
        <v>690</v>
      </c>
      <c r="F18" s="237" t="s">
        <v>690</v>
      </c>
      <c r="G18" s="234" t="s">
        <v>690</v>
      </c>
      <c r="H18" s="234" t="s">
        <v>690</v>
      </c>
      <c r="I18" s="234" t="s">
        <v>690</v>
      </c>
      <c r="J18" s="234" t="s">
        <v>690</v>
      </c>
      <c r="K18" s="234" t="s">
        <v>690</v>
      </c>
      <c r="L18" s="234" t="s">
        <v>690</v>
      </c>
      <c r="M18" s="234" t="s">
        <v>690</v>
      </c>
      <c r="N18" s="234" t="s">
        <v>690</v>
      </c>
      <c r="O18" s="234" t="s">
        <v>690</v>
      </c>
      <c r="P18" s="234" t="s">
        <v>690</v>
      </c>
      <c r="Q18" s="234" t="s">
        <v>690</v>
      </c>
      <c r="R18" s="234" t="s">
        <v>690</v>
      </c>
      <c r="S18" s="234" t="s">
        <v>690</v>
      </c>
      <c r="T18" s="234" t="s">
        <v>690</v>
      </c>
      <c r="U18" s="234" t="s">
        <v>690</v>
      </c>
      <c r="V18" s="234" t="s">
        <v>690</v>
      </c>
      <c r="W18" s="234" t="s">
        <v>690</v>
      </c>
      <c r="X18" s="234" t="s">
        <v>690</v>
      </c>
      <c r="Y18" s="234" t="s">
        <v>690</v>
      </c>
      <c r="Z18" s="234" t="s">
        <v>690</v>
      </c>
      <c r="AA18" s="234" t="s">
        <v>690</v>
      </c>
      <c r="AB18" s="234" t="s">
        <v>690</v>
      </c>
      <c r="AC18" s="234" t="s">
        <v>690</v>
      </c>
      <c r="AD18" s="234" t="s">
        <v>690</v>
      </c>
      <c r="AE18" s="234" t="s">
        <v>690</v>
      </c>
      <c r="AF18" s="244" t="s">
        <v>690</v>
      </c>
      <c r="AG18" s="342"/>
      <c r="AH18" s="7"/>
      <c r="AI18" s="7"/>
      <c r="AJ18" s="7"/>
      <c r="AK18" s="10"/>
      <c r="AL18" s="10"/>
      <c r="AM18" s="10"/>
      <c r="AN18" s="10"/>
    </row>
    <row r="19" spans="1:40" ht="14.45">
      <c r="A19" s="1477" t="s">
        <v>691</v>
      </c>
      <c r="B19" s="208">
        <v>12</v>
      </c>
      <c r="C19" s="317" t="s">
        <v>692</v>
      </c>
      <c r="D19" s="665">
        <f>'Inputs (AUD)'!D59-'Inputs (AUD)'!D62</f>
        <v>24</v>
      </c>
      <c r="E19" s="666">
        <f>'Inputs (AUD)'!C59-'Inputs (AUD)'!C62</f>
        <v>657.2</v>
      </c>
      <c r="F19" s="667">
        <f>'Inputs (AUD)'!B59-'Inputs (AUD)'!B62</f>
        <v>3414.8999999999996</v>
      </c>
      <c r="G19" s="839">
        <f>G17-G10-G9-G11</f>
        <v>721.55899999999997</v>
      </c>
      <c r="H19" s="840">
        <f t="shared" ref="H19:AE19" si="20">H17-H10-H9-H11</f>
        <v>865.79058425093376</v>
      </c>
      <c r="I19" s="840">
        <f t="shared" si="20"/>
        <v>1215.9774752611818</v>
      </c>
      <c r="J19" s="841">
        <f t="shared" si="20"/>
        <v>1318.1010278238259</v>
      </c>
      <c r="K19" s="839">
        <f t="shared" si="20"/>
        <v>1426.3283791614658</v>
      </c>
      <c r="L19" s="840">
        <f t="shared" si="20"/>
        <v>1359.6281548192685</v>
      </c>
      <c r="M19" s="840">
        <f t="shared" si="20"/>
        <v>1583.4608208626989</v>
      </c>
      <c r="N19" s="840">
        <f t="shared" si="20"/>
        <v>1714.8209767992134</v>
      </c>
      <c r="O19" s="840">
        <f t="shared" si="20"/>
        <v>1811.4683646426572</v>
      </c>
      <c r="P19" s="840">
        <f t="shared" si="20"/>
        <v>2046.4160813565959</v>
      </c>
      <c r="Q19" s="840">
        <f t="shared" si="20"/>
        <v>2198.1568353449825</v>
      </c>
      <c r="R19" s="840">
        <f t="shared" si="20"/>
        <v>2352.2316200941455</v>
      </c>
      <c r="S19" s="840">
        <f t="shared" si="20"/>
        <v>2505.7824174835323</v>
      </c>
      <c r="T19" s="840">
        <f t="shared" si="20"/>
        <v>2655.4945754418568</v>
      </c>
      <c r="U19" s="840">
        <f t="shared" si="20"/>
        <v>2802.678266626207</v>
      </c>
      <c r="V19" s="840">
        <f t="shared" si="20"/>
        <v>2945.7253471934328</v>
      </c>
      <c r="W19" s="840">
        <f t="shared" si="20"/>
        <v>3083.4135197022142</v>
      </c>
      <c r="X19" s="840">
        <f t="shared" si="20"/>
        <v>3215.2753492025295</v>
      </c>
      <c r="Y19" s="840">
        <f t="shared" si="20"/>
        <v>3340.1993547409925</v>
      </c>
      <c r="Z19" s="840">
        <f t="shared" si="20"/>
        <v>3457.2531830713469</v>
      </c>
      <c r="AA19" s="840">
        <f t="shared" si="20"/>
        <v>3565.6075408227312</v>
      </c>
      <c r="AB19" s="840">
        <f t="shared" si="20"/>
        <v>3664.302990480368</v>
      </c>
      <c r="AC19" s="840">
        <f t="shared" si="20"/>
        <v>3752.4342120377532</v>
      </c>
      <c r="AD19" s="840">
        <f t="shared" si="20"/>
        <v>3829.1051413327373</v>
      </c>
      <c r="AE19" s="840">
        <f t="shared" si="20"/>
        <v>3893.3957367254516</v>
      </c>
      <c r="AF19" s="842">
        <f>AF17-AF10-AF9-AF11</f>
        <v>3850.6411776294358</v>
      </c>
      <c r="AG19" s="342"/>
      <c r="AH19" s="7"/>
      <c r="AI19" s="7"/>
      <c r="AJ19" s="7"/>
      <c r="AK19" s="10"/>
      <c r="AL19" s="10"/>
      <c r="AM19" s="10"/>
      <c r="AN19" s="10"/>
    </row>
    <row r="20" spans="1:40" ht="14.45">
      <c r="A20" s="1478"/>
      <c r="B20" s="208">
        <v>13</v>
      </c>
      <c r="C20" s="226" t="s">
        <v>693</v>
      </c>
      <c r="D20" s="668">
        <f>-'Inputs (AUD)'!D103</f>
        <v>0</v>
      </c>
      <c r="E20" s="669">
        <f>-'Inputs (AUD)'!C103</f>
        <v>0</v>
      </c>
      <c r="F20" s="670">
        <f>-'Inputs (AUD)'!B103</f>
        <v>-12.8</v>
      </c>
      <c r="G20" s="278">
        <f>G11</f>
        <v>0</v>
      </c>
      <c r="H20" s="278">
        <f t="shared" ref="H20:AF20" si="21">H11</f>
        <v>0</v>
      </c>
      <c r="I20" s="278">
        <f t="shared" si="21"/>
        <v>0</v>
      </c>
      <c r="J20" s="602">
        <f t="shared" si="21"/>
        <v>0</v>
      </c>
      <c r="K20" s="279">
        <f t="shared" si="21"/>
        <v>-60.839018670218273</v>
      </c>
      <c r="L20" s="278">
        <f t="shared" si="21"/>
        <v>-55.605124007789009</v>
      </c>
      <c r="M20" s="278">
        <f t="shared" si="21"/>
        <v>-66.781294484593886</v>
      </c>
      <c r="N20" s="278">
        <f t="shared" si="21"/>
        <v>-74.469542841984889</v>
      </c>
      <c r="O20" s="278">
        <f t="shared" si="21"/>
        <v>-80.841655511921843</v>
      </c>
      <c r="P20" s="278">
        <f t="shared" si="21"/>
        <v>-94.244308957979982</v>
      </c>
      <c r="Q20" s="278">
        <f t="shared" si="21"/>
        <v>-104.41215396979521</v>
      </c>
      <c r="R20" s="278">
        <f t="shared" si="21"/>
        <v>-115.13344220365757</v>
      </c>
      <c r="S20" s="278">
        <f t="shared" si="21"/>
        <v>-126.40735565855665</v>
      </c>
      <c r="T20" s="278">
        <f t="shared" si="21"/>
        <v>-138.23324909471265</v>
      </c>
      <c r="U20" s="278">
        <f t="shared" si="21"/>
        <v>-150.61060851080788</v>
      </c>
      <c r="V20" s="278">
        <f t="shared" si="21"/>
        <v>-163.53901947869193</v>
      </c>
      <c r="W20" s="278">
        <f t="shared" si="21"/>
        <v>-177.01814420401283</v>
      </c>
      <c r="X20" s="278">
        <f t="shared" si="21"/>
        <v>-191.04770463598209</v>
      </c>
      <c r="Y20" s="278">
        <f t="shared" si="21"/>
        <v>-205.62746984694292</v>
      </c>
      <c r="Z20" s="278">
        <f t="shared" si="21"/>
        <v>-220.75724647550365</v>
      </c>
      <c r="AA20" s="278">
        <f t="shared" si="21"/>
        <v>-236.43687140076065</v>
      </c>
      <c r="AB20" s="278">
        <f t="shared" si="21"/>
        <v>-252.66620606363512</v>
      </c>
      <c r="AC20" s="278">
        <f t="shared" si="21"/>
        <v>-269.44513201950201</v>
      </c>
      <c r="AD20" s="278">
        <f t="shared" si="21"/>
        <v>-286.77354742193478</v>
      </c>
      <c r="AE20" s="278">
        <f t="shared" si="21"/>
        <v>-304.65136421810246</v>
      </c>
      <c r="AF20" s="405">
        <f t="shared" si="21"/>
        <v>-313.79090514464554</v>
      </c>
      <c r="AG20" s="342"/>
      <c r="AH20" s="7"/>
      <c r="AI20" s="7"/>
      <c r="AJ20" s="7"/>
      <c r="AK20" s="10"/>
      <c r="AL20" s="10"/>
      <c r="AM20" s="10"/>
      <c r="AN20" s="10"/>
    </row>
    <row r="21" spans="1:40" ht="14.45">
      <c r="A21" s="1478"/>
      <c r="B21" s="208">
        <v>14</v>
      </c>
      <c r="C21" s="226" t="s">
        <v>694</v>
      </c>
      <c r="D21" s="251">
        <f>'Inputs (AUD)'!D62</f>
        <v>-5.2</v>
      </c>
      <c r="E21" s="250">
        <f>'Inputs (AUD)'!C62</f>
        <v>-9.6</v>
      </c>
      <c r="F21" s="403">
        <f>'Inputs (AUD)'!B62</f>
        <v>41.8</v>
      </c>
      <c r="G21" s="278">
        <f>$D$60*(G6-F6)</f>
        <v>60.959999999999994</v>
      </c>
      <c r="H21" s="278">
        <f t="shared" ref="H21:I21" si="22">$D$60*(H6-G6)</f>
        <v>0.43827377036139981</v>
      </c>
      <c r="I21" s="278">
        <f t="shared" si="22"/>
        <v>-16.358954402871262</v>
      </c>
      <c r="J21" s="602">
        <f>$D$60*(J6-I6)</f>
        <v>-11.206852487949881</v>
      </c>
      <c r="K21" s="279">
        <f>$E$60*(K6-J6)</f>
        <v>-14.906232391163575</v>
      </c>
      <c r="L21" s="278">
        <f t="shared" ref="L21:AF21" si="23">$E$60*(L6-K6)</f>
        <v>11.776262990465847</v>
      </c>
      <c r="M21" s="278">
        <f t="shared" si="23"/>
        <v>-25.146383572810965</v>
      </c>
      <c r="N21" s="278">
        <f t="shared" si="23"/>
        <v>-17.298558804129755</v>
      </c>
      <c r="O21" s="278">
        <f t="shared" si="23"/>
        <v>-14.33725350735816</v>
      </c>
      <c r="P21" s="278">
        <f t="shared" si="23"/>
        <v>-30.155970253630791</v>
      </c>
      <c r="Q21" s="278">
        <f t="shared" si="23"/>
        <v>-22.877651276584295</v>
      </c>
      <c r="R21" s="278">
        <f t="shared" si="23"/>
        <v>-24.122898526190269</v>
      </c>
      <c r="S21" s="278">
        <f t="shared" si="23"/>
        <v>-25.36630527352294</v>
      </c>
      <c r="T21" s="278">
        <f t="shared" si="23"/>
        <v>-26.608260231351004</v>
      </c>
      <c r="U21" s="278">
        <f t="shared" si="23"/>
        <v>-27.849058686214253</v>
      </c>
      <c r="V21" s="278">
        <f t="shared" si="23"/>
        <v>-29.088924677739104</v>
      </c>
      <c r="W21" s="278">
        <f t="shared" si="23"/>
        <v>-30.328030631972041</v>
      </c>
      <c r="X21" s="278">
        <f t="shared" si="23"/>
        <v>-31.566510971930828</v>
      </c>
      <c r="Y21" s="278">
        <f t="shared" si="23"/>
        <v>-32.804471724661873</v>
      </c>
      <c r="Z21" s="278">
        <f t="shared" si="23"/>
        <v>-34.041997414261623</v>
      </c>
      <c r="AA21" s="278">
        <f t="shared" si="23"/>
        <v>-35.279156081828276</v>
      </c>
      <c r="AB21" s="278">
        <f t="shared" si="23"/>
        <v>-36.516002991467538</v>
      </c>
      <c r="AC21" s="278">
        <f t="shared" si="23"/>
        <v>-37.752583400700537</v>
      </c>
      <c r="AD21" s="278">
        <f t="shared" si="23"/>
        <v>-38.988934655473642</v>
      </c>
      <c r="AE21" s="278">
        <f t="shared" si="23"/>
        <v>-40.225087791377362</v>
      </c>
      <c r="AF21" s="405">
        <f t="shared" si="23"/>
        <v>-20.563967084721945</v>
      </c>
      <c r="AG21" s="342"/>
      <c r="AH21" s="7"/>
      <c r="AI21" s="7"/>
      <c r="AJ21" s="7"/>
      <c r="AK21" s="10"/>
      <c r="AL21" s="10"/>
      <c r="AM21" s="10"/>
      <c r="AN21" s="10"/>
    </row>
    <row r="22" spans="1:40" ht="14.45">
      <c r="A22" s="1478"/>
      <c r="B22" s="208">
        <v>15</v>
      </c>
      <c r="C22" s="235" t="s">
        <v>695</v>
      </c>
      <c r="D22" s="312">
        <f>D19+D20+D21</f>
        <v>18.8</v>
      </c>
      <c r="E22" s="604">
        <f t="shared" ref="E22:AE22" si="24">E19+E20+E21</f>
        <v>647.6</v>
      </c>
      <c r="F22" s="606">
        <f t="shared" si="24"/>
        <v>3443.8999999999996</v>
      </c>
      <c r="G22" s="598">
        <f>G19+G20+G21</f>
        <v>782.51900000000001</v>
      </c>
      <c r="H22" s="599">
        <f t="shared" si="24"/>
        <v>866.2288580212952</v>
      </c>
      <c r="I22" s="599">
        <f t="shared" si="24"/>
        <v>1199.6185208583106</v>
      </c>
      <c r="J22" s="600">
        <f t="shared" si="24"/>
        <v>1306.8941753358761</v>
      </c>
      <c r="K22" s="598">
        <f t="shared" si="24"/>
        <v>1350.583128100084</v>
      </c>
      <c r="L22" s="599">
        <f t="shared" si="24"/>
        <v>1315.7992938019452</v>
      </c>
      <c r="M22" s="599">
        <f t="shared" si="24"/>
        <v>1491.5331428052941</v>
      </c>
      <c r="N22" s="599">
        <f t="shared" si="24"/>
        <v>1623.0528751530987</v>
      </c>
      <c r="O22" s="599">
        <f t="shared" si="24"/>
        <v>1716.2894556233773</v>
      </c>
      <c r="P22" s="599">
        <f t="shared" si="24"/>
        <v>1922.0158021449852</v>
      </c>
      <c r="Q22" s="599">
        <f t="shared" si="24"/>
        <v>2070.8670300986028</v>
      </c>
      <c r="R22" s="599">
        <f t="shared" si="24"/>
        <v>2212.9752793642979</v>
      </c>
      <c r="S22" s="599">
        <f t="shared" si="24"/>
        <v>2354.0087565514527</v>
      </c>
      <c r="T22" s="599">
        <f t="shared" si="24"/>
        <v>2490.6530661157931</v>
      </c>
      <c r="U22" s="599">
        <f t="shared" si="24"/>
        <v>2624.2185994291849</v>
      </c>
      <c r="V22" s="599">
        <f t="shared" si="24"/>
        <v>2753.0974030370016</v>
      </c>
      <c r="W22" s="599">
        <f t="shared" si="24"/>
        <v>2876.0673448662292</v>
      </c>
      <c r="X22" s="599">
        <f t="shared" si="24"/>
        <v>2992.6611335946168</v>
      </c>
      <c r="Y22" s="599">
        <f t="shared" si="24"/>
        <v>3101.767413169388</v>
      </c>
      <c r="Z22" s="599">
        <f>Z19+Z20+Z21</f>
        <v>3202.453939181582</v>
      </c>
      <c r="AA22" s="599">
        <f t="shared" si="24"/>
        <v>3293.8915133401424</v>
      </c>
      <c r="AB22" s="599">
        <f t="shared" si="24"/>
        <v>3375.1207814252652</v>
      </c>
      <c r="AC22" s="599">
        <f t="shared" si="24"/>
        <v>3445.2364966175505</v>
      </c>
      <c r="AD22" s="599">
        <f t="shared" si="24"/>
        <v>3503.3426592553287</v>
      </c>
      <c r="AE22" s="599">
        <f t="shared" si="24"/>
        <v>3548.5192847159715</v>
      </c>
      <c r="AF22" s="601">
        <f>AF19+AF20+AF21</f>
        <v>3516.2863054000686</v>
      </c>
      <c r="AG22" s="342"/>
      <c r="AH22" s="7"/>
      <c r="AI22" s="7"/>
      <c r="AJ22" s="7"/>
      <c r="AK22" s="10"/>
      <c r="AL22" s="10"/>
      <c r="AM22" s="10"/>
      <c r="AN22" s="10"/>
    </row>
    <row r="23" spans="1:40" ht="14.45">
      <c r="A23" s="1478"/>
      <c r="B23" s="208">
        <v>16</v>
      </c>
      <c r="C23" s="226" t="s">
        <v>696</v>
      </c>
      <c r="D23" s="259">
        <f>'Fin. Data'!D32</f>
        <v>-20.5</v>
      </c>
      <c r="E23" s="857">
        <f>'Fin. Data'!C32</f>
        <v>-128.30000000000001</v>
      </c>
      <c r="F23" s="404">
        <f>'Fin. Data'!B32</f>
        <v>-385.5</v>
      </c>
      <c r="G23" s="279">
        <f>G6*$D$62</f>
        <v>-113.79200000000002</v>
      </c>
      <c r="H23" s="278">
        <f t="shared" ref="H23:I23" si="25">H6*$D$62</f>
        <v>-112.5648334429881</v>
      </c>
      <c r="I23" s="278">
        <f t="shared" si="25"/>
        <v>-158.36990577102765</v>
      </c>
      <c r="J23" s="602">
        <f>J6*$D$62</f>
        <v>-189.7490927372873</v>
      </c>
      <c r="K23" s="279">
        <f>K6*$E$62</f>
        <v>-273.77558401598225</v>
      </c>
      <c r="L23" s="278">
        <f t="shared" ref="L23:AF23" si="26">L6*$E$62</f>
        <v>-250.22305803505054</v>
      </c>
      <c r="M23" s="278">
        <f t="shared" si="26"/>
        <v>-300.51582518067244</v>
      </c>
      <c r="N23" s="278">
        <f t="shared" si="26"/>
        <v>-335.11294278893195</v>
      </c>
      <c r="O23" s="278">
        <f t="shared" si="26"/>
        <v>-363.78744980364831</v>
      </c>
      <c r="P23" s="278">
        <f t="shared" si="26"/>
        <v>-424.09939031090988</v>
      </c>
      <c r="Q23" s="278">
        <f t="shared" si="26"/>
        <v>-469.85469286407846</v>
      </c>
      <c r="R23" s="278">
        <f t="shared" si="26"/>
        <v>-518.10048991645897</v>
      </c>
      <c r="S23" s="278">
        <f t="shared" si="26"/>
        <v>-568.83310046350482</v>
      </c>
      <c r="T23" s="278">
        <f t="shared" si="26"/>
        <v>-622.0496209262069</v>
      </c>
      <c r="U23" s="278">
        <f t="shared" si="26"/>
        <v>-677.74773829863534</v>
      </c>
      <c r="V23" s="278">
        <f t="shared" si="26"/>
        <v>-735.92558765411354</v>
      </c>
      <c r="W23" s="278">
        <f t="shared" si="26"/>
        <v>-796.58164891805768</v>
      </c>
      <c r="X23" s="278">
        <f t="shared" si="26"/>
        <v>-859.71467086191933</v>
      </c>
      <c r="Y23" s="278">
        <f t="shared" si="26"/>
        <v>-925.32361431124309</v>
      </c>
      <c r="Z23" s="278">
        <f t="shared" si="26"/>
        <v>-993.40760913976635</v>
      </c>
      <c r="AA23" s="278">
        <f t="shared" si="26"/>
        <v>-1063.9659213034229</v>
      </c>
      <c r="AB23" s="278">
        <f t="shared" si="26"/>
        <v>-1136.9979272863579</v>
      </c>
      <c r="AC23" s="278">
        <f t="shared" si="26"/>
        <v>-1212.5030940877591</v>
      </c>
      <c r="AD23" s="278">
        <f t="shared" si="26"/>
        <v>-1290.4809633987063</v>
      </c>
      <c r="AE23" s="278">
        <f t="shared" si="26"/>
        <v>-1370.9311389814611</v>
      </c>
      <c r="AF23" s="405">
        <f t="shared" si="26"/>
        <v>-1412.0590731509049</v>
      </c>
      <c r="AG23" s="343">
        <f>SUM(D23:AF23)</f>
        <v>-17710.766973649093</v>
      </c>
      <c r="AH23" s="7"/>
      <c r="AI23" s="7"/>
      <c r="AJ23" s="7"/>
      <c r="AK23" s="10"/>
      <c r="AL23" s="10"/>
      <c r="AM23" s="10"/>
      <c r="AN23" s="10"/>
    </row>
    <row r="24" spans="1:40" ht="14.45">
      <c r="A24" s="1478"/>
      <c r="B24" s="208">
        <v>17</v>
      </c>
      <c r="C24" s="226" t="s">
        <v>697</v>
      </c>
      <c r="D24" s="251">
        <f>'Fin. Data'!D33</f>
        <v>-210.3</v>
      </c>
      <c r="E24" s="858">
        <f>'Fin. Data'!C33</f>
        <v>-76.2</v>
      </c>
      <c r="F24" s="403">
        <f>'Fin. Data'!B33</f>
        <v>-22.4</v>
      </c>
      <c r="G24" s="279">
        <f>-G6*2%</f>
        <v>-32.512</v>
      </c>
      <c r="H24" s="278">
        <f t="shared" ref="H24:I24" si="27">-H6*2%</f>
        <v>-32.161380983710885</v>
      </c>
      <c r="I24" s="278">
        <f t="shared" si="27"/>
        <v>-45.248544506007896</v>
      </c>
      <c r="J24" s="405">
        <f>J6*$D$63</f>
        <v>0</v>
      </c>
      <c r="K24" s="676">
        <f>K6*$E$63</f>
        <v>0</v>
      </c>
      <c r="L24" s="278">
        <f>L6*$E$63</f>
        <v>0</v>
      </c>
      <c r="M24" s="278">
        <f t="shared" ref="M24:W24" si="28">M6*$E$63</f>
        <v>0</v>
      </c>
      <c r="N24" s="278">
        <f>-N6*1%</f>
        <v>-37.234771420992445</v>
      </c>
      <c r="O24" s="278">
        <f>-O6*2%</f>
        <v>-80.841655511921843</v>
      </c>
      <c r="P24" s="278">
        <f>-P6*3%</f>
        <v>-141.36646343696995</v>
      </c>
      <c r="Q24" s="278">
        <f>-Q6*4%</f>
        <v>-208.82430793959043</v>
      </c>
      <c r="R24" s="278">
        <f>-R6*4.5%</f>
        <v>-259.05024495822948</v>
      </c>
      <c r="S24" s="278">
        <f t="shared" si="28"/>
        <v>0</v>
      </c>
      <c r="T24" s="278">
        <f t="shared" si="28"/>
        <v>0</v>
      </c>
      <c r="U24" s="278">
        <f t="shared" si="28"/>
        <v>0</v>
      </c>
      <c r="V24" s="278">
        <f t="shared" si="28"/>
        <v>0</v>
      </c>
      <c r="W24" s="278">
        <f t="shared" si="28"/>
        <v>0</v>
      </c>
      <c r="X24" s="278">
        <f>-X6*1%</f>
        <v>-95.523852317991043</v>
      </c>
      <c r="Y24" s="278">
        <f>-Y6*2%</f>
        <v>-205.62746984694292</v>
      </c>
      <c r="Z24" s="278">
        <f>-Z6*3%</f>
        <v>-331.13586971325543</v>
      </c>
      <c r="AA24" s="278">
        <f t="shared" ref="AA24:AF24" si="29">-AA6*3.5%</f>
        <v>-413.76452495133117</v>
      </c>
      <c r="AB24" s="278">
        <f t="shared" si="29"/>
        <v>-442.1658606113615</v>
      </c>
      <c r="AC24" s="278">
        <f t="shared" si="29"/>
        <v>-471.52898103412855</v>
      </c>
      <c r="AD24" s="278">
        <f t="shared" si="29"/>
        <v>-501.85370798838585</v>
      </c>
      <c r="AE24" s="278">
        <f t="shared" si="29"/>
        <v>-533.13988738167939</v>
      </c>
      <c r="AF24" s="405">
        <f t="shared" si="29"/>
        <v>-549.13408400312971</v>
      </c>
      <c r="AG24" s="342"/>
      <c r="AH24" s="344">
        <f>AG9-AG23</f>
        <v>10706.178782434461</v>
      </c>
      <c r="AI24" s="7"/>
      <c r="AJ24" s="7"/>
      <c r="AK24" s="10"/>
      <c r="AL24" s="10"/>
      <c r="AM24" s="10"/>
      <c r="AN24" s="10"/>
    </row>
    <row r="25" spans="1:40" ht="14.45">
      <c r="A25" s="1478"/>
      <c r="B25" s="208">
        <v>18</v>
      </c>
      <c r="C25" s="226" t="s">
        <v>698</v>
      </c>
      <c r="D25" s="251">
        <f>'Inputs (AUD)'!D67</f>
        <v>0</v>
      </c>
      <c r="E25" s="858">
        <f>'Inputs (AUD)'!C67</f>
        <v>0</v>
      </c>
      <c r="F25" s="403">
        <f>'Inputs (AUD)'!B67</f>
        <v>-0.10000000000000142</v>
      </c>
      <c r="G25" s="279">
        <f t="shared" ref="G25:AF25" si="30">(1+G5)*AVERAGE(D25:F25)</f>
        <v>-1.3333333333333523E-2</v>
      </c>
      <c r="H25" s="278">
        <f t="shared" si="30"/>
        <v>-3.7370371057735455E-2</v>
      </c>
      <c r="I25" s="278">
        <f t="shared" si="30"/>
        <v>-7.0676103521107703E-2</v>
      </c>
      <c r="J25" s="602">
        <f>(1+J5)*AVERAGE(G25:I25)</f>
        <v>-4.8476609904369798E-2</v>
      </c>
      <c r="K25" s="279">
        <f t="shared" si="30"/>
        <v>-5.8550105170244962E-2</v>
      </c>
      <c r="L25" s="278">
        <f t="shared" si="30"/>
        <v>-5.4138432212997932E-2</v>
      </c>
      <c r="M25" s="278">
        <f t="shared" si="30"/>
        <v>-6.4519336744094449E-2</v>
      </c>
      <c r="N25" s="278">
        <f t="shared" si="30"/>
        <v>-6.5869689389879485E-2</v>
      </c>
      <c r="O25" s="278">
        <f t="shared" si="30"/>
        <v>-6.6772287707067488E-2</v>
      </c>
      <c r="P25" s="278">
        <f t="shared" si="30"/>
        <v>-7.6616160561169044E-2</v>
      </c>
      <c r="Q25" s="278">
        <f t="shared" si="30"/>
        <v>-7.727820431163826E-2</v>
      </c>
      <c r="R25" s="278">
        <f t="shared" si="30"/>
        <v>-8.1108409717733254E-2</v>
      </c>
      <c r="S25" s="278">
        <f t="shared" si="30"/>
        <v>-8.6004780597304667E-2</v>
      </c>
      <c r="T25" s="278">
        <f t="shared" si="30"/>
        <v>-8.9085049294351834E-2</v>
      </c>
      <c r="U25" s="278">
        <f t="shared" si="30"/>
        <v>-9.3046048423391106E-2</v>
      </c>
      <c r="V25" s="278">
        <f t="shared" si="30"/>
        <v>-9.7050885193907158E-2</v>
      </c>
      <c r="W25" s="278">
        <f t="shared" si="30"/>
        <v>-0.10073085650089737</v>
      </c>
      <c r="X25" s="278">
        <f t="shared" si="30"/>
        <v>-0.10462577531487664</v>
      </c>
      <c r="Y25" s="278">
        <f t="shared" si="30"/>
        <v>-0.1084952275905464</v>
      </c>
      <c r="Z25" s="278">
        <f t="shared" si="30"/>
        <v>-0.11231487753934817</v>
      </c>
      <c r="AA25" s="278">
        <f t="shared" si="30"/>
        <v>-0.11618348909247382</v>
      </c>
      <c r="AB25" s="278">
        <f t="shared" si="30"/>
        <v>-0.12004175775047923</v>
      </c>
      <c r="AC25" s="278">
        <f t="shared" si="30"/>
        <v>-0.12389526520829426</v>
      </c>
      <c r="AD25" s="278">
        <f t="shared" si="30"/>
        <v>-0.12776013180160806</v>
      </c>
      <c r="AE25" s="278">
        <f t="shared" si="30"/>
        <v>-0.13162307134175613</v>
      </c>
      <c r="AF25" s="405">
        <f t="shared" si="30"/>
        <v>-0.1315922741340694</v>
      </c>
      <c r="AG25" s="261"/>
      <c r="AH25" s="7"/>
      <c r="AI25" s="7"/>
      <c r="AJ25" s="7"/>
      <c r="AK25" s="10"/>
      <c r="AL25" s="10"/>
      <c r="AM25" s="10"/>
      <c r="AN25" s="10"/>
    </row>
    <row r="26" spans="1:40" ht="14.45">
      <c r="A26" s="1478"/>
      <c r="B26" s="208">
        <v>19</v>
      </c>
      <c r="C26" s="235" t="s">
        <v>699</v>
      </c>
      <c r="D26" s="598">
        <f t="shared" ref="D26:AF26" si="31">D23+D24+D25</f>
        <v>-230.8</v>
      </c>
      <c r="E26" s="604">
        <f t="shared" si="31"/>
        <v>-204.5</v>
      </c>
      <c r="F26" s="606">
        <f t="shared" si="31"/>
        <v>-408</v>
      </c>
      <c r="G26" s="603">
        <f>G23+G24+G25</f>
        <v>-146.31733333333335</v>
      </c>
      <c r="H26" s="604">
        <f t="shared" si="31"/>
        <v>-144.76358479775672</v>
      </c>
      <c r="I26" s="604">
        <f t="shared" si="31"/>
        <v>-203.68912638055664</v>
      </c>
      <c r="J26" s="605">
        <f t="shared" si="31"/>
        <v>-189.79756934719168</v>
      </c>
      <c r="K26" s="603">
        <f t="shared" si="31"/>
        <v>-273.83413412115249</v>
      </c>
      <c r="L26" s="604">
        <f t="shared" si="31"/>
        <v>-250.27719646726354</v>
      </c>
      <c r="M26" s="604">
        <f t="shared" si="31"/>
        <v>-300.58034451741651</v>
      </c>
      <c r="N26" s="604">
        <f t="shared" si="31"/>
        <v>-372.41358389931429</v>
      </c>
      <c r="O26" s="604">
        <f t="shared" si="31"/>
        <v>-444.69587760327721</v>
      </c>
      <c r="P26" s="604">
        <f t="shared" si="31"/>
        <v>-565.54246990844092</v>
      </c>
      <c r="Q26" s="604">
        <f t="shared" si="31"/>
        <v>-678.75627900798054</v>
      </c>
      <c r="R26" s="604">
        <f t="shared" si="31"/>
        <v>-777.23184328440618</v>
      </c>
      <c r="S26" s="604">
        <f t="shared" si="31"/>
        <v>-568.91910524410207</v>
      </c>
      <c r="T26" s="604">
        <f t="shared" si="31"/>
        <v>-622.13870597550124</v>
      </c>
      <c r="U26" s="604">
        <f t="shared" si="31"/>
        <v>-677.84078434705873</v>
      </c>
      <c r="V26" s="604">
        <f t="shared" si="31"/>
        <v>-736.02263853930742</v>
      </c>
      <c r="W26" s="604">
        <f t="shared" si="31"/>
        <v>-796.68237977455863</v>
      </c>
      <c r="X26" s="604">
        <f t="shared" si="31"/>
        <v>-955.34314895522516</v>
      </c>
      <c r="Y26" s="604">
        <f t="shared" si="31"/>
        <v>-1131.0595793857765</v>
      </c>
      <c r="Z26" s="604">
        <f t="shared" si="31"/>
        <v>-1324.6557937305611</v>
      </c>
      <c r="AA26" s="604">
        <f t="shared" si="31"/>
        <v>-1477.8466297438465</v>
      </c>
      <c r="AB26" s="604">
        <f t="shared" si="31"/>
        <v>-1579.2838296554698</v>
      </c>
      <c r="AC26" s="604">
        <f t="shared" si="31"/>
        <v>-1684.155970387096</v>
      </c>
      <c r="AD26" s="604">
        <f t="shared" si="31"/>
        <v>-1792.4624315188937</v>
      </c>
      <c r="AE26" s="604">
        <f t="shared" si="31"/>
        <v>-1904.2026494344821</v>
      </c>
      <c r="AF26" s="606">
        <f t="shared" si="31"/>
        <v>-1961.3247494281686</v>
      </c>
      <c r="AG26" s="342"/>
      <c r="AH26" s="7"/>
      <c r="AI26" s="7"/>
      <c r="AJ26" s="7"/>
      <c r="AK26" s="10"/>
      <c r="AL26" s="10"/>
      <c r="AM26" s="10"/>
      <c r="AN26" s="10"/>
    </row>
    <row r="27" spans="1:40" ht="14.45">
      <c r="A27" s="1478"/>
      <c r="B27" s="208">
        <v>20</v>
      </c>
      <c r="C27" s="226" t="s">
        <v>700</v>
      </c>
      <c r="D27" s="251">
        <f>'Inputs (AUD)'!D71+'Inputs (AUD)'!D72</f>
        <v>-20.047999999999998</v>
      </c>
      <c r="E27" s="250">
        <f>'Inputs (AUD)'!C71+'Inputs (AUD)'!C72</f>
        <v>-26.864000000000001</v>
      </c>
      <c r="F27" s="404">
        <f>'Inputs (AUD)'!B71+'Inputs (AUD)'!B72</f>
        <v>-54.631</v>
      </c>
      <c r="G27" s="608">
        <v>0</v>
      </c>
      <c r="H27" s="608">
        <v>0</v>
      </c>
      <c r="I27" s="608">
        <v>0</v>
      </c>
      <c r="J27" s="609">
        <v>0</v>
      </c>
      <c r="K27" s="607">
        <v>0</v>
      </c>
      <c r="L27" s="608">
        <v>0</v>
      </c>
      <c r="M27" s="608">
        <v>0</v>
      </c>
      <c r="N27" s="608">
        <v>0</v>
      </c>
      <c r="O27" s="608">
        <v>0</v>
      </c>
      <c r="P27" s="608">
        <v>0</v>
      </c>
      <c r="Q27" s="608">
        <v>0</v>
      </c>
      <c r="R27" s="608">
        <v>0</v>
      </c>
      <c r="S27" s="608">
        <v>0</v>
      </c>
      <c r="T27" s="608">
        <v>0</v>
      </c>
      <c r="U27" s="608">
        <v>0</v>
      </c>
      <c r="V27" s="608">
        <v>0</v>
      </c>
      <c r="W27" s="608">
        <v>0</v>
      </c>
      <c r="X27" s="608">
        <v>0</v>
      </c>
      <c r="Y27" s="608">
        <v>0</v>
      </c>
      <c r="Z27" s="608">
        <v>0</v>
      </c>
      <c r="AA27" s="608">
        <v>0</v>
      </c>
      <c r="AB27" s="608">
        <v>0</v>
      </c>
      <c r="AC27" s="608">
        <v>0</v>
      </c>
      <c r="AD27" s="608">
        <v>0</v>
      </c>
      <c r="AE27" s="608">
        <v>0</v>
      </c>
      <c r="AF27" s="610">
        <v>0</v>
      </c>
      <c r="AG27" s="342"/>
      <c r="AH27" s="7"/>
      <c r="AI27" s="7"/>
      <c r="AJ27" s="7"/>
      <c r="AK27" s="10"/>
      <c r="AL27" s="10"/>
      <c r="AM27" s="10"/>
      <c r="AN27" s="10"/>
    </row>
    <row r="28" spans="1:40" ht="14.45">
      <c r="A28" s="1478"/>
      <c r="B28" s="208">
        <v>21</v>
      </c>
      <c r="C28" s="226" t="s">
        <v>701</v>
      </c>
      <c r="D28" s="251">
        <f>+SUM('Inputs (AUD)'!D69:D70)</f>
        <v>6.2000000000000171</v>
      </c>
      <c r="E28" s="250">
        <f>+SUM('Inputs (AUD)'!C69:C70)</f>
        <v>57.5</v>
      </c>
      <c r="F28" s="403">
        <f>+SUM('Inputs (AUD)'!B69:B70)</f>
        <v>51.299999999999983</v>
      </c>
      <c r="G28" s="279">
        <f>G44-F44</f>
        <v>-377.97409999999996</v>
      </c>
      <c r="H28" s="278">
        <f t="shared" ref="H28:AF28" si="32">H44-G44</f>
        <v>15.45786419706036</v>
      </c>
      <c r="I28" s="278">
        <f t="shared" si="32"/>
        <v>42.870975947794236</v>
      </c>
      <c r="J28" s="602">
        <f>J44-I44</f>
        <v>16.05941956189082</v>
      </c>
      <c r="K28" s="279">
        <f>K44-J44</f>
        <v>90.429400753268084</v>
      </c>
      <c r="L28" s="278">
        <f t="shared" si="32"/>
        <v>-11.931751697882902</v>
      </c>
      <c r="M28" s="278">
        <f t="shared" si="32"/>
        <v>40.160456553214061</v>
      </c>
      <c r="N28" s="278">
        <f t="shared" si="32"/>
        <v>23.90920230013046</v>
      </c>
      <c r="O28" s="278">
        <f t="shared" si="32"/>
        <v>17.175235289008299</v>
      </c>
      <c r="P28" s="278">
        <f t="shared" si="32"/>
        <v>41.857951203565676</v>
      </c>
      <c r="Q28" s="278">
        <f t="shared" si="32"/>
        <v>27.307172718275808</v>
      </c>
      <c r="R28" s="278">
        <f t="shared" si="32"/>
        <v>26.989961149071974</v>
      </c>
      <c r="S28" s="278">
        <f t="shared" si="32"/>
        <v>26.480571796584286</v>
      </c>
      <c r="T28" s="278">
        <f t="shared" si="32"/>
        <v>25.779941158844792</v>
      </c>
      <c r="U28" s="278">
        <f t="shared" si="32"/>
        <v>24.888775654439371</v>
      </c>
      <c r="V28" s="278">
        <f t="shared" si="32"/>
        <v>23.807610421353388</v>
      </c>
      <c r="W28" s="278">
        <f t="shared" si="32"/>
        <v>22.536856683701217</v>
      </c>
      <c r="X28" s="278">
        <f t="shared" si="32"/>
        <v>21.076834548225634</v>
      </c>
      <c r="Y28" s="278">
        <f t="shared" si="32"/>
        <v>19.427796126499402</v>
      </c>
      <c r="Z28" s="278">
        <f t="shared" si="32"/>
        <v>17.589942105865816</v>
      </c>
      <c r="AA28" s="278">
        <f t="shared" si="32"/>
        <v>15.563433803853059</v>
      </c>
      <c r="AB28" s="278">
        <f t="shared" si="32"/>
        <v>13.348402057544831</v>
      </c>
      <c r="AC28" s="278">
        <f t="shared" si="32"/>
        <v>10.944953861556314</v>
      </c>
      <c r="AD28" s="278">
        <f t="shared" si="32"/>
        <v>8.3531773823558524</v>
      </c>
      <c r="AE28" s="278">
        <f t="shared" si="32"/>
        <v>5.5731457866697838</v>
      </c>
      <c r="AF28" s="405">
        <f t="shared" si="32"/>
        <v>-13.648381116970995</v>
      </c>
      <c r="AG28" s="342"/>
      <c r="AH28" s="7"/>
      <c r="AI28" s="7"/>
      <c r="AJ28" s="7"/>
      <c r="AK28" s="10"/>
      <c r="AL28" s="10"/>
      <c r="AM28" s="10"/>
      <c r="AN28" s="10"/>
    </row>
    <row r="29" spans="1:40" ht="14.45">
      <c r="A29" s="1478"/>
      <c r="B29" s="208">
        <v>22</v>
      </c>
      <c r="C29" s="226" t="s">
        <v>702</v>
      </c>
      <c r="D29" s="259">
        <f>'Fin. Data'!D28</f>
        <v>239.7</v>
      </c>
      <c r="E29" s="250">
        <f>'Fin. Data'!C28</f>
        <v>3.6</v>
      </c>
      <c r="F29" s="404">
        <f>'Fin. Data'!B28</f>
        <v>1.2</v>
      </c>
      <c r="G29" s="279">
        <f>-$D$65*(G22-G26)</f>
        <v>-111.46036000000001</v>
      </c>
      <c r="H29" s="278">
        <f t="shared" ref="H29:J29" si="33">-$D$65*(H22-H26)</f>
        <v>-121.31909313828622</v>
      </c>
      <c r="I29" s="278">
        <f t="shared" si="33"/>
        <v>-168.39691766866406</v>
      </c>
      <c r="J29" s="405">
        <f t="shared" si="33"/>
        <v>-179.60300936196813</v>
      </c>
      <c r="K29" s="279">
        <f>-$E$65*(K22-K26)</f>
        <v>-243.66258933318545</v>
      </c>
      <c r="L29" s="278">
        <f t="shared" ref="L29:AF29" si="34">-$E$65*(L22-L26)</f>
        <v>-234.91147354038131</v>
      </c>
      <c r="M29" s="278">
        <f t="shared" si="34"/>
        <v>-268.81702309840659</v>
      </c>
      <c r="N29" s="278">
        <f t="shared" si="34"/>
        <v>-299.31996885786197</v>
      </c>
      <c r="O29" s="278">
        <f t="shared" si="34"/>
        <v>-324.14779998399814</v>
      </c>
      <c r="P29" s="278">
        <f t="shared" si="34"/>
        <v>-373.1337408080139</v>
      </c>
      <c r="Q29" s="278">
        <f t="shared" si="34"/>
        <v>-412.44349636598747</v>
      </c>
      <c r="R29" s="278">
        <f t="shared" si="34"/>
        <v>-448.5310683973056</v>
      </c>
      <c r="S29" s="278">
        <f t="shared" si="34"/>
        <v>-438.43917926933318</v>
      </c>
      <c r="T29" s="278">
        <f t="shared" si="34"/>
        <v>-466.91876581369411</v>
      </c>
      <c r="U29" s="278">
        <f t="shared" si="34"/>
        <v>-495.30890756643652</v>
      </c>
      <c r="V29" s="278">
        <f t="shared" si="34"/>
        <v>-523.36800623644638</v>
      </c>
      <c r="W29" s="278">
        <f t="shared" si="34"/>
        <v>-550.91245869611816</v>
      </c>
      <c r="X29" s="278">
        <f t="shared" si="34"/>
        <v>-592.2006423824763</v>
      </c>
      <c r="Y29" s="278">
        <f t="shared" si="34"/>
        <v>-634.92404888327474</v>
      </c>
      <c r="Z29" s="278">
        <f t="shared" si="34"/>
        <v>-679.06645993682139</v>
      </c>
      <c r="AA29" s="278">
        <f t="shared" si="34"/>
        <v>-715.76072146259833</v>
      </c>
      <c r="AB29" s="278">
        <f t="shared" si="34"/>
        <v>-743.16069166211025</v>
      </c>
      <c r="AC29" s="278">
        <f t="shared" si="34"/>
        <v>-769.40887005069692</v>
      </c>
      <c r="AD29" s="278">
        <f t="shared" si="34"/>
        <v>-794.37076361613333</v>
      </c>
      <c r="AE29" s="278">
        <f t="shared" si="34"/>
        <v>-817.90829012256802</v>
      </c>
      <c r="AF29" s="405">
        <f t="shared" si="34"/>
        <v>-821.64165822423558</v>
      </c>
      <c r="AG29" s="342"/>
      <c r="AH29" s="7"/>
      <c r="AI29" s="7"/>
      <c r="AJ29" s="7"/>
      <c r="AK29" s="10"/>
      <c r="AL29" s="10"/>
      <c r="AM29" s="10"/>
      <c r="AN29" s="10"/>
    </row>
    <row r="30" spans="1:40" s="7" customFormat="1" ht="14.45">
      <c r="A30" s="1478"/>
      <c r="B30" s="208">
        <v>23</v>
      </c>
      <c r="C30" s="226" t="s">
        <v>703</v>
      </c>
      <c r="D30" s="251">
        <f>'Fin. Data'!D27</f>
        <v>0</v>
      </c>
      <c r="E30" s="250">
        <f>'Fin. Data'!C27</f>
        <v>0</v>
      </c>
      <c r="F30" s="403">
        <f>'Fin. Data'!B27</f>
        <v>-329.8</v>
      </c>
      <c r="G30" s="279">
        <f>-$D$64*(G22-G26)</f>
        <v>-185.7672666666667</v>
      </c>
      <c r="H30" s="278">
        <f t="shared" ref="H30:J30" si="35">-$D$64*(H22-H26)</f>
        <v>-202.1984885638104</v>
      </c>
      <c r="I30" s="278">
        <f t="shared" si="35"/>
        <v>-280.66152944777349</v>
      </c>
      <c r="J30" s="405">
        <f t="shared" si="35"/>
        <v>-299.33834893661356</v>
      </c>
      <c r="K30" s="279">
        <f>-$E$64*(K22-K26)</f>
        <v>-406.10431555530909</v>
      </c>
      <c r="L30" s="278">
        <f t="shared" ref="L30:AF30" si="36">-$E$64*(L22-L26)</f>
        <v>-391.51912256730219</v>
      </c>
      <c r="M30" s="278">
        <f t="shared" si="36"/>
        <v>-448.02837183067766</v>
      </c>
      <c r="N30" s="278">
        <f t="shared" si="36"/>
        <v>-498.86661476310326</v>
      </c>
      <c r="O30" s="278">
        <f t="shared" si="36"/>
        <v>-540.24633330666359</v>
      </c>
      <c r="P30" s="278">
        <f t="shared" si="36"/>
        <v>-621.88956801335655</v>
      </c>
      <c r="Q30" s="278">
        <f t="shared" si="36"/>
        <v>-687.40582727664582</v>
      </c>
      <c r="R30" s="278">
        <f t="shared" si="36"/>
        <v>-747.55178066217604</v>
      </c>
      <c r="S30" s="278">
        <f t="shared" si="36"/>
        <v>-730.73196544888867</v>
      </c>
      <c r="T30" s="278">
        <f t="shared" si="36"/>
        <v>-778.19794302282355</v>
      </c>
      <c r="U30" s="278">
        <f t="shared" si="36"/>
        <v>-825.51484594406088</v>
      </c>
      <c r="V30" s="278">
        <f t="shared" si="36"/>
        <v>-872.28001039407729</v>
      </c>
      <c r="W30" s="278">
        <f t="shared" si="36"/>
        <v>-918.18743116019698</v>
      </c>
      <c r="X30" s="278">
        <f t="shared" si="36"/>
        <v>-987.00107063746054</v>
      </c>
      <c r="Y30" s="278">
        <f t="shared" si="36"/>
        <v>-1058.2067481387912</v>
      </c>
      <c r="Z30" s="278">
        <f t="shared" si="36"/>
        <v>-1131.7774332280358</v>
      </c>
      <c r="AA30" s="278">
        <f t="shared" si="36"/>
        <v>-1192.9345357709972</v>
      </c>
      <c r="AB30" s="278">
        <f t="shared" si="36"/>
        <v>-1238.6011527701837</v>
      </c>
      <c r="AC30" s="278">
        <f t="shared" si="36"/>
        <v>-1282.3481167511616</v>
      </c>
      <c r="AD30" s="278">
        <f t="shared" si="36"/>
        <v>-1323.9512726935557</v>
      </c>
      <c r="AE30" s="278">
        <f t="shared" si="36"/>
        <v>-1363.1804835376133</v>
      </c>
      <c r="AF30" s="405">
        <f t="shared" si="36"/>
        <v>-1369.4027637070594</v>
      </c>
      <c r="AG30" s="342"/>
      <c r="AK30" s="10"/>
      <c r="AL30" s="10"/>
      <c r="AM30" s="10"/>
      <c r="AN30" s="10"/>
    </row>
    <row r="31" spans="1:40" s="3" customFormat="1" ht="14.45">
      <c r="A31" s="1478"/>
      <c r="B31" s="208">
        <v>24</v>
      </c>
      <c r="C31" s="226" t="s">
        <v>704</v>
      </c>
      <c r="D31" s="279">
        <f>'Inputs (AUD)'!D75</f>
        <v>6.8479999999999848</v>
      </c>
      <c r="E31" s="278">
        <f>'Inputs (AUD)'!C75</f>
        <v>11.264000000000001</v>
      </c>
      <c r="F31" s="405">
        <f>'Inputs (AUD)'!B75</f>
        <v>16.831000000000007</v>
      </c>
      <c r="G31" s="279">
        <f t="shared" ref="G31:AF31" si="37">(1+G5)*AVERAGE(D31:F31)</f>
        <v>4.6590666666666669</v>
      </c>
      <c r="H31" s="278">
        <f t="shared" si="37"/>
        <v>10.800279043968709</v>
      </c>
      <c r="I31" s="278">
        <f t="shared" si="37"/>
        <v>15.143329259213926</v>
      </c>
      <c r="J31" s="602">
        <f>(1+J5)*AVERAGE(G31:I31)</f>
        <v>12.222081761877481</v>
      </c>
      <c r="K31" s="611">
        <f t="shared" si="37"/>
        <v>14.276521412685961</v>
      </c>
      <c r="L31" s="612">
        <f t="shared" si="37"/>
        <v>12.686511976003981</v>
      </c>
      <c r="M31" s="612">
        <f t="shared" si="37"/>
        <v>15.686999840255766</v>
      </c>
      <c r="N31" s="612">
        <f t="shared" si="37"/>
        <v>15.853383801895646</v>
      </c>
      <c r="O31" s="612">
        <f t="shared" si="37"/>
        <v>16.003748304239164</v>
      </c>
      <c r="P31" s="612">
        <f t="shared" si="37"/>
        <v>18.475474604936455</v>
      </c>
      <c r="Q31" s="612">
        <f t="shared" si="37"/>
        <v>18.587632999536268</v>
      </c>
      <c r="R31" s="612">
        <f t="shared" si="37"/>
        <v>19.505295617414305</v>
      </c>
      <c r="S31" s="612">
        <f t="shared" si="37"/>
        <v>20.702534752260284</v>
      </c>
      <c r="T31" s="612">
        <f t="shared" si="37"/>
        <v>21.432001566714259</v>
      </c>
      <c r="U31" s="612">
        <f t="shared" si="37"/>
        <v>22.386347368769052</v>
      </c>
      <c r="V31" s="612">
        <f t="shared" si="37"/>
        <v>23.353118257569758</v>
      </c>
      <c r="W31" s="612">
        <f t="shared" si="37"/>
        <v>24.235945859441109</v>
      </c>
      <c r="X31" s="612">
        <f t="shared" si="37"/>
        <v>25.173769249155377</v>
      </c>
      <c r="Y31" s="612">
        <f t="shared" si="37"/>
        <v>26.105237873245329</v>
      </c>
      <c r="Z31" s="612">
        <f t="shared" si="37"/>
        <v>27.023745255448361</v>
      </c>
      <c r="AA31" s="612">
        <f t="shared" si="37"/>
        <v>27.954775497923045</v>
      </c>
      <c r="AB31" s="612">
        <f t="shared" si="37"/>
        <v>28.883151126403781</v>
      </c>
      <c r="AC31" s="612">
        <f t="shared" si="37"/>
        <v>29.810238051557043</v>
      </c>
      <c r="AD31" s="612">
        <f t="shared" si="37"/>
        <v>30.740212148157251</v>
      </c>
      <c r="AE31" s="612">
        <f t="shared" si="37"/>
        <v>31.669667461636752</v>
      </c>
      <c r="AF31" s="613">
        <f t="shared" si="37"/>
        <v>31.662240397063858</v>
      </c>
      <c r="AG31" s="342"/>
      <c r="AH31" s="359"/>
      <c r="AI31" s="359"/>
      <c r="AJ31" s="359"/>
      <c r="AK31" s="357"/>
      <c r="AL31" s="357"/>
      <c r="AM31" s="357"/>
      <c r="AN31" s="357"/>
    </row>
    <row r="32" spans="1:40" s="7" customFormat="1" ht="16.5" customHeight="1" thickBot="1">
      <c r="A32" s="1478"/>
      <c r="B32" s="209">
        <v>25</v>
      </c>
      <c r="C32" s="236" t="s">
        <v>705</v>
      </c>
      <c r="D32" s="312">
        <f t="shared" ref="D32:AF32" si="38">D27+D28+D29+D30+D31</f>
        <v>232.7</v>
      </c>
      <c r="E32" s="313">
        <f t="shared" si="38"/>
        <v>45.5</v>
      </c>
      <c r="F32" s="406">
        <f t="shared" si="38"/>
        <v>-315.10000000000002</v>
      </c>
      <c r="G32" s="312">
        <f>G27+G28+G29+G30+G31</f>
        <v>-670.54265999999996</v>
      </c>
      <c r="H32" s="313">
        <f t="shared" si="38"/>
        <v>-297.25943846106753</v>
      </c>
      <c r="I32" s="313">
        <f t="shared" si="38"/>
        <v>-391.04414190942936</v>
      </c>
      <c r="J32" s="314">
        <f t="shared" si="38"/>
        <v>-450.65985697481341</v>
      </c>
      <c r="K32" s="312">
        <f t="shared" si="38"/>
        <v>-545.06098272254053</v>
      </c>
      <c r="L32" s="313">
        <f t="shared" si="38"/>
        <v>-625.6758358295624</v>
      </c>
      <c r="M32" s="313">
        <f t="shared" si="38"/>
        <v>-660.99793853561437</v>
      </c>
      <c r="N32" s="313">
        <f t="shared" si="38"/>
        <v>-758.42399751893913</v>
      </c>
      <c r="O32" s="313">
        <f t="shared" si="38"/>
        <v>-831.21514969741429</v>
      </c>
      <c r="P32" s="313">
        <f t="shared" si="38"/>
        <v>-934.68988301286834</v>
      </c>
      <c r="Q32" s="313">
        <f t="shared" si="38"/>
        <v>-1053.9545179248212</v>
      </c>
      <c r="R32" s="313">
        <f t="shared" si="38"/>
        <v>-1149.5875922929954</v>
      </c>
      <c r="S32" s="313">
        <f t="shared" si="38"/>
        <v>-1121.9880381693772</v>
      </c>
      <c r="T32" s="313">
        <f t="shared" si="38"/>
        <v>-1197.9047661109587</v>
      </c>
      <c r="U32" s="313">
        <f t="shared" si="38"/>
        <v>-1273.5486304872891</v>
      </c>
      <c r="V32" s="313">
        <f t="shared" si="38"/>
        <v>-1348.4872879516006</v>
      </c>
      <c r="W32" s="313">
        <f t="shared" si="38"/>
        <v>-1422.3270873131728</v>
      </c>
      <c r="X32" s="313">
        <f t="shared" si="38"/>
        <v>-1532.9511092225559</v>
      </c>
      <c r="Y32" s="313">
        <f t="shared" si="38"/>
        <v>-1647.5977630223213</v>
      </c>
      <c r="Z32" s="313">
        <f t="shared" si="38"/>
        <v>-1766.230205803543</v>
      </c>
      <c r="AA32" s="313">
        <f t="shared" si="38"/>
        <v>-1865.1770479318193</v>
      </c>
      <c r="AB32" s="313">
        <f t="shared" si="38"/>
        <v>-1939.5302912483453</v>
      </c>
      <c r="AC32" s="313">
        <f t="shared" si="38"/>
        <v>-2011.0017948887453</v>
      </c>
      <c r="AD32" s="313">
        <f t="shared" si="38"/>
        <v>-2079.228646779176</v>
      </c>
      <c r="AE32" s="313">
        <f t="shared" si="38"/>
        <v>-2143.8459604118748</v>
      </c>
      <c r="AF32" s="406">
        <f t="shared" si="38"/>
        <v>-2173.0305626512022</v>
      </c>
      <c r="AG32" s="342"/>
      <c r="AK32" s="10"/>
      <c r="AL32" s="10"/>
      <c r="AM32" s="10"/>
      <c r="AN32" s="10"/>
    </row>
    <row r="33" spans="1:40" ht="13.9" thickBot="1">
      <c r="A33" s="1468"/>
      <c r="B33" s="1469"/>
      <c r="C33" s="1469"/>
      <c r="D33" s="1469"/>
      <c r="E33" s="1469"/>
      <c r="F33" s="1469"/>
      <c r="G33" s="1469"/>
      <c r="H33" s="1469"/>
      <c r="I33" s="1469"/>
      <c r="J33" s="1469"/>
      <c r="K33" s="1469"/>
      <c r="L33" s="1469"/>
      <c r="M33" s="1469"/>
      <c r="N33" s="1469"/>
      <c r="O33" s="1469"/>
      <c r="P33" s="1469"/>
      <c r="Q33" s="1469"/>
      <c r="R33" s="1469"/>
      <c r="S33" s="1469"/>
      <c r="T33" s="1469"/>
      <c r="U33" s="1469"/>
      <c r="V33" s="1469"/>
      <c r="W33" s="1469"/>
      <c r="X33" s="1469"/>
      <c r="Y33" s="1469"/>
      <c r="Z33" s="1469"/>
      <c r="AA33" s="1469"/>
      <c r="AB33" s="1469"/>
      <c r="AC33" s="1469"/>
      <c r="AD33" s="1469"/>
      <c r="AE33" s="1469"/>
      <c r="AF33" s="1470"/>
      <c r="AG33" s="7"/>
      <c r="AH33" s="7"/>
      <c r="AI33" s="7"/>
      <c r="AJ33" s="7"/>
      <c r="AK33" s="10"/>
      <c r="AL33" s="10"/>
      <c r="AM33" s="10"/>
      <c r="AN33" s="10"/>
    </row>
    <row r="34" spans="1:40" ht="14.45">
      <c r="A34" s="1487" t="s">
        <v>706</v>
      </c>
      <c r="B34" s="208">
        <v>26</v>
      </c>
      <c r="C34" s="212" t="s">
        <v>707</v>
      </c>
      <c r="D34" s="310">
        <f>D22+D26+D27+D28+D31</f>
        <v>-219</v>
      </c>
      <c r="E34" s="311">
        <f t="shared" ref="E34:AE34" si="39">E22+E26+E27+E28+E31</f>
        <v>485.00000000000006</v>
      </c>
      <c r="F34" s="805">
        <f t="shared" si="39"/>
        <v>3049.4</v>
      </c>
      <c r="G34" s="614">
        <f>G22+G26+G27+G28+G31</f>
        <v>262.88663333333329</v>
      </c>
      <c r="H34" s="615">
        <f t="shared" si="39"/>
        <v>747.72341646456744</v>
      </c>
      <c r="I34" s="615">
        <f t="shared" si="39"/>
        <v>1053.9436996847621</v>
      </c>
      <c r="J34" s="616">
        <f>J22+J26+J27+J28+J31</f>
        <v>1145.3781073124526</v>
      </c>
      <c r="K34" s="615">
        <f>K22+K26+K27+K28+K31</f>
        <v>1181.4549161448856</v>
      </c>
      <c r="L34" s="615">
        <f t="shared" si="39"/>
        <v>1066.2768576128026</v>
      </c>
      <c r="M34" s="615">
        <f t="shared" si="39"/>
        <v>1246.8002546813475</v>
      </c>
      <c r="N34" s="615">
        <f t="shared" si="39"/>
        <v>1290.4018773558105</v>
      </c>
      <c r="O34" s="615">
        <f t="shared" si="39"/>
        <v>1304.7725616133475</v>
      </c>
      <c r="P34" s="615">
        <f t="shared" si="39"/>
        <v>1416.8067580450463</v>
      </c>
      <c r="Q34" s="615">
        <f t="shared" si="39"/>
        <v>1438.0055568084342</v>
      </c>
      <c r="R34" s="615">
        <f t="shared" si="39"/>
        <v>1482.2386928463777</v>
      </c>
      <c r="S34" s="615">
        <f t="shared" si="39"/>
        <v>1832.2727578561953</v>
      </c>
      <c r="T34" s="615">
        <f t="shared" si="39"/>
        <v>1915.726302865851</v>
      </c>
      <c r="U34" s="615">
        <f t="shared" si="39"/>
        <v>1993.6529381053347</v>
      </c>
      <c r="V34" s="615">
        <f t="shared" si="39"/>
        <v>2064.2354931766172</v>
      </c>
      <c r="W34" s="615">
        <f t="shared" si="39"/>
        <v>2126.1577676348124</v>
      </c>
      <c r="X34" s="615">
        <f t="shared" si="39"/>
        <v>2083.5685884367722</v>
      </c>
      <c r="Y34" s="615">
        <f t="shared" si="39"/>
        <v>2016.2408677833562</v>
      </c>
      <c r="Z34" s="615">
        <f t="shared" si="39"/>
        <v>1922.411832812335</v>
      </c>
      <c r="AA34" s="615">
        <f t="shared" si="39"/>
        <v>1859.563092898072</v>
      </c>
      <c r="AB34" s="615">
        <f t="shared" si="39"/>
        <v>1838.0685049537442</v>
      </c>
      <c r="AC34" s="615">
        <f t="shared" si="39"/>
        <v>1801.8357181435679</v>
      </c>
      <c r="AD34" s="615">
        <f t="shared" si="39"/>
        <v>1749.9736172669482</v>
      </c>
      <c r="AE34" s="615">
        <f t="shared" si="39"/>
        <v>1681.5594485297959</v>
      </c>
      <c r="AF34" s="616">
        <f>AF22+AF26+AF27+AF28+AF31</f>
        <v>1572.9754152519929</v>
      </c>
      <c r="AG34" s="342"/>
      <c r="AH34" s="7"/>
      <c r="AI34" s="7"/>
      <c r="AJ34" s="7"/>
      <c r="AK34" s="10"/>
      <c r="AL34" s="10"/>
      <c r="AM34" s="10"/>
      <c r="AN34" s="10"/>
    </row>
    <row r="35" spans="1:40" s="3" customFormat="1" ht="14.45">
      <c r="A35" s="1487"/>
      <c r="B35" s="208">
        <v>27</v>
      </c>
      <c r="C35" s="212" t="s">
        <v>708</v>
      </c>
      <c r="D35" s="273">
        <f>-1*(D29+D30)</f>
        <v>-239.7</v>
      </c>
      <c r="E35" s="272">
        <f t="shared" ref="E35:AF35" si="40">-1*(E29+E30)</f>
        <v>-3.6</v>
      </c>
      <c r="F35" s="274">
        <f t="shared" si="40"/>
        <v>328.6</v>
      </c>
      <c r="G35" s="617">
        <f>-1*(G29+G30)</f>
        <v>297.22762666666671</v>
      </c>
      <c r="H35" s="618">
        <f t="shared" si="40"/>
        <v>323.51758170209661</v>
      </c>
      <c r="I35" s="618">
        <f t="shared" si="40"/>
        <v>449.05844711643755</v>
      </c>
      <c r="J35" s="619">
        <f>-1*(J29+J30)</f>
        <v>478.94135829858169</v>
      </c>
      <c r="K35" s="618">
        <f t="shared" si="40"/>
        <v>649.76690488849454</v>
      </c>
      <c r="L35" s="618">
        <f t="shared" si="40"/>
        <v>626.43059610768353</v>
      </c>
      <c r="M35" s="618">
        <f t="shared" si="40"/>
        <v>716.84539492908425</v>
      </c>
      <c r="N35" s="618">
        <f t="shared" si="40"/>
        <v>798.18658362096517</v>
      </c>
      <c r="O35" s="618">
        <f t="shared" si="40"/>
        <v>864.39413329066178</v>
      </c>
      <c r="P35" s="618">
        <f t="shared" si="40"/>
        <v>995.02330882137039</v>
      </c>
      <c r="Q35" s="618">
        <f t="shared" si="40"/>
        <v>1099.8493236426334</v>
      </c>
      <c r="R35" s="618">
        <f t="shared" si="40"/>
        <v>1196.0828490594818</v>
      </c>
      <c r="S35" s="618">
        <f t="shared" si="40"/>
        <v>1169.171144718222</v>
      </c>
      <c r="T35" s="618">
        <f t="shared" si="40"/>
        <v>1245.1167088365178</v>
      </c>
      <c r="U35" s="618">
        <f t="shared" si="40"/>
        <v>1320.8237535104975</v>
      </c>
      <c r="V35" s="618">
        <f t="shared" si="40"/>
        <v>1395.6480166305237</v>
      </c>
      <c r="W35" s="618">
        <f t="shared" si="40"/>
        <v>1469.0998898563153</v>
      </c>
      <c r="X35" s="618">
        <f t="shared" si="40"/>
        <v>1579.201713019937</v>
      </c>
      <c r="Y35" s="618">
        <f t="shared" si="40"/>
        <v>1693.130797022066</v>
      </c>
      <c r="Z35" s="618">
        <f t="shared" si="40"/>
        <v>1810.843893164857</v>
      </c>
      <c r="AA35" s="618">
        <f t="shared" si="40"/>
        <v>1908.6952572335954</v>
      </c>
      <c r="AB35" s="618">
        <f t="shared" si="40"/>
        <v>1981.7618444322939</v>
      </c>
      <c r="AC35" s="618">
        <f t="shared" si="40"/>
        <v>2051.7569868018586</v>
      </c>
      <c r="AD35" s="618">
        <f t="shared" si="40"/>
        <v>2118.3220363096889</v>
      </c>
      <c r="AE35" s="618">
        <f t="shared" si="40"/>
        <v>2181.0887736601812</v>
      </c>
      <c r="AF35" s="619">
        <f t="shared" si="40"/>
        <v>2191.0444219312949</v>
      </c>
      <c r="AG35" s="342"/>
      <c r="AH35" s="359"/>
      <c r="AI35" s="359"/>
      <c r="AJ35" s="359"/>
      <c r="AK35" s="357"/>
      <c r="AL35" s="357"/>
      <c r="AM35" s="357"/>
      <c r="AN35" s="357"/>
    </row>
    <row r="36" spans="1:40" s="7" customFormat="1" ht="15" thickBot="1">
      <c r="A36" s="1487"/>
      <c r="B36" s="209">
        <v>28</v>
      </c>
      <c r="C36" s="207" t="s">
        <v>709</v>
      </c>
      <c r="D36" s="807">
        <f>D34-D35</f>
        <v>20.699999999999989</v>
      </c>
      <c r="E36" s="808">
        <f>E34-E35</f>
        <v>488.60000000000008</v>
      </c>
      <c r="F36" s="806">
        <f>F34-F35</f>
        <v>2720.8</v>
      </c>
      <c r="G36" s="620">
        <f>G34-G35</f>
        <v>-34.340993333333415</v>
      </c>
      <c r="H36" s="621">
        <f t="shared" ref="H36:AF36" si="41">H34-H35</f>
        <v>424.20583476247083</v>
      </c>
      <c r="I36" s="621">
        <f t="shared" si="41"/>
        <v>604.88525256832463</v>
      </c>
      <c r="J36" s="622">
        <f>J34-J35</f>
        <v>666.43674901387089</v>
      </c>
      <c r="K36" s="621">
        <f>K34-K35</f>
        <v>531.68801125639106</v>
      </c>
      <c r="L36" s="621">
        <f>L34-L35</f>
        <v>439.84626150511906</v>
      </c>
      <c r="M36" s="621">
        <f t="shared" si="41"/>
        <v>529.95485975226325</v>
      </c>
      <c r="N36" s="621">
        <f t="shared" si="41"/>
        <v>492.21529373484532</v>
      </c>
      <c r="O36" s="621">
        <f t="shared" si="41"/>
        <v>440.37842832268575</v>
      </c>
      <c r="P36" s="621">
        <f t="shared" si="41"/>
        <v>421.78344922367592</v>
      </c>
      <c r="Q36" s="621">
        <f>Q34-Q35</f>
        <v>338.15623316580081</v>
      </c>
      <c r="R36" s="621">
        <f t="shared" si="41"/>
        <v>286.15584378689596</v>
      </c>
      <c r="S36" s="621">
        <f t="shared" si="41"/>
        <v>663.10161313797335</v>
      </c>
      <c r="T36" s="621">
        <f t="shared" si="41"/>
        <v>670.60959402933327</v>
      </c>
      <c r="U36" s="621">
        <f t="shared" si="41"/>
        <v>672.82918459483722</v>
      </c>
      <c r="V36" s="621">
        <f t="shared" si="41"/>
        <v>668.58747654609351</v>
      </c>
      <c r="W36" s="621">
        <f t="shared" si="41"/>
        <v>657.05787777849719</v>
      </c>
      <c r="X36" s="621">
        <f t="shared" si="41"/>
        <v>504.36687541683523</v>
      </c>
      <c r="Y36" s="621">
        <f t="shared" si="41"/>
        <v>323.11007076129022</v>
      </c>
      <c r="Z36" s="621">
        <f t="shared" si="41"/>
        <v>111.56793964747794</v>
      </c>
      <c r="AA36" s="621">
        <f t="shared" si="41"/>
        <v>-49.132164335523385</v>
      </c>
      <c r="AB36" s="621">
        <f t="shared" si="41"/>
        <v>-143.69333947854966</v>
      </c>
      <c r="AC36" s="621">
        <f t="shared" si="41"/>
        <v>-249.92126865829073</v>
      </c>
      <c r="AD36" s="621">
        <f t="shared" si="41"/>
        <v>-368.34841904274072</v>
      </c>
      <c r="AE36" s="621">
        <f t="shared" si="41"/>
        <v>-499.52932513038536</v>
      </c>
      <c r="AF36" s="622">
        <f t="shared" si="41"/>
        <v>-618.06900667930199</v>
      </c>
      <c r="AG36" s="342"/>
      <c r="AK36" s="10"/>
      <c r="AL36" s="10"/>
      <c r="AM36" s="10"/>
      <c r="AN36" s="10"/>
    </row>
    <row r="37" spans="1:40" ht="15" thickBot="1">
      <c r="A37" s="218"/>
      <c r="B37" s="216"/>
      <c r="C37" s="217"/>
      <c r="D37" s="315"/>
      <c r="E37" s="315"/>
      <c r="F37" s="315"/>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6"/>
      <c r="AG37" s="342"/>
      <c r="AH37" s="7"/>
      <c r="AI37" s="7"/>
      <c r="AJ37" s="7"/>
      <c r="AK37" s="10"/>
      <c r="AL37" s="10"/>
      <c r="AM37" s="10"/>
      <c r="AN37" s="10"/>
    </row>
    <row r="38" spans="1:40" ht="14.45" hidden="1">
      <c r="A38" s="1488" t="s">
        <v>710</v>
      </c>
      <c r="B38" s="210">
        <v>29</v>
      </c>
      <c r="C38" s="212" t="s">
        <v>711</v>
      </c>
      <c r="D38" s="634">
        <f>'Inputs (AUD)'!D91</f>
        <v>0</v>
      </c>
      <c r="E38" s="634">
        <f>'Inputs (AUD)'!C91</f>
        <v>0</v>
      </c>
      <c r="F38" s="634">
        <f>'Inputs (AUD)'!B91</f>
        <v>0</v>
      </c>
      <c r="G38" s="279">
        <f>+F38+(-G10)</f>
        <v>0</v>
      </c>
      <c r="H38" s="279">
        <f>+G38+(-H10)</f>
        <v>0</v>
      </c>
      <c r="I38" s="279">
        <f>+H38+(-I10)</f>
        <v>0</v>
      </c>
      <c r="J38" s="279">
        <f>+I38+(-J10)</f>
        <v>0</v>
      </c>
      <c r="K38" s="279">
        <f>+J38+(-K10)</f>
        <v>0</v>
      </c>
      <c r="L38" s="279">
        <f t="shared" ref="L38:Q38" si="42">+K38+(-L10)</f>
        <v>0</v>
      </c>
      <c r="M38" s="279">
        <f t="shared" si="42"/>
        <v>0</v>
      </c>
      <c r="N38" s="279">
        <f t="shared" si="42"/>
        <v>0</v>
      </c>
      <c r="O38" s="279">
        <f t="shared" si="42"/>
        <v>0</v>
      </c>
      <c r="P38" s="279">
        <f t="shared" si="42"/>
        <v>0</v>
      </c>
      <c r="Q38" s="279">
        <f t="shared" si="42"/>
        <v>0</v>
      </c>
      <c r="R38" s="279">
        <f t="shared" ref="R38:AF38" si="43">+Q38+(-R10)</f>
        <v>0</v>
      </c>
      <c r="S38" s="279">
        <f t="shared" si="43"/>
        <v>0</v>
      </c>
      <c r="T38" s="279">
        <f t="shared" si="43"/>
        <v>0</v>
      </c>
      <c r="U38" s="279">
        <f t="shared" si="43"/>
        <v>0</v>
      </c>
      <c r="V38" s="279">
        <f t="shared" si="43"/>
        <v>0</v>
      </c>
      <c r="W38" s="279">
        <f t="shared" si="43"/>
        <v>0</v>
      </c>
      <c r="X38" s="279">
        <f t="shared" si="43"/>
        <v>0</v>
      </c>
      <c r="Y38" s="279">
        <f t="shared" si="43"/>
        <v>0</v>
      </c>
      <c r="Z38" s="279">
        <f t="shared" si="43"/>
        <v>0</v>
      </c>
      <c r="AA38" s="279">
        <f t="shared" si="43"/>
        <v>0</v>
      </c>
      <c r="AB38" s="279">
        <f t="shared" si="43"/>
        <v>0</v>
      </c>
      <c r="AC38" s="279">
        <f t="shared" si="43"/>
        <v>0</v>
      </c>
      <c r="AD38" s="279">
        <f t="shared" si="43"/>
        <v>0</v>
      </c>
      <c r="AE38" s="279">
        <f t="shared" si="43"/>
        <v>0</v>
      </c>
      <c r="AF38" s="279">
        <f t="shared" si="43"/>
        <v>0</v>
      </c>
      <c r="AG38" s="623">
        <f>SUM(G38:AF38)</f>
        <v>0</v>
      </c>
      <c r="AH38" s="7"/>
      <c r="AI38" s="7"/>
      <c r="AJ38" s="7"/>
      <c r="AK38" s="10"/>
      <c r="AL38" s="10"/>
      <c r="AM38" s="10"/>
      <c r="AN38" s="10"/>
    </row>
    <row r="39" spans="1:40" ht="14.45" hidden="1">
      <c r="A39" s="1487"/>
      <c r="B39" s="210">
        <v>30</v>
      </c>
      <c r="C39" s="212" t="s">
        <v>712</v>
      </c>
      <c r="D39" s="635">
        <v>0</v>
      </c>
      <c r="E39" s="636">
        <v>0</v>
      </c>
      <c r="F39" s="637">
        <v>0</v>
      </c>
      <c r="G39" s="846">
        <f t="shared" ref="G39:AF39" si="44">F39-G10</f>
        <v>0</v>
      </c>
      <c r="H39" s="846">
        <f t="shared" si="44"/>
        <v>0</v>
      </c>
      <c r="I39" s="846">
        <f t="shared" si="44"/>
        <v>0</v>
      </c>
      <c r="J39" s="846">
        <f t="shared" si="44"/>
        <v>0</v>
      </c>
      <c r="K39" s="846">
        <f t="shared" si="44"/>
        <v>0</v>
      </c>
      <c r="L39" s="846">
        <f t="shared" si="44"/>
        <v>0</v>
      </c>
      <c r="M39" s="846">
        <f t="shared" si="44"/>
        <v>0</v>
      </c>
      <c r="N39" s="846">
        <f t="shared" si="44"/>
        <v>0</v>
      </c>
      <c r="O39" s="846">
        <f t="shared" si="44"/>
        <v>0</v>
      </c>
      <c r="P39" s="846">
        <f t="shared" si="44"/>
        <v>0</v>
      </c>
      <c r="Q39" s="846">
        <f t="shared" si="44"/>
        <v>0</v>
      </c>
      <c r="R39" s="846">
        <f t="shared" si="44"/>
        <v>0</v>
      </c>
      <c r="S39" s="846">
        <f t="shared" si="44"/>
        <v>0</v>
      </c>
      <c r="T39" s="846">
        <f t="shared" si="44"/>
        <v>0</v>
      </c>
      <c r="U39" s="846">
        <f t="shared" si="44"/>
        <v>0</v>
      </c>
      <c r="V39" s="846">
        <f t="shared" si="44"/>
        <v>0</v>
      </c>
      <c r="W39" s="846">
        <f t="shared" si="44"/>
        <v>0</v>
      </c>
      <c r="X39" s="846">
        <f t="shared" si="44"/>
        <v>0</v>
      </c>
      <c r="Y39" s="846">
        <f t="shared" si="44"/>
        <v>0</v>
      </c>
      <c r="Z39" s="846">
        <f t="shared" si="44"/>
        <v>0</v>
      </c>
      <c r="AA39" s="846">
        <f t="shared" si="44"/>
        <v>0</v>
      </c>
      <c r="AB39" s="846">
        <f t="shared" si="44"/>
        <v>0</v>
      </c>
      <c r="AC39" s="846">
        <f t="shared" si="44"/>
        <v>0</v>
      </c>
      <c r="AD39" s="846">
        <f t="shared" si="44"/>
        <v>0</v>
      </c>
      <c r="AE39" s="846">
        <f t="shared" si="44"/>
        <v>0</v>
      </c>
      <c r="AF39" s="279">
        <f t="shared" si="44"/>
        <v>0</v>
      </c>
      <c r="AG39" s="623">
        <f>SUM(G39:AF39)</f>
        <v>0</v>
      </c>
      <c r="AH39" s="7"/>
      <c r="AI39" s="7"/>
      <c r="AJ39" s="7"/>
      <c r="AK39" s="10"/>
      <c r="AL39" s="10"/>
      <c r="AM39" s="10"/>
      <c r="AN39" s="10"/>
    </row>
    <row r="40" spans="1:40" ht="14.45">
      <c r="A40" s="1487"/>
      <c r="B40" s="210">
        <v>31</v>
      </c>
      <c r="C40" s="212" t="s">
        <v>713</v>
      </c>
      <c r="D40" s="635">
        <f>'Inputs (AUD)'!D95</f>
        <v>0</v>
      </c>
      <c r="E40" s="636">
        <f>'Inputs (AUD)'!C95</f>
        <v>1003.7</v>
      </c>
      <c r="F40" s="637">
        <f>'Inputs (AUD)'!B95</f>
        <v>1539.3</v>
      </c>
      <c r="G40" s="839">
        <f>F40+(-G23)</f>
        <v>1653.0919999999999</v>
      </c>
      <c r="H40" s="840">
        <f t="shared" ref="H40:AF40" si="45">G40+(-H23)</f>
        <v>1765.656833442988</v>
      </c>
      <c r="I40" s="840">
        <f t="shared" si="45"/>
        <v>1924.0267392140156</v>
      </c>
      <c r="J40" s="842">
        <f t="shared" si="45"/>
        <v>2113.7758319513027</v>
      </c>
      <c r="K40" s="847">
        <f t="shared" si="45"/>
        <v>2387.5514159672848</v>
      </c>
      <c r="L40" s="840">
        <f t="shared" si="45"/>
        <v>2637.7744740023354</v>
      </c>
      <c r="M40" s="840">
        <f t="shared" si="45"/>
        <v>2938.2902991830078</v>
      </c>
      <c r="N40" s="840">
        <f t="shared" si="45"/>
        <v>3273.4032419719397</v>
      </c>
      <c r="O40" s="840">
        <f t="shared" si="45"/>
        <v>3637.1906917755878</v>
      </c>
      <c r="P40" s="840">
        <f t="shared" si="45"/>
        <v>4061.2900820864975</v>
      </c>
      <c r="Q40" s="840">
        <f t="shared" si="45"/>
        <v>4531.144774950576</v>
      </c>
      <c r="R40" s="840">
        <f t="shared" si="45"/>
        <v>5049.2452648670351</v>
      </c>
      <c r="S40" s="840">
        <f t="shared" si="45"/>
        <v>5618.0783653305398</v>
      </c>
      <c r="T40" s="840">
        <f t="shared" si="45"/>
        <v>6240.1279862567462</v>
      </c>
      <c r="U40" s="840">
        <f t="shared" si="45"/>
        <v>6917.8757245553816</v>
      </c>
      <c r="V40" s="840">
        <f t="shared" si="45"/>
        <v>7653.8013122094953</v>
      </c>
      <c r="W40" s="840">
        <f t="shared" si="45"/>
        <v>8450.3829611275523</v>
      </c>
      <c r="X40" s="840">
        <f t="shared" si="45"/>
        <v>9310.0976319894726</v>
      </c>
      <c r="Y40" s="840">
        <f t="shared" si="45"/>
        <v>10235.421246300715</v>
      </c>
      <c r="Z40" s="840">
        <f t="shared" si="45"/>
        <v>11228.828855440481</v>
      </c>
      <c r="AA40" s="840">
        <f t="shared" si="45"/>
        <v>12292.794776743904</v>
      </c>
      <c r="AB40" s="840">
        <f t="shared" si="45"/>
        <v>13429.792704030262</v>
      </c>
      <c r="AC40" s="840">
        <f t="shared" si="45"/>
        <v>14642.295798118021</v>
      </c>
      <c r="AD40" s="840">
        <f t="shared" si="45"/>
        <v>15932.776761516727</v>
      </c>
      <c r="AE40" s="840">
        <f t="shared" si="45"/>
        <v>17303.707900498186</v>
      </c>
      <c r="AF40" s="405">
        <f t="shared" si="45"/>
        <v>18715.76697364909</v>
      </c>
      <c r="AG40" s="623">
        <f>SUM(G40:AF40)</f>
        <v>193944.19064717912</v>
      </c>
      <c r="AH40" s="7"/>
      <c r="AI40" s="7"/>
      <c r="AJ40" s="7"/>
      <c r="AK40" s="10"/>
      <c r="AL40" s="10"/>
      <c r="AM40" s="10"/>
      <c r="AN40" s="10"/>
    </row>
    <row r="41" spans="1:40" ht="15" thickBot="1">
      <c r="A41" s="1487"/>
      <c r="B41" s="211">
        <v>32</v>
      </c>
      <c r="C41" s="207" t="s">
        <v>714</v>
      </c>
      <c r="D41" s="638">
        <f>'Inputs (AUD)'!D93</f>
        <v>0</v>
      </c>
      <c r="E41" s="636">
        <f>-'Inputs (AUD)'!C93</f>
        <v>74.3</v>
      </c>
      <c r="F41" s="639">
        <f>-'Inputs (AUD)'!B93</f>
        <v>163.80000000000001</v>
      </c>
      <c r="G41" s="843">
        <f t="shared" ref="G41:AF41" si="46">F41-G9</f>
        <v>209.97900000000001</v>
      </c>
      <c r="H41" s="844">
        <f t="shared" si="46"/>
        <v>259.57175999999998</v>
      </c>
      <c r="I41" s="844">
        <f t="shared" si="46"/>
        <v>312.5414650032896</v>
      </c>
      <c r="J41" s="845">
        <f t="shared" si="46"/>
        <v>370.26226717971008</v>
      </c>
      <c r="K41" s="848">
        <f t="shared" si="46"/>
        <v>454.81330045776218</v>
      </c>
      <c r="L41" s="844">
        <f t="shared" si="46"/>
        <v>550.31535709645357</v>
      </c>
      <c r="M41" s="844">
        <f t="shared" si="46"/>
        <v>655.82633605654701</v>
      </c>
      <c r="N41" s="844">
        <f t="shared" si="46"/>
        <v>773.35794802386727</v>
      </c>
      <c r="O41" s="844">
        <f t="shared" si="46"/>
        <v>904.29407770274486</v>
      </c>
      <c r="P41" s="844">
        <f t="shared" si="46"/>
        <v>1049.7817053737683</v>
      </c>
      <c r="Q41" s="844">
        <f t="shared" si="46"/>
        <v>1212.2333086572282</v>
      </c>
      <c r="R41" s="844">
        <f t="shared" si="46"/>
        <v>1393.4790996552513</v>
      </c>
      <c r="S41" s="844">
        <f t="shared" si="46"/>
        <v>1595.4489102499326</v>
      </c>
      <c r="T41" s="844">
        <f t="shared" si="46"/>
        <v>1820.1720448631543</v>
      </c>
      <c r="U41" s="844">
        <f t="shared" si="46"/>
        <v>2069.7771643134242</v>
      </c>
      <c r="V41" s="844">
        <f t="shared" si="46"/>
        <v>2346.4921932956395</v>
      </c>
      <c r="W41" s="844">
        <f t="shared" si="46"/>
        <v>2652.6442457840194</v>
      </c>
      <c r="X41" s="844">
        <f t="shared" si="46"/>
        <v>2990.6595642291213</v>
      </c>
      <c r="Y41" s="844">
        <f t="shared" si="46"/>
        <v>3363.0634695087001</v>
      </c>
      <c r="Z41" s="844">
        <f t="shared" si="46"/>
        <v>3772.4803193607286</v>
      </c>
      <c r="AA41" s="844">
        <f t="shared" si="46"/>
        <v>4221.6334735783475</v>
      </c>
      <c r="AB41" s="844">
        <f t="shared" si="46"/>
        <v>4713.3452646481037</v>
      </c>
      <c r="AC41" s="844">
        <f t="shared" si="46"/>
        <v>5250.5369728093137</v>
      </c>
      <c r="AD41" s="844">
        <f t="shared" si="46"/>
        <v>5836.2288047340344</v>
      </c>
      <c r="AE41" s="844">
        <f t="shared" si="46"/>
        <v>6473.5398751947032</v>
      </c>
      <c r="AF41" s="845">
        <f t="shared" si="46"/>
        <v>7165.6881912146309</v>
      </c>
      <c r="AG41" s="623">
        <f>SUM(G41:AF41)</f>
        <v>62418.16611899047</v>
      </c>
      <c r="AH41" s="7"/>
      <c r="AI41" s="7"/>
      <c r="AJ41" s="7"/>
      <c r="AK41" s="10"/>
      <c r="AL41" s="10"/>
      <c r="AM41" s="10"/>
      <c r="AN41" s="10"/>
    </row>
    <row r="42" spans="1:40" s="7" customFormat="1" ht="15" thickBot="1">
      <c r="A42" s="1481"/>
      <c r="B42" s="1482"/>
      <c r="C42" s="1482"/>
      <c r="D42" s="1482"/>
      <c r="E42" s="1482"/>
      <c r="F42" s="1482"/>
      <c r="G42" s="1482"/>
      <c r="H42" s="1482"/>
      <c r="I42" s="1482"/>
      <c r="J42" s="1482"/>
      <c r="K42" s="1482"/>
      <c r="L42" s="1482"/>
      <c r="M42" s="1482"/>
      <c r="N42" s="1482"/>
      <c r="O42" s="1482"/>
      <c r="P42" s="1482"/>
      <c r="Q42" s="1482"/>
      <c r="R42" s="1482"/>
      <c r="S42" s="1482"/>
      <c r="T42" s="1482"/>
      <c r="U42" s="1482"/>
      <c r="V42" s="1482"/>
      <c r="W42" s="1482"/>
      <c r="X42" s="1482"/>
      <c r="Y42" s="1482"/>
      <c r="Z42" s="1482"/>
      <c r="AA42" s="1482"/>
      <c r="AB42" s="1482"/>
      <c r="AC42" s="1482"/>
      <c r="AD42" s="1482"/>
      <c r="AE42" s="1482"/>
      <c r="AF42" s="1483"/>
      <c r="AG42" s="342"/>
      <c r="AK42" s="10"/>
      <c r="AL42" s="10"/>
      <c r="AM42" s="10"/>
      <c r="AN42" s="10"/>
    </row>
    <row r="43" spans="1:40" ht="15" customHeight="1">
      <c r="A43" s="1478" t="s">
        <v>715</v>
      </c>
      <c r="B43" s="208">
        <v>33</v>
      </c>
      <c r="C43" s="212" t="s">
        <v>716</v>
      </c>
      <c r="D43" s="397">
        <f>'Fin. Data'!D39</f>
        <v>99.7</v>
      </c>
      <c r="E43" s="265">
        <f>E36+D43</f>
        <v>588.30000000000007</v>
      </c>
      <c r="F43" s="629">
        <f>F36+E43</f>
        <v>3309.1000000000004</v>
      </c>
      <c r="G43" s="397">
        <f>G36+F43</f>
        <v>3274.7590066666671</v>
      </c>
      <c r="H43" s="624">
        <f t="shared" ref="H43:AF43" si="47">H36+G43</f>
        <v>3698.9648414291378</v>
      </c>
      <c r="I43" s="624">
        <f>I36+H43</f>
        <v>4303.850093997462</v>
      </c>
      <c r="J43" s="585">
        <f>J36+I43</f>
        <v>4970.2868430113331</v>
      </c>
      <c r="K43" s="265">
        <f>K36+J43</f>
        <v>5501.9748542677244</v>
      </c>
      <c r="L43" s="624">
        <f>L36+K43</f>
        <v>5941.8211157728438</v>
      </c>
      <c r="M43" s="624">
        <f>M36+L43</f>
        <v>6471.7759755251072</v>
      </c>
      <c r="N43" s="624">
        <f t="shared" si="47"/>
        <v>6963.9912692599528</v>
      </c>
      <c r="O43" s="624">
        <f t="shared" si="47"/>
        <v>7404.3696975826388</v>
      </c>
      <c r="P43" s="624">
        <f t="shared" si="47"/>
        <v>7826.1531468063149</v>
      </c>
      <c r="Q43" s="624">
        <f t="shared" si="47"/>
        <v>8164.3093799721155</v>
      </c>
      <c r="R43" s="624">
        <f>R36+Q43</f>
        <v>8450.4652237590108</v>
      </c>
      <c r="S43" s="624">
        <f t="shared" si="47"/>
        <v>9113.5668368969837</v>
      </c>
      <c r="T43" s="624">
        <f t="shared" si="47"/>
        <v>9784.1764309263162</v>
      </c>
      <c r="U43" s="624">
        <f t="shared" si="47"/>
        <v>10457.005615521153</v>
      </c>
      <c r="V43" s="624">
        <f t="shared" si="47"/>
        <v>11125.593092067247</v>
      </c>
      <c r="W43" s="624">
        <f t="shared" si="47"/>
        <v>11782.650969845745</v>
      </c>
      <c r="X43" s="624">
        <f t="shared" si="47"/>
        <v>12287.017845262581</v>
      </c>
      <c r="Y43" s="624">
        <f t="shared" si="47"/>
        <v>12610.12791602387</v>
      </c>
      <c r="Z43" s="624">
        <f t="shared" si="47"/>
        <v>12721.695855671347</v>
      </c>
      <c r="AA43" s="624">
        <f t="shared" si="47"/>
        <v>12672.563691335823</v>
      </c>
      <c r="AB43" s="624">
        <f t="shared" si="47"/>
        <v>12528.870351857273</v>
      </c>
      <c r="AC43" s="624">
        <f t="shared" si="47"/>
        <v>12278.949083198982</v>
      </c>
      <c r="AD43" s="624">
        <f t="shared" si="47"/>
        <v>11910.600664156242</v>
      </c>
      <c r="AE43" s="624">
        <f t="shared" si="47"/>
        <v>11411.071339025857</v>
      </c>
      <c r="AF43" s="625">
        <f t="shared" si="47"/>
        <v>10793.002332346556</v>
      </c>
      <c r="AG43" s="342"/>
      <c r="AH43" s="7"/>
      <c r="AI43" s="7"/>
      <c r="AJ43" s="7"/>
      <c r="AK43" s="10"/>
      <c r="AL43" s="10"/>
      <c r="AM43" s="10"/>
      <c r="AN43" s="10"/>
    </row>
    <row r="44" spans="1:40" ht="14.45">
      <c r="A44" s="1478"/>
      <c r="B44" s="208">
        <v>34</v>
      </c>
      <c r="C44" s="212" t="s">
        <v>328</v>
      </c>
      <c r="D44" s="397">
        <f>'Fin. Data'!D58</f>
        <v>166.9</v>
      </c>
      <c r="E44" s="265">
        <f>'Fin. Data'!C58</f>
        <v>292</v>
      </c>
      <c r="F44" s="398">
        <f>'Fin. Data'!B58</f>
        <v>472</v>
      </c>
      <c r="G44" s="586">
        <f>G12*$D$68</f>
        <v>94.025900000000021</v>
      </c>
      <c r="H44" s="626">
        <f>H12*$D$68</f>
        <v>109.48376419706038</v>
      </c>
      <c r="I44" s="626">
        <f>I12*$D$68</f>
        <v>152.35474014485462</v>
      </c>
      <c r="J44" s="545">
        <f>J12*$D$68</f>
        <v>168.41415970674544</v>
      </c>
      <c r="K44" s="626">
        <f>K12*$E$68</f>
        <v>258.84356046001352</v>
      </c>
      <c r="L44" s="626">
        <f>L12*$E$68</f>
        <v>246.91180876213062</v>
      </c>
      <c r="M44" s="626">
        <f t="shared" ref="M44:AE44" si="48">M12*$E$68</f>
        <v>287.07226531534468</v>
      </c>
      <c r="N44" s="626">
        <f t="shared" si="48"/>
        <v>310.98146761547514</v>
      </c>
      <c r="O44" s="626">
        <f>O12*$E$68</f>
        <v>328.15670290448344</v>
      </c>
      <c r="P44" s="626">
        <f t="shared" si="48"/>
        <v>370.01465410804911</v>
      </c>
      <c r="Q44" s="626">
        <f t="shared" si="48"/>
        <v>397.32182682632492</v>
      </c>
      <c r="R44" s="626">
        <f t="shared" si="48"/>
        <v>424.3117879753969</v>
      </c>
      <c r="S44" s="626">
        <f t="shared" si="48"/>
        <v>450.79235977198118</v>
      </c>
      <c r="T44" s="626">
        <f t="shared" si="48"/>
        <v>476.57230093082597</v>
      </c>
      <c r="U44" s="626">
        <f t="shared" si="48"/>
        <v>501.46107658526535</v>
      </c>
      <c r="V44" s="626">
        <f t="shared" si="48"/>
        <v>525.26868700661873</v>
      </c>
      <c r="W44" s="626">
        <f t="shared" si="48"/>
        <v>547.80554369031995</v>
      </c>
      <c r="X44" s="626">
        <f t="shared" si="48"/>
        <v>568.88237823854558</v>
      </c>
      <c r="Y44" s="626">
        <f t="shared" si="48"/>
        <v>588.31017436504499</v>
      </c>
      <c r="Z44" s="626">
        <f t="shared" si="48"/>
        <v>605.9001164709108</v>
      </c>
      <c r="AA44" s="626">
        <f t="shared" si="48"/>
        <v>621.46355027476386</v>
      </c>
      <c r="AB44" s="626">
        <f t="shared" si="48"/>
        <v>634.81195233230869</v>
      </c>
      <c r="AC44" s="626">
        <f t="shared" si="48"/>
        <v>645.75690619386501</v>
      </c>
      <c r="AD44" s="626">
        <f t="shared" si="48"/>
        <v>654.11008357622086</v>
      </c>
      <c r="AE44" s="627">
        <f t="shared" si="48"/>
        <v>659.68322936289064</v>
      </c>
      <c r="AF44" s="628">
        <f>AF12*$E$68</f>
        <v>646.03484824591965</v>
      </c>
      <c r="AG44" s="356"/>
      <c r="AH44" s="10"/>
      <c r="AI44" s="10"/>
      <c r="AJ44" s="10"/>
      <c r="AK44" s="10"/>
      <c r="AL44" s="10"/>
      <c r="AM44" s="10"/>
      <c r="AN44" s="10"/>
    </row>
    <row r="45" spans="1:40" ht="14.45">
      <c r="A45" s="1478"/>
      <c r="B45" s="208">
        <v>35</v>
      </c>
      <c r="C45" s="212" t="s">
        <v>717</v>
      </c>
      <c r="D45" s="399"/>
      <c r="E45" s="306"/>
      <c r="F45" s="400">
        <f>1/((1+$F$50)^G50)</f>
        <v>1</v>
      </c>
      <c r="G45" s="275">
        <f t="shared" ref="G45:AF45" si="49">1/((1+$F$50)^G49)</f>
        <v>1</v>
      </c>
      <c r="H45" s="260">
        <f t="shared" si="49"/>
        <v>0.84013774898532367</v>
      </c>
      <c r="I45" s="260">
        <f t="shared" si="49"/>
        <v>0.77006209806170833</v>
      </c>
      <c r="J45" s="276">
        <f t="shared" si="49"/>
        <v>0.70583143727012676</v>
      </c>
      <c r="K45" s="304">
        <f t="shared" si="49"/>
        <v>0.64695823764447913</v>
      </c>
      <c r="L45" s="260">
        <f t="shared" si="49"/>
        <v>0.59299563487119988</v>
      </c>
      <c r="M45" s="260">
        <f t="shared" si="49"/>
        <v>0.54353403746214479</v>
      </c>
      <c r="N45" s="260">
        <f t="shared" si="49"/>
        <v>0.49819801783881279</v>
      </c>
      <c r="O45" s="260">
        <f t="shared" si="49"/>
        <v>0.45664346273035089</v>
      </c>
      <c r="P45" s="260">
        <f t="shared" si="49"/>
        <v>0.4185549612560503</v>
      </c>
      <c r="Q45" s="260">
        <f t="shared" si="49"/>
        <v>0.38364341086714054</v>
      </c>
      <c r="R45" s="260">
        <f t="shared" si="49"/>
        <v>0.35164382297629748</v>
      </c>
      <c r="S45" s="260">
        <f t="shared" si="49"/>
        <v>0.32231331161897109</v>
      </c>
      <c r="T45" s="260">
        <f t="shared" si="49"/>
        <v>0.29542924987990016</v>
      </c>
      <c r="U45" s="260">
        <f t="shared" si="49"/>
        <v>0.27078758009156756</v>
      </c>
      <c r="V45" s="260">
        <f t="shared" si="49"/>
        <v>0.24820126497852205</v>
      </c>
      <c r="W45" s="260">
        <f t="shared" si="49"/>
        <v>0.22749886799131264</v>
      </c>
      <c r="X45" s="260">
        <f t="shared" si="49"/>
        <v>0.20852325205436539</v>
      </c>
      <c r="Y45" s="260">
        <f t="shared" si="49"/>
        <v>0.1911303868509307</v>
      </c>
      <c r="Z45" s="260">
        <f t="shared" si="49"/>
        <v>0.17518825559205378</v>
      </c>
      <c r="AA45" s="260">
        <f t="shared" si="49"/>
        <v>0.16057585297163501</v>
      </c>
      <c r="AB45" s="260">
        <f t="shared" si="49"/>
        <v>0.14718226670177359</v>
      </c>
      <c r="AC45" s="260">
        <f t="shared" si="49"/>
        <v>0.13490583565698774</v>
      </c>
      <c r="AD45" s="260">
        <f t="shared" si="49"/>
        <v>0.12365337823738563</v>
      </c>
      <c r="AE45" s="260">
        <f t="shared" si="49"/>
        <v>0.11333948509384568</v>
      </c>
      <c r="AF45" s="496">
        <f t="shared" si="49"/>
        <v>0.10388587084678798</v>
      </c>
      <c r="AG45" s="356"/>
      <c r="AH45" s="10"/>
      <c r="AI45" s="10"/>
      <c r="AJ45" s="10"/>
      <c r="AK45" s="10"/>
      <c r="AL45" s="10"/>
      <c r="AM45" s="10"/>
      <c r="AN45" s="10"/>
    </row>
    <row r="46" spans="1:40" ht="14.45">
      <c r="A46" s="1478"/>
      <c r="B46" s="208">
        <v>36</v>
      </c>
      <c r="C46" s="212" t="s">
        <v>718</v>
      </c>
      <c r="D46" s="401"/>
      <c r="E46" s="402" t="s">
        <v>719</v>
      </c>
      <c r="F46" s="276">
        <f>1/((1+$F$50+0.001)^G50)</f>
        <v>1</v>
      </c>
      <c r="G46" s="275">
        <f>1/((1+$F$50+0.001)^G49)</f>
        <v>1</v>
      </c>
      <c r="H46" s="260">
        <f t="shared" ref="H46:AF46" si="50">1/((1+$F$50+0.001)^H49)</f>
        <v>0.83859973969864099</v>
      </c>
      <c r="I46" s="260">
        <f t="shared" si="50"/>
        <v>0.76794847957751022</v>
      </c>
      <c r="J46" s="276">
        <f t="shared" si="50"/>
        <v>0.70324952342262848</v>
      </c>
      <c r="K46" s="304">
        <f t="shared" si="50"/>
        <v>0.64400139507566712</v>
      </c>
      <c r="L46" s="260">
        <f t="shared" si="50"/>
        <v>0.58974486728540954</v>
      </c>
      <c r="M46" s="260">
        <f t="shared" si="50"/>
        <v>0.54005940227601623</v>
      </c>
      <c r="N46" s="260">
        <f t="shared" si="50"/>
        <v>0.49455989219415397</v>
      </c>
      <c r="O46" s="260">
        <f t="shared" si="50"/>
        <v>0.45289367417047072</v>
      </c>
      <c r="P46" s="260">
        <f t="shared" si="50"/>
        <v>0.41473779685940548</v>
      </c>
      <c r="Q46" s="260">
        <f t="shared" si="50"/>
        <v>0.37979651727051794</v>
      </c>
      <c r="R46" s="260">
        <f t="shared" si="50"/>
        <v>0.34779900848948525</v>
      </c>
      <c r="S46" s="260">
        <f t="shared" si="50"/>
        <v>0.31849726052150673</v>
      </c>
      <c r="T46" s="260">
        <f t="shared" si="50"/>
        <v>0.29166415798672779</v>
      </c>
      <c r="U46" s="260">
        <f t="shared" si="50"/>
        <v>0.26709171976806578</v>
      </c>
      <c r="V46" s="260">
        <f t="shared" si="50"/>
        <v>0.24458948696709318</v>
      </c>
      <c r="W46" s="260">
        <f t="shared" si="50"/>
        <v>0.22398304667316229</v>
      </c>
      <c r="X46" s="260">
        <f t="shared" si="50"/>
        <v>0.20511268010362846</v>
      </c>
      <c r="Y46" s="260">
        <f t="shared" si="50"/>
        <v>0.18783212463702248</v>
      </c>
      <c r="Z46" s="260">
        <f t="shared" si="50"/>
        <v>0.17200744014379349</v>
      </c>
      <c r="AA46" s="260">
        <f t="shared" si="50"/>
        <v>0.1575159708276497</v>
      </c>
      <c r="AB46" s="260">
        <f t="shared" si="50"/>
        <v>0.14424539453081478</v>
      </c>
      <c r="AC46" s="260">
        <f t="shared" si="50"/>
        <v>0.1320928521344458</v>
      </c>
      <c r="AD46" s="260">
        <f t="shared" si="50"/>
        <v>0.12096415030626903</v>
      </c>
      <c r="AE46" s="260">
        <f t="shared" si="50"/>
        <v>0.11077303141599729</v>
      </c>
      <c r="AF46" s="276">
        <f t="shared" si="50"/>
        <v>0.10144050495970451</v>
      </c>
      <c r="AG46" s="356"/>
      <c r="AH46" s="10"/>
      <c r="AI46" s="10"/>
      <c r="AJ46" s="10"/>
      <c r="AK46" s="10"/>
      <c r="AL46" s="10"/>
      <c r="AM46" s="10"/>
      <c r="AN46" s="10"/>
    </row>
    <row r="47" spans="1:40" ht="15" thickBot="1">
      <c r="A47" s="1478"/>
      <c r="B47" s="209">
        <v>37</v>
      </c>
      <c r="C47" s="207" t="s">
        <v>720</v>
      </c>
      <c r="D47" s="401"/>
      <c r="E47" s="402" t="s">
        <v>721</v>
      </c>
      <c r="F47" s="407">
        <f>1/((1+$F$50+0.005)^G50)</f>
        <v>1</v>
      </c>
      <c r="G47" s="408">
        <f t="shared" ref="G47:AF47" si="51">1/((1+$F$50+0.005)^G49)</f>
        <v>1</v>
      </c>
      <c r="H47" s="409">
        <f t="shared" si="51"/>
        <v>0.83248974372635753</v>
      </c>
      <c r="I47" s="409">
        <f t="shared" si="51"/>
        <v>0.75957093405689569</v>
      </c>
      <c r="J47" s="407">
        <f t="shared" si="51"/>
        <v>0.69303917340957644</v>
      </c>
      <c r="K47" s="410">
        <f t="shared" si="51"/>
        <v>0.63233501223501509</v>
      </c>
      <c r="L47" s="409">
        <f t="shared" si="51"/>
        <v>0.57694800386406497</v>
      </c>
      <c r="M47" s="409">
        <f t="shared" si="51"/>
        <v>0.5264124122847309</v>
      </c>
      <c r="N47" s="409">
        <f t="shared" si="51"/>
        <v>0.48030329588022896</v>
      </c>
      <c r="O47" s="409">
        <f t="shared" si="51"/>
        <v>0.43823293419728926</v>
      </c>
      <c r="P47" s="409">
        <f t="shared" si="51"/>
        <v>0.39984756769825669</v>
      </c>
      <c r="Q47" s="409">
        <f t="shared" si="51"/>
        <v>0.36482442308235102</v>
      </c>
      <c r="R47" s="409">
        <f t="shared" si="51"/>
        <v>0.33286899916272911</v>
      </c>
      <c r="S47" s="409">
        <f t="shared" si="51"/>
        <v>0.30371259047694271</v>
      </c>
      <c r="T47" s="409">
        <f t="shared" si="51"/>
        <v>0.27711002780742949</v>
      </c>
      <c r="U47" s="409">
        <f t="shared" si="51"/>
        <v>0.25283761661261817</v>
      </c>
      <c r="V47" s="409">
        <f t="shared" si="51"/>
        <v>0.23069125603341076</v>
      </c>
      <c r="W47" s="409">
        <f t="shared" si="51"/>
        <v>0.21048472265822155</v>
      </c>
      <c r="X47" s="409">
        <f t="shared" si="51"/>
        <v>0.19204810461516567</v>
      </c>
      <c r="Y47" s="409">
        <f t="shared" si="51"/>
        <v>0.17522637282405629</v>
      </c>
      <c r="Z47" s="409">
        <f t="shared" si="51"/>
        <v>0.15987807739421195</v>
      </c>
      <c r="AA47" s="409">
        <f t="shared" si="51"/>
        <v>0.14587415820639779</v>
      </c>
      <c r="AB47" s="409">
        <f t="shared" si="51"/>
        <v>0.13309685967737026</v>
      </c>
      <c r="AC47" s="409">
        <f t="shared" si="51"/>
        <v>0.12143874058154225</v>
      </c>
      <c r="AD47" s="409">
        <f t="shared" si="51"/>
        <v>0.11080177060359694</v>
      </c>
      <c r="AE47" s="409">
        <f t="shared" si="51"/>
        <v>0.10109650602517971</v>
      </c>
      <c r="AF47" s="407">
        <f t="shared" si="51"/>
        <v>9.2241337614215088E-2</v>
      </c>
      <c r="AG47" s="356"/>
      <c r="AH47" s="10"/>
      <c r="AI47" s="10"/>
      <c r="AJ47" s="10"/>
      <c r="AK47" s="10"/>
      <c r="AL47" s="10"/>
      <c r="AM47" s="10"/>
      <c r="AN47" s="10"/>
    </row>
    <row r="48" spans="1:40" ht="15" thickBot="1">
      <c r="A48" s="1484" t="s">
        <v>690</v>
      </c>
      <c r="B48" s="1485"/>
      <c r="C48" s="1485"/>
      <c r="D48" s="1485"/>
      <c r="E48" s="1485"/>
      <c r="F48" s="1485"/>
      <c r="G48" s="1485"/>
      <c r="H48" s="1485"/>
      <c r="I48" s="1485"/>
      <c r="J48" s="1485"/>
      <c r="K48" s="1485"/>
      <c r="L48" s="1485"/>
      <c r="M48" s="1485"/>
      <c r="N48" s="1485"/>
      <c r="O48" s="1485"/>
      <c r="P48" s="1485"/>
      <c r="Q48" s="1485"/>
      <c r="R48" s="1485"/>
      <c r="S48" s="1485"/>
      <c r="T48" s="1485"/>
      <c r="U48" s="1485"/>
      <c r="V48" s="1485"/>
      <c r="W48" s="1485"/>
      <c r="X48" s="1485"/>
      <c r="Y48" s="1485"/>
      <c r="Z48" s="1485"/>
      <c r="AA48" s="1485"/>
      <c r="AB48" s="1485"/>
      <c r="AC48" s="1485"/>
      <c r="AD48" s="1485"/>
      <c r="AE48" s="1485"/>
      <c r="AF48" s="1486"/>
      <c r="AG48" s="356"/>
      <c r="AH48" s="10"/>
      <c r="AI48" s="10"/>
      <c r="AJ48" s="358"/>
      <c r="AK48" s="10"/>
      <c r="AL48" s="10"/>
      <c r="AM48" s="10"/>
      <c r="AN48" s="10"/>
    </row>
    <row r="49" spans="1:40" ht="14.45">
      <c r="A49" s="1489" t="s">
        <v>722</v>
      </c>
      <c r="C49" s="223" t="s">
        <v>723</v>
      </c>
      <c r="D49" s="213" t="s">
        <v>724</v>
      </c>
      <c r="E49" s="214" t="s">
        <v>725</v>
      </c>
      <c r="F49" s="224" t="s">
        <v>726</v>
      </c>
      <c r="G49" s="1072"/>
      <c r="H49" s="262">
        <v>2</v>
      </c>
      <c r="I49" s="262">
        <v>3</v>
      </c>
      <c r="J49" s="261">
        <v>4</v>
      </c>
      <c r="K49" s="262">
        <v>5</v>
      </c>
      <c r="L49" s="262">
        <v>6</v>
      </c>
      <c r="M49" s="261">
        <v>7</v>
      </c>
      <c r="N49" s="262">
        <v>8</v>
      </c>
      <c r="O49" s="262">
        <v>9</v>
      </c>
      <c r="P49" s="261">
        <v>10</v>
      </c>
      <c r="Q49" s="262">
        <v>11</v>
      </c>
      <c r="R49" s="262">
        <v>12</v>
      </c>
      <c r="S49" s="261">
        <v>13</v>
      </c>
      <c r="T49" s="262">
        <v>14</v>
      </c>
      <c r="U49" s="262">
        <v>15</v>
      </c>
      <c r="V49" s="261">
        <v>16</v>
      </c>
      <c r="W49" s="262">
        <v>17</v>
      </c>
      <c r="X49" s="262">
        <v>18</v>
      </c>
      <c r="Y49" s="261">
        <v>19</v>
      </c>
      <c r="Z49" s="262">
        <v>20</v>
      </c>
      <c r="AA49" s="262">
        <v>21</v>
      </c>
      <c r="AB49" s="261">
        <v>22</v>
      </c>
      <c r="AC49" s="262">
        <v>23</v>
      </c>
      <c r="AD49" s="262">
        <v>24</v>
      </c>
      <c r="AE49" s="261">
        <v>25</v>
      </c>
      <c r="AF49" s="262">
        <v>26</v>
      </c>
      <c r="AG49" s="356"/>
      <c r="AH49" s="10"/>
      <c r="AI49" s="10"/>
      <c r="AJ49" s="10"/>
      <c r="AK49" s="10"/>
      <c r="AL49" s="10"/>
      <c r="AM49" s="10"/>
      <c r="AN49" s="10"/>
    </row>
    <row r="50" spans="1:40" ht="15" thickBot="1">
      <c r="A50" s="1490"/>
      <c r="C50" s="220">
        <v>0.03</v>
      </c>
      <c r="D50" s="221">
        <v>4.5999999999999999E-2</v>
      </c>
      <c r="E50" s="794">
        <v>1.4999999999999999E-2</v>
      </c>
      <c r="F50" s="222">
        <f>E50+D50+C50</f>
        <v>9.0999999999999998E-2</v>
      </c>
      <c r="G50" s="261"/>
      <c r="H50" s="261"/>
      <c r="I50" s="261"/>
      <c r="J50" s="261"/>
      <c r="K50" s="261"/>
      <c r="L50" s="261"/>
      <c r="M50" s="261"/>
      <c r="N50" s="261"/>
      <c r="O50" s="261"/>
      <c r="P50" s="261"/>
      <c r="Q50" s="261"/>
      <c r="R50" s="261"/>
      <c r="S50" s="262"/>
      <c r="T50" s="262"/>
      <c r="U50" s="262"/>
      <c r="V50" s="262"/>
      <c r="W50" s="262"/>
      <c r="X50" s="262"/>
      <c r="Y50" s="262"/>
      <c r="Z50" s="262"/>
      <c r="AA50" s="262"/>
      <c r="AB50" s="262"/>
      <c r="AC50" s="262"/>
      <c r="AD50" s="262"/>
      <c r="AE50" s="262"/>
      <c r="AF50" s="206"/>
      <c r="AG50" s="355"/>
      <c r="AH50" s="10"/>
      <c r="AI50" s="10"/>
      <c r="AJ50" s="10"/>
      <c r="AK50" s="10"/>
      <c r="AL50" s="10"/>
      <c r="AM50" s="10"/>
      <c r="AN50" s="10"/>
    </row>
    <row r="51" spans="1:40" ht="14.45">
      <c r="A51" s="206"/>
      <c r="C51" s="206"/>
      <c r="D51" s="206"/>
      <c r="G51" s="1126"/>
      <c r="H51" s="1126"/>
      <c r="I51" s="1126"/>
      <c r="J51" s="1126"/>
      <c r="K51" s="1126"/>
      <c r="L51" s="1126"/>
      <c r="M51" s="1126"/>
      <c r="N51" s="1126"/>
      <c r="O51" s="1126"/>
      <c r="P51" s="1126"/>
      <c r="Q51" s="1126"/>
      <c r="R51" s="1126"/>
      <c r="S51" s="1126"/>
      <c r="T51" s="1126"/>
      <c r="U51" s="1126"/>
      <c r="V51" s="1126"/>
      <c r="W51" s="1126"/>
      <c r="X51" s="1126"/>
      <c r="Y51" s="1126"/>
      <c r="Z51" s="1126"/>
      <c r="AA51" s="1126"/>
      <c r="AB51" s="1126"/>
      <c r="AC51" s="1126"/>
      <c r="AD51" s="1126"/>
      <c r="AE51" s="1126"/>
      <c r="AF51" s="1126"/>
      <c r="AG51" s="1127"/>
      <c r="AH51" s="10"/>
      <c r="AI51" s="10"/>
      <c r="AJ51" s="10"/>
      <c r="AK51" s="10"/>
      <c r="AL51" s="10"/>
      <c r="AM51" s="10"/>
      <c r="AN51" s="10"/>
    </row>
    <row r="52" spans="1:40" ht="15" customHeight="1">
      <c r="A52" s="1491" t="s">
        <v>727</v>
      </c>
      <c r="C52" s="320" t="s">
        <v>690</v>
      </c>
      <c r="D52" s="321" t="s">
        <v>671</v>
      </c>
      <c r="E52" s="322" t="s">
        <v>672</v>
      </c>
      <c r="F52" s="321" t="s">
        <v>728</v>
      </c>
      <c r="G52" s="262"/>
      <c r="H52" s="261"/>
      <c r="I52" s="261"/>
      <c r="J52" s="1048"/>
      <c r="K52" s="262"/>
      <c r="L52" s="261"/>
      <c r="M52" s="261"/>
      <c r="N52" s="261"/>
      <c r="O52" s="261"/>
      <c r="P52" s="261"/>
      <c r="Q52" s="261"/>
      <c r="R52" s="261"/>
      <c r="S52" s="262"/>
      <c r="T52" s="262"/>
      <c r="U52" s="262"/>
      <c r="V52" s="262"/>
      <c r="W52" s="262"/>
      <c r="X52" s="262"/>
      <c r="Y52" s="262"/>
      <c r="Z52" s="262"/>
      <c r="AA52" s="262"/>
      <c r="AB52" s="262"/>
      <c r="AC52" s="262"/>
      <c r="AD52" s="262"/>
      <c r="AE52" s="262"/>
      <c r="AF52" s="262"/>
      <c r="AG52" s="355"/>
      <c r="AH52" s="10"/>
      <c r="AI52" s="10"/>
      <c r="AJ52" s="10"/>
      <c r="AK52" s="10"/>
      <c r="AL52" s="10"/>
      <c r="AM52" s="10"/>
      <c r="AN52" s="10"/>
    </row>
    <row r="53" spans="1:40" ht="15" customHeight="1">
      <c r="A53" s="1491"/>
      <c r="C53" s="323" t="s">
        <v>729</v>
      </c>
      <c r="D53" s="791">
        <f>-Assumptions!S16</f>
        <v>-0.03</v>
      </c>
      <c r="E53" s="791">
        <f>-Assumptions!T16</f>
        <v>-0.04</v>
      </c>
      <c r="F53" s="324" t="s">
        <v>730</v>
      </c>
      <c r="H53" s="1049">
        <f>D44/D12</f>
        <v>-5.0271084337349397</v>
      </c>
      <c r="I53" s="1049">
        <f>E44/E12</f>
        <v>0.40165061898211823</v>
      </c>
      <c r="J53" s="1049">
        <f>F44/F12</f>
        <v>0.15232194145932162</v>
      </c>
      <c r="K53" s="262"/>
      <c r="L53" s="261"/>
      <c r="M53" s="261"/>
      <c r="N53" s="261"/>
      <c r="O53" s="261"/>
      <c r="P53" s="261"/>
      <c r="Q53" s="261"/>
      <c r="R53" s="261"/>
      <c r="S53" s="262"/>
      <c r="T53" s="262"/>
      <c r="U53" s="262"/>
      <c r="V53" s="262"/>
      <c r="W53" s="262"/>
      <c r="X53" s="262"/>
      <c r="Y53" s="262"/>
      <c r="Z53" s="262"/>
      <c r="AA53" s="262"/>
      <c r="AB53" s="262"/>
      <c r="AC53" s="262"/>
      <c r="AD53" s="262"/>
      <c r="AE53" s="262"/>
      <c r="AF53" s="262"/>
      <c r="AG53" s="355"/>
      <c r="AH53" s="10"/>
      <c r="AI53" s="10"/>
      <c r="AJ53" s="10"/>
      <c r="AK53" s="10"/>
      <c r="AL53" s="10"/>
      <c r="AM53" s="10"/>
      <c r="AN53" s="10"/>
    </row>
    <row r="54" spans="1:40" ht="15" hidden="1" customHeight="1">
      <c r="A54" s="1491"/>
      <c r="C54" s="320" t="s">
        <v>731</v>
      </c>
      <c r="D54" s="791">
        <f>Assumptions!S17</f>
        <v>0</v>
      </c>
      <c r="E54" s="791">
        <f>Assumptions!T17</f>
        <v>0</v>
      </c>
      <c r="F54" s="326" t="s">
        <v>732</v>
      </c>
      <c r="G54" s="262"/>
      <c r="H54" s="261"/>
      <c r="I54" s="261"/>
      <c r="J54" s="262"/>
      <c r="K54" s="262"/>
      <c r="L54" s="261"/>
      <c r="M54" s="261"/>
      <c r="N54" s="261"/>
      <c r="O54" s="261"/>
      <c r="P54" s="261"/>
      <c r="Q54" s="261"/>
      <c r="R54" s="261"/>
      <c r="S54" s="262"/>
      <c r="T54" s="262"/>
      <c r="U54" s="262"/>
      <c r="V54" s="262"/>
      <c r="W54" s="262"/>
      <c r="X54" s="262"/>
      <c r="Y54" s="262"/>
      <c r="Z54" s="262"/>
      <c r="AA54" s="262"/>
      <c r="AB54" s="262"/>
      <c r="AC54" s="262"/>
      <c r="AD54" s="262"/>
      <c r="AE54" s="262"/>
      <c r="AF54" s="262"/>
      <c r="AG54" s="355"/>
      <c r="AH54" s="10"/>
      <c r="AI54" s="10"/>
      <c r="AJ54" s="10"/>
      <c r="AK54" s="10"/>
      <c r="AL54" s="10"/>
      <c r="AM54" s="10"/>
      <c r="AN54" s="10"/>
    </row>
    <row r="55" spans="1:40" ht="15" customHeight="1">
      <c r="A55" s="1491"/>
      <c r="C55" s="640" t="s">
        <v>733</v>
      </c>
      <c r="D55" s="791">
        <f>-Assumptions!S18</f>
        <v>0</v>
      </c>
      <c r="E55" s="791">
        <f>-Assumptions!T18</f>
        <v>-0.02</v>
      </c>
      <c r="F55" s="324" t="s">
        <v>734</v>
      </c>
      <c r="G55" s="262"/>
      <c r="H55" s="262"/>
      <c r="I55" s="262"/>
      <c r="J55" s="262"/>
      <c r="K55" s="262"/>
      <c r="L55" s="262"/>
      <c r="M55" s="262"/>
      <c r="N55" s="262"/>
      <c r="O55" s="262"/>
      <c r="P55" s="262"/>
      <c r="Q55" s="262"/>
      <c r="R55" s="262"/>
      <c r="S55" s="262"/>
      <c r="T55" s="262"/>
      <c r="U55" s="262"/>
      <c r="V55" s="262"/>
      <c r="W55" s="262"/>
      <c r="X55" s="262"/>
      <c r="Y55" s="262"/>
      <c r="Z55" s="262"/>
      <c r="AA55" s="262"/>
      <c r="AB55" s="262"/>
      <c r="AC55" s="262"/>
      <c r="AD55" s="262"/>
      <c r="AE55" s="262"/>
      <c r="AF55" s="262"/>
      <c r="AG55" s="355"/>
      <c r="AH55" s="10"/>
      <c r="AI55" s="10"/>
      <c r="AJ55" s="10"/>
      <c r="AK55" s="10"/>
      <c r="AL55" s="10"/>
      <c r="AM55" s="10"/>
      <c r="AN55" s="10"/>
    </row>
    <row r="56" spans="1:40" ht="15" customHeight="1">
      <c r="A56" s="1491"/>
      <c r="C56" s="325" t="s">
        <v>735</v>
      </c>
      <c r="D56" s="791">
        <f>Assumptions!S19</f>
        <v>0.25</v>
      </c>
      <c r="E56" s="791">
        <f>Assumptions!T19</f>
        <v>0.3</v>
      </c>
      <c r="F56" s="324" t="s">
        <v>736</v>
      </c>
      <c r="G56" s="1047">
        <f t="shared" ref="G56:AF56" si="52">G43/G44</f>
        <v>34.828265474371065</v>
      </c>
      <c r="H56" s="1047">
        <f t="shared" si="52"/>
        <v>33.785510285994114</v>
      </c>
      <c r="I56" s="1047">
        <f t="shared" si="52"/>
        <v>28.248875551265961</v>
      </c>
      <c r="J56" s="1047">
        <f t="shared" si="52"/>
        <v>29.512285972069957</v>
      </c>
      <c r="K56" s="1047">
        <f t="shared" si="52"/>
        <v>21.255985060975377</v>
      </c>
      <c r="L56" s="1047">
        <f t="shared" si="52"/>
        <v>24.064548170302633</v>
      </c>
      <c r="M56" s="1047">
        <f t="shared" si="52"/>
        <v>22.54406558019792</v>
      </c>
      <c r="N56" s="1047">
        <f t="shared" si="52"/>
        <v>22.393589311472557</v>
      </c>
      <c r="O56" s="1047">
        <f t="shared" si="52"/>
        <v>22.563518075502571</v>
      </c>
      <c r="P56" s="1047">
        <f t="shared" si="52"/>
        <v>21.150927564401208</v>
      </c>
      <c r="Q56" s="1047">
        <f t="shared" si="52"/>
        <v>20.548353573187541</v>
      </c>
      <c r="R56" s="1047">
        <f t="shared" si="52"/>
        <v>19.915697520637817</v>
      </c>
      <c r="S56" s="1047">
        <f t="shared" si="52"/>
        <v>20.216773064891314</v>
      </c>
      <c r="T56" s="1047">
        <f t="shared" si="52"/>
        <v>20.530308647431191</v>
      </c>
      <c r="U56" s="1047">
        <f t="shared" si="52"/>
        <v>20.853075350790679</v>
      </c>
      <c r="V56" s="1047">
        <f t="shared" si="52"/>
        <v>21.180765896153748</v>
      </c>
      <c r="W56" s="1047">
        <f t="shared" si="52"/>
        <v>21.508820247548641</v>
      </c>
      <c r="X56" s="1047">
        <f t="shared" si="52"/>
        <v>21.598520740451463</v>
      </c>
      <c r="Y56" s="1047">
        <f t="shared" si="52"/>
        <v>21.434488923523727</v>
      </c>
      <c r="Z56" s="1047">
        <f t="shared" si="52"/>
        <v>20.996358161753406</v>
      </c>
      <c r="AA56" s="1047">
        <f t="shared" si="52"/>
        <v>20.391483435726808</v>
      </c>
      <c r="AB56" s="1047">
        <f t="shared" si="52"/>
        <v>19.736349175257356</v>
      </c>
      <c r="AC56" s="1047">
        <f t="shared" si="52"/>
        <v>19.014816512876248</v>
      </c>
      <c r="AD56" s="1047">
        <f t="shared" si="52"/>
        <v>18.208862641342154</v>
      </c>
      <c r="AE56" s="1047">
        <f t="shared" si="52"/>
        <v>17.297804205279633</v>
      </c>
      <c r="AF56" s="1047">
        <f t="shared" si="52"/>
        <v>16.706532722888181</v>
      </c>
      <c r="AG56" s="355"/>
      <c r="AH56" s="10"/>
      <c r="AI56" s="10"/>
      <c r="AJ56" s="10"/>
      <c r="AK56" s="10"/>
      <c r="AL56" s="10"/>
      <c r="AM56" s="10"/>
      <c r="AN56" s="10"/>
    </row>
    <row r="57" spans="1:40" ht="15" customHeight="1">
      <c r="A57" s="1491"/>
      <c r="C57" s="305" t="s">
        <v>737</v>
      </c>
      <c r="D57" s="791">
        <v>0.02</v>
      </c>
      <c r="E57" s="791">
        <v>0.02</v>
      </c>
      <c r="F57" s="326" t="s">
        <v>738</v>
      </c>
      <c r="G57" s="262"/>
      <c r="H57" s="1050"/>
      <c r="I57" s="262"/>
      <c r="J57" s="262"/>
      <c r="K57" s="262"/>
      <c r="L57" s="262"/>
      <c r="M57" s="262"/>
      <c r="N57" s="262"/>
      <c r="O57" s="262"/>
      <c r="P57" s="262"/>
      <c r="Q57" s="262"/>
      <c r="R57" s="262"/>
      <c r="S57" s="262"/>
      <c r="T57" s="206"/>
      <c r="U57" s="206"/>
      <c r="V57" s="206"/>
      <c r="W57" s="206"/>
      <c r="X57" s="206"/>
      <c r="Y57" s="206"/>
      <c r="Z57" s="206"/>
      <c r="AA57" s="206"/>
      <c r="AB57" s="206"/>
      <c r="AC57" s="206"/>
      <c r="AD57" s="206"/>
      <c r="AE57" s="206"/>
      <c r="AF57" s="206"/>
      <c r="AG57" s="355"/>
      <c r="AH57" s="10"/>
      <c r="AI57" s="10"/>
      <c r="AJ57" s="10"/>
      <c r="AK57" s="10"/>
      <c r="AL57" s="10"/>
      <c r="AM57" s="10"/>
      <c r="AN57" s="10"/>
    </row>
    <row r="58" spans="1:40" ht="15" hidden="1" customHeight="1">
      <c r="A58" s="1491"/>
      <c r="C58" s="325" t="s">
        <v>739</v>
      </c>
      <c r="D58" s="791">
        <f>-Assumptions!S21</f>
        <v>0</v>
      </c>
      <c r="E58" s="791">
        <f>-Assumptions!T21</f>
        <v>0</v>
      </c>
      <c r="F58" s="324" t="s">
        <v>740</v>
      </c>
      <c r="G58" s="262"/>
      <c r="H58" s="1050"/>
      <c r="I58" s="262"/>
      <c r="J58" s="1051"/>
      <c r="K58" s="1051"/>
      <c r="L58" s="1051"/>
      <c r="M58" s="1051"/>
      <c r="N58" s="1051"/>
      <c r="O58" s="262"/>
      <c r="P58" s="262"/>
      <c r="Q58" s="262"/>
      <c r="R58" s="262"/>
      <c r="S58" s="262"/>
      <c r="T58" s="206"/>
      <c r="U58" s="206"/>
      <c r="V58" s="206"/>
      <c r="W58" s="206"/>
      <c r="X58" s="206"/>
      <c r="Y58" s="206"/>
      <c r="Z58" s="206"/>
      <c r="AA58" s="206"/>
      <c r="AB58" s="206"/>
      <c r="AC58" s="206"/>
      <c r="AD58" s="206"/>
      <c r="AE58" s="206"/>
      <c r="AF58" s="206"/>
      <c r="AG58" s="355"/>
      <c r="AH58" s="10"/>
      <c r="AI58" s="10"/>
      <c r="AJ58" s="10"/>
      <c r="AK58" s="10"/>
      <c r="AL58" s="10"/>
      <c r="AM58" s="10"/>
      <c r="AN58" s="10"/>
    </row>
    <row r="59" spans="1:40" ht="15" hidden="1" customHeight="1">
      <c r="A59" s="1491"/>
      <c r="C59" s="305" t="s">
        <v>741</v>
      </c>
      <c r="D59" s="791">
        <f>-Assumptions!S22</f>
        <v>0</v>
      </c>
      <c r="E59" s="791">
        <f>Assumptions!T22</f>
        <v>0</v>
      </c>
      <c r="F59" s="326" t="s">
        <v>742</v>
      </c>
      <c r="G59" s="262"/>
      <c r="H59" s="342"/>
      <c r="I59" s="583"/>
      <c r="J59" s="1052"/>
      <c r="K59" s="1052"/>
      <c r="L59" s="1052"/>
      <c r="M59" s="1052"/>
      <c r="N59" s="1051"/>
      <c r="O59" s="262"/>
      <c r="P59" s="262"/>
      <c r="Q59" s="262"/>
      <c r="R59" s="262"/>
      <c r="S59" s="262"/>
      <c r="T59" s="206"/>
      <c r="U59" s="206"/>
      <c r="V59" s="206"/>
      <c r="W59" s="206"/>
      <c r="X59" s="206"/>
      <c r="Y59" s="206"/>
      <c r="Z59" s="206"/>
      <c r="AA59" s="206"/>
      <c r="AB59" s="206"/>
      <c r="AC59" s="206"/>
      <c r="AD59" s="206"/>
      <c r="AE59" s="206"/>
      <c r="AF59" s="206"/>
      <c r="AG59" s="355"/>
      <c r="AH59" s="10"/>
      <c r="AI59" s="10"/>
      <c r="AJ59" s="10"/>
      <c r="AK59" s="10"/>
      <c r="AL59" s="10"/>
      <c r="AM59" s="10"/>
      <c r="AN59" s="10"/>
    </row>
    <row r="60" spans="1:40" ht="15" customHeight="1">
      <c r="A60" s="1491"/>
      <c r="C60" s="320" t="s">
        <v>743</v>
      </c>
      <c r="D60" s="791">
        <f>-Assumptions!S23</f>
        <v>-2.5000000000000001E-2</v>
      </c>
      <c r="E60" s="791">
        <f>-Assumptions!T23</f>
        <v>-4.4999999999999998E-2</v>
      </c>
      <c r="F60" s="328" t="s">
        <v>744</v>
      </c>
      <c r="G60" s="262"/>
      <c r="H60" s="342"/>
      <c r="I60" s="583"/>
      <c r="J60" s="1051"/>
      <c r="K60" s="1051"/>
      <c r="L60" s="1051"/>
      <c r="M60" s="1051"/>
      <c r="N60" s="1051"/>
      <c r="O60" s="262"/>
      <c r="P60" s="262"/>
      <c r="Q60" s="262"/>
      <c r="R60" s="262"/>
      <c r="S60" s="262"/>
      <c r="T60" s="206"/>
      <c r="U60" s="206"/>
      <c r="V60" s="206"/>
      <c r="W60" s="206"/>
      <c r="X60" s="206"/>
      <c r="Y60" s="206"/>
      <c r="Z60" s="206"/>
      <c r="AA60" s="206"/>
      <c r="AB60" s="206"/>
      <c r="AC60" s="206"/>
      <c r="AD60" s="206"/>
      <c r="AE60" s="206"/>
      <c r="AF60" s="206"/>
      <c r="AG60" s="355"/>
      <c r="AH60" s="10"/>
      <c r="AI60" s="10"/>
      <c r="AJ60" s="10"/>
      <c r="AK60" s="10"/>
      <c r="AL60" s="10"/>
      <c r="AM60" s="10"/>
      <c r="AN60" s="10"/>
    </row>
    <row r="61" spans="1:40" ht="15" hidden="1" customHeight="1">
      <c r="A61" s="1491"/>
      <c r="C61" s="329" t="s">
        <v>745</v>
      </c>
      <c r="D61" s="791">
        <f>Assumptions!S24</f>
        <v>0</v>
      </c>
      <c r="E61" s="791">
        <f>Assumptions!T24</f>
        <v>0</v>
      </c>
      <c r="F61" s="324" t="s">
        <v>746</v>
      </c>
      <c r="G61" s="262"/>
      <c r="H61" s="342"/>
      <c r="I61" s="583"/>
      <c r="J61" s="262"/>
      <c r="K61" s="262"/>
      <c r="L61" s="262"/>
      <c r="M61" s="262"/>
      <c r="N61" s="262"/>
      <c r="O61" s="262"/>
      <c r="P61" s="262"/>
      <c r="Q61" s="262"/>
      <c r="R61" s="262"/>
      <c r="S61" s="262"/>
      <c r="T61" s="206"/>
      <c r="U61" s="206"/>
      <c r="V61" s="206"/>
      <c r="W61" s="206"/>
      <c r="X61" s="206"/>
      <c r="Y61" s="206"/>
      <c r="Z61" s="206"/>
      <c r="AA61" s="206"/>
      <c r="AB61" s="206"/>
      <c r="AC61" s="206"/>
      <c r="AD61" s="206"/>
      <c r="AE61" s="206"/>
      <c r="AF61" s="206"/>
      <c r="AG61" s="355"/>
      <c r="AH61" s="10"/>
      <c r="AI61" s="10"/>
      <c r="AJ61" s="10"/>
      <c r="AK61" s="10"/>
      <c r="AL61" s="10"/>
      <c r="AM61" s="10"/>
      <c r="AN61" s="10"/>
    </row>
    <row r="62" spans="1:40" ht="15" customHeight="1">
      <c r="A62" s="1491"/>
      <c r="C62" s="329" t="s">
        <v>747</v>
      </c>
      <c r="D62" s="791">
        <f>-Assumptions!S25</f>
        <v>-7.0000000000000007E-2</v>
      </c>
      <c r="E62" s="791">
        <f>-Assumptions!T25</f>
        <v>-0.09</v>
      </c>
      <c r="F62" s="324" t="s">
        <v>734</v>
      </c>
      <c r="G62" s="262"/>
      <c r="I62" s="262"/>
      <c r="J62" s="262"/>
      <c r="K62" s="262"/>
      <c r="L62" s="262"/>
      <c r="M62" s="262"/>
      <c r="N62" s="262"/>
      <c r="O62" s="262"/>
      <c r="P62" s="262"/>
      <c r="Q62" s="262"/>
      <c r="R62" s="262"/>
      <c r="S62" s="262"/>
      <c r="T62" s="206"/>
      <c r="U62" s="206"/>
      <c r="V62" s="206"/>
      <c r="W62" s="206"/>
      <c r="X62" s="206"/>
      <c r="Y62" s="206"/>
      <c r="Z62" s="206"/>
      <c r="AA62" s="206"/>
      <c r="AB62" s="206"/>
      <c r="AC62" s="206"/>
      <c r="AD62" s="206"/>
      <c r="AE62" s="206"/>
      <c r="AF62" s="206"/>
      <c r="AG62" s="355"/>
      <c r="AH62" s="10"/>
      <c r="AI62" s="10"/>
      <c r="AJ62" s="10"/>
      <c r="AK62" s="10"/>
      <c r="AL62" s="10"/>
      <c r="AM62" s="10"/>
      <c r="AN62" s="10"/>
    </row>
    <row r="63" spans="1:40" ht="15" customHeight="1">
      <c r="A63" s="1491"/>
      <c r="C63" s="329" t="s">
        <v>748</v>
      </c>
      <c r="D63" s="791">
        <f>Assumptions!S26</f>
        <v>0</v>
      </c>
      <c r="E63" s="791">
        <f>Assumptions!T26</f>
        <v>0</v>
      </c>
      <c r="F63" s="324" t="s">
        <v>734</v>
      </c>
      <c r="G63" s="262"/>
      <c r="I63" s="262"/>
      <c r="J63" s="262"/>
      <c r="K63" s="262"/>
      <c r="L63" s="262"/>
      <c r="M63" s="262"/>
      <c r="N63" s="262"/>
      <c r="O63" s="262"/>
      <c r="P63" s="262"/>
      <c r="Q63" s="262"/>
      <c r="R63" s="262"/>
      <c r="S63" s="262"/>
      <c r="T63" s="206"/>
      <c r="U63" s="206"/>
      <c r="V63" s="206"/>
      <c r="W63" s="206"/>
      <c r="X63" s="206"/>
      <c r="Y63" s="206"/>
      <c r="Z63" s="206"/>
      <c r="AA63" s="206"/>
      <c r="AB63" s="206"/>
      <c r="AC63" s="206"/>
      <c r="AD63" s="206"/>
      <c r="AE63" s="206"/>
      <c r="AF63" s="206"/>
      <c r="AG63" s="355"/>
      <c r="AH63" s="10"/>
      <c r="AI63" s="10"/>
      <c r="AJ63" s="10"/>
      <c r="AK63" s="10"/>
      <c r="AL63" s="10"/>
      <c r="AM63" s="10"/>
      <c r="AN63" s="10"/>
    </row>
    <row r="64" spans="1:40" ht="15" customHeight="1">
      <c r="A64" s="1491"/>
      <c r="C64" s="329" t="s">
        <v>146</v>
      </c>
      <c r="D64" s="791">
        <v>0.2</v>
      </c>
      <c r="E64" s="791">
        <v>0.25</v>
      </c>
      <c r="F64" s="324" t="s">
        <v>749</v>
      </c>
      <c r="G64" s="1073"/>
      <c r="I64" s="1053"/>
      <c r="J64" s="1053"/>
      <c r="K64" s="1053"/>
      <c r="L64" s="1053"/>
      <c r="M64" s="1053"/>
      <c r="N64" s="1053"/>
      <c r="O64" s="1053"/>
      <c r="P64" s="1053"/>
      <c r="Q64" s="1053"/>
      <c r="R64" s="1053"/>
      <c r="S64" s="1053"/>
      <c r="T64" s="644"/>
      <c r="U64" s="644"/>
      <c r="V64" s="644"/>
      <c r="W64" s="644"/>
      <c r="X64" s="644"/>
      <c r="Y64" s="644"/>
      <c r="Z64" s="644"/>
      <c r="AA64" s="644"/>
      <c r="AB64" s="644"/>
      <c r="AC64" s="644"/>
      <c r="AD64" s="644"/>
      <c r="AE64" s="644"/>
      <c r="AF64" s="644"/>
      <c r="AG64" s="645"/>
    </row>
    <row r="65" spans="1:33" ht="15" customHeight="1">
      <c r="A65" s="1491"/>
      <c r="C65" s="329" t="s">
        <v>750</v>
      </c>
      <c r="D65" s="791">
        <v>0.12</v>
      </c>
      <c r="E65" s="791">
        <v>0.15</v>
      </c>
      <c r="F65" s="324" t="s">
        <v>749</v>
      </c>
      <c r="G65" s="1074"/>
      <c r="H65" s="4"/>
      <c r="I65" s="4"/>
      <c r="J65" s="262"/>
      <c r="K65" s="262"/>
      <c r="L65" s="262"/>
      <c r="M65" s="261"/>
      <c r="N65" s="262"/>
      <c r="O65" s="262"/>
      <c r="P65" s="262"/>
      <c r="Q65" s="262"/>
      <c r="R65" s="262"/>
      <c r="S65" s="262"/>
      <c r="T65" s="206"/>
      <c r="U65" s="206"/>
      <c r="V65" s="206"/>
      <c r="W65" s="206"/>
      <c r="X65" s="206"/>
      <c r="Y65" s="206"/>
      <c r="Z65" s="206"/>
      <c r="AA65" s="206"/>
      <c r="AB65" s="206"/>
      <c r="AC65" s="206"/>
      <c r="AD65" s="206"/>
      <c r="AE65" s="206"/>
      <c r="AF65" s="206"/>
      <c r="AG65" s="645"/>
    </row>
    <row r="66" spans="1:33" ht="15" customHeight="1">
      <c r="A66" s="1491"/>
      <c r="C66" s="329" t="s">
        <v>751</v>
      </c>
      <c r="D66" s="791">
        <f>Assumptions!S29</f>
        <v>0.09</v>
      </c>
      <c r="E66" s="791">
        <v>0.11</v>
      </c>
      <c r="F66" s="324" t="s">
        <v>734</v>
      </c>
      <c r="G66" s="262"/>
      <c r="H66" s="4"/>
      <c r="I66" s="4"/>
      <c r="J66" s="262"/>
      <c r="K66" s="262"/>
      <c r="L66" s="262"/>
      <c r="M66" s="261"/>
      <c r="N66" s="262"/>
      <c r="O66" s="262"/>
      <c r="P66" s="262"/>
      <c r="Q66" s="262"/>
      <c r="R66" s="262"/>
      <c r="S66" s="262"/>
      <c r="T66" s="206"/>
      <c r="U66" s="206"/>
      <c r="V66" s="206"/>
      <c r="W66" s="206"/>
      <c r="X66" s="206"/>
      <c r="Y66" s="206"/>
      <c r="Z66" s="206"/>
      <c r="AA66" s="206"/>
      <c r="AB66" s="206"/>
      <c r="AC66" s="206"/>
      <c r="AD66" s="206"/>
      <c r="AE66" s="206"/>
      <c r="AF66" s="206"/>
      <c r="AG66" s="206"/>
    </row>
    <row r="67" spans="1:33" ht="15.75" hidden="1" customHeight="1">
      <c r="A67" s="1491"/>
      <c r="C67" s="329" t="s">
        <v>752</v>
      </c>
      <c r="D67" s="791">
        <f>Assumptions!S30</f>
        <v>0</v>
      </c>
      <c r="E67" s="791">
        <f>Assumptions!T30</f>
        <v>0</v>
      </c>
      <c r="F67" s="324" t="s">
        <v>734</v>
      </c>
      <c r="G67" s="206"/>
      <c r="J67" s="206"/>
      <c r="K67" s="206"/>
      <c r="L67" s="206"/>
      <c r="M67" s="206"/>
      <c r="N67" s="206"/>
      <c r="O67" s="206"/>
      <c r="P67" s="206"/>
      <c r="Q67" s="206"/>
      <c r="R67" s="206"/>
      <c r="S67" s="206"/>
      <c r="T67" s="206"/>
      <c r="U67" s="206"/>
      <c r="V67" s="206"/>
      <c r="W67" s="206"/>
      <c r="X67" s="206"/>
      <c r="Y67" s="206"/>
      <c r="Z67" s="206"/>
      <c r="AA67" s="206"/>
      <c r="AB67" s="206"/>
      <c r="AC67" s="206"/>
      <c r="AD67" s="206"/>
      <c r="AE67" s="206"/>
      <c r="AF67" s="206"/>
      <c r="AG67" s="206"/>
    </row>
    <row r="68" spans="1:33" ht="15.75" customHeight="1">
      <c r="A68" s="1491"/>
      <c r="C68" s="325" t="s">
        <v>328</v>
      </c>
      <c r="D68" s="792">
        <v>0.1</v>
      </c>
      <c r="E68" s="793">
        <v>0.14000000000000001</v>
      </c>
      <c r="F68" s="671" t="s">
        <v>753</v>
      </c>
      <c r="G68" s="206"/>
      <c r="J68" s="206"/>
      <c r="K68" s="206"/>
      <c r="L68" s="206"/>
      <c r="N68" s="206"/>
      <c r="O68" s="206"/>
      <c r="P68" s="206"/>
      <c r="Q68" s="206"/>
      <c r="R68" s="206"/>
      <c r="S68" s="206"/>
      <c r="T68" s="206"/>
      <c r="U68" s="206"/>
      <c r="V68" s="206"/>
      <c r="W68" s="206"/>
      <c r="X68" s="206"/>
      <c r="Y68" s="206"/>
      <c r="Z68" s="206"/>
      <c r="AA68" s="206"/>
      <c r="AB68" s="206"/>
      <c r="AC68" s="206"/>
      <c r="AD68" s="206"/>
      <c r="AE68" s="206"/>
      <c r="AF68" s="206"/>
      <c r="AG68" s="206"/>
    </row>
    <row r="69" spans="1:33" ht="14.45">
      <c r="A69" s="206"/>
      <c r="C69" s="206"/>
      <c r="D69" s="206"/>
      <c r="E69" s="206"/>
      <c r="F69" s="206"/>
      <c r="G69" s="206"/>
      <c r="H69" s="206"/>
      <c r="I69" s="206"/>
      <c r="J69" s="206"/>
      <c r="K69" s="206"/>
      <c r="L69" s="206"/>
      <c r="M69" s="533"/>
      <c r="N69" s="206"/>
      <c r="O69" s="206"/>
      <c r="P69" s="206"/>
      <c r="Q69" s="206"/>
      <c r="R69" s="206"/>
      <c r="S69" s="206"/>
      <c r="T69" s="206"/>
      <c r="U69" s="206"/>
      <c r="V69" s="206"/>
      <c r="W69" s="206"/>
      <c r="X69" s="206"/>
      <c r="Y69" s="206"/>
      <c r="Z69" s="206"/>
      <c r="AA69" s="206"/>
      <c r="AB69" s="206"/>
      <c r="AC69" s="206"/>
      <c r="AD69" s="206"/>
      <c r="AE69" s="206"/>
      <c r="AF69" s="206"/>
      <c r="AG69" s="206"/>
    </row>
    <row r="70" spans="1:33" ht="14.45">
      <c r="A70" s="1474" t="s">
        <v>121</v>
      </c>
      <c r="C70" s="263"/>
      <c r="D70" t="s">
        <v>754</v>
      </c>
      <c r="E70" s="2"/>
      <c r="G70" s="206"/>
      <c r="H70" s="206"/>
      <c r="I70" s="206"/>
      <c r="J70" s="206"/>
      <c r="K70" s="206"/>
      <c r="L70" s="206"/>
      <c r="M70" s="206"/>
      <c r="N70" s="206"/>
      <c r="O70" s="206"/>
      <c r="P70" s="206"/>
      <c r="Q70" s="206"/>
      <c r="R70" s="206"/>
      <c r="S70" s="206"/>
      <c r="T70" s="206"/>
      <c r="U70" s="206"/>
      <c r="V70" s="206"/>
      <c r="W70" s="206"/>
      <c r="X70" s="206"/>
      <c r="Y70" s="206"/>
      <c r="Z70" s="206"/>
      <c r="AA70" s="206"/>
      <c r="AB70" s="206"/>
      <c r="AC70" s="206"/>
      <c r="AD70" s="206"/>
      <c r="AE70" s="206"/>
      <c r="AF70" s="206"/>
      <c r="AG70" s="206"/>
    </row>
    <row r="71" spans="1:33" ht="14.45">
      <c r="A71" s="1475"/>
      <c r="C71" s="263" t="s">
        <v>755</v>
      </c>
      <c r="D71" s="762">
        <f>SUMPRODUCT(G35:AF35,G45:AF45)+((AF43-AF44)*AF45)</f>
        <v>9904.7107691052879</v>
      </c>
      <c r="E71" s="277">
        <f>D71/D73</f>
        <v>0.7871150334024809</v>
      </c>
      <c r="G71" s="206"/>
      <c r="H71" s="206"/>
      <c r="I71" s="443"/>
      <c r="J71" s="450"/>
      <c r="K71" s="206"/>
      <c r="L71" s="206"/>
      <c r="M71" s="206"/>
      <c r="N71" s="206"/>
      <c r="O71" s="206"/>
      <c r="P71" s="206"/>
      <c r="Q71" s="206"/>
      <c r="R71" s="206"/>
      <c r="S71" s="206"/>
      <c r="T71" s="206"/>
      <c r="U71" s="206"/>
      <c r="V71" s="206"/>
      <c r="W71" s="206"/>
      <c r="X71" s="206"/>
      <c r="Y71" s="206"/>
      <c r="Z71" s="206"/>
      <c r="AA71" s="206"/>
      <c r="AB71" s="206"/>
      <c r="AC71" s="206"/>
      <c r="AD71" s="206"/>
      <c r="AE71" s="206"/>
      <c r="AF71" s="206"/>
      <c r="AG71" s="206"/>
    </row>
    <row r="72" spans="1:33" ht="14.45">
      <c r="A72" s="1475"/>
      <c r="C72" s="263" t="s">
        <v>756</v>
      </c>
      <c r="D72" s="762">
        <f>(AF34/(F50-AF5))*AF45</f>
        <v>2678.8511612137904</v>
      </c>
      <c r="E72" s="277">
        <f>D72/D73</f>
        <v>0.21288496659751915</v>
      </c>
      <c r="G72" s="206"/>
      <c r="H72" s="206"/>
      <c r="I72" s="443"/>
      <c r="J72" s="450"/>
      <c r="K72" s="206"/>
      <c r="L72" s="206"/>
      <c r="M72" s="206"/>
      <c r="N72" s="206"/>
      <c r="O72" s="206"/>
      <c r="P72" s="206"/>
      <c r="Q72" s="206"/>
      <c r="R72" s="206"/>
      <c r="S72" s="206"/>
      <c r="T72" s="206"/>
      <c r="U72" s="206"/>
      <c r="V72" s="206"/>
      <c r="W72" s="206"/>
      <c r="X72" s="206"/>
      <c r="Y72" s="206"/>
      <c r="Z72" s="206"/>
      <c r="AA72" s="206"/>
      <c r="AB72" s="206"/>
      <c r="AC72" s="206"/>
      <c r="AD72" s="206"/>
      <c r="AE72" s="206"/>
      <c r="AF72" s="206"/>
      <c r="AG72" s="206"/>
    </row>
    <row r="73" spans="1:33" ht="22.15" customHeight="1">
      <c r="A73" s="1475"/>
      <c r="C73" s="263" t="s">
        <v>757</v>
      </c>
      <c r="D73" s="762">
        <f>D71+D72</f>
        <v>12583.561930319078</v>
      </c>
      <c r="E73" s="2"/>
      <c r="G73" s="644"/>
      <c r="H73" s="644"/>
      <c r="I73" s="443"/>
      <c r="J73" s="450"/>
      <c r="K73" s="644"/>
      <c r="L73" s="644"/>
      <c r="M73" s="1041"/>
      <c r="N73" s="1041"/>
      <c r="R73" s="644"/>
      <c r="S73" s="644"/>
      <c r="T73" s="644"/>
      <c r="U73" s="644"/>
      <c r="V73" s="644"/>
      <c r="W73" s="644"/>
      <c r="X73" s="644"/>
      <c r="Y73" s="644"/>
      <c r="Z73" s="644"/>
      <c r="AA73" s="644"/>
      <c r="AB73" s="644"/>
      <c r="AC73" s="644"/>
      <c r="AD73" s="644"/>
      <c r="AE73" s="644"/>
      <c r="AF73" s="644"/>
      <c r="AG73" s="645"/>
    </row>
    <row r="74" spans="1:33" ht="22.15" customHeight="1">
      <c r="A74" s="1475"/>
      <c r="C74" s="782" t="s">
        <v>758</v>
      </c>
      <c r="D74" s="764">
        <f ca="1">OP!C21</f>
        <v>3.13</v>
      </c>
      <c r="G74" s="206"/>
      <c r="H74" s="206"/>
      <c r="I74" s="443"/>
      <c r="J74" s="450"/>
      <c r="K74" s="206"/>
      <c r="L74" s="206"/>
      <c r="M74" s="1042"/>
      <c r="R74" s="206"/>
      <c r="S74" s="206"/>
      <c r="T74" s="206"/>
      <c r="U74" s="206"/>
      <c r="V74" s="206"/>
      <c r="W74" s="206"/>
      <c r="X74" s="206"/>
      <c r="Y74" s="206"/>
      <c r="Z74" s="206"/>
      <c r="AA74" s="206"/>
      <c r="AB74" s="206"/>
      <c r="AC74" s="206"/>
      <c r="AD74" s="206"/>
      <c r="AE74" s="206"/>
      <c r="AF74" s="206"/>
      <c r="AG74" s="206"/>
    </row>
    <row r="75" spans="1:33" ht="14.45">
      <c r="A75" s="1475"/>
      <c r="C75" s="782" t="s">
        <v>759</v>
      </c>
      <c r="D75" s="301">
        <f ca="1">D76/D74-1</f>
        <v>0.33499164896406119</v>
      </c>
      <c r="H75" s="206"/>
      <c r="I75" s="206"/>
      <c r="J75" s="206"/>
      <c r="K75" s="206"/>
      <c r="L75" s="206"/>
      <c r="M75" s="206"/>
      <c r="N75" s="206"/>
      <c r="O75" s="206"/>
      <c r="P75" s="206"/>
      <c r="Q75" s="206"/>
      <c r="R75" s="206"/>
      <c r="S75" s="206"/>
      <c r="T75" s="206"/>
      <c r="U75" s="1045" t="s">
        <v>760</v>
      </c>
      <c r="V75" s="206"/>
      <c r="W75" s="206"/>
      <c r="X75" s="206"/>
      <c r="Y75" s="206"/>
      <c r="Z75" s="206"/>
      <c r="AA75" s="206"/>
      <c r="AB75" s="206"/>
      <c r="AC75" s="206"/>
      <c r="AD75" s="206"/>
      <c r="AE75" s="206"/>
      <c r="AF75" s="206"/>
      <c r="AG75" s="206"/>
    </row>
    <row r="76" spans="1:33" ht="14.45">
      <c r="A76" s="1476"/>
      <c r="C76" s="302" t="s">
        <v>761</v>
      </c>
      <c r="D76" s="763">
        <f ca="1">D73*1000000/OP!C22</f>
        <v>4.1785238612575117</v>
      </c>
      <c r="M76" s="1492" t="s">
        <v>234</v>
      </c>
      <c r="N76" s="1492"/>
      <c r="O76" s="1493">
        <v>0.23400000000000001</v>
      </c>
      <c r="P76" s="1493"/>
      <c r="Q76" s="1493"/>
      <c r="R76" s="1494" t="s">
        <v>235</v>
      </c>
      <c r="S76" s="1495"/>
      <c r="T76" s="1495"/>
      <c r="U76" s="1044">
        <f>(M6/E6)^(1/COUNT(E4:M4))-1</f>
        <v>0.15886269617526527</v>
      </c>
    </row>
    <row r="77" spans="1:33" ht="14.45">
      <c r="A77" s="295"/>
      <c r="C77" s="264"/>
      <c r="D77" s="783"/>
      <c r="M77" s="1492" t="s">
        <v>236</v>
      </c>
      <c r="N77" s="1492"/>
      <c r="O77" s="1493">
        <v>0.19570000000000001</v>
      </c>
      <c r="P77" s="1493"/>
      <c r="Q77" s="1493"/>
      <c r="R77" s="1494" t="s">
        <v>237</v>
      </c>
      <c r="S77" s="1494"/>
      <c r="T77" s="1494"/>
      <c r="U77" s="1044">
        <f>(L6/G6)^(1/COUNT(G5:L5))-1</f>
        <v>9.3566475276680494E-2</v>
      </c>
    </row>
    <row r="78" spans="1:33" ht="14.45">
      <c r="A78" s="1471" t="s">
        <v>762</v>
      </c>
      <c r="C78" s="263" t="s">
        <v>763</v>
      </c>
      <c r="D78" s="764">
        <f ca="1">(SUMPRODUCT(G35:AF35,G45:AF45)+((AF43-AF44)*AF45)+(AF34/(F50+0.001-AF5))*AF45)*1000000/OP!C22</f>
        <v>4.1641763626666934</v>
      </c>
      <c r="E78" s="303">
        <f ca="1">D78/D76-1</f>
        <v>-3.4336284935083672E-3</v>
      </c>
      <c r="G78" s="648"/>
      <c r="H78" s="648"/>
      <c r="I78" s="648"/>
      <c r="J78" s="648"/>
      <c r="K78" s="648"/>
      <c r="L78" s="1043"/>
      <c r="M78" s="1492" t="s">
        <v>238</v>
      </c>
      <c r="N78" s="1492"/>
      <c r="O78" s="1496">
        <v>0.128</v>
      </c>
      <c r="P78" s="1496"/>
      <c r="Q78" s="1496"/>
      <c r="R78" s="1495" t="s">
        <v>239</v>
      </c>
      <c r="S78" s="1495"/>
      <c r="T78" s="1495"/>
      <c r="U78" s="1044">
        <f>(M6/G6)^(1/COUNT(G6:M6))-1</f>
        <v>0.10830357792922429</v>
      </c>
      <c r="V78" s="648"/>
      <c r="W78" s="648"/>
      <c r="X78" s="648"/>
      <c r="Y78" s="648"/>
      <c r="Z78" s="648"/>
      <c r="AA78" s="648"/>
      <c r="AB78" s="648"/>
      <c r="AC78" s="648"/>
      <c r="AD78" s="648"/>
      <c r="AE78" s="648"/>
      <c r="AF78" s="648"/>
      <c r="AG78" s="648"/>
    </row>
    <row r="79" spans="1:33" ht="14.45">
      <c r="A79" s="1472"/>
      <c r="C79" s="263" t="s">
        <v>764</v>
      </c>
      <c r="D79" s="764">
        <f ca="1">(SUMPRODUCT(G35:AF35,G45:AF45)+((AF43-AF44)*AF45)+(AF34/(F50+0.005-AF5))*AF45)*1000000/OP!C22</f>
        <v>4.1111340951491222</v>
      </c>
      <c r="E79" s="303">
        <f ca="1">D79/D76-1</f>
        <v>-1.612764898466057E-2</v>
      </c>
      <c r="M79" s="1492" t="s">
        <v>240</v>
      </c>
      <c r="N79" s="1492"/>
      <c r="O79" s="1497">
        <v>0.221</v>
      </c>
      <c r="P79" s="1496"/>
      <c r="Q79" s="1496"/>
      <c r="R79" s="1495" t="s">
        <v>241</v>
      </c>
      <c r="S79" s="1495"/>
      <c r="T79" s="1495"/>
      <c r="U79" s="1044">
        <f>(N6/F6)^(1/COUNT(F7:N7))-1</f>
        <v>-9.6761884843072909E-3</v>
      </c>
    </row>
    <row r="80" spans="1:33" ht="14.45">
      <c r="A80" s="318"/>
      <c r="C80" s="319"/>
      <c r="D80" s="783"/>
      <c r="E80" s="303"/>
      <c r="M80" s="1496" t="s">
        <v>242</v>
      </c>
      <c r="N80" s="1496"/>
      <c r="O80" s="1496">
        <f>AVERAGE(O76:Q79)</f>
        <v>0.19467500000000001</v>
      </c>
      <c r="P80" s="1496"/>
      <c r="Q80" s="1496"/>
      <c r="R80" s="1496" t="s">
        <v>241</v>
      </c>
      <c r="S80" s="1496"/>
      <c r="T80" s="1496"/>
      <c r="U80" s="1044">
        <f>(N6/F6)^(1/COUNT(F7:N7))-1</f>
        <v>-9.6761884843072909E-3</v>
      </c>
    </row>
    <row r="81" spans="1:12" ht="14.45">
      <c r="A81" s="330" t="s">
        <v>765</v>
      </c>
      <c r="C81" s="302" t="s">
        <v>766</v>
      </c>
      <c r="D81" s="763">
        <f ca="1">IF(D75&lt;15%,D76/1.15,D74)</f>
        <v>3.13</v>
      </c>
      <c r="J81" s="5"/>
    </row>
    <row r="82" spans="1:12">
      <c r="G82" s="1"/>
      <c r="H82" s="1"/>
      <c r="I82" s="1"/>
      <c r="J82" s="4"/>
    </row>
    <row r="83" spans="1:12">
      <c r="G83" s="1"/>
      <c r="H83" s="1"/>
      <c r="I83" s="1"/>
      <c r="J83" s="4"/>
    </row>
    <row r="84" spans="1:12">
      <c r="G84" s="1"/>
      <c r="H84" s="1"/>
      <c r="I84" s="1"/>
      <c r="K84" s="4"/>
    </row>
    <row r="85" spans="1:12">
      <c r="D85" s="255"/>
      <c r="E85" s="255"/>
      <c r="F85" s="255"/>
      <c r="L85" s="5"/>
    </row>
    <row r="86" spans="1:12">
      <c r="A86" s="10" t="s">
        <v>767</v>
      </c>
      <c r="D86" s="255"/>
      <c r="E86" s="255"/>
      <c r="F86" s="255"/>
      <c r="G86" s="1"/>
      <c r="H86" s="1"/>
      <c r="I86" s="1"/>
    </row>
    <row r="87" spans="1:12">
      <c r="A87" s="723" t="s">
        <v>768</v>
      </c>
      <c r="G87" s="1"/>
      <c r="H87" s="1"/>
      <c r="I87" s="1"/>
    </row>
    <row r="88" spans="1:12">
      <c r="A88" s="723" t="s">
        <v>769</v>
      </c>
      <c r="C88" s="10"/>
      <c r="D88" s="255"/>
      <c r="E88" s="255"/>
      <c r="F88" s="255"/>
      <c r="G88" s="1"/>
      <c r="H88" s="1"/>
      <c r="I88" s="1"/>
    </row>
    <row r="89" spans="1:12">
      <c r="C89" s="10"/>
      <c r="D89" s="255"/>
      <c r="E89" s="255"/>
      <c r="F89" s="255"/>
    </row>
    <row r="90" spans="1:12">
      <c r="A90" s="949" t="s">
        <v>770</v>
      </c>
    </row>
    <row r="91" spans="1:12" ht="14.45">
      <c r="A91" s="342"/>
    </row>
    <row r="92" spans="1:12" ht="52.9">
      <c r="A92" s="950" t="s">
        <v>771</v>
      </c>
      <c r="B92" s="10" t="s">
        <v>772</v>
      </c>
    </row>
    <row r="93" spans="1:12">
      <c r="H93" s="803"/>
    </row>
    <row r="94" spans="1:12">
      <c r="A94" s="928" t="s">
        <v>773</v>
      </c>
      <c r="B94" s="951">
        <v>6</v>
      </c>
      <c r="C94" s="928" t="s">
        <v>774</v>
      </c>
      <c r="H94" s="803"/>
    </row>
    <row r="95" spans="1:12">
      <c r="A95" s="928" t="s">
        <v>775</v>
      </c>
      <c r="B95" s="951">
        <v>11</v>
      </c>
      <c r="C95" s="928" t="s">
        <v>774</v>
      </c>
    </row>
    <row r="96" spans="1:12">
      <c r="A96" s="928" t="s">
        <v>776</v>
      </c>
      <c r="B96" s="951">
        <v>15</v>
      </c>
      <c r="C96" s="928" t="s">
        <v>774</v>
      </c>
    </row>
    <row r="97" spans="1:3">
      <c r="A97" s="928" t="s">
        <v>777</v>
      </c>
      <c r="B97" s="951">
        <v>20</v>
      </c>
      <c r="C97" s="928" t="s">
        <v>774</v>
      </c>
    </row>
    <row r="98" spans="1:3">
      <c r="A98" s="928" t="s">
        <v>778</v>
      </c>
      <c r="B98" s="951">
        <v>27</v>
      </c>
      <c r="C98" s="928" t="s">
        <v>774</v>
      </c>
    </row>
    <row r="99" spans="1:3">
      <c r="A99" s="928" t="s">
        <v>779</v>
      </c>
      <c r="B99" s="951">
        <v>26</v>
      </c>
      <c r="C99" s="928" t="s">
        <v>774</v>
      </c>
    </row>
    <row r="100" spans="1:3">
      <c r="A100" s="928" t="s">
        <v>780</v>
      </c>
      <c r="B100" s="951">
        <v>16</v>
      </c>
      <c r="C100" s="928" t="s">
        <v>774</v>
      </c>
    </row>
    <row r="101" spans="1:3">
      <c r="A101" s="928" t="s">
        <v>781</v>
      </c>
      <c r="B101" s="951">
        <v>15</v>
      </c>
      <c r="C101" s="928" t="s">
        <v>774</v>
      </c>
    </row>
    <row r="102" spans="1:3">
      <c r="A102" s="928" t="s">
        <v>782</v>
      </c>
      <c r="B102" s="951">
        <v>25</v>
      </c>
      <c r="C102" s="928" t="s">
        <v>774</v>
      </c>
    </row>
    <row r="103" spans="1:3">
      <c r="A103" s="928" t="s">
        <v>783</v>
      </c>
      <c r="B103" s="951">
        <v>24</v>
      </c>
      <c r="C103" s="928" t="s">
        <v>774</v>
      </c>
    </row>
    <row r="104" spans="1:3">
      <c r="A104" s="928" t="s">
        <v>784</v>
      </c>
      <c r="B104" s="951">
        <v>13</v>
      </c>
      <c r="C104" s="928" t="s">
        <v>774</v>
      </c>
    </row>
    <row r="105" spans="1:3">
      <c r="A105" s="928" t="s">
        <v>785</v>
      </c>
      <c r="B105" s="951">
        <v>4</v>
      </c>
      <c r="C105" s="928" t="s">
        <v>774</v>
      </c>
    </row>
    <row r="106" spans="1:3">
      <c r="A106" s="928" t="s">
        <v>786</v>
      </c>
      <c r="B106" s="951">
        <v>7</v>
      </c>
      <c r="C106" s="928" t="s">
        <v>774</v>
      </c>
    </row>
    <row r="107" spans="1:3">
      <c r="A107" s="928" t="s">
        <v>787</v>
      </c>
      <c r="B107" s="951">
        <v>-7</v>
      </c>
      <c r="C107" s="928" t="s">
        <v>774</v>
      </c>
    </row>
    <row r="108" spans="1:3">
      <c r="A108" s="928" t="s">
        <v>788</v>
      </c>
      <c r="B108" s="951">
        <v>6</v>
      </c>
      <c r="C108" s="928" t="s">
        <v>774</v>
      </c>
    </row>
    <row r="109" spans="1:3">
      <c r="A109" s="928" t="s">
        <v>789</v>
      </c>
      <c r="B109" s="951">
        <v>10</v>
      </c>
      <c r="C109" s="928" t="s">
        <v>774</v>
      </c>
    </row>
    <row r="110" spans="1:3">
      <c r="A110" s="928" t="s">
        <v>790</v>
      </c>
      <c r="B110" s="951">
        <v>11</v>
      </c>
      <c r="C110" s="928" t="s">
        <v>774</v>
      </c>
    </row>
    <row r="111" spans="1:3">
      <c r="A111" s="928" t="s">
        <v>791</v>
      </c>
      <c r="B111" s="951">
        <v>9</v>
      </c>
      <c r="C111" s="928" t="s">
        <v>774</v>
      </c>
    </row>
    <row r="112" spans="1:3">
      <c r="A112" s="928" t="s">
        <v>792</v>
      </c>
      <c r="B112" s="951">
        <v>11</v>
      </c>
      <c r="C112" s="928" t="s">
        <v>774</v>
      </c>
    </row>
    <row r="113" spans="1:28">
      <c r="A113" s="928" t="s">
        <v>793</v>
      </c>
      <c r="B113" s="951">
        <v>17</v>
      </c>
      <c r="C113" s="928" t="s">
        <v>774</v>
      </c>
    </row>
    <row r="114" spans="1:28">
      <c r="A114" s="928" t="s">
        <v>794</v>
      </c>
      <c r="B114" s="951">
        <v>16</v>
      </c>
      <c r="C114" s="928" t="s">
        <v>774</v>
      </c>
    </row>
    <row r="115" spans="1:28">
      <c r="A115" s="928" t="s">
        <v>795</v>
      </c>
      <c r="B115" s="951">
        <v>14</v>
      </c>
      <c r="C115" s="928" t="s">
        <v>774</v>
      </c>
    </row>
    <row r="116" spans="1:28">
      <c r="A116" s="928" t="s">
        <v>796</v>
      </c>
      <c r="B116" s="255">
        <f>AVERAGE(B94:B115)</f>
        <v>13.454545454545455</v>
      </c>
    </row>
    <row r="123" spans="1:28" ht="19.149999999999999" customHeight="1">
      <c r="A123" s="1017" t="s">
        <v>797</v>
      </c>
      <c r="B123" s="1018" t="s">
        <v>798</v>
      </c>
      <c r="C123" s="1017" t="s">
        <v>799</v>
      </c>
      <c r="D123" s="1017" t="s">
        <v>800</v>
      </c>
      <c r="E123" s="1017" t="s">
        <v>801</v>
      </c>
      <c r="F123" s="1017" t="s">
        <v>802</v>
      </c>
      <c r="G123" s="1017" t="s">
        <v>803</v>
      </c>
      <c r="H123" s="1017" t="s">
        <v>804</v>
      </c>
      <c r="I123" s="1017" t="s">
        <v>805</v>
      </c>
      <c r="J123" s="1017" t="s">
        <v>806</v>
      </c>
      <c r="K123" s="1017" t="s">
        <v>807</v>
      </c>
      <c r="L123" s="1017" t="s">
        <v>808</v>
      </c>
      <c r="M123" s="1017" t="s">
        <v>809</v>
      </c>
      <c r="N123" s="1017" t="s">
        <v>810</v>
      </c>
      <c r="O123" s="1017" t="s">
        <v>811</v>
      </c>
      <c r="P123" s="1017" t="s">
        <v>812</v>
      </c>
      <c r="Q123" s="1017" t="s">
        <v>813</v>
      </c>
      <c r="R123" s="1017" t="s">
        <v>814</v>
      </c>
      <c r="S123" s="1017" t="s">
        <v>815</v>
      </c>
      <c r="T123" s="1017" t="s">
        <v>816</v>
      </c>
      <c r="U123" s="1017" t="s">
        <v>817</v>
      </c>
      <c r="V123" s="1017" t="s">
        <v>818</v>
      </c>
      <c r="W123" s="1017" t="s">
        <v>819</v>
      </c>
      <c r="X123" s="1017" t="s">
        <v>820</v>
      </c>
      <c r="Y123" s="1017" t="s">
        <v>821</v>
      </c>
      <c r="Z123" s="1017" t="s">
        <v>822</v>
      </c>
      <c r="AA123" s="1017" t="s">
        <v>823</v>
      </c>
      <c r="AB123" s="1017" t="s">
        <v>824</v>
      </c>
    </row>
    <row r="124" spans="1:28" s="287" customFormat="1" ht="19.149999999999999" customHeight="1">
      <c r="A124" s="1075">
        <v>0.375</v>
      </c>
      <c r="B124" s="1020" t="s">
        <v>825</v>
      </c>
      <c r="C124" s="1021"/>
      <c r="D124" s="1021"/>
      <c r="E124" s="1021"/>
      <c r="F124" s="1021"/>
      <c r="G124" s="1021"/>
      <c r="H124" s="1021"/>
      <c r="I124" s="1021"/>
      <c r="J124" s="1021"/>
      <c r="K124" s="1021"/>
      <c r="L124" s="1021"/>
      <c r="M124" s="1021"/>
      <c r="N124" s="1021"/>
      <c r="O124" s="1021"/>
      <c r="P124" s="1021"/>
      <c r="Q124" s="1021"/>
      <c r="R124" s="1021"/>
      <c r="S124" s="1021"/>
      <c r="T124" s="1021"/>
      <c r="U124" s="1021"/>
      <c r="V124" s="1021"/>
      <c r="W124" s="1021"/>
      <c r="X124" s="1021"/>
      <c r="Y124" s="1021"/>
      <c r="Z124" s="1021"/>
      <c r="AA124" s="1021"/>
      <c r="AB124" s="1021"/>
    </row>
    <row r="125" spans="1:28" s="287" customFormat="1" ht="19.149999999999999" customHeight="1">
      <c r="A125" s="1035">
        <v>0.05</v>
      </c>
      <c r="B125" s="1077" t="s">
        <v>826</v>
      </c>
      <c r="C125" s="1078">
        <f t="shared" ref="C125:AB125" si="53">C126+$A$125</f>
        <v>0.25220134266146715</v>
      </c>
      <c r="D125" s="1078">
        <f t="shared" si="53"/>
        <v>0.25779660933999832</v>
      </c>
      <c r="E125" s="1078">
        <f t="shared" si="53"/>
        <v>0.25836300265946849</v>
      </c>
      <c r="F125" s="1078">
        <f t="shared" si="53"/>
        <v>0.20802233489621275</v>
      </c>
      <c r="G125" s="1078">
        <f t="shared" si="53"/>
        <v>0.19145902696876255</v>
      </c>
      <c r="H125" s="1078">
        <f t="shared" si="53"/>
        <v>8.4340431538995023E-2</v>
      </c>
      <c r="I125" s="1078">
        <f t="shared" si="53"/>
        <v>0.18586942757923935</v>
      </c>
      <c r="J125" s="1078">
        <f t="shared" si="53"/>
        <v>0.18692169578142964</v>
      </c>
      <c r="K125" s="1078">
        <f t="shared" si="53"/>
        <v>0.11169854358999672</v>
      </c>
      <c r="L125" s="1078">
        <f t="shared" si="53"/>
        <v>0.17331166359347921</v>
      </c>
      <c r="M125" s="1078">
        <f t="shared" si="53"/>
        <v>0.16630793121253901</v>
      </c>
      <c r="N125" s="1078">
        <f t="shared" si="53"/>
        <v>0.16003987283720317</v>
      </c>
      <c r="O125" s="1078">
        <f t="shared" si="53"/>
        <v>0.15440111777359106</v>
      </c>
      <c r="P125" s="1078">
        <f t="shared" si="53"/>
        <v>0.14930305206576805</v>
      </c>
      <c r="Q125" s="1078">
        <f t="shared" si="53"/>
        <v>0.14467265993749606</v>
      </c>
      <c r="R125" s="1078">
        <f t="shared" si="53"/>
        <v>0.14044930082175239</v>
      </c>
      <c r="S125" s="1078">
        <f t="shared" si="53"/>
        <v>0.13658223720076762</v>
      </c>
      <c r="T125" s="1078">
        <f t="shared" si="53"/>
        <v>0.13302872173021013</v>
      </c>
      <c r="U125" s="1078">
        <f t="shared" si="53"/>
        <v>0.12975250435823343</v>
      </c>
      <c r="V125" s="1078">
        <f t="shared" si="53"/>
        <v>0.12672265750328177</v>
      </c>
      <c r="W125" s="1078">
        <f t="shared" si="53"/>
        <v>0.1239126441271516</v>
      </c>
      <c r="X125" s="1078">
        <f t="shared" si="53"/>
        <v>0.1212995728371848</v>
      </c>
      <c r="Y125" s="1078">
        <f t="shared" si="53"/>
        <v>0.11886359815629528</v>
      </c>
      <c r="Z125" s="1078">
        <f t="shared" si="53"/>
        <v>0.11658743433953118</v>
      </c>
      <c r="AA125" s="1078">
        <f t="shared" si="53"/>
        <v>0.11445595866143927</v>
      </c>
      <c r="AB125" s="1078">
        <f t="shared" si="53"/>
        <v>0.11245588570222105</v>
      </c>
    </row>
    <row r="126" spans="1:28" s="287" customFormat="1" ht="19.149999999999999" customHeight="1">
      <c r="A126" s="1022">
        <v>0</v>
      </c>
      <c r="B126" s="1081" t="s">
        <v>827</v>
      </c>
      <c r="C126" s="1082">
        <f>Assumptions!O148</f>
        <v>0.20220134266146716</v>
      </c>
      <c r="D126" s="1082">
        <f>Assumptions!P148</f>
        <v>0.20779660933999833</v>
      </c>
      <c r="E126" s="1082">
        <f>Assumptions!Q148</f>
        <v>0.2083630026594685</v>
      </c>
      <c r="F126" s="1082">
        <f>Assumptions!R148</f>
        <v>0.15802233489621276</v>
      </c>
      <c r="G126" s="1082">
        <f>Assumptions!S148</f>
        <v>0.14145902696876256</v>
      </c>
      <c r="H126" s="1082">
        <f>Assumptions!T148</f>
        <v>3.434043153899502E-2</v>
      </c>
      <c r="I126" s="1082">
        <f>Assumptions!U148</f>
        <v>0.13586942757923937</v>
      </c>
      <c r="J126" s="1082">
        <f>Assumptions!V148</f>
        <v>0.13692169578142965</v>
      </c>
      <c r="K126" s="1082">
        <f>Assumptions!W148</f>
        <v>6.1698543589996713E-2</v>
      </c>
      <c r="L126" s="1082">
        <f>Assumptions!X148</f>
        <v>0.12331166359347923</v>
      </c>
      <c r="M126" s="1082">
        <f>Assumptions!Y148</f>
        <v>0.11630793121253902</v>
      </c>
      <c r="N126" s="1082">
        <f>Assumptions!Z148</f>
        <v>0.11003987283720318</v>
      </c>
      <c r="O126" s="1082">
        <f>Assumptions!AA148</f>
        <v>0.10440111777359107</v>
      </c>
      <c r="P126" s="1082">
        <f>Assumptions!AB148</f>
        <v>9.930305206576806E-2</v>
      </c>
      <c r="Q126" s="1082">
        <f>Assumptions!AC148</f>
        <v>9.4672659937496073E-2</v>
      </c>
      <c r="R126" s="1082">
        <f>Assumptions!AD148</f>
        <v>9.0449300821752399E-2</v>
      </c>
      <c r="S126" s="1082">
        <f>Assumptions!AE148</f>
        <v>8.6582237200767631E-2</v>
      </c>
      <c r="T126" s="1082">
        <f>Assumptions!AF148</f>
        <v>8.3028721730210142E-2</v>
      </c>
      <c r="U126" s="1082">
        <f>Assumptions!AG148</f>
        <v>7.9752504358233445E-2</v>
      </c>
      <c r="V126" s="1082">
        <f>Assumptions!AH148</f>
        <v>7.6722657503281777E-2</v>
      </c>
      <c r="W126" s="1082">
        <f>Assumptions!AI148</f>
        <v>7.3912644127151594E-2</v>
      </c>
      <c r="X126" s="1082">
        <f>Assumptions!AJ148</f>
        <v>7.1299572837184799E-2</v>
      </c>
      <c r="Y126" s="1082">
        <f>Assumptions!AK148</f>
        <v>6.886359815629528E-2</v>
      </c>
      <c r="Z126" s="1082">
        <f>Assumptions!AL148</f>
        <v>6.6587434339531182E-2</v>
      </c>
      <c r="AA126" s="1082">
        <f>Assumptions!AM148</f>
        <v>6.4455958661439272E-2</v>
      </c>
      <c r="AB126" s="1082">
        <f>Assumptions!AN148</f>
        <v>6.2455885702221048E-2</v>
      </c>
    </row>
    <row r="127" spans="1:28" s="287" customFormat="1" ht="19.149999999999999" customHeight="1" thickBot="1">
      <c r="A127" s="1034">
        <v>-7.4999999999999997E-2</v>
      </c>
      <c r="B127" s="1079" t="s">
        <v>828</v>
      </c>
      <c r="C127" s="1080">
        <f t="shared" ref="C127:AB127" si="54">C126+$A$127</f>
        <v>0.12720134266146715</v>
      </c>
      <c r="D127" s="1080">
        <f t="shared" si="54"/>
        <v>0.13279660933999832</v>
      </c>
      <c r="E127" s="1080">
        <f t="shared" si="54"/>
        <v>0.13336300265946849</v>
      </c>
      <c r="F127" s="1080">
        <f t="shared" si="54"/>
        <v>8.302233489621276E-2</v>
      </c>
      <c r="G127" s="1080">
        <f t="shared" si="54"/>
        <v>6.6459026968762561E-2</v>
      </c>
      <c r="H127" s="1080">
        <f t="shared" si="54"/>
        <v>-4.0659568461004977E-2</v>
      </c>
      <c r="I127" s="1080">
        <f t="shared" si="54"/>
        <v>6.0869427579239369E-2</v>
      </c>
      <c r="J127" s="1080">
        <f t="shared" si="54"/>
        <v>6.1921695781429656E-2</v>
      </c>
      <c r="K127" s="1080">
        <f t="shared" si="54"/>
        <v>-1.3301456410003284E-2</v>
      </c>
      <c r="L127" s="1080">
        <f t="shared" si="54"/>
        <v>4.8311663593479229E-2</v>
      </c>
      <c r="M127" s="1080">
        <f t="shared" si="54"/>
        <v>4.130793121253902E-2</v>
      </c>
      <c r="N127" s="1080">
        <f t="shared" si="54"/>
        <v>3.5039872837203181E-2</v>
      </c>
      <c r="O127" s="1080">
        <f t="shared" si="54"/>
        <v>2.9401117773591071E-2</v>
      </c>
      <c r="P127" s="1080">
        <f t="shared" si="54"/>
        <v>2.4303052065768063E-2</v>
      </c>
      <c r="Q127" s="1080">
        <f t="shared" si="54"/>
        <v>1.9672659937496076E-2</v>
      </c>
      <c r="R127" s="1080">
        <f t="shared" si="54"/>
        <v>1.5449300821752401E-2</v>
      </c>
      <c r="S127" s="1080">
        <f t="shared" si="54"/>
        <v>1.1582237200767634E-2</v>
      </c>
      <c r="T127" s="1080">
        <f t="shared" si="54"/>
        <v>8.0287217302101449E-3</v>
      </c>
      <c r="U127" s="1080">
        <f t="shared" si="54"/>
        <v>4.7525043582334475E-3</v>
      </c>
      <c r="V127" s="1080">
        <f t="shared" si="54"/>
        <v>1.7226575032817798E-3</v>
      </c>
      <c r="W127" s="1080">
        <f t="shared" si="54"/>
        <v>-1.0873558728484028E-3</v>
      </c>
      <c r="X127" s="1080">
        <f t="shared" si="54"/>
        <v>-3.700427162815198E-3</v>
      </c>
      <c r="Y127" s="1080">
        <f t="shared" si="54"/>
        <v>-6.1364018437047169E-3</v>
      </c>
      <c r="Z127" s="1080">
        <f t="shared" si="54"/>
        <v>-8.4125656604688154E-3</v>
      </c>
      <c r="AA127" s="1080">
        <f t="shared" si="54"/>
        <v>-1.0544041338560725E-2</v>
      </c>
      <c r="AB127" s="1080">
        <f t="shared" si="54"/>
        <v>-1.2544114297778949E-2</v>
      </c>
    </row>
    <row r="128" spans="1:28" s="287" customFormat="1" ht="19.149999999999999" customHeight="1">
      <c r="A128" s="1023"/>
      <c r="B128" s="1023"/>
      <c r="C128" s="1024"/>
      <c r="D128" s="1024"/>
      <c r="E128" s="1024"/>
      <c r="F128" s="1024"/>
      <c r="G128" s="1024"/>
      <c r="H128" s="1024"/>
      <c r="I128" s="1024"/>
      <c r="J128" s="1024"/>
      <c r="K128" s="1024"/>
      <c r="L128" s="1024"/>
      <c r="M128" s="1024"/>
      <c r="N128" s="1024"/>
      <c r="O128" s="1024"/>
      <c r="P128" s="1024"/>
      <c r="Q128" s="1024"/>
      <c r="R128" s="1024"/>
      <c r="S128" s="1024"/>
      <c r="T128" s="1024"/>
      <c r="U128" s="1024"/>
      <c r="V128" s="1024"/>
      <c r="W128" s="1024"/>
      <c r="X128" s="1024"/>
      <c r="Y128" s="1024"/>
      <c r="Z128" s="1024"/>
      <c r="AA128" s="1024"/>
      <c r="AB128" s="1024"/>
    </row>
    <row r="129" spans="1:28" s="287" customFormat="1" ht="19.149999999999999" customHeight="1">
      <c r="A129" s="1076">
        <f>1-A124</f>
        <v>0.625</v>
      </c>
      <c r="B129" s="1019" t="s">
        <v>829</v>
      </c>
      <c r="C129" s="901"/>
      <c r="D129" s="901"/>
      <c r="E129" s="901"/>
      <c r="F129" s="901"/>
      <c r="G129" s="901"/>
      <c r="H129" s="901"/>
      <c r="I129" s="901"/>
      <c r="J129" s="901"/>
      <c r="K129" s="901"/>
      <c r="L129" s="901"/>
      <c r="M129" s="901"/>
      <c r="N129" s="901"/>
      <c r="O129" s="901"/>
      <c r="P129" s="901"/>
      <c r="Q129" s="901"/>
      <c r="R129" s="901"/>
      <c r="S129" s="901"/>
      <c r="T129" s="901"/>
      <c r="U129" s="901"/>
      <c r="V129" s="901"/>
      <c r="W129" s="901"/>
      <c r="X129" s="901"/>
      <c r="Y129" s="901"/>
      <c r="Z129" s="901"/>
      <c r="AA129" s="901"/>
      <c r="AB129" s="901"/>
    </row>
    <row r="130" spans="1:28" s="287" customFormat="1" ht="19.149999999999999" customHeight="1">
      <c r="A130" s="1035">
        <v>0.1</v>
      </c>
      <c r="B130" s="1077" t="s">
        <v>826</v>
      </c>
      <c r="C130" s="1078">
        <f>C131+$A$130</f>
        <v>-0.41223543034143761</v>
      </c>
      <c r="D130" s="1078">
        <f t="shared" ref="D130:AB130" si="55">D131+$A$130</f>
        <v>-4.1932838452873072E-2</v>
      </c>
      <c r="E130" s="1078">
        <f t="shared" si="55"/>
        <v>0.50692169061165016</v>
      </c>
      <c r="F130" s="1078">
        <f t="shared" si="55"/>
        <v>0.14011623703441592</v>
      </c>
      <c r="G130" s="1078">
        <f t="shared" si="55"/>
        <v>8.074167646532629E-2</v>
      </c>
      <c r="H130" s="1078">
        <f t="shared" si="55"/>
        <v>-2.036901610246275E-2</v>
      </c>
      <c r="I130" s="1078">
        <f t="shared" si="55"/>
        <v>0.16512230971531908</v>
      </c>
      <c r="J130" s="1078">
        <f t="shared" si="55"/>
        <v>7.8204080331889664E-2</v>
      </c>
      <c r="K130" s="1078">
        <f t="shared" si="55"/>
        <v>0.1855666951448566</v>
      </c>
      <c r="L130" s="1078">
        <f t="shared" si="55"/>
        <v>0.14247728965329856</v>
      </c>
      <c r="M130" s="1078">
        <f t="shared" si="55"/>
        <v>9.1580228022080684E-2</v>
      </c>
      <c r="N130" s="1078">
        <f t="shared" si="55"/>
        <v>9.2642504895985384E-2</v>
      </c>
      <c r="O130" s="1078">
        <f t="shared" si="55"/>
        <v>9.3519288661898542E-2</v>
      </c>
      <c r="P130" s="1078">
        <f t="shared" si="55"/>
        <v>9.4250787222661919E-2</v>
      </c>
      <c r="Q130" s="1078">
        <f t="shared" si="55"/>
        <v>9.4867009405113972E-2</v>
      </c>
      <c r="R130" s="1078">
        <f t="shared" si="55"/>
        <v>9.5390674832793315E-2</v>
      </c>
      <c r="S130" s="1078">
        <f t="shared" si="55"/>
        <v>9.5839222633637006E-2</v>
      </c>
      <c r="T130" s="1078">
        <f t="shared" si="55"/>
        <v>9.6226207164537808E-2</v>
      </c>
      <c r="U130" s="1078">
        <f t="shared" si="55"/>
        <v>9.656228434200656E-2</v>
      </c>
      <c r="V130" s="1078">
        <f t="shared" si="55"/>
        <v>9.6855919521580042E-2</v>
      </c>
      <c r="W130" s="1078">
        <f t="shared" si="55"/>
        <v>9.7113902795270129E-2</v>
      </c>
      <c r="X130" s="1078">
        <f t="shared" si="55"/>
        <v>9.7341729032208085E-2</v>
      </c>
      <c r="Y130" s="1078">
        <f t="shared" si="55"/>
        <v>9.7543881566739238E-2</v>
      </c>
      <c r="Z130" s="1078">
        <f t="shared" si="55"/>
        <v>9.7724046341361254E-2</v>
      </c>
      <c r="AA130" s="1078">
        <f t="shared" si="55"/>
        <v>9.7885275238575292E-2</v>
      </c>
      <c r="AB130" s="1078">
        <f t="shared" si="55"/>
        <v>9.8030111866412112E-2</v>
      </c>
    </row>
    <row r="131" spans="1:28" s="287" customFormat="1" ht="19.149999999999999" customHeight="1">
      <c r="A131" s="1023">
        <v>0</v>
      </c>
      <c r="B131" s="1081" t="s">
        <v>827</v>
      </c>
      <c r="C131" s="1082">
        <f>Assumptions!O151</f>
        <v>-0.51223543034143759</v>
      </c>
      <c r="D131" s="1082">
        <f>Assumptions!P151</f>
        <v>-0.14193283845287308</v>
      </c>
      <c r="E131" s="1082">
        <f>Assumptions!Q151</f>
        <v>0.40692169061165018</v>
      </c>
      <c r="F131" s="1082">
        <f>Assumptions!R151</f>
        <v>4.0116237034415914E-2</v>
      </c>
      <c r="G131" s="1082">
        <f>Assumptions!S151</f>
        <v>-1.9258323534673716E-2</v>
      </c>
      <c r="H131" s="1082">
        <f>Assumptions!T151</f>
        <v>-0.12036901610246276</v>
      </c>
      <c r="I131" s="1082">
        <f>Assumptions!U151</f>
        <v>6.5122309715319071E-2</v>
      </c>
      <c r="J131" s="1082">
        <f>Assumptions!V151</f>
        <v>-2.1795919668110342E-2</v>
      </c>
      <c r="K131" s="1082">
        <f>Assumptions!W151</f>
        <v>8.5566695144856597E-2</v>
      </c>
      <c r="L131" s="1082">
        <f>Assumptions!X151</f>
        <v>4.2477289653298556E-2</v>
      </c>
      <c r="M131" s="1082">
        <f>Assumptions!Y151</f>
        <v>-8.4197719779193214E-3</v>
      </c>
      <c r="N131" s="1082">
        <f>Assumptions!Z151</f>
        <v>-7.3574951040146219E-3</v>
      </c>
      <c r="O131" s="1082">
        <f>Assumptions!AA151</f>
        <v>-6.4807113381014636E-3</v>
      </c>
      <c r="P131" s="1082">
        <f>Assumptions!AB151</f>
        <v>-5.7492127773380863E-3</v>
      </c>
      <c r="Q131" s="1082">
        <f>Assumptions!AC151</f>
        <v>-5.1329905948860333E-3</v>
      </c>
      <c r="R131" s="1082">
        <f>Assumptions!AD151</f>
        <v>-4.6093251672066904E-3</v>
      </c>
      <c r="S131" s="1082">
        <f>Assumptions!AE151</f>
        <v>-4.1607773663629999E-3</v>
      </c>
      <c r="T131" s="1082">
        <f>Assumptions!AF151</f>
        <v>-3.7737928354621975E-3</v>
      </c>
      <c r="U131" s="1082">
        <f>Assumptions!AG151</f>
        <v>-3.4377156579934454E-3</v>
      </c>
      <c r="V131" s="1082">
        <f>Assumptions!AH151</f>
        <v>-3.1440804784199639E-3</v>
      </c>
      <c r="W131" s="1082">
        <f>Assumptions!AI151</f>
        <v>-2.8860972047298761E-3</v>
      </c>
      <c r="X131" s="1082">
        <f>Assumptions!AJ151</f>
        <v>-2.6582709677919203E-3</v>
      </c>
      <c r="Y131" s="1082">
        <f>Assumptions!AK151</f>
        <v>-2.4561184332607677E-3</v>
      </c>
      <c r="Z131" s="1082">
        <f>Assumptions!AL151</f>
        <v>-2.2759536586387519E-3</v>
      </c>
      <c r="AA131" s="1082">
        <f>Assumptions!AM151</f>
        <v>-2.1147247614247133E-3</v>
      </c>
      <c r="AB131" s="1082">
        <f>Assumptions!AN151</f>
        <v>-1.9698881335878937E-3</v>
      </c>
    </row>
    <row r="132" spans="1:28" s="287" customFormat="1" ht="19.149999999999999" customHeight="1" thickBot="1">
      <c r="A132" s="1034">
        <v>-0.125</v>
      </c>
      <c r="B132" s="1079" t="s">
        <v>828</v>
      </c>
      <c r="C132" s="1080">
        <f>C131+$A$132</f>
        <v>-0.63723543034143759</v>
      </c>
      <c r="D132" s="1080">
        <f t="shared" ref="D132:AB132" si="56">D131+$A$132</f>
        <v>-0.26693283845287308</v>
      </c>
      <c r="E132" s="1080">
        <f t="shared" si="56"/>
        <v>0.28192169061165018</v>
      </c>
      <c r="F132" s="1080">
        <f t="shared" si="56"/>
        <v>-8.4883762965584086E-2</v>
      </c>
      <c r="G132" s="1080">
        <f t="shared" si="56"/>
        <v>-0.14425832353467372</v>
      </c>
      <c r="H132" s="1080">
        <f t="shared" si="56"/>
        <v>-0.24536901610246276</v>
      </c>
      <c r="I132" s="1080">
        <f t="shared" si="56"/>
        <v>-5.9877690284680929E-2</v>
      </c>
      <c r="J132" s="1080">
        <f t="shared" si="56"/>
        <v>-0.14679591966811034</v>
      </c>
      <c r="K132" s="1080">
        <f t="shared" si="56"/>
        <v>-3.9433304855143403E-2</v>
      </c>
      <c r="L132" s="1080">
        <f t="shared" si="56"/>
        <v>-8.2522710346701444E-2</v>
      </c>
      <c r="M132" s="1080">
        <f t="shared" si="56"/>
        <v>-0.13341977197791932</v>
      </c>
      <c r="N132" s="1080">
        <f t="shared" si="56"/>
        <v>-0.13235749510401462</v>
      </c>
      <c r="O132" s="1080">
        <f t="shared" si="56"/>
        <v>-0.13148071133810146</v>
      </c>
      <c r="P132" s="1080">
        <f t="shared" si="56"/>
        <v>-0.13074921277733809</v>
      </c>
      <c r="Q132" s="1080">
        <f t="shared" si="56"/>
        <v>-0.13013299059488603</v>
      </c>
      <c r="R132" s="1080">
        <f t="shared" si="56"/>
        <v>-0.12960932516720669</v>
      </c>
      <c r="S132" s="1080">
        <f t="shared" si="56"/>
        <v>-0.129160777366363</v>
      </c>
      <c r="T132" s="1080">
        <f t="shared" si="56"/>
        <v>-0.1287737928354622</v>
      </c>
      <c r="U132" s="1080">
        <f t="shared" si="56"/>
        <v>-0.12843771565799345</v>
      </c>
      <c r="V132" s="1080">
        <f t="shared" si="56"/>
        <v>-0.12814408047841996</v>
      </c>
      <c r="W132" s="1080">
        <f t="shared" si="56"/>
        <v>-0.12788609720472988</v>
      </c>
      <c r="X132" s="1080">
        <f t="shared" si="56"/>
        <v>-0.12765827096779192</v>
      </c>
      <c r="Y132" s="1080">
        <f t="shared" si="56"/>
        <v>-0.12745611843326077</v>
      </c>
      <c r="Z132" s="1080">
        <f t="shared" si="56"/>
        <v>-0.12727595365863875</v>
      </c>
      <c r="AA132" s="1080">
        <f t="shared" si="56"/>
        <v>-0.12711472476142471</v>
      </c>
      <c r="AB132" s="1080">
        <f t="shared" si="56"/>
        <v>-0.12696988813358789</v>
      </c>
    </row>
    <row r="133" spans="1:28" s="287" customFormat="1" ht="19.149999999999999" customHeight="1">
      <c r="A133" s="1023"/>
      <c r="B133" s="1023"/>
      <c r="C133" s="1024"/>
      <c r="D133" s="1024"/>
      <c r="E133" s="1024"/>
      <c r="F133" s="1024"/>
      <c r="G133" s="1024"/>
      <c r="H133" s="1024"/>
      <c r="I133" s="1024"/>
      <c r="J133" s="1024"/>
      <c r="K133" s="1024"/>
      <c r="L133" s="1024"/>
      <c r="M133" s="1024"/>
      <c r="N133" s="1024"/>
      <c r="O133" s="1024"/>
      <c r="P133" s="1024"/>
      <c r="Q133" s="1024"/>
      <c r="R133" s="1024"/>
      <c r="S133" s="1024"/>
      <c r="T133" s="1024"/>
      <c r="U133" s="1024"/>
      <c r="V133" s="1024"/>
      <c r="W133" s="1024"/>
      <c r="X133" s="1024"/>
      <c r="Y133" s="1024"/>
      <c r="Z133" s="1024"/>
      <c r="AA133" s="1024"/>
      <c r="AB133" s="1024"/>
    </row>
    <row r="134" spans="1:28" s="287" customFormat="1" ht="19.149999999999999" customHeight="1">
      <c r="A134" s="1023"/>
      <c r="B134" s="1019" t="s">
        <v>408</v>
      </c>
      <c r="C134" s="901"/>
      <c r="D134" s="901"/>
      <c r="E134" s="901"/>
      <c r="F134" s="901"/>
      <c r="G134" s="901"/>
      <c r="H134" s="901"/>
      <c r="I134" s="901"/>
      <c r="J134" s="901"/>
      <c r="K134" s="901"/>
      <c r="L134" s="901"/>
      <c r="M134" s="901"/>
      <c r="N134" s="901"/>
      <c r="O134" s="901"/>
      <c r="P134" s="901"/>
      <c r="Q134" s="901"/>
      <c r="R134" s="901"/>
      <c r="S134" s="901"/>
      <c r="T134" s="901"/>
      <c r="U134" s="901"/>
      <c r="V134" s="901"/>
      <c r="W134" s="901"/>
      <c r="X134" s="901"/>
      <c r="Y134" s="901"/>
      <c r="Z134" s="901"/>
      <c r="AA134" s="901"/>
      <c r="AB134" s="901"/>
    </row>
    <row r="135" spans="1:28" s="287" customFormat="1" ht="19.149999999999999" customHeight="1">
      <c r="A135" s="1023"/>
      <c r="B135" s="1077" t="s">
        <v>826</v>
      </c>
      <c r="C135" s="1078">
        <f>C125*$A$124+$A$129*C130</f>
        <v>-0.16307164046534831</v>
      </c>
      <c r="D135" s="1078">
        <f t="shared" ref="D135:AB137" si="57">D125*$A$124+$A$129*D130</f>
        <v>7.0465704469453688E-2</v>
      </c>
      <c r="E135" s="1078">
        <f t="shared" si="57"/>
        <v>0.41371218262958204</v>
      </c>
      <c r="F135" s="1078">
        <f t="shared" si="57"/>
        <v>0.16558102373258973</v>
      </c>
      <c r="G135" s="1078">
        <f t="shared" si="57"/>
        <v>0.12226068290411488</v>
      </c>
      <c r="H135" s="1078">
        <f t="shared" si="57"/>
        <v>1.8897026763083916E-2</v>
      </c>
      <c r="I135" s="1078">
        <f t="shared" si="57"/>
        <v>0.17290247891428917</v>
      </c>
      <c r="J135" s="1078">
        <f t="shared" si="57"/>
        <v>0.11897318612546715</v>
      </c>
      <c r="K135" s="1078">
        <f t="shared" si="57"/>
        <v>0.15786613831178414</v>
      </c>
      <c r="L135" s="1078">
        <f t="shared" si="57"/>
        <v>0.1540401798808663</v>
      </c>
      <c r="M135" s="1078">
        <f t="shared" si="57"/>
        <v>0.11960311671850254</v>
      </c>
      <c r="N135" s="1078">
        <f t="shared" si="57"/>
        <v>0.11791651787394206</v>
      </c>
      <c r="O135" s="1078">
        <f t="shared" si="57"/>
        <v>0.11634997457878324</v>
      </c>
      <c r="P135" s="1078">
        <f t="shared" si="57"/>
        <v>0.11489538653882672</v>
      </c>
      <c r="Q135" s="1078">
        <f t="shared" si="57"/>
        <v>0.11354412835475725</v>
      </c>
      <c r="R135" s="1078">
        <f t="shared" si="57"/>
        <v>0.11228765957865297</v>
      </c>
      <c r="S135" s="1078">
        <f t="shared" si="57"/>
        <v>0.11111785309631098</v>
      </c>
      <c r="T135" s="1078">
        <f t="shared" si="57"/>
        <v>0.11002715012666492</v>
      </c>
      <c r="U135" s="1078">
        <f t="shared" si="57"/>
        <v>0.10900861684809163</v>
      </c>
      <c r="V135" s="1078">
        <f t="shared" si="57"/>
        <v>0.10805594626471818</v>
      </c>
      <c r="W135" s="1078">
        <f t="shared" si="57"/>
        <v>0.10716343079472568</v>
      </c>
      <c r="X135" s="1078">
        <f t="shared" si="57"/>
        <v>0.10632592045907435</v>
      </c>
      <c r="Y135" s="1078">
        <f t="shared" si="57"/>
        <v>0.10553877528782275</v>
      </c>
      <c r="Z135" s="1078">
        <f t="shared" si="57"/>
        <v>0.10479781684067498</v>
      </c>
      <c r="AA135" s="1078">
        <f t="shared" si="57"/>
        <v>0.10409928152214928</v>
      </c>
      <c r="AB135" s="1078">
        <f t="shared" si="57"/>
        <v>0.10343977705484046</v>
      </c>
    </row>
    <row r="136" spans="1:28" s="287" customFormat="1" ht="19.149999999999999" customHeight="1">
      <c r="A136" s="1023"/>
      <c r="B136" s="1081" t="s">
        <v>827</v>
      </c>
      <c r="C136" s="1082">
        <f>C126*$A$124+$A$129*C131</f>
        <v>-0.24432164046534832</v>
      </c>
      <c r="D136" s="1082">
        <f t="shared" ref="C136:R137" si="58">D126*$A$124+$A$129*D131</f>
        <v>-1.0784295530546301E-2</v>
      </c>
      <c r="E136" s="1082">
        <f t="shared" si="58"/>
        <v>0.33246218262958205</v>
      </c>
      <c r="F136" s="1082">
        <f t="shared" si="58"/>
        <v>8.433102373258973E-2</v>
      </c>
      <c r="G136" s="1082">
        <f t="shared" si="58"/>
        <v>4.1010682904114887E-2</v>
      </c>
      <c r="H136" s="1082">
        <f t="shared" si="58"/>
        <v>-6.235297323691609E-2</v>
      </c>
      <c r="I136" s="1082">
        <f t="shared" si="58"/>
        <v>9.1652478914289182E-2</v>
      </c>
      <c r="J136" s="1082">
        <f t="shared" si="58"/>
        <v>3.7723186125467156E-2</v>
      </c>
      <c r="K136" s="1082">
        <f t="shared" si="58"/>
        <v>7.661613831178414E-2</v>
      </c>
      <c r="L136" s="1082">
        <f t="shared" si="58"/>
        <v>7.2790179880866307E-2</v>
      </c>
      <c r="M136" s="1082">
        <f t="shared" si="58"/>
        <v>3.8353116718502556E-2</v>
      </c>
      <c r="N136" s="1082">
        <f t="shared" si="58"/>
        <v>3.6666517873942053E-2</v>
      </c>
      <c r="O136" s="1082">
        <f t="shared" si="58"/>
        <v>3.5099974578783236E-2</v>
      </c>
      <c r="P136" s="1082">
        <f t="shared" si="58"/>
        <v>3.3645386538826719E-2</v>
      </c>
      <c r="Q136" s="1082">
        <f t="shared" si="58"/>
        <v>3.2294128354757257E-2</v>
      </c>
      <c r="R136" s="1082">
        <f t="shared" si="58"/>
        <v>3.1037659578652968E-2</v>
      </c>
      <c r="S136" s="1082">
        <f t="shared" si="57"/>
        <v>2.9867853096310987E-2</v>
      </c>
      <c r="T136" s="1082">
        <f t="shared" si="57"/>
        <v>2.877715012666493E-2</v>
      </c>
      <c r="U136" s="1082">
        <f t="shared" si="57"/>
        <v>2.7758616848091638E-2</v>
      </c>
      <c r="V136" s="1082">
        <f t="shared" si="57"/>
        <v>2.6805946264718189E-2</v>
      </c>
      <c r="W136" s="1082">
        <f t="shared" si="57"/>
        <v>2.5913430794725675E-2</v>
      </c>
      <c r="X136" s="1082">
        <f t="shared" si="57"/>
        <v>2.507592045907435E-2</v>
      </c>
      <c r="Y136" s="1082">
        <f t="shared" si="57"/>
        <v>2.428877528782275E-2</v>
      </c>
      <c r="Z136" s="1082">
        <f t="shared" si="57"/>
        <v>2.3547816840674973E-2</v>
      </c>
      <c r="AA136" s="1082">
        <f t="shared" si="57"/>
        <v>2.2849281522149281E-2</v>
      </c>
      <c r="AB136" s="1082">
        <f t="shared" si="57"/>
        <v>2.2189777054840459E-2</v>
      </c>
    </row>
    <row r="137" spans="1:28" s="287" customFormat="1" ht="19.149999999999999" customHeight="1" thickBot="1">
      <c r="A137" s="1025"/>
      <c r="B137" s="1079" t="s">
        <v>830</v>
      </c>
      <c r="C137" s="1080">
        <f t="shared" si="58"/>
        <v>-0.35057164046534833</v>
      </c>
      <c r="D137" s="1080">
        <f t="shared" si="57"/>
        <v>-0.11703429553054631</v>
      </c>
      <c r="E137" s="1080">
        <f t="shared" si="57"/>
        <v>0.22621218262958204</v>
      </c>
      <c r="F137" s="1080">
        <f t="shared" si="57"/>
        <v>-2.1918976267410267E-2</v>
      </c>
      <c r="G137" s="1080">
        <f t="shared" si="57"/>
        <v>-6.523931709588511E-2</v>
      </c>
      <c r="H137" s="1080">
        <f t="shared" si="57"/>
        <v>-0.16860297323691609</v>
      </c>
      <c r="I137" s="1080">
        <f t="shared" si="57"/>
        <v>-1.4597521085710816E-2</v>
      </c>
      <c r="J137" s="1080">
        <f t="shared" si="57"/>
        <v>-6.8526813874532841E-2</v>
      </c>
      <c r="K137" s="1080">
        <f t="shared" si="57"/>
        <v>-2.9633861688215857E-2</v>
      </c>
      <c r="L137" s="1080">
        <f t="shared" si="57"/>
        <v>-3.345982011913369E-2</v>
      </c>
      <c r="M137" s="1080">
        <f t="shared" si="57"/>
        <v>-6.7896883281497442E-2</v>
      </c>
      <c r="N137" s="1080">
        <f t="shared" si="57"/>
        <v>-6.9583482126057944E-2</v>
      </c>
      <c r="O137" s="1080">
        <f t="shared" si="57"/>
        <v>-7.1150025421216762E-2</v>
      </c>
      <c r="P137" s="1080">
        <f t="shared" si="57"/>
        <v>-7.2604613461173279E-2</v>
      </c>
      <c r="Q137" s="1080">
        <f t="shared" si="57"/>
        <v>-7.3955871645242741E-2</v>
      </c>
      <c r="R137" s="1080">
        <f t="shared" si="57"/>
        <v>-7.5212340421347029E-2</v>
      </c>
      <c r="S137" s="1080">
        <f t="shared" si="57"/>
        <v>-7.638214690368901E-2</v>
      </c>
      <c r="T137" s="1080">
        <f t="shared" si="57"/>
        <v>-7.7472849873335067E-2</v>
      </c>
      <c r="U137" s="1080">
        <f t="shared" si="57"/>
        <v>-7.8491383151908359E-2</v>
      </c>
      <c r="V137" s="1080">
        <f t="shared" si="57"/>
        <v>-7.9444053735281808E-2</v>
      </c>
      <c r="W137" s="1080">
        <f t="shared" si="57"/>
        <v>-8.0336569205274322E-2</v>
      </c>
      <c r="X137" s="1080">
        <f t="shared" si="57"/>
        <v>-8.1174079540925648E-2</v>
      </c>
      <c r="Y137" s="1080">
        <f t="shared" si="57"/>
        <v>-8.1961224712177247E-2</v>
      </c>
      <c r="Z137" s="1080">
        <f t="shared" si="57"/>
        <v>-8.2702183159325024E-2</v>
      </c>
      <c r="AA137" s="1080">
        <f t="shared" si="57"/>
        <v>-8.3400718477850716E-2</v>
      </c>
      <c r="AB137" s="1080">
        <f t="shared" si="57"/>
        <v>-8.4060222945159538E-2</v>
      </c>
    </row>
    <row r="138" spans="1:28">
      <c r="A138" s="1036"/>
      <c r="B138" s="1037" t="s">
        <v>831</v>
      </c>
      <c r="C138" s="1038">
        <f>AVERAGE(C135:C137)</f>
        <v>-0.25265497379868163</v>
      </c>
      <c r="D138" s="1038">
        <f t="shared" ref="D138:AB138" si="59">AVERAGE(D135:D137)</f>
        <v>-1.9117628863879643E-2</v>
      </c>
      <c r="E138" s="1038">
        <f t="shared" si="59"/>
        <v>0.32412884929624869</v>
      </c>
      <c r="F138" s="1038">
        <f t="shared" si="59"/>
        <v>7.5997690399256398E-2</v>
      </c>
      <c r="G138" s="1038">
        <f t="shared" si="59"/>
        <v>3.2677349570781548E-2</v>
      </c>
      <c r="H138" s="1038">
        <f t="shared" si="59"/>
        <v>-7.0686306570249421E-2</v>
      </c>
      <c r="I138" s="1038">
        <f t="shared" si="59"/>
        <v>8.3319145580955836E-2</v>
      </c>
      <c r="J138" s="1038">
        <f t="shared" si="59"/>
        <v>2.9389852792133821E-2</v>
      </c>
      <c r="K138" s="1038">
        <f t="shared" si="59"/>
        <v>6.8282804978450809E-2</v>
      </c>
      <c r="L138" s="1038">
        <f t="shared" si="59"/>
        <v>6.4456846547532975E-2</v>
      </c>
      <c r="M138" s="1038">
        <f t="shared" si="59"/>
        <v>3.0019783385169221E-2</v>
      </c>
      <c r="N138" s="1038">
        <f t="shared" si="59"/>
        <v>2.8333184540608725E-2</v>
      </c>
      <c r="O138" s="1038">
        <f t="shared" si="59"/>
        <v>2.6766641245449908E-2</v>
      </c>
      <c r="P138" s="1038">
        <f t="shared" si="59"/>
        <v>2.5312053205493391E-2</v>
      </c>
      <c r="Q138" s="1038">
        <f t="shared" si="59"/>
        <v>2.3960795021423922E-2</v>
      </c>
      <c r="R138" s="1038">
        <f t="shared" si="59"/>
        <v>2.270432624531964E-2</v>
      </c>
      <c r="S138" s="1038">
        <f t="shared" si="59"/>
        <v>2.1534519762977652E-2</v>
      </c>
      <c r="T138" s="1038">
        <f t="shared" si="59"/>
        <v>2.0443816793331595E-2</v>
      </c>
      <c r="U138" s="1038">
        <f t="shared" si="59"/>
        <v>1.9425283514758303E-2</v>
      </c>
      <c r="V138" s="1038">
        <f t="shared" si="59"/>
        <v>1.8472612931384854E-2</v>
      </c>
      <c r="W138" s="1038">
        <f t="shared" si="59"/>
        <v>1.7580097461392347E-2</v>
      </c>
      <c r="X138" s="1038">
        <f t="shared" si="59"/>
        <v>1.6742587125741022E-2</v>
      </c>
      <c r="Y138" s="1038">
        <f t="shared" si="59"/>
        <v>1.5955441954489415E-2</v>
      </c>
      <c r="Z138" s="1038">
        <f t="shared" si="59"/>
        <v>1.5214483507341637E-2</v>
      </c>
      <c r="AA138" s="1038">
        <f t="shared" si="59"/>
        <v>1.4515948188815955E-2</v>
      </c>
      <c r="AB138" s="1038">
        <f t="shared" si="59"/>
        <v>1.3856443721507123E-2</v>
      </c>
    </row>
    <row r="139" spans="1:28">
      <c r="B139" s="10"/>
    </row>
    <row r="155" spans="1:1">
      <c r="A155" s="10" t="s">
        <v>832</v>
      </c>
    </row>
    <row r="157" spans="1:1" ht="15.6">
      <c r="A157" s="1066" t="s">
        <v>833</v>
      </c>
    </row>
    <row r="158" spans="1:1" ht="15">
      <c r="A158" s="1067"/>
    </row>
    <row r="159" spans="1:1" ht="15.6">
      <c r="A159" s="1066" t="s">
        <v>834</v>
      </c>
    </row>
  </sheetData>
  <mergeCells count="30">
    <mergeCell ref="M80:N80"/>
    <mergeCell ref="O80:Q80"/>
    <mergeCell ref="R80:T80"/>
    <mergeCell ref="M78:N78"/>
    <mergeCell ref="O78:Q78"/>
    <mergeCell ref="R78:T78"/>
    <mergeCell ref="M79:N79"/>
    <mergeCell ref="O79:Q79"/>
    <mergeCell ref="R79:T79"/>
    <mergeCell ref="O76:Q76"/>
    <mergeCell ref="R76:T76"/>
    <mergeCell ref="M77:N77"/>
    <mergeCell ref="O77:Q77"/>
    <mergeCell ref="R77:T77"/>
    <mergeCell ref="A33:AF33"/>
    <mergeCell ref="A78:A79"/>
    <mergeCell ref="A1:AF2"/>
    <mergeCell ref="A70:A76"/>
    <mergeCell ref="A5:A17"/>
    <mergeCell ref="A19:A32"/>
    <mergeCell ref="A43:A47"/>
    <mergeCell ref="G3:J3"/>
    <mergeCell ref="K3:AF3"/>
    <mergeCell ref="A42:AF42"/>
    <mergeCell ref="A48:AF48"/>
    <mergeCell ref="A34:A36"/>
    <mergeCell ref="A38:A41"/>
    <mergeCell ref="A49:A50"/>
    <mergeCell ref="A52:A68"/>
    <mergeCell ref="M76:N76"/>
  </mergeCells>
  <phoneticPr fontId="0" type="noConversion"/>
  <conditionalFormatting sqref="D75">
    <cfRule type="cellIs" dxfId="564" priority="4" operator="lessThan">
      <formula>0</formula>
    </cfRule>
    <cfRule type="cellIs" dxfId="563" priority="5" operator="greaterThan">
      <formula>0%</formula>
    </cfRule>
  </conditionalFormatting>
  <conditionalFormatting sqref="G43:AF43">
    <cfRule type="cellIs" dxfId="562" priority="3" operator="lessThan">
      <formula>0</formula>
    </cfRule>
  </conditionalFormatting>
  <conditionalFormatting sqref="U76:U80">
    <cfRule type="cellIs" dxfId="561" priority="1" operator="lessThan">
      <formula>$O$76</formula>
    </cfRule>
    <cfRule type="cellIs" dxfId="560" priority="2" operator="greaterThan">
      <formula>$O$76</formula>
    </cfRule>
  </conditionalFormatting>
  <hyperlinks>
    <hyperlink ref="A90" r:id="rId1" xr:uid="{4D5A5097-7C8B-854D-8FF3-27E415FEE0B5}"/>
    <hyperlink ref="A88" r:id="rId2" xr:uid="{EB87FA40-F63F-6349-AED9-70791A3391CA}"/>
    <hyperlink ref="A87" r:id="rId3" xr:uid="{FA3A11A7-D150-EC41-9F34-BA5BFB651120}"/>
    <hyperlink ref="M76:N76" r:id="rId4" display="https://www.acumenresearchandconsulting.com/lithium-compounds-market" xr:uid="{114FD511-B750-2C4D-9D9D-4B455B0ACD41}"/>
    <hyperlink ref="M78:N78" r:id="rId5" display="https://www.grandviewresearch.com/industry-analysis/lithium-market" xr:uid="{BDC37EFA-0EEB-2D4B-AC73-497366918D8D}"/>
    <hyperlink ref="M79:N79" r:id="rId6" display="https://straitsresearch.com/report/lithium-market" xr:uid="{381D2F72-3C6A-9C4F-80FB-75CDA857EDB5}"/>
    <hyperlink ref="M77:N77" r:id="rId7" display="https://www.mordorintelligence.com/industry-reports/lithium-market" xr:uid="{FD06A297-DD7D-0E46-91D6-4440D019C1FC}"/>
  </hyperlinks>
  <pageMargins left="0.75" right="0.75" top="1" bottom="1" header="0" footer="0"/>
  <pageSetup orientation="portrait" r:id="rId8"/>
  <headerFooter alignWithMargins="0"/>
  <legacyDrawing r:id="rId9"/>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FX1674"/>
  <sheetViews>
    <sheetView showGridLines="0" topLeftCell="A142" zoomScaleNormal="100" workbookViewId="0">
      <pane xSplit="2" topLeftCell="J1" activePane="topRight" state="frozen"/>
      <selection pane="topRight" activeCell="O149" sqref="O149"/>
      <selection activeCell="A91" sqref="A91"/>
    </sheetView>
  </sheetViews>
  <sheetFormatPr defaultColWidth="9.28515625" defaultRowHeight="13.15" outlineLevelRow="1"/>
  <cols>
    <col min="1" max="1" width="18" style="443" bestFit="1" customWidth="1"/>
    <col min="2" max="2" width="20.140625" style="443" customWidth="1"/>
    <col min="3" max="3" width="25" style="443" bestFit="1" customWidth="1"/>
    <col min="4" max="4" width="18" style="443" customWidth="1"/>
    <col min="5" max="5" width="21.7109375" style="443" bestFit="1" customWidth="1"/>
    <col min="6" max="6" width="25" style="443" bestFit="1" customWidth="1"/>
    <col min="7" max="7" width="16.42578125" style="443" bestFit="1" customWidth="1"/>
    <col min="8" max="8" width="27.140625" style="443" customWidth="1"/>
    <col min="9" max="9" width="21" style="443" bestFit="1" customWidth="1"/>
    <col min="10" max="10" width="27.28515625" style="443" customWidth="1"/>
    <col min="11" max="11" width="21.7109375" style="443" customWidth="1"/>
    <col min="12" max="12" width="21" style="443" bestFit="1" customWidth="1"/>
    <col min="13" max="13" width="26.42578125" style="443" bestFit="1" customWidth="1"/>
    <col min="14" max="14" width="21.7109375" style="443" bestFit="1" customWidth="1"/>
    <col min="15" max="15" width="29" style="443" customWidth="1"/>
    <col min="16" max="16" width="16.42578125" style="443" bestFit="1" customWidth="1"/>
    <col min="17" max="17" width="21.7109375" style="443" bestFit="1" customWidth="1"/>
    <col min="18" max="18" width="21" style="443" bestFit="1" customWidth="1"/>
    <col min="19" max="19" width="17" style="443" bestFit="1" customWidth="1"/>
    <col min="20" max="20" width="21.7109375" style="443" bestFit="1" customWidth="1"/>
    <col min="21" max="21" width="19.7109375" style="443" customWidth="1"/>
    <col min="22" max="22" width="16.42578125" style="443" bestFit="1" customWidth="1"/>
    <col min="23" max="23" width="21.7109375" style="443" bestFit="1" customWidth="1"/>
    <col min="24" max="24" width="21" style="443" bestFit="1" customWidth="1"/>
    <col min="25" max="25" width="16.42578125" style="443" bestFit="1" customWidth="1"/>
    <col min="26" max="26" width="21.7109375" style="443" bestFit="1" customWidth="1"/>
    <col min="27" max="27" width="21" style="443" bestFit="1" customWidth="1"/>
    <col min="28" max="31" width="14.7109375" style="443" bestFit="1" customWidth="1"/>
    <col min="32" max="32" width="18.28515625" style="443" customWidth="1"/>
    <col min="33" max="40" width="14.7109375" style="443" bestFit="1" customWidth="1"/>
    <col min="41" max="41" width="18.85546875" style="443" customWidth="1"/>
    <col min="42" max="48" width="14.7109375" style="443" bestFit="1" customWidth="1"/>
    <col min="49" max="122" width="16" style="443" bestFit="1" customWidth="1"/>
    <col min="123" max="123" width="11.28515625" style="443" customWidth="1"/>
    <col min="124" max="16384" width="9.28515625" style="443"/>
  </cols>
  <sheetData>
    <row r="2" spans="1:29" s="442" customFormat="1" ht="13.9">
      <c r="A2" s="439"/>
      <c r="B2" s="440" t="s">
        <v>835</v>
      </c>
      <c r="C2" s="441"/>
      <c r="D2" s="439"/>
      <c r="E2" s="439"/>
      <c r="F2" s="439"/>
      <c r="G2" s="439"/>
      <c r="H2" s="439"/>
      <c r="I2" s="439"/>
      <c r="J2" s="439"/>
      <c r="K2" s="439"/>
      <c r="L2" s="439"/>
      <c r="M2" s="439"/>
      <c r="N2" s="439"/>
      <c r="O2" s="439"/>
      <c r="P2" s="439"/>
      <c r="Q2" s="439"/>
      <c r="R2" s="439"/>
      <c r="S2" s="439"/>
      <c r="T2" s="439"/>
      <c r="U2" s="439"/>
      <c r="V2" s="439"/>
      <c r="W2" s="439"/>
      <c r="X2" s="439"/>
      <c r="Y2" s="439"/>
      <c r="Z2" s="439"/>
      <c r="AA2" s="439"/>
      <c r="AB2" s="439"/>
    </row>
    <row r="3" spans="1:29">
      <c r="C3" s="444"/>
    </row>
    <row r="4" spans="1:29">
      <c r="B4" s="443" t="s">
        <v>836</v>
      </c>
      <c r="F4" s="445"/>
      <c r="G4" s="446"/>
      <c r="H4" s="446"/>
      <c r="I4" s="446"/>
      <c r="J4" s="446"/>
      <c r="K4" s="446"/>
      <c r="L4" s="446"/>
    </row>
    <row r="5" spans="1:29">
      <c r="B5" s="443" t="s">
        <v>837</v>
      </c>
    </row>
    <row r="7" spans="1:29">
      <c r="B7" s="446"/>
      <c r="C7" s="458">
        <f>OP!J21</f>
        <v>2023</v>
      </c>
      <c r="D7" s="458">
        <f>C7-1</f>
        <v>2022</v>
      </c>
      <c r="E7" s="458">
        <f t="shared" ref="E7:G7" si="0">D7-1</f>
        <v>2021</v>
      </c>
      <c r="F7" s="458">
        <f t="shared" si="0"/>
        <v>2020</v>
      </c>
      <c r="G7" s="458">
        <f t="shared" si="0"/>
        <v>2019</v>
      </c>
      <c r="H7" s="458">
        <f t="shared" ref="H7" si="1">G7-1</f>
        <v>2018</v>
      </c>
      <c r="I7" s="458">
        <f t="shared" ref="I7" si="2">H7-1</f>
        <v>2017</v>
      </c>
      <c r="J7" s="458">
        <f t="shared" ref="J7" si="3">I7-1</f>
        <v>2016</v>
      </c>
      <c r="K7" s="458">
        <f t="shared" ref="K7:L7" si="4">J7-1</f>
        <v>2015</v>
      </c>
      <c r="L7" s="458">
        <f t="shared" si="4"/>
        <v>2014</v>
      </c>
      <c r="N7" s="445" t="s">
        <v>838</v>
      </c>
      <c r="O7" s="458" t="s">
        <v>839</v>
      </c>
      <c r="P7" s="445" t="s">
        <v>840</v>
      </c>
      <c r="Q7" s="445" t="s">
        <v>841</v>
      </c>
      <c r="S7" s="454" t="s">
        <v>842</v>
      </c>
      <c r="T7" s="454" t="s">
        <v>843</v>
      </c>
      <c r="U7" s="698" t="s">
        <v>844</v>
      </c>
    </row>
    <row r="8" spans="1:29">
      <c r="B8" s="660" t="s">
        <v>845</v>
      </c>
      <c r="C8" s="256">
        <f>('Inputs (AUD)'!B6-'Inputs (AUD)'!C6)/'Inputs (AUD)'!C6</f>
        <v>2.4162743779421656</v>
      </c>
      <c r="D8" s="256">
        <f>('Inputs (AUD)'!C6-'Inputs (AUD)'!D6)/'Inputs (AUD)'!D6</f>
        <v>5.7667804323094423</v>
      </c>
      <c r="E8" s="256">
        <f>('Inputs (AUD)'!D6-'Inputs (AUD)'!E6)/'Inputs (AUD)'!E6</f>
        <v>1.090368608799049</v>
      </c>
      <c r="F8" s="256">
        <f>('Inputs (AUD)'!E6-'Inputs (AUD)'!F6)/'Inputs (AUD)'!F6</f>
        <v>0.96495327102803741</v>
      </c>
      <c r="G8" s="256">
        <f>('Inputs (AUD)'!F6-'Inputs (AUD)'!G6)/'Inputs (AUD)'!G6</f>
        <v>3.1960784313725488</v>
      </c>
      <c r="H8" s="256" t="e">
        <f>('Inputs (AUD)'!G6-'Inputs (AUD)'!H6)/'Inputs (AUD)'!H6</f>
        <v>#DIV/0!</v>
      </c>
      <c r="I8" s="256" t="e">
        <f>('Inputs (AUD)'!H6-'Inputs (AUD)'!I6)/'Inputs (AUD)'!I6</f>
        <v>#DIV/0!</v>
      </c>
      <c r="J8" s="256">
        <f>('Inputs (AUD)'!I6-'Inputs (AUD)'!J6)/'Inputs (AUD)'!J6</f>
        <v>-1</v>
      </c>
      <c r="K8" s="256">
        <f>('Inputs (AUD)'!J6-'Inputs (AUD)'!K6)/'Inputs (AUD)'!K6</f>
        <v>-0.66666666666666663</v>
      </c>
      <c r="L8" s="256">
        <f>('Inputs (AUD)'!K6-'Inputs (AUD)'!L6)/'Inputs (AUD)'!L6</f>
        <v>-0.99993857493857485</v>
      </c>
      <c r="N8" s="450">
        <f>AVERAGE(C8:E8)</f>
        <v>3.0911411396835522</v>
      </c>
      <c r="O8" s="447">
        <f>AVERAGE(C8:G8)</f>
        <v>2.6868910242902482</v>
      </c>
      <c r="P8" s="450" t="e">
        <f>AVERAGE(C8:L8)</f>
        <v>#DIV/0!</v>
      </c>
      <c r="Q8" s="450" t="e">
        <f>AVERAGE(C8,F8:L8)</f>
        <v>#DIV/0!</v>
      </c>
      <c r="S8" s="455">
        <f>N8/3</f>
        <v>1.0303803798945175</v>
      </c>
      <c r="T8" s="455">
        <f>O8/10</f>
        <v>0.26868910242902483</v>
      </c>
    </row>
    <row r="9" spans="1:29">
      <c r="B9" s="660" t="s">
        <v>136</v>
      </c>
      <c r="C9" s="256">
        <f>'Inputs (AUD)'!B8/'Inputs (AUD)'!B6</f>
        <v>0.79032972440944882</v>
      </c>
      <c r="D9" s="256">
        <f>'Inputs (AUD)'!C8/'Inputs (AUD)'!C6</f>
        <v>0.61524882313382656</v>
      </c>
      <c r="E9" s="256">
        <f>'Inputs (AUD)'!D8/'Inputs (AUD)'!D6</f>
        <v>-0.19908987485779292</v>
      </c>
      <c r="F9" s="256">
        <f>'Inputs (AUD)'!E8/'Inputs (AUD)'!E6</f>
        <v>-0.85136741973840668</v>
      </c>
      <c r="G9" s="256">
        <f>'Inputs (AUD)'!F8/'Inputs (AUD)'!F6</f>
        <v>-0.43224299065420563</v>
      </c>
      <c r="H9" s="256">
        <f>'Inputs (AUD)'!G8/'Inputs (AUD)'!G6</f>
        <v>-1.6568627450980391</v>
      </c>
      <c r="I9" s="256" t="e">
        <f>'Inputs (AUD)'!H8/'Inputs (AUD)'!H6</f>
        <v>#DIV/0!</v>
      </c>
      <c r="J9" s="256" t="e">
        <f>'Inputs (AUD)'!I8/'Inputs (AUD)'!I6</f>
        <v>#DIV/0!</v>
      </c>
      <c r="K9" s="256">
        <f>'Inputs (AUD)'!J8/'Inputs (AUD)'!J6</f>
        <v>-52</v>
      </c>
      <c r="L9" s="256">
        <f>'Inputs (AUD)'!K8/'Inputs (AUD)'!K6</f>
        <v>-10</v>
      </c>
      <c r="N9" s="450">
        <f>AVERAGE(C9:E9)</f>
        <v>0.40216289089516083</v>
      </c>
      <c r="O9" s="447">
        <f>AVERAGE(C9:G9)</f>
        <v>-1.5424347541425975E-2</v>
      </c>
      <c r="P9" s="450" t="e">
        <f>AVERAGE(C9:L9)</f>
        <v>#DIV/0!</v>
      </c>
      <c r="Q9" s="450" t="e">
        <f t="shared" ref="Q9:Q10" si="5">AVERAGE(C9,F9:L9)</f>
        <v>#DIV/0!</v>
      </c>
      <c r="S9" s="455">
        <f>N9/2</f>
        <v>0.20108144544758041</v>
      </c>
      <c r="T9" s="455">
        <v>0.15</v>
      </c>
    </row>
    <row r="10" spans="1:29">
      <c r="Q10" s="450" t="e">
        <f t="shared" si="5"/>
        <v>#DIV/0!</v>
      </c>
    </row>
    <row r="12" spans="1:29" s="442" customFormat="1" ht="13.9">
      <c r="A12" s="439"/>
      <c r="B12" s="441" t="s">
        <v>846</v>
      </c>
      <c r="C12" s="441"/>
      <c r="D12" s="439"/>
      <c r="E12" s="439"/>
      <c r="F12" s="439"/>
      <c r="G12" s="439"/>
      <c r="H12" s="439"/>
      <c r="I12" s="439"/>
      <c r="J12" s="439"/>
      <c r="K12" s="439"/>
      <c r="L12" s="439"/>
      <c r="M12" s="439"/>
      <c r="N12" s="439"/>
      <c r="O12" s="439"/>
      <c r="P12" s="439"/>
      <c r="Q12" s="439"/>
      <c r="R12" s="439"/>
      <c r="S12" s="439"/>
      <c r="T12" s="439"/>
      <c r="U12" s="439"/>
      <c r="V12" s="439"/>
      <c r="W12" s="439"/>
      <c r="X12" s="439"/>
      <c r="Y12" s="439"/>
      <c r="Z12" s="439"/>
      <c r="AA12" s="439"/>
      <c r="AB12" s="439"/>
    </row>
    <row r="13" spans="1:29" ht="13.9">
      <c r="A13" s="456"/>
      <c r="B13" s="457"/>
      <c r="C13" s="457"/>
      <c r="D13" s="456"/>
      <c r="E13" s="456"/>
      <c r="F13" s="456"/>
      <c r="G13" s="456"/>
      <c r="H13" s="456"/>
      <c r="I13" s="456"/>
      <c r="J13" s="456"/>
      <c r="K13" s="456"/>
      <c r="L13" s="456"/>
      <c r="M13" s="456"/>
      <c r="N13" s="456"/>
      <c r="O13" s="456"/>
      <c r="P13" s="456"/>
      <c r="Q13" s="456"/>
      <c r="R13" s="456"/>
      <c r="S13" s="456"/>
      <c r="T13" s="456"/>
      <c r="U13" s="456"/>
      <c r="V13" s="456"/>
      <c r="W13" s="456"/>
      <c r="X13" s="456"/>
      <c r="Y13" s="456"/>
      <c r="Z13" s="456"/>
      <c r="AA13" s="456"/>
      <c r="AB13" s="456"/>
    </row>
    <row r="14" spans="1:29" ht="14.45">
      <c r="C14" s="1498" t="s">
        <v>847</v>
      </c>
      <c r="D14" s="1498"/>
      <c r="E14" s="1498"/>
      <c r="F14" s="1498"/>
      <c r="G14" s="1498"/>
      <c r="H14" s="1498"/>
      <c r="I14" s="1498"/>
      <c r="J14" s="1498"/>
      <c r="K14" s="1498"/>
      <c r="L14" s="1498"/>
    </row>
    <row r="15" spans="1:29" ht="14.45">
      <c r="B15" s="448"/>
      <c r="C15" s="453">
        <f>OP!J21</f>
        <v>2023</v>
      </c>
      <c r="D15" s="453">
        <f>D7</f>
        <v>2022</v>
      </c>
      <c r="E15" s="453">
        <f>E7</f>
        <v>2021</v>
      </c>
      <c r="F15" s="453">
        <f>F7</f>
        <v>2020</v>
      </c>
      <c r="G15" s="453">
        <f>G7</f>
        <v>2019</v>
      </c>
      <c r="H15" s="453">
        <f t="shared" ref="H15:L15" si="6">H7</f>
        <v>2018</v>
      </c>
      <c r="I15" s="453">
        <f t="shared" si="6"/>
        <v>2017</v>
      </c>
      <c r="J15" s="453">
        <f t="shared" si="6"/>
        <v>2016</v>
      </c>
      <c r="K15" s="453">
        <f t="shared" si="6"/>
        <v>2015</v>
      </c>
      <c r="L15" s="453">
        <f t="shared" si="6"/>
        <v>2014</v>
      </c>
      <c r="N15" s="445" t="s">
        <v>838</v>
      </c>
      <c r="O15" s="662" t="s">
        <v>839</v>
      </c>
      <c r="P15" s="445" t="s">
        <v>840</v>
      </c>
      <c r="Q15" s="445" t="s">
        <v>841</v>
      </c>
      <c r="S15" s="454" t="s">
        <v>842</v>
      </c>
      <c r="T15" s="454" t="s">
        <v>843</v>
      </c>
    </row>
    <row r="16" spans="1:29">
      <c r="B16" s="660" t="s">
        <v>729</v>
      </c>
      <c r="C16" s="449">
        <f>'Inputs (AUD)'!B61/'Inputs (AUD)'!B95</f>
        <v>9.7446891444162933E-4</v>
      </c>
      <c r="D16" s="449">
        <f>'Inputs (AUD)'!C61/'Inputs (AUD)'!C95</f>
        <v>6.9741954767360754E-4</v>
      </c>
      <c r="E16" s="449" t="e">
        <f>'Inputs (AUD)'!D61/'Inputs (AUD)'!D95</f>
        <v>#DIV/0!</v>
      </c>
      <c r="F16" s="449" t="e">
        <f>'Inputs (AUD)'!E61/'Inputs (AUD)'!E95</f>
        <v>#DIV/0!</v>
      </c>
      <c r="G16" s="659" t="s">
        <v>304</v>
      </c>
      <c r="H16" s="449" t="e">
        <f>'Inputs (AUD)'!G61/'Inputs (AUD)'!G95</f>
        <v>#DIV/0!</v>
      </c>
      <c r="I16" s="449" t="e">
        <f>'Inputs (AUD)'!H61/'Inputs (AUD)'!H95</f>
        <v>#DIV/0!</v>
      </c>
      <c r="J16" s="449">
        <f>'Inputs (AUD)'!I61/'Inputs (AUD)'!I95</f>
        <v>7.6923076923076927E-3</v>
      </c>
      <c r="K16" s="449" t="e">
        <f>'Inputs (AUD)'!J61/'Inputs (AUD)'!J95</f>
        <v>#DIV/0!</v>
      </c>
      <c r="L16" s="449" t="e">
        <f>'Inputs (AUD)'!K61/'Inputs (AUD)'!K95</f>
        <v>#DIV/0!</v>
      </c>
      <c r="N16" s="450" t="e">
        <f>AVERAGE(C16:E16)</f>
        <v>#DIV/0!</v>
      </c>
      <c r="O16" s="450" t="e">
        <f>AVERAGE(C16:F16)</f>
        <v>#DIV/0!</v>
      </c>
      <c r="P16" s="450" t="e">
        <f>AVERAGE(C16:L16)</f>
        <v>#DIV/0!</v>
      </c>
      <c r="Q16" s="450" t="e">
        <f t="shared" ref="Q16:Q31" si="7">AVERAGE(C16,F16:L16)</f>
        <v>#DIV/0!</v>
      </c>
      <c r="S16" s="455">
        <v>0.03</v>
      </c>
      <c r="T16" s="455">
        <v>0.04</v>
      </c>
      <c r="U16" s="443" t="s">
        <v>848</v>
      </c>
      <c r="AC16" s="451"/>
    </row>
    <row r="17" spans="2:24">
      <c r="B17" s="660" t="s">
        <v>731</v>
      </c>
      <c r="C17" s="498" t="s">
        <v>849</v>
      </c>
      <c r="D17" s="498" t="s">
        <v>849</v>
      </c>
      <c r="E17" s="498" t="s">
        <v>849</v>
      </c>
      <c r="F17" s="498" t="s">
        <v>849</v>
      </c>
      <c r="G17" s="498" t="s">
        <v>849</v>
      </c>
      <c r="H17" s="498" t="s">
        <v>849</v>
      </c>
      <c r="I17" s="498" t="s">
        <v>849</v>
      </c>
      <c r="J17" s="498" t="s">
        <v>849</v>
      </c>
      <c r="K17" s="498" t="s">
        <v>849</v>
      </c>
      <c r="L17" s="498" t="s">
        <v>849</v>
      </c>
      <c r="N17" s="450" t="e">
        <f t="shared" ref="N17:N31" si="8">AVERAGE(C17:E17)</f>
        <v>#DIV/0!</v>
      </c>
      <c r="O17" s="498" t="s">
        <v>849</v>
      </c>
      <c r="P17" s="450" t="e">
        <f t="shared" ref="P17:P31" si="9">AVERAGE(C17:L17)</f>
        <v>#DIV/0!</v>
      </c>
      <c r="Q17" s="450" t="e">
        <f t="shared" si="7"/>
        <v>#DIV/0!</v>
      </c>
      <c r="S17" s="455"/>
      <c r="T17" s="455"/>
    </row>
    <row r="18" spans="2:24">
      <c r="B18" s="660" t="s">
        <v>733</v>
      </c>
      <c r="C18" s="449">
        <f>-'Inputs (AUD)'!B103/'Fin. Data'!B5</f>
        <v>-3.1496062992125988E-3</v>
      </c>
      <c r="D18" s="449">
        <f>-'Inputs (AUD)'!C103/'Fin. Data'!C5</f>
        <v>0</v>
      </c>
      <c r="E18" s="449">
        <f>-'Inputs (AUD)'!D103/'Fin. Data'!D5</f>
        <v>0</v>
      </c>
      <c r="F18" s="449">
        <f>-'Inputs (AUD)'!E103/'Fin. Data'!E5</f>
        <v>0</v>
      </c>
      <c r="G18" s="449">
        <f>-'Inputs (AUD)'!F103/'Fin. Data'!F5</f>
        <v>0</v>
      </c>
      <c r="H18" s="449">
        <f>-'Inputs (AUD)'!G103/'Fin. Data'!G5</f>
        <v>0</v>
      </c>
      <c r="I18" s="449" t="e">
        <f>-'Inputs (AUD)'!H103/'Fin. Data'!H5</f>
        <v>#DIV/0!</v>
      </c>
      <c r="J18" s="449" t="e">
        <f>-'Inputs (AUD)'!I103/'Fin. Data'!I5</f>
        <v>#DIV/0!</v>
      </c>
      <c r="K18" s="449">
        <f>-'Inputs (AUD)'!J103/'Fin. Data'!J5</f>
        <v>0</v>
      </c>
      <c r="L18" s="449">
        <f>-'Inputs (AUD)'!K103/'Fin. Data'!K5</f>
        <v>0</v>
      </c>
      <c r="N18" s="450">
        <f t="shared" si="8"/>
        <v>-1.0498687664041997E-3</v>
      </c>
      <c r="O18" s="450">
        <f>AVERAGE(C18:G18)</f>
        <v>-6.2992125984251976E-4</v>
      </c>
      <c r="P18" s="450" t="e">
        <f t="shared" si="9"/>
        <v>#DIV/0!</v>
      </c>
      <c r="Q18" s="450" t="e">
        <f t="shared" si="7"/>
        <v>#DIV/0!</v>
      </c>
      <c r="S18" s="455">
        <v>0</v>
      </c>
      <c r="T18" s="455">
        <v>0.02</v>
      </c>
      <c r="U18" s="443" t="s">
        <v>850</v>
      </c>
    </row>
    <row r="19" spans="2:24">
      <c r="B19" s="660" t="s">
        <v>735</v>
      </c>
      <c r="C19" s="449">
        <f>-'Fin. Data'!B21/('Fin. Data'!B11+'Fin. Data'!B14+'Fin. Data'!B15)</f>
        <v>0.29079044935488652</v>
      </c>
      <c r="D19" s="449">
        <f>-'Fin. Data'!C21/('Fin. Data'!C11+'Fin. Data'!C14+'Fin. Data'!C15)</f>
        <v>0.22510344827586209</v>
      </c>
      <c r="E19" s="449">
        <f>-'Fin. Data'!D21/('Fin. Data'!D11+'Fin. Data'!D14+'Fin. Data'!D15)</f>
        <v>0</v>
      </c>
      <c r="F19" s="449">
        <f>-'Fin. Data'!E21/('Fin. Data'!E11+'Fin. Data'!E14+'Fin. Data'!E15)</f>
        <v>0</v>
      </c>
      <c r="G19" s="449">
        <f>-'Fin. Data'!F21/('Fin. Data'!F11+'Fin. Data'!F14+'Fin. Data'!F15)</f>
        <v>0</v>
      </c>
      <c r="H19" s="449">
        <f>-'Fin. Data'!G21/('Fin. Data'!G11+'Fin. Data'!G14+'Fin. Data'!G15)</f>
        <v>0</v>
      </c>
      <c r="I19" s="449">
        <f>-'Fin. Data'!H21/('Fin. Data'!H11+'Fin. Data'!H14+'Fin. Data'!H15)</f>
        <v>0</v>
      </c>
      <c r="J19" s="449">
        <f>-'Fin. Data'!I21/('Fin. Data'!I11+'Fin. Data'!I14+'Fin. Data'!I15)</f>
        <v>-3.6101083032490972E-3</v>
      </c>
      <c r="K19" s="449">
        <f>-'Fin. Data'!J21/('Fin. Data'!J11+'Fin. Data'!J14+'Fin. Data'!J15)</f>
        <v>1.785714285714286E-2</v>
      </c>
      <c r="L19" s="449">
        <f>-'Fin. Data'!K21/('Fin. Data'!K11+'Fin. Data'!K14+'Fin. Data'!K15)</f>
        <v>0</v>
      </c>
      <c r="N19" s="450">
        <f t="shared" si="8"/>
        <v>0.17196463254358285</v>
      </c>
      <c r="O19" s="450">
        <f>AVERAGE(C19:G19)</f>
        <v>0.10317877952614971</v>
      </c>
      <c r="P19" s="450">
        <f t="shared" si="9"/>
        <v>5.3014093218464231E-2</v>
      </c>
      <c r="Q19" s="450">
        <f t="shared" si="7"/>
        <v>3.8129685488597534E-2</v>
      </c>
      <c r="S19" s="455">
        <v>0.25</v>
      </c>
      <c r="T19" s="455">
        <v>0.3</v>
      </c>
      <c r="U19" s="443" t="s">
        <v>851</v>
      </c>
      <c r="V19" s="450"/>
      <c r="W19" s="450"/>
    </row>
    <row r="20" spans="2:24">
      <c r="B20" s="660" t="s">
        <v>737</v>
      </c>
      <c r="C20" s="498">
        <f>0/'Fin. Data'!B58</f>
        <v>0</v>
      </c>
      <c r="D20" s="498" t="s">
        <v>849</v>
      </c>
      <c r="E20" s="498" t="s">
        <v>849</v>
      </c>
      <c r="F20" s="498" t="s">
        <v>849</v>
      </c>
      <c r="G20" s="498" t="s">
        <v>849</v>
      </c>
      <c r="H20" s="498" t="s">
        <v>849</v>
      </c>
      <c r="I20" s="498" t="s">
        <v>849</v>
      </c>
      <c r="J20" s="498" t="s">
        <v>849</v>
      </c>
      <c r="K20" s="498" t="s">
        <v>849</v>
      </c>
      <c r="L20" s="498" t="s">
        <v>849</v>
      </c>
      <c r="N20" s="450">
        <f t="shared" si="8"/>
        <v>0</v>
      </c>
      <c r="O20" s="498" t="s">
        <v>849</v>
      </c>
      <c r="P20" s="450">
        <f t="shared" si="9"/>
        <v>0</v>
      </c>
      <c r="Q20" s="450">
        <f t="shared" si="7"/>
        <v>0</v>
      </c>
      <c r="S20" s="455"/>
      <c r="T20" s="455"/>
    </row>
    <row r="21" spans="2:24">
      <c r="B21" s="660" t="s">
        <v>739</v>
      </c>
      <c r="C21" s="498">
        <f>0/'Inputs (AUD)'!B28</f>
        <v>0</v>
      </c>
      <c r="D21" s="498" t="s">
        <v>849</v>
      </c>
      <c r="E21" s="498" t="s">
        <v>849</v>
      </c>
      <c r="F21" s="498" t="s">
        <v>849</v>
      </c>
      <c r="G21" s="498" t="s">
        <v>849</v>
      </c>
      <c r="H21" s="498" t="s">
        <v>849</v>
      </c>
      <c r="I21" s="498" t="s">
        <v>849</v>
      </c>
      <c r="J21" s="498" t="s">
        <v>849</v>
      </c>
      <c r="K21" s="498" t="s">
        <v>849</v>
      </c>
      <c r="L21" s="498" t="s">
        <v>849</v>
      </c>
      <c r="N21" s="450">
        <f t="shared" si="8"/>
        <v>0</v>
      </c>
      <c r="O21" s="498" t="s">
        <v>849</v>
      </c>
      <c r="P21" s="450">
        <f t="shared" si="9"/>
        <v>0</v>
      </c>
      <c r="Q21" s="450">
        <f t="shared" si="7"/>
        <v>0</v>
      </c>
      <c r="S21" s="455"/>
      <c r="T21" s="455"/>
    </row>
    <row r="22" spans="2:24">
      <c r="B22" s="660" t="s">
        <v>741</v>
      </c>
      <c r="C22" s="449">
        <f>'Inputs (AUD)'!B33/'Inputs (AUD)'!C33-1</f>
        <v>0.47491211249600496</v>
      </c>
      <c r="D22" s="449">
        <f>'Inputs (AUD)'!C33/'Inputs (AUD)'!D33-1</f>
        <v>0.19473081328751429</v>
      </c>
      <c r="E22" s="449">
        <f>'Inputs (AUD)'!D33/'Inputs (AUD)'!E33-1</f>
        <v>0.60740589198036021</v>
      </c>
      <c r="F22" s="449">
        <f>'Inputs (AUD)'!E33/'Inputs (AUD)'!F33-1</f>
        <v>0.11015216897569835</v>
      </c>
      <c r="G22" s="449">
        <f>'Inputs (AUD)'!F33/'Inputs (AUD)'!G33-1</f>
        <v>0.16082256788821514</v>
      </c>
      <c r="H22" s="449">
        <f>'Inputs (AUD)'!G33/'Inputs (AUD)'!H33-1</f>
        <v>2.4263775971093042</v>
      </c>
      <c r="I22" s="449">
        <f>'Inputs (AUD)'!H33/'Inputs (AUD)'!I33-1</f>
        <v>99.636363636363626</v>
      </c>
      <c r="J22" s="449">
        <f>'Inputs (AUD)'!I33/'Inputs (AUD)'!J33-1</f>
        <v>-0.42105263157894735</v>
      </c>
      <c r="K22" s="449">
        <f>'Inputs (AUD)'!J33/'Inputs (AUD)'!K33-1</f>
        <v>-0.38709677419354849</v>
      </c>
      <c r="L22" s="449">
        <f>'Inputs (AUD)'!K33/'Inputs (AUD)'!L33-1</f>
        <v>6.8965517241379448E-2</v>
      </c>
      <c r="N22" s="450">
        <f t="shared" si="8"/>
        <v>0.42568293925462647</v>
      </c>
      <c r="O22" s="450">
        <f>AVERAGE(C22:G22)</f>
        <v>0.30960471092555858</v>
      </c>
      <c r="P22" s="450">
        <f t="shared" si="9"/>
        <v>10.287158089956961</v>
      </c>
      <c r="Q22" s="450">
        <f t="shared" si="7"/>
        <v>12.758680524287717</v>
      </c>
      <c r="S22" s="455"/>
      <c r="T22" s="455"/>
    </row>
    <row r="23" spans="2:24">
      <c r="B23" s="660" t="s">
        <v>743</v>
      </c>
      <c r="C23" s="449">
        <f>'Inputs (AUD)'!B62/('Inputs (AUD)'!B6-'Inputs (AUD)'!C6)</f>
        <v>1.454216532145839E-2</v>
      </c>
      <c r="D23" s="449">
        <f>'Inputs (AUD)'!C62/('Inputs (AUD)'!C6-'Inputs (AUD)'!D6)</f>
        <v>-9.4693233379364774E-3</v>
      </c>
      <c r="E23" s="449">
        <f>'Inputs (AUD)'!D62/('Inputs (AUD)'!D6-'Inputs (AUD)'!E6)</f>
        <v>-5.6706652126499446E-2</v>
      </c>
      <c r="F23" s="449">
        <f>'Inputs (AUD)'!E62/('Inputs (AUD)'!E6-'Inputs (AUD)'!F6)</f>
        <v>-0.14043583535108958</v>
      </c>
      <c r="G23" s="449">
        <f>'Inputs (AUD)'!F62/('Inputs (AUD)'!F6-'Inputs (AUD)'!G6)</f>
        <v>-0.12269938650306751</v>
      </c>
      <c r="H23" s="449">
        <f>'Inputs (AUD)'!G62/('Inputs (AUD)'!G6-'Inputs (AUD)'!H6)</f>
        <v>-0.19607843137254904</v>
      </c>
      <c r="I23" s="449" t="e">
        <f>'Inputs (AUD)'!H62/('Inputs (AUD)'!H6-'Inputs (AUD)'!I6)</f>
        <v>#DIV/0!</v>
      </c>
      <c r="J23" s="449">
        <f>'Inputs (AUD)'!I62/('Inputs (AUD)'!I6-'Inputs (AUD)'!J6)</f>
        <v>95.999999999999986</v>
      </c>
      <c r="K23" s="449">
        <f>'Inputs (AUD)'!J62/('Inputs (AUD)'!J6-'Inputs (AUD)'!K6)</f>
        <v>0</v>
      </c>
      <c r="L23" s="449">
        <f>'Inputs (AUD)'!K62/('Inputs (AUD)'!K6-'Inputs (AUD)'!L6)</f>
        <v>0</v>
      </c>
      <c r="N23" s="450">
        <f t="shared" si="8"/>
        <v>-1.7211270047659179E-2</v>
      </c>
      <c r="O23" s="450">
        <f>AVERAGE(C23:G23)</f>
        <v>-6.2953806399426923E-2</v>
      </c>
      <c r="P23" s="450" t="e">
        <f t="shared" si="9"/>
        <v>#DIV/0!</v>
      </c>
      <c r="Q23" s="450" t="e">
        <f t="shared" si="7"/>
        <v>#DIV/0!</v>
      </c>
      <c r="S23" s="455">
        <v>2.5000000000000001E-2</v>
      </c>
      <c r="T23" s="455">
        <v>4.4999999999999998E-2</v>
      </c>
    </row>
    <row r="24" spans="2:24">
      <c r="B24" s="660" t="s">
        <v>745</v>
      </c>
      <c r="C24" s="498" t="s">
        <v>849</v>
      </c>
      <c r="D24" s="498" t="s">
        <v>849</v>
      </c>
      <c r="E24" s="498" t="s">
        <v>849</v>
      </c>
      <c r="F24" s="498" t="s">
        <v>849</v>
      </c>
      <c r="G24" s="498" t="s">
        <v>849</v>
      </c>
      <c r="H24" s="498" t="s">
        <v>849</v>
      </c>
      <c r="I24" s="498" t="s">
        <v>849</v>
      </c>
      <c r="J24" s="498" t="s">
        <v>849</v>
      </c>
      <c r="K24" s="498" t="s">
        <v>849</v>
      </c>
      <c r="L24" s="498" t="s">
        <v>849</v>
      </c>
      <c r="N24" s="450" t="e">
        <f t="shared" si="8"/>
        <v>#DIV/0!</v>
      </c>
      <c r="O24" s="498" t="s">
        <v>849</v>
      </c>
      <c r="P24" s="450" t="e">
        <f t="shared" si="9"/>
        <v>#DIV/0!</v>
      </c>
      <c r="Q24" s="450" t="e">
        <f t="shared" si="7"/>
        <v>#DIV/0!</v>
      </c>
      <c r="S24" s="455"/>
      <c r="T24" s="455"/>
      <c r="V24" s="541"/>
      <c r="W24" s="450"/>
      <c r="X24" s="450"/>
    </row>
    <row r="25" spans="2:24">
      <c r="B25" s="660" t="s">
        <v>852</v>
      </c>
      <c r="C25" s="449">
        <f>-'Fin. Data'!B32/'Fin. Data'!B5</f>
        <v>9.4857283464566927E-2</v>
      </c>
      <c r="D25" s="449">
        <f>-'Fin. Data'!C32/'Fin. Data'!C5</f>
        <v>0.1078513786146604</v>
      </c>
      <c r="E25" s="449">
        <f>-'Fin. Data'!D32/'Fin. Data'!D5</f>
        <v>0.11660978384527872</v>
      </c>
      <c r="F25" s="449">
        <f>-'Fin. Data'!E32/'Fin. Data'!E5</f>
        <v>0.26872770511296079</v>
      </c>
      <c r="G25" s="449">
        <f>-'Fin. Data'!F32/'Fin. Data'!F5</f>
        <v>4.16588785046729</v>
      </c>
      <c r="H25" s="449">
        <f>-'Fin. Data'!G32/'Fin. Data'!G5</f>
        <v>21.480392156862745</v>
      </c>
      <c r="I25" s="449" t="e">
        <f>-'Fin. Data'!H32/'Fin. Data'!H5</f>
        <v>#DIV/0!</v>
      </c>
      <c r="J25" s="449" t="e">
        <f>-'Fin. Data'!I32/'Fin. Data'!I5</f>
        <v>#DIV/0!</v>
      </c>
      <c r="K25" s="449">
        <f>-'Fin. Data'!J32/'Fin. Data'!J5</f>
        <v>5.9999999999999991</v>
      </c>
      <c r="L25" s="449">
        <f>-'Fin. Data'!K32/'Fin. Data'!K5</f>
        <v>5.3333333333333339</v>
      </c>
      <c r="N25" s="450">
        <f t="shared" si="8"/>
        <v>0.10643948197483534</v>
      </c>
      <c r="O25" s="450">
        <f>AVERAGE(C25:G25)</f>
        <v>0.95078680030095131</v>
      </c>
      <c r="P25" s="450" t="e">
        <f t="shared" si="9"/>
        <v>#DIV/0!</v>
      </c>
      <c r="Q25" s="450" t="e">
        <f t="shared" si="7"/>
        <v>#DIV/0!</v>
      </c>
      <c r="S25" s="455">
        <v>7.0000000000000007E-2</v>
      </c>
      <c r="T25" s="455">
        <v>0.09</v>
      </c>
      <c r="V25" s="541"/>
      <c r="W25" s="450"/>
      <c r="X25" s="450"/>
    </row>
    <row r="26" spans="2:24">
      <c r="B26" s="660" t="s">
        <v>748</v>
      </c>
      <c r="C26" s="449">
        <f>'Fin. Data'!B33/'Fin. Data'!B5</f>
        <v>-5.5118110236220472E-3</v>
      </c>
      <c r="D26" s="449">
        <f>'Fin. Data'!C33/'Fin. Data'!C5</f>
        <v>-6.4055144586415605E-2</v>
      </c>
      <c r="E26" s="449">
        <f>'Fin. Data'!D33/'Fin. Data'!D5</f>
        <v>-1.1962457337883958</v>
      </c>
      <c r="F26" s="449">
        <f>'Fin. Data'!E33/'Fin. Data'!E5</f>
        <v>0</v>
      </c>
      <c r="G26" s="449">
        <f>'Fin. Data'!F33/'Fin. Data'!F5</f>
        <v>0</v>
      </c>
      <c r="H26" s="449">
        <f>'Fin. Data'!G33/'Fin. Data'!G5</f>
        <v>0.42156862745098039</v>
      </c>
      <c r="I26" s="449" t="e">
        <f>'Fin. Data'!H33/'Fin. Data'!H5</f>
        <v>#DIV/0!</v>
      </c>
      <c r="J26" s="449" t="e">
        <f>'Fin. Data'!I33/'Fin. Data'!I5</f>
        <v>#DIV/0!</v>
      </c>
      <c r="K26" s="449">
        <f>'Fin. Data'!J33/'Fin. Data'!J5</f>
        <v>-10</v>
      </c>
      <c r="L26" s="449">
        <f>'Fin. Data'!K33/'Fin. Data'!K5</f>
        <v>0</v>
      </c>
      <c r="N26" s="450">
        <f t="shared" si="8"/>
        <v>-0.42193756313281111</v>
      </c>
      <c r="O26" s="450">
        <f>AVERAGE(C26:G26)</f>
        <v>-0.25316253787968668</v>
      </c>
      <c r="P26" s="450" t="e">
        <f t="shared" si="9"/>
        <v>#DIV/0!</v>
      </c>
      <c r="Q26" s="450" t="e">
        <f t="shared" si="7"/>
        <v>#DIV/0!</v>
      </c>
      <c r="S26" s="455"/>
      <c r="T26" s="455"/>
      <c r="V26" s="541"/>
      <c r="W26" s="450"/>
      <c r="X26" s="450"/>
    </row>
    <row r="27" spans="2:24">
      <c r="B27" s="660" t="s">
        <v>146</v>
      </c>
      <c r="C27" s="449">
        <f>-'Fin. Data'!B27/('Fin. Data'!B67-'Fin. Data'!B68)</f>
        <v>8.5336507361502834E-2</v>
      </c>
      <c r="D27" s="449">
        <f>-'Fin. Data'!C27/('Fin. Data'!C67-'Fin. Data'!C68)</f>
        <v>0</v>
      </c>
      <c r="E27" s="449">
        <f>-'Fin. Data'!D27/('Fin. Data'!D67-'Fin. Data'!D68)</f>
        <v>0</v>
      </c>
      <c r="F27" s="449">
        <f>-'Fin. Data'!E27/('Fin. Data'!E67-'Fin. Data'!E68)</f>
        <v>0</v>
      </c>
      <c r="G27" s="449">
        <f>-'Fin. Data'!F27/('Fin. Data'!F67-'Fin. Data'!F68)</f>
        <v>0</v>
      </c>
      <c r="H27" s="449">
        <f>-'Fin. Data'!G27/('Fin. Data'!G67-'Fin. Data'!G68)</f>
        <v>0</v>
      </c>
      <c r="I27" s="449">
        <f>-'Fin. Data'!H27/('Fin. Data'!H67-'Fin. Data'!H68)</f>
        <v>0</v>
      </c>
      <c r="J27" s="449">
        <f>-'Fin. Data'!I27/('Fin. Data'!I67-'Fin. Data'!I68)</f>
        <v>0</v>
      </c>
      <c r="K27" s="449">
        <f>-'Fin. Data'!J27/('Fin. Data'!J67-'Fin. Data'!J68)</f>
        <v>0</v>
      </c>
      <c r="L27" s="449">
        <f>-'Fin. Data'!K27/('Fin. Data'!K67-'Fin. Data'!K68)</f>
        <v>0</v>
      </c>
      <c r="N27" s="450">
        <f t="shared" si="8"/>
        <v>2.8445502453834277E-2</v>
      </c>
      <c r="O27" s="450">
        <f>AVERAGE(C27:G27)</f>
        <v>1.7067301472300567E-2</v>
      </c>
      <c r="P27" s="450">
        <f t="shared" si="9"/>
        <v>8.5336507361502834E-3</v>
      </c>
      <c r="Q27" s="450">
        <f t="shared" si="7"/>
        <v>1.0667063420187854E-2</v>
      </c>
      <c r="S27" s="455">
        <v>7.4999999999999997E-2</v>
      </c>
      <c r="T27" s="455">
        <v>0.17499999999999999</v>
      </c>
      <c r="U27" s="443" t="s">
        <v>853</v>
      </c>
      <c r="V27" s="542"/>
      <c r="W27" s="450"/>
      <c r="X27" s="450"/>
    </row>
    <row r="28" spans="2:24">
      <c r="B28" s="660" t="s">
        <v>750</v>
      </c>
      <c r="C28" s="449">
        <f>-'Fin. Data'!B28/'Fin. Data'!B23</f>
        <v>-5.0186106812763996E-4</v>
      </c>
      <c r="D28" s="449">
        <f>-'Fin. Data'!C28/'Fin. Data'!C23</f>
        <v>-6.4079743681025279E-3</v>
      </c>
      <c r="E28" s="449">
        <f>-'Fin. Data'!D28/'Fin. Data'!D23</f>
        <v>4.663424124513619</v>
      </c>
      <c r="F28" s="449">
        <f>-'Fin. Data'!E28/'Fin. Data'!E23</f>
        <v>1.1228600201409868</v>
      </c>
      <c r="G28" s="449">
        <f>-'Fin. Data'!F28/'Fin. Data'!F23</f>
        <v>2.1003460207612457</v>
      </c>
      <c r="H28" s="449">
        <f>-'Fin. Data'!G28/'Fin. Data'!G23</f>
        <v>8.0618556701030943</v>
      </c>
      <c r="I28" s="449">
        <f>-'Fin. Data'!H28/'Fin. Data'!H23</f>
        <v>2.6307692307692312</v>
      </c>
      <c r="J28" s="449">
        <f>-'Fin. Data'!I28/'Fin. Data'!I23</f>
        <v>2.2068345323741005</v>
      </c>
      <c r="K28" s="449">
        <f>-'Fin. Data'!J28/'Fin. Data'!J23</f>
        <v>0.94545454545454544</v>
      </c>
      <c r="L28" s="449">
        <f>-'Fin. Data'!K28/'Fin. Data'!K23</f>
        <v>0.37499999999999994</v>
      </c>
      <c r="N28" s="450">
        <f t="shared" si="8"/>
        <v>1.5521714296924631</v>
      </c>
      <c r="O28" s="450">
        <f>AVERAGE(C28:G28)</f>
        <v>1.5759440659959243</v>
      </c>
      <c r="P28" s="450">
        <f t="shared" si="9"/>
        <v>2.2099634308680591</v>
      </c>
      <c r="Q28" s="450">
        <f t="shared" si="7"/>
        <v>2.1803272698168845</v>
      </c>
      <c r="S28" s="455">
        <v>0.04</v>
      </c>
      <c r="T28" s="455">
        <v>0.05</v>
      </c>
      <c r="V28" s="541"/>
      <c r="W28" s="544"/>
      <c r="X28" s="544"/>
    </row>
    <row r="29" spans="2:24">
      <c r="B29" s="660" t="s">
        <v>751</v>
      </c>
      <c r="C29" s="449">
        <f>('Fin. Data'!B50+'Fin. Data'!B54)/'Fin. Data'!B5</f>
        <v>4.9089566929133861E-2</v>
      </c>
      <c r="D29" s="449">
        <f>('Fin. Data'!C50+'Fin. Data'!C54)/'Fin. Data'!C5</f>
        <v>7.3806321452589113E-2</v>
      </c>
      <c r="E29" s="449">
        <f>('Fin. Data'!D50+'Fin. Data'!D54)/'Fin. Data'!D5</f>
        <v>0.14618885096700798</v>
      </c>
      <c r="F29" s="449">
        <f>('Fin. Data'!E50+'Fin. Data'!E54)/'Fin. Data'!E5</f>
        <v>0.93460166468489891</v>
      </c>
      <c r="G29" s="449">
        <f>('Fin. Data'!F50+'Fin. Data'!F54)/'Fin. Data'!F5</f>
        <v>0.20794392523364488</v>
      </c>
      <c r="H29" s="449">
        <f>('Fin. Data'!G50+'Fin. Data'!G54)/'Fin. Data'!G5</f>
        <v>6.8627450980392163E-2</v>
      </c>
      <c r="I29" s="449" t="e">
        <f>('Fin. Data'!H50+'Fin. Data'!H54)/'Fin. Data'!H5</f>
        <v>#DIV/0!</v>
      </c>
      <c r="J29" s="449" t="e">
        <f>('Fin. Data'!I50+'Fin. Data'!I54)/'Fin. Data'!I5</f>
        <v>#DIV/0!</v>
      </c>
      <c r="K29" s="449" t="e">
        <f>('Fin. Data'!J50+'Fin. Data'!J54)/'Fin. Data'!J5</f>
        <v>#VALUE!</v>
      </c>
      <c r="L29" s="449" t="e">
        <f>('Fin. Data'!K50+'Fin. Data'!K54)/'Fin. Data'!K5</f>
        <v>#VALUE!</v>
      </c>
      <c r="N29" s="450">
        <f t="shared" si="8"/>
        <v>8.9694913116243655E-2</v>
      </c>
      <c r="O29" s="450">
        <f>AVERAGE(C29:G29)</f>
        <v>0.28232606585345493</v>
      </c>
      <c r="P29" s="450" t="e">
        <f t="shared" si="9"/>
        <v>#DIV/0!</v>
      </c>
      <c r="Q29" s="450" t="e">
        <f t="shared" si="7"/>
        <v>#DIV/0!</v>
      </c>
      <c r="S29" s="455">
        <v>0.09</v>
      </c>
      <c r="T29" s="455">
        <v>0.12</v>
      </c>
      <c r="V29" s="541"/>
      <c r="W29" s="450"/>
      <c r="X29" s="543"/>
    </row>
    <row r="30" spans="2:24">
      <c r="B30" s="660" t="s">
        <v>752</v>
      </c>
      <c r="C30" s="498" t="s">
        <v>849</v>
      </c>
      <c r="D30" s="498" t="s">
        <v>849</v>
      </c>
      <c r="E30" s="498" t="s">
        <v>849</v>
      </c>
      <c r="F30" s="498" t="s">
        <v>849</v>
      </c>
      <c r="G30" s="498" t="s">
        <v>849</v>
      </c>
      <c r="H30" s="498" t="s">
        <v>849</v>
      </c>
      <c r="I30" s="498" t="s">
        <v>849</v>
      </c>
      <c r="J30" s="498" t="s">
        <v>849</v>
      </c>
      <c r="K30" s="498" t="s">
        <v>849</v>
      </c>
      <c r="L30" s="498" t="s">
        <v>849</v>
      </c>
      <c r="N30" s="450" t="e">
        <f t="shared" si="8"/>
        <v>#DIV/0!</v>
      </c>
      <c r="O30" s="498" t="s">
        <v>849</v>
      </c>
      <c r="P30" s="450" t="e">
        <f t="shared" si="9"/>
        <v>#DIV/0!</v>
      </c>
      <c r="Q30" s="450" t="e">
        <f t="shared" si="7"/>
        <v>#DIV/0!</v>
      </c>
      <c r="S30" s="455"/>
      <c r="T30" s="455"/>
    </row>
    <row r="31" spans="2:24">
      <c r="B31" s="660" t="s">
        <v>328</v>
      </c>
      <c r="C31" s="449">
        <f>'Fin. Data'!B58/'Fin. Data'!B19</f>
        <v>0.15232194145932162</v>
      </c>
      <c r="D31" s="449">
        <f>'Fin. Data'!C58/'Fin. Data'!C19</f>
        <v>0.40165061898211823</v>
      </c>
      <c r="E31" s="449">
        <f>'Fin. Data'!D58/'Fin. Data'!D19</f>
        <v>-5.0271084337349397</v>
      </c>
      <c r="F31" s="449">
        <f>'Fin. Data'!E58/'Fin. Data'!E19</f>
        <v>-2.6808510638297873</v>
      </c>
      <c r="G31" s="449">
        <f>'Fin. Data'!F58/'Fin. Data'!F19</f>
        <v>-11.779661016949152</v>
      </c>
      <c r="H31" s="449">
        <f>'Fin. Data'!G58/'Fin. Data'!G19</f>
        <v>-10.330708661417322</v>
      </c>
      <c r="I31" s="449">
        <f>'Fin. Data'!H58/'Fin. Data'!H19</f>
        <v>-4.4748201438848918</v>
      </c>
      <c r="J31" s="449" t="e">
        <f>'Fin. Data'!I58/'Fin. Data'!I19</f>
        <v>#VALUE!</v>
      </c>
      <c r="K31" s="449" t="e">
        <f>'Fin. Data'!J58/'Fin. Data'!J19</f>
        <v>#VALUE!</v>
      </c>
      <c r="L31" s="449" t="e">
        <f>'Fin. Data'!K58/'Fin. Data'!K19</f>
        <v>#VALUE!</v>
      </c>
      <c r="N31" s="450">
        <f t="shared" si="8"/>
        <v>-1.4910452910978333</v>
      </c>
      <c r="O31" s="450">
        <f>AVERAGE(C31:G31)</f>
        <v>-3.7867295908144882</v>
      </c>
      <c r="P31" s="450" t="e">
        <f t="shared" si="9"/>
        <v>#VALUE!</v>
      </c>
      <c r="Q31" s="450" t="e">
        <f t="shared" si="7"/>
        <v>#VALUE!</v>
      </c>
      <c r="S31" s="495">
        <v>0.12</v>
      </c>
      <c r="T31" s="495">
        <v>0.15</v>
      </c>
    </row>
    <row r="34" spans="2:13" s="442" customFormat="1" ht="13.9">
      <c r="B34" s="452" t="s">
        <v>854</v>
      </c>
    </row>
    <row r="35" spans="2:13">
      <c r="K35" s="450"/>
    </row>
    <row r="36" spans="2:13">
      <c r="B36" s="745"/>
      <c r="C36" s="746"/>
    </row>
    <row r="37" spans="2:13">
      <c r="B37" s="745" t="s">
        <v>855</v>
      </c>
      <c r="C37" s="746"/>
    </row>
    <row r="38" spans="2:13">
      <c r="B38" s="745"/>
      <c r="C38" s="746"/>
    </row>
    <row r="39" spans="2:13">
      <c r="B39" s="745"/>
      <c r="C39" s="746"/>
    </row>
    <row r="40" spans="2:13">
      <c r="B40" s="745"/>
      <c r="C40" s="746"/>
    </row>
    <row r="41" spans="2:13">
      <c r="B41" s="745"/>
      <c r="C41" s="746"/>
    </row>
    <row r="42" spans="2:13">
      <c r="B42" s="745"/>
      <c r="C42" s="746"/>
    </row>
    <row r="43" spans="2:13">
      <c r="B43" s="745"/>
      <c r="C43" s="746"/>
    </row>
    <row r="44" spans="2:13">
      <c r="B44" s="745"/>
      <c r="C44" s="746"/>
    </row>
    <row r="45" spans="2:13">
      <c r="B45" s="745"/>
      <c r="C45" s="746"/>
      <c r="H45" s="946"/>
      <c r="I45" s="946"/>
      <c r="J45" s="946"/>
      <c r="K45" s="946"/>
      <c r="L45" s="946"/>
      <c r="M45" s="946"/>
    </row>
    <row r="46" spans="2:13">
      <c r="B46" s="745"/>
      <c r="C46" s="746"/>
      <c r="H46" s="946"/>
      <c r="I46" s="946"/>
      <c r="J46" s="946"/>
      <c r="K46" s="946"/>
      <c r="L46" s="946"/>
      <c r="M46" s="946"/>
    </row>
    <row r="47" spans="2:13">
      <c r="B47" s="745"/>
      <c r="C47" s="746"/>
      <c r="H47" s="946"/>
      <c r="I47" s="946"/>
      <c r="J47" s="946"/>
      <c r="K47" s="946"/>
      <c r="L47" s="946"/>
      <c r="M47" s="946"/>
    </row>
    <row r="48" spans="2:13">
      <c r="B48" s="745"/>
      <c r="C48" s="746"/>
      <c r="H48" s="1068" t="s">
        <v>134</v>
      </c>
      <c r="I48" s="1068" t="s">
        <v>856</v>
      </c>
      <c r="J48" s="1068" t="s">
        <v>857</v>
      </c>
      <c r="K48" s="946" t="s">
        <v>858</v>
      </c>
      <c r="L48" s="1068" t="s">
        <v>859</v>
      </c>
      <c r="M48" s="946" t="s">
        <v>860</v>
      </c>
    </row>
    <row r="49" spans="2:13">
      <c r="B49" s="745"/>
      <c r="C49" s="746"/>
      <c r="H49" s="1068">
        <v>2020</v>
      </c>
      <c r="I49" s="1068">
        <v>310</v>
      </c>
      <c r="J49" s="1069" t="s">
        <v>304</v>
      </c>
      <c r="K49" s="946">
        <v>8400</v>
      </c>
      <c r="L49" s="1069" t="s">
        <v>304</v>
      </c>
      <c r="M49" s="1070">
        <f>F8</f>
        <v>0.96495327102803741</v>
      </c>
    </row>
    <row r="50" spans="2:13">
      <c r="B50" s="745"/>
      <c r="C50" s="746"/>
      <c r="H50" s="1068">
        <v>2021</v>
      </c>
      <c r="I50" s="1068">
        <v>508</v>
      </c>
      <c r="J50" s="1071">
        <f t="shared" ref="J50:J64" si="10">I50/I49-1</f>
        <v>0.6387096774193548</v>
      </c>
      <c r="K50" s="946">
        <v>12600</v>
      </c>
      <c r="L50" s="1071">
        <f>K50/K49-1</f>
        <v>0.5</v>
      </c>
      <c r="M50" s="1070">
        <f>E8</f>
        <v>1.090368608799049</v>
      </c>
    </row>
    <row r="51" spans="2:13">
      <c r="B51" s="745"/>
      <c r="C51" s="746"/>
      <c r="H51" s="1068">
        <v>2022</v>
      </c>
      <c r="I51" s="1068">
        <v>690</v>
      </c>
      <c r="J51" s="1071">
        <f t="shared" si="10"/>
        <v>0.3582677165354331</v>
      </c>
      <c r="K51" s="946">
        <v>68100</v>
      </c>
      <c r="L51" s="1071">
        <f>K51/K50-1</f>
        <v>4.4047619047619051</v>
      </c>
      <c r="M51" s="1070">
        <f>D8</f>
        <v>5.7667804323094423</v>
      </c>
    </row>
    <row r="52" spans="2:13">
      <c r="B52" s="745"/>
      <c r="C52" s="746"/>
      <c r="H52" s="1068">
        <v>2023</v>
      </c>
      <c r="I52" s="1068">
        <v>917</v>
      </c>
      <c r="J52" s="1071">
        <f t="shared" si="10"/>
        <v>0.32898550724637676</v>
      </c>
      <c r="K52" s="946">
        <v>46000</v>
      </c>
      <c r="L52" s="1071">
        <f>K52/K51-1</f>
        <v>-0.32452276064610863</v>
      </c>
      <c r="M52" s="1070">
        <f>C8</f>
        <v>2.4162743779421656</v>
      </c>
    </row>
    <row r="53" spans="2:13">
      <c r="B53" s="745"/>
      <c r="C53" s="746"/>
      <c r="H53" s="1068">
        <v>2024</v>
      </c>
      <c r="I53" s="1068">
        <v>1072</v>
      </c>
      <c r="J53" s="1071">
        <f t="shared" si="10"/>
        <v>0.16902944383860419</v>
      </c>
      <c r="K53" s="946"/>
      <c r="L53" s="1071"/>
      <c r="M53" s="946"/>
    </row>
    <row r="54" spans="2:13">
      <c r="B54" s="745"/>
      <c r="C54" s="746"/>
      <c r="H54" s="1068">
        <v>2025</v>
      </c>
      <c r="I54" s="1068">
        <v>1257</v>
      </c>
      <c r="J54" s="1071">
        <f t="shared" si="10"/>
        <v>0.1725746268656716</v>
      </c>
      <c r="K54" s="946"/>
      <c r="L54" s="1071"/>
      <c r="M54" s="946"/>
    </row>
    <row r="55" spans="2:13">
      <c r="B55" s="745"/>
      <c r="C55" s="746"/>
      <c r="H55" s="1068">
        <v>2026</v>
      </c>
      <c r="I55" s="1068">
        <v>1433</v>
      </c>
      <c r="J55" s="1071">
        <f t="shared" si="10"/>
        <v>0.14001591089896581</v>
      </c>
      <c r="K55" s="946"/>
      <c r="L55" s="1071"/>
      <c r="M55" s="946"/>
    </row>
    <row r="56" spans="2:13">
      <c r="B56" s="745"/>
      <c r="C56" s="746"/>
      <c r="H56" s="1068">
        <v>2027</v>
      </c>
      <c r="I56" s="1068">
        <v>1628</v>
      </c>
      <c r="J56" s="1071">
        <f t="shared" si="10"/>
        <v>0.13607815771109566</v>
      </c>
      <c r="K56" s="946"/>
      <c r="L56" s="1071"/>
      <c r="M56" s="946"/>
    </row>
    <row r="57" spans="2:13">
      <c r="B57" s="745"/>
      <c r="C57" s="746"/>
      <c r="H57" s="1068">
        <v>2028</v>
      </c>
      <c r="I57" s="1068">
        <v>1861</v>
      </c>
      <c r="J57" s="1071">
        <f t="shared" si="10"/>
        <v>0.14312039312039304</v>
      </c>
      <c r="K57" s="946"/>
      <c r="L57" s="1071"/>
      <c r="M57" s="946"/>
    </row>
    <row r="58" spans="2:13">
      <c r="B58" s="745"/>
      <c r="C58" s="746"/>
      <c r="H58" s="1068">
        <v>2029</v>
      </c>
      <c r="I58" s="1068">
        <v>2123</v>
      </c>
      <c r="J58" s="1071">
        <f t="shared" si="10"/>
        <v>0.14078452444922074</v>
      </c>
      <c r="K58" s="946"/>
      <c r="L58" s="1071"/>
      <c r="M58" s="946"/>
    </row>
    <row r="59" spans="2:13">
      <c r="B59" s="745"/>
      <c r="C59" s="746"/>
      <c r="H59" s="1068">
        <v>2030</v>
      </c>
      <c r="I59" s="1068">
        <v>2453</v>
      </c>
      <c r="J59" s="1071">
        <f t="shared" si="10"/>
        <v>0.15544041450777213</v>
      </c>
      <c r="K59" s="946"/>
      <c r="L59" s="1071"/>
      <c r="M59" s="946"/>
    </row>
    <row r="60" spans="2:13">
      <c r="B60" s="745"/>
      <c r="C60" s="746"/>
      <c r="H60" s="1068">
        <v>2031</v>
      </c>
      <c r="I60" s="1068">
        <v>2688</v>
      </c>
      <c r="J60" s="1071">
        <f t="shared" si="10"/>
        <v>9.5801059926620358E-2</v>
      </c>
      <c r="K60" s="946"/>
      <c r="L60" s="1071"/>
      <c r="M60" s="946"/>
    </row>
    <row r="61" spans="2:13">
      <c r="B61" s="745"/>
      <c r="C61" s="746"/>
      <c r="H61" s="1068">
        <v>2032</v>
      </c>
      <c r="I61" s="1068">
        <v>2933</v>
      </c>
      <c r="J61" s="1071">
        <f t="shared" si="10"/>
        <v>9.1145833333333259E-2</v>
      </c>
      <c r="K61" s="946"/>
      <c r="L61" s="1071"/>
      <c r="M61" s="946"/>
    </row>
    <row r="62" spans="2:13">
      <c r="B62" s="745"/>
      <c r="C62" s="746"/>
      <c r="H62" s="1068">
        <v>2033</v>
      </c>
      <c r="I62" s="1068">
        <v>3182</v>
      </c>
      <c r="J62" s="1071">
        <f t="shared" si="10"/>
        <v>8.4896010910330721E-2</v>
      </c>
      <c r="K62" s="946"/>
      <c r="L62" s="1071"/>
      <c r="M62" s="946"/>
    </row>
    <row r="63" spans="2:13">
      <c r="B63" s="745"/>
      <c r="C63" s="746"/>
      <c r="H63" s="1068">
        <v>2034</v>
      </c>
      <c r="I63" s="1068">
        <v>3477</v>
      </c>
      <c r="J63" s="1071">
        <f t="shared" si="10"/>
        <v>9.2708988057825348E-2</v>
      </c>
      <c r="K63" s="946"/>
      <c r="L63" s="1071"/>
      <c r="M63" s="946"/>
    </row>
    <row r="64" spans="2:13">
      <c r="B64" s="745"/>
      <c r="C64" s="746"/>
      <c r="H64" s="1068">
        <v>2035</v>
      </c>
      <c r="I64" s="1068">
        <v>3829</v>
      </c>
      <c r="J64" s="1071">
        <f t="shared" si="10"/>
        <v>0.10123669830313498</v>
      </c>
      <c r="K64" s="946"/>
      <c r="L64" s="1071"/>
      <c r="M64" s="946"/>
    </row>
    <row r="65" spans="1:35">
      <c r="B65" s="745"/>
      <c r="C65" s="746"/>
    </row>
    <row r="66" spans="1:35" ht="17.45">
      <c r="A66" s="1086" t="s">
        <v>861</v>
      </c>
      <c r="B66" s="745"/>
      <c r="C66" s="746"/>
    </row>
    <row r="67" spans="1:35">
      <c r="B67" s="745"/>
      <c r="C67" s="746"/>
    </row>
    <row r="68" spans="1:35" s="994" customFormat="1" ht="30" hidden="1" customHeight="1">
      <c r="B68" s="890" t="s">
        <v>862</v>
      </c>
      <c r="C68" s="890" t="s">
        <v>863</v>
      </c>
      <c r="D68" s="890" t="s">
        <v>864</v>
      </c>
      <c r="E68" s="890" t="s">
        <v>865</v>
      </c>
      <c r="F68" s="890" t="s">
        <v>866</v>
      </c>
      <c r="G68" s="890" t="s">
        <v>867</v>
      </c>
      <c r="H68" s="890" t="s">
        <v>868</v>
      </c>
      <c r="I68" s="890" t="s">
        <v>869</v>
      </c>
      <c r="J68" s="890" t="s">
        <v>870</v>
      </c>
      <c r="K68" s="890" t="s">
        <v>871</v>
      </c>
      <c r="L68" s="890" t="s">
        <v>872</v>
      </c>
      <c r="M68" s="890" t="s">
        <v>873</v>
      </c>
      <c r="N68" s="890" t="s">
        <v>874</v>
      </c>
      <c r="O68" s="890" t="s">
        <v>875</v>
      </c>
      <c r="P68" s="890" t="s">
        <v>876</v>
      </c>
      <c r="Q68" s="890" t="s">
        <v>877</v>
      </c>
      <c r="R68" s="890" t="s">
        <v>878</v>
      </c>
      <c r="S68" s="890" t="s">
        <v>879</v>
      </c>
      <c r="T68" s="890" t="s">
        <v>880</v>
      </c>
      <c r="U68" s="890" t="s">
        <v>881</v>
      </c>
      <c r="V68" s="890" t="s">
        <v>882</v>
      </c>
      <c r="W68" s="890" t="s">
        <v>883</v>
      </c>
      <c r="X68" s="890" t="s">
        <v>884</v>
      </c>
      <c r="Y68" s="1004" t="s">
        <v>885</v>
      </c>
      <c r="Z68" s="1005" t="s">
        <v>886</v>
      </c>
      <c r="AA68" s="1006" t="s">
        <v>887</v>
      </c>
      <c r="AB68" s="1007" t="s">
        <v>831</v>
      </c>
    </row>
    <row r="69" spans="1:35" s="896" customFormat="1" ht="30" hidden="1" customHeight="1">
      <c r="B69" s="903" t="s">
        <v>888</v>
      </c>
      <c r="C69" s="894" t="s">
        <v>889</v>
      </c>
      <c r="D69" s="1008"/>
      <c r="E69" s="1008"/>
      <c r="F69" s="1008"/>
      <c r="G69" s="1008"/>
      <c r="H69" s="1008"/>
      <c r="I69" s="1008"/>
      <c r="J69" s="1008"/>
      <c r="K69" s="1008"/>
      <c r="L69" s="1008"/>
      <c r="M69" s="1008"/>
      <c r="N69" s="1008"/>
      <c r="O69" s="1008"/>
      <c r="P69" s="1008"/>
      <c r="Q69" s="1008"/>
      <c r="R69" s="1008"/>
      <c r="S69" s="1008"/>
      <c r="T69" s="1008">
        <v>1037</v>
      </c>
      <c r="U69" s="1008">
        <v>851.1</v>
      </c>
      <c r="V69" s="1008">
        <v>138.19999999999999</v>
      </c>
      <c r="W69" s="1008">
        <v>144.30000000000001</v>
      </c>
      <c r="X69" s="1008">
        <v>176.3</v>
      </c>
      <c r="Y69" s="1008">
        <v>146.4</v>
      </c>
      <c r="Z69" s="1008">
        <v>146.4</v>
      </c>
      <c r="AA69" s="1008">
        <v>159.9</v>
      </c>
      <c r="AB69" s="1008">
        <f ca="1">AVERAGE(Table2[[#This Row],[April Q FY17]]:Table2[[#This Row],[December Q FY24]])</f>
        <v>349.95000000000005</v>
      </c>
    </row>
    <row r="70" spans="1:35" s="896" customFormat="1" ht="30" hidden="1" customHeight="1">
      <c r="A70" s="897"/>
      <c r="B70" s="903" t="s">
        <v>890</v>
      </c>
      <c r="C70" s="894" t="s">
        <v>889</v>
      </c>
      <c r="D70" s="1008"/>
      <c r="E70" s="1008"/>
      <c r="F70" s="1008"/>
      <c r="G70" s="1008"/>
      <c r="H70" s="1008"/>
      <c r="I70" s="1008"/>
      <c r="J70" s="1008"/>
      <c r="K70" s="1008"/>
      <c r="L70" s="1008"/>
      <c r="M70" s="1008"/>
      <c r="N70" s="1008"/>
      <c r="O70" s="1008"/>
      <c r="P70" s="1008"/>
      <c r="Q70" s="1008"/>
      <c r="R70" s="1008">
        <v>83.475999999999999</v>
      </c>
      <c r="S70" s="1008">
        <v>81.430999999999997</v>
      </c>
      <c r="T70" s="1008">
        <v>147.10499999999999</v>
      </c>
      <c r="U70" s="1008">
        <v>162.15100000000001</v>
      </c>
      <c r="V70" s="1008">
        <v>147.1</v>
      </c>
      <c r="W70" s="1008">
        <v>148.1</v>
      </c>
      <c r="X70" s="1008">
        <v>162.80000000000001</v>
      </c>
      <c r="Y70" s="1008">
        <v>144.19999999999999</v>
      </c>
      <c r="Z70" s="1008">
        <v>144.19999999999999</v>
      </c>
      <c r="AA70" s="1008">
        <v>176</v>
      </c>
      <c r="AB70" s="1008">
        <f ca="1">AVERAGE(Table2[[#This Row],[April Q FY17]]:Table2[[#This Row],[December Q FY24]])</f>
        <v>139.65630000000002</v>
      </c>
    </row>
    <row r="71" spans="1:35" s="896" customFormat="1" ht="30" hidden="1" customHeight="1">
      <c r="A71" s="897"/>
      <c r="B71" s="903" t="s">
        <v>408</v>
      </c>
      <c r="C71" s="894" t="s">
        <v>891</v>
      </c>
      <c r="D71" s="1008"/>
      <c r="E71" s="1008"/>
      <c r="F71" s="1008"/>
      <c r="G71" s="1008"/>
      <c r="H71" s="1008"/>
      <c r="I71" s="1008"/>
      <c r="J71" s="1008"/>
      <c r="K71" s="1008"/>
      <c r="L71" s="1008"/>
      <c r="M71" s="1008"/>
      <c r="N71" s="1008"/>
      <c r="O71" s="1008"/>
      <c r="P71" s="1008"/>
      <c r="Q71" s="1008"/>
      <c r="R71" s="1008"/>
      <c r="S71" s="1008">
        <v>169.2</v>
      </c>
      <c r="T71" s="1008"/>
      <c r="U71" s="1008"/>
      <c r="V71" s="1008">
        <v>868</v>
      </c>
      <c r="W71" s="1008">
        <v>1000</v>
      </c>
      <c r="X71" s="1008">
        <v>800</v>
      </c>
      <c r="Y71" s="1008">
        <v>493</v>
      </c>
      <c r="Z71" s="1008">
        <v>493</v>
      </c>
      <c r="AA71" s="1008">
        <v>264</v>
      </c>
      <c r="AB71" s="1008">
        <f ca="1">AVERAGE(Table2[[#This Row],[April Q FY17]]:Table2[[#This Row],[December Q FY24]])</f>
        <v>583.88571428571424</v>
      </c>
    </row>
    <row r="72" spans="1:35" s="896" customFormat="1" ht="30" hidden="1" customHeight="1">
      <c r="B72" s="891" t="s">
        <v>892</v>
      </c>
      <c r="C72" s="894" t="s">
        <v>893</v>
      </c>
      <c r="D72" s="1008"/>
      <c r="E72" s="1008"/>
      <c r="F72" s="1008"/>
      <c r="G72" s="1008"/>
      <c r="H72" s="1008"/>
      <c r="I72" s="1008"/>
      <c r="J72" s="1008"/>
      <c r="K72" s="1008"/>
      <c r="L72" s="1008"/>
      <c r="M72" s="1008"/>
      <c r="N72" s="1008"/>
      <c r="O72" s="1008"/>
      <c r="P72" s="1008"/>
      <c r="Q72" s="1008"/>
      <c r="R72" s="1008"/>
      <c r="S72" s="1008">
        <v>6250</v>
      </c>
      <c r="T72" s="1008">
        <v>4266</v>
      </c>
      <c r="U72" s="1008"/>
      <c r="V72" s="1008">
        <v>4266</v>
      </c>
      <c r="W72" s="1008">
        <v>4840</v>
      </c>
      <c r="X72" s="1008">
        <v>3256</v>
      </c>
      <c r="Y72" s="1008">
        <v>2240</v>
      </c>
      <c r="Z72" s="1008">
        <v>2240</v>
      </c>
      <c r="AA72" s="1008">
        <v>1113</v>
      </c>
      <c r="AB72" s="1008">
        <f ca="1">AVERAGE(Table2[[#This Row],[April Q FY17]]:Table2[[#This Row],[December Q FY24]])</f>
        <v>3558.875</v>
      </c>
    </row>
    <row r="73" spans="1:35" s="896" customFormat="1" ht="30" customHeight="1">
      <c r="B73" s="892"/>
      <c r="C73" s="901"/>
      <c r="D73" s="892"/>
      <c r="E73" s="908"/>
      <c r="F73" s="908"/>
      <c r="G73" s="908"/>
      <c r="H73" s="908"/>
      <c r="I73" s="908"/>
      <c r="J73" s="908"/>
      <c r="K73" s="908"/>
      <c r="L73" s="908"/>
      <c r="M73" s="908"/>
      <c r="N73" s="908"/>
      <c r="O73" s="908"/>
      <c r="P73" s="908"/>
      <c r="Q73" s="908"/>
      <c r="R73" s="908"/>
      <c r="S73" s="908"/>
      <c r="T73" s="908"/>
      <c r="U73" s="908"/>
      <c r="V73" s="908"/>
      <c r="W73" s="908"/>
      <c r="X73" s="908"/>
      <c r="Y73" s="908"/>
      <c r="Z73" s="908"/>
      <c r="AA73" s="908"/>
      <c r="AB73" s="908"/>
    </row>
    <row r="74" spans="1:35" s="994" customFormat="1" ht="30" customHeight="1" outlineLevel="1">
      <c r="B74" s="1122" t="s">
        <v>894</v>
      </c>
      <c r="C74" s="893" t="s">
        <v>863</v>
      </c>
      <c r="D74" s="893" t="s">
        <v>895</v>
      </c>
      <c r="E74" s="893" t="s">
        <v>896</v>
      </c>
      <c r="F74" s="893" t="s">
        <v>897</v>
      </c>
      <c r="G74" s="893" t="s">
        <v>898</v>
      </c>
      <c r="H74" s="893" t="s">
        <v>899</v>
      </c>
      <c r="I74" s="893" t="s">
        <v>900</v>
      </c>
      <c r="J74" s="893" t="s">
        <v>901</v>
      </c>
      <c r="K74" s="893" t="s">
        <v>902</v>
      </c>
      <c r="L74" s="893" t="s">
        <v>903</v>
      </c>
      <c r="M74" s="893" t="s">
        <v>904</v>
      </c>
      <c r="N74" s="893" t="s">
        <v>905</v>
      </c>
      <c r="O74" s="893" t="s">
        <v>906</v>
      </c>
      <c r="P74" s="893" t="s">
        <v>907</v>
      </c>
      <c r="Q74" s="893" t="s">
        <v>908</v>
      </c>
      <c r="R74" s="893" t="s">
        <v>909</v>
      </c>
      <c r="S74" s="893" t="s">
        <v>910</v>
      </c>
      <c r="T74" s="893" t="s">
        <v>911</v>
      </c>
      <c r="U74" s="893" t="s">
        <v>912</v>
      </c>
      <c r="V74" s="893" t="s">
        <v>913</v>
      </c>
      <c r="W74" s="893" t="s">
        <v>914</v>
      </c>
      <c r="X74" s="893" t="s">
        <v>915</v>
      </c>
      <c r="Y74" s="893" t="s">
        <v>916</v>
      </c>
      <c r="Z74" s="893" t="s">
        <v>917</v>
      </c>
      <c r="AA74" s="893" t="s">
        <v>918</v>
      </c>
      <c r="AB74" s="893" t="s">
        <v>919</v>
      </c>
      <c r="AC74" s="893" t="s">
        <v>920</v>
      </c>
      <c r="AD74" s="893" t="s">
        <v>921</v>
      </c>
      <c r="AE74" s="893" t="s">
        <v>922</v>
      </c>
      <c r="AF74" s="893" t="s">
        <v>923</v>
      </c>
      <c r="AG74" s="893" t="s">
        <v>924</v>
      </c>
      <c r="AH74" s="893" t="s">
        <v>925</v>
      </c>
      <c r="AI74" s="1009" t="s">
        <v>726</v>
      </c>
    </row>
    <row r="75" spans="1:35" s="896" customFormat="1" ht="30" customHeight="1" outlineLevel="1">
      <c r="B75" s="904" t="s">
        <v>926</v>
      </c>
      <c r="C75" s="894" t="s">
        <v>927</v>
      </c>
      <c r="D75" s="894"/>
      <c r="E75" s="871" t="s">
        <v>78</v>
      </c>
      <c r="F75" s="871" t="s">
        <v>78</v>
      </c>
      <c r="G75" s="871" t="s">
        <v>78</v>
      </c>
      <c r="H75" s="871" t="s">
        <v>78</v>
      </c>
      <c r="I75" s="871" t="s">
        <v>78</v>
      </c>
      <c r="J75" s="1010">
        <v>0</v>
      </c>
      <c r="K75" s="1010">
        <v>0</v>
      </c>
      <c r="L75" s="1010">
        <v>344549</v>
      </c>
      <c r="M75" s="1010">
        <v>487978</v>
      </c>
      <c r="N75" s="1010">
        <v>762531</v>
      </c>
      <c r="O75" s="1010">
        <v>540426</v>
      </c>
      <c r="P75" s="1010">
        <v>640173</v>
      </c>
      <c r="Q75" s="1010">
        <v>303177</v>
      </c>
      <c r="R75" s="1010">
        <v>65941</v>
      </c>
      <c r="S75" s="1010">
        <v>4954</v>
      </c>
      <c r="T75" s="1010">
        <v>438070</v>
      </c>
      <c r="U75" s="1010">
        <v>372468</v>
      </c>
      <c r="V75" s="1010">
        <v>466121</v>
      </c>
      <c r="W75" s="1010">
        <v>85068</v>
      </c>
      <c r="X75" s="1010">
        <v>672020</v>
      </c>
      <c r="Y75" s="1010">
        <v>639188</v>
      </c>
      <c r="Z75" s="1010">
        <v>779638</v>
      </c>
      <c r="AA75" s="1010">
        <v>815387</v>
      </c>
      <c r="AB75" s="1010">
        <v>1172450</v>
      </c>
      <c r="AC75" s="1010">
        <v>1442545</v>
      </c>
      <c r="AD75" s="1010">
        <v>1095739</v>
      </c>
      <c r="AE75" s="1010">
        <v>1225563</v>
      </c>
      <c r="AF75" s="1010">
        <v>1271150</v>
      </c>
      <c r="AG75" s="1010">
        <v>1411017</v>
      </c>
      <c r="AH75" s="1010">
        <v>1618748</v>
      </c>
      <c r="AI75" s="1011">
        <f ca="1">SUM(Table1[[#This Row],[Q1 FY17]]:Table1[[#This Row],[Q2 FY24]])</f>
        <v>16654901</v>
      </c>
    </row>
    <row r="76" spans="1:35" s="896" customFormat="1" ht="30" customHeight="1" outlineLevel="1">
      <c r="B76" s="905" t="s">
        <v>928</v>
      </c>
      <c r="C76" s="895" t="s">
        <v>929</v>
      </c>
      <c r="D76" s="895"/>
      <c r="E76" s="895" t="str">
        <f>IFERROR(E75/C75-1,"-")</f>
        <v>-</v>
      </c>
      <c r="F76" s="895" t="str">
        <f t="shared" ref="F76" si="11">IFERROR(F75/E75-1,"-")</f>
        <v>-</v>
      </c>
      <c r="G76" s="895" t="str">
        <f t="shared" ref="G76" si="12">IFERROR(G75/F75-1,"-")</f>
        <v>-</v>
      </c>
      <c r="H76" s="895" t="str">
        <f t="shared" ref="H76" si="13">IFERROR(H75/G75-1,"-")</f>
        <v>-</v>
      </c>
      <c r="I76" s="895" t="str">
        <f t="shared" ref="I76" si="14">IFERROR(I75/H75-1,"-")</f>
        <v>-</v>
      </c>
      <c r="J76" s="895" t="str">
        <f t="shared" ref="J76" si="15">IFERROR(J75/I75-1,"-")</f>
        <v>-</v>
      </c>
      <c r="K76" s="895" t="str">
        <f t="shared" ref="K76" si="16">IFERROR(K75/J75-1,"-")</f>
        <v>-</v>
      </c>
      <c r="L76" s="895" t="str">
        <f t="shared" ref="L76" si="17">IFERROR(L75/K75-1,"-")</f>
        <v>-</v>
      </c>
      <c r="M76" s="895">
        <f t="shared" ref="M76" si="18">IFERROR(M75/L75-1,"-")</f>
        <v>0.41628041294561879</v>
      </c>
      <c r="N76" s="895">
        <f t="shared" ref="N76" si="19">IFERROR(N75/M75-1,"-")</f>
        <v>0.56263397120361991</v>
      </c>
      <c r="O76" s="895">
        <f t="shared" ref="O76" si="20">IFERROR(O75/N75-1,"-")</f>
        <v>-0.29127340396652723</v>
      </c>
      <c r="P76" s="895">
        <f t="shared" ref="P76" si="21">IFERROR(P75/O75-1,"-")</f>
        <v>0.18457106060774287</v>
      </c>
      <c r="Q76" s="895">
        <f t="shared" ref="Q76" si="22">IFERROR(Q75/P75-1,"-")</f>
        <v>-0.52641395372813293</v>
      </c>
      <c r="R76" s="895">
        <f t="shared" ref="R76" si="23">IFERROR(R75/Q75-1,"-")</f>
        <v>-0.78249999175399187</v>
      </c>
      <c r="S76" s="895">
        <f t="shared" ref="S76" si="24">IFERROR(S75/R75-1,"-")</f>
        <v>-0.92487223427002929</v>
      </c>
      <c r="T76" s="895">
        <f t="shared" ref="T76" si="25">IFERROR(T75/S75-1,"-")</f>
        <v>87.427533306419051</v>
      </c>
      <c r="U76" s="895">
        <f t="shared" ref="U76" si="26">IFERROR(U75/T75-1,"-")</f>
        <v>-0.14975232268815486</v>
      </c>
      <c r="V76" s="895">
        <f t="shared" ref="V76" si="27">IFERROR(V75/U75-1,"-")</f>
        <v>0.25143904979756648</v>
      </c>
      <c r="W76" s="895">
        <f t="shared" ref="W76" si="28">IFERROR(W75/V75-1,"-")</f>
        <v>-0.81749803162698098</v>
      </c>
      <c r="X76" s="895">
        <f t="shared" ref="X76" si="29">IFERROR(X75/W75-1,"-")</f>
        <v>6.8997978088117744</v>
      </c>
      <c r="Y76" s="895">
        <f t="shared" ref="Y76" si="30">IFERROR(Y75/X75-1,"-")</f>
        <v>-4.8855688818785103E-2</v>
      </c>
      <c r="Z76" s="895">
        <f t="shared" ref="Z76" si="31">IFERROR(Z75/Y75-1,"-")</f>
        <v>0.21973190986063562</v>
      </c>
      <c r="AA76" s="895">
        <f t="shared" ref="AA76" si="32">IFERROR(AA75/Z75-1,"-")</f>
        <v>4.5853331930973074E-2</v>
      </c>
      <c r="AB76" s="895">
        <f t="shared" ref="AB76" si="33">IFERROR(AB75/AA75-1,"-")</f>
        <v>0.43790617216119454</v>
      </c>
      <c r="AC76" s="895">
        <f t="shared" ref="AC76" si="34">IFERROR(AC75/AB75-1,"-")</f>
        <v>0.23036803275192974</v>
      </c>
      <c r="AD76" s="895">
        <f t="shared" ref="AD76" si="35">IFERROR(AD75/AC75-1,"-")</f>
        <v>-0.24041260411286991</v>
      </c>
      <c r="AE76" s="895">
        <f t="shared" ref="AE76" si="36">IFERROR(AE75/AD75-1,"-")</f>
        <v>0.11848076959932974</v>
      </c>
      <c r="AF76" s="895">
        <f t="shared" ref="AF76" si="37">IFERROR(AF75/AE75-1,"-")</f>
        <v>3.7196782213562152E-2</v>
      </c>
      <c r="AG76" s="895">
        <f t="shared" ref="AG76" si="38">IFERROR(AG75/AF75-1,"-")</f>
        <v>0.11003186091334616</v>
      </c>
      <c r="AH76" s="895">
        <f t="shared" ref="AH76" si="39">IFERROR(AH75/AG75-1,"-")</f>
        <v>0.14722076346351609</v>
      </c>
      <c r="AI76" s="1012"/>
    </row>
    <row r="77" spans="1:35" s="896" customFormat="1" ht="30" customHeight="1" outlineLevel="1">
      <c r="B77" s="904" t="s">
        <v>930</v>
      </c>
      <c r="C77" s="894" t="s">
        <v>927</v>
      </c>
      <c r="D77" s="894"/>
      <c r="E77" s="871" t="s">
        <v>78</v>
      </c>
      <c r="F77" s="871" t="s">
        <v>78</v>
      </c>
      <c r="G77" s="871" t="s">
        <v>78</v>
      </c>
      <c r="H77" s="871" t="s">
        <v>78</v>
      </c>
      <c r="I77" s="871" t="s">
        <v>78</v>
      </c>
      <c r="J77" s="1008">
        <v>151812</v>
      </c>
      <c r="K77" s="1008">
        <v>1823205</v>
      </c>
      <c r="L77" s="1008">
        <v>2851161</v>
      </c>
      <c r="M77" s="1008">
        <v>1921907</v>
      </c>
      <c r="N77" s="1008">
        <v>2154690</v>
      </c>
      <c r="O77" s="1008">
        <v>2445917</v>
      </c>
      <c r="P77" s="1008">
        <v>1900027</v>
      </c>
      <c r="Q77" s="1008">
        <v>868441</v>
      </c>
      <c r="R77" s="1008">
        <v>26046</v>
      </c>
      <c r="S77" s="1008">
        <v>21775</v>
      </c>
      <c r="T77" s="1008">
        <v>213621</v>
      </c>
      <c r="U77" s="1008">
        <v>338461</v>
      </c>
      <c r="V77" s="1008">
        <v>612147</v>
      </c>
      <c r="W77" s="1008">
        <v>1639128</v>
      </c>
      <c r="X77" s="1008">
        <v>1976039</v>
      </c>
      <c r="Y77" s="1008">
        <v>2929647</v>
      </c>
      <c r="Z77" s="1008">
        <v>3829865</v>
      </c>
      <c r="AA77" s="1008">
        <v>5261012</v>
      </c>
      <c r="AB77" s="1008">
        <v>6120903</v>
      </c>
      <c r="AC77" s="1008">
        <v>6540334</v>
      </c>
      <c r="AD77" s="1010">
        <v>6360951</v>
      </c>
      <c r="AE77" s="1010">
        <v>6572687</v>
      </c>
      <c r="AF77" s="1010">
        <v>7311878</v>
      </c>
      <c r="AG77" s="1010">
        <v>7741062</v>
      </c>
      <c r="AH77" s="1010">
        <v>7965907</v>
      </c>
      <c r="AI77" s="1011">
        <f ca="1">SUM(Table1[[#This Row],[Q1 FY17]]:Table1[[#This Row],[Q2 FY24]])</f>
        <v>79578623</v>
      </c>
    </row>
    <row r="78" spans="1:35" s="896" customFormat="1" ht="30" customHeight="1" outlineLevel="1">
      <c r="B78" s="905" t="s">
        <v>928</v>
      </c>
      <c r="C78" s="895" t="s">
        <v>929</v>
      </c>
      <c r="D78" s="895"/>
      <c r="E78" s="895" t="str">
        <f>IFERROR(E77/C77-1,"-")</f>
        <v>-</v>
      </c>
      <c r="F78" s="895" t="str">
        <f t="shared" ref="F78" si="40">IFERROR(F77/E77-1,"-")</f>
        <v>-</v>
      </c>
      <c r="G78" s="895" t="str">
        <f t="shared" ref="G78" si="41">IFERROR(G77/F77-1,"-")</f>
        <v>-</v>
      </c>
      <c r="H78" s="895" t="str">
        <f t="shared" ref="H78" si="42">IFERROR(H77/G77-1,"-")</f>
        <v>-</v>
      </c>
      <c r="I78" s="895" t="str">
        <f t="shared" ref="I78" si="43">IFERROR(I77/H77-1,"-")</f>
        <v>-</v>
      </c>
      <c r="J78" s="895" t="str">
        <f t="shared" ref="J78" si="44">IFERROR(J77/I77-1,"-")</f>
        <v>-</v>
      </c>
      <c r="K78" s="895">
        <f t="shared" ref="K78" si="45">IFERROR(K77/J77-1,"-")</f>
        <v>11.009623745158486</v>
      </c>
      <c r="L78" s="895">
        <f t="shared" ref="L78" si="46">IFERROR(L77/K77-1,"-")</f>
        <v>0.56381811151241901</v>
      </c>
      <c r="M78" s="895">
        <f t="shared" ref="M78" si="47">IFERROR(M77/L77-1,"-")</f>
        <v>-0.3259212650565857</v>
      </c>
      <c r="N78" s="895">
        <f t="shared" ref="N78" si="48">IFERROR(N77/M77-1,"-")</f>
        <v>0.12112084507731113</v>
      </c>
      <c r="O78" s="895">
        <f t="shared" ref="O78" si="49">IFERROR(O77/N77-1,"-")</f>
        <v>0.13515958212086199</v>
      </c>
      <c r="P78" s="895">
        <f t="shared" ref="P78" si="50">IFERROR(P77/O77-1,"-")</f>
        <v>-0.22318418817972974</v>
      </c>
      <c r="Q78" s="895">
        <f t="shared" ref="Q78" si="51">IFERROR(Q77/P77-1,"-")</f>
        <v>-0.54293228464648136</v>
      </c>
      <c r="R78" s="895">
        <f t="shared" ref="R78" si="52">IFERROR(R77/Q77-1,"-")</f>
        <v>-0.97000832526331671</v>
      </c>
      <c r="S78" s="895">
        <f t="shared" ref="S78" si="53">IFERROR(S77/R77-1,"-")</f>
        <v>-0.16397911387545117</v>
      </c>
      <c r="T78" s="895">
        <f t="shared" ref="T78" si="54">IFERROR(T77/S77-1,"-")</f>
        <v>8.810378874856486</v>
      </c>
      <c r="U78" s="895">
        <f t="shared" ref="U78" si="55">IFERROR(U77/T77-1,"-")</f>
        <v>0.5843994738345013</v>
      </c>
      <c r="V78" s="895">
        <f t="shared" ref="V78" si="56">IFERROR(V77/U77-1,"-")</f>
        <v>0.80861901371206724</v>
      </c>
      <c r="W78" s="895">
        <f t="shared" ref="W78" si="57">IFERROR(W77/V77-1,"-")</f>
        <v>1.6776705595224675</v>
      </c>
      <c r="X78" s="895">
        <f t="shared" ref="X78" si="58">IFERROR(X77/W77-1,"-")</f>
        <v>0.20554282520950173</v>
      </c>
      <c r="Y78" s="895">
        <f t="shared" ref="Y78" si="59">IFERROR(Y77/X77-1,"-")</f>
        <v>0.48258561698428015</v>
      </c>
      <c r="Z78" s="895">
        <f t="shared" ref="Z78" si="60">IFERROR(Z77/Y77-1,"-")</f>
        <v>0.30727865848684166</v>
      </c>
      <c r="AA78" s="895">
        <f t="shared" ref="AA78" si="61">IFERROR(AA77/Z77-1,"-")</f>
        <v>0.37368079553717948</v>
      </c>
      <c r="AB78" s="895">
        <f t="shared" ref="AB78" si="62">IFERROR(AB77/AA77-1,"-")</f>
        <v>0.1634459301746507</v>
      </c>
      <c r="AC78" s="895">
        <f t="shared" ref="AC78" si="63">IFERROR(AC77/AB77-1,"-")</f>
        <v>6.8524366421098382E-2</v>
      </c>
      <c r="AD78" s="895">
        <f t="shared" ref="AD78" si="64">IFERROR(AD77/AC77-1,"-")</f>
        <v>-2.7427192556221169E-2</v>
      </c>
      <c r="AE78" s="895">
        <f t="shared" ref="AE78" si="65">IFERROR(AE77/AD77-1,"-")</f>
        <v>3.3286846573727713E-2</v>
      </c>
      <c r="AF78" s="895">
        <f t="shared" ref="AF78" si="66">IFERROR(AF77/AE77-1,"-")</f>
        <v>0.1124640500909293</v>
      </c>
      <c r="AG78" s="895">
        <f t="shared" ref="AG78" si="67">IFERROR(AG77/AF77-1,"-")</f>
        <v>5.8696821801457855E-2</v>
      </c>
      <c r="AH78" s="895">
        <f t="shared" ref="AH78" si="68">IFERROR(AH77/AG77-1,"-")</f>
        <v>2.9045756254115984E-2</v>
      </c>
      <c r="AI78" s="1012"/>
    </row>
    <row r="79" spans="1:35" s="896" customFormat="1" ht="30" customHeight="1" outlineLevel="1">
      <c r="B79" s="904" t="s">
        <v>931</v>
      </c>
      <c r="C79" s="894" t="s">
        <v>927</v>
      </c>
      <c r="D79" s="894"/>
      <c r="E79" s="871" t="s">
        <v>78</v>
      </c>
      <c r="F79" s="871" t="s">
        <v>78</v>
      </c>
      <c r="G79" s="871" t="s">
        <v>78</v>
      </c>
      <c r="H79" s="871" t="s">
        <v>78</v>
      </c>
      <c r="I79" s="871" t="s">
        <v>78</v>
      </c>
      <c r="J79" s="1008">
        <f>J77</f>
        <v>151812</v>
      </c>
      <c r="K79" s="1008">
        <f>K77</f>
        <v>1823205</v>
      </c>
      <c r="L79" s="1008">
        <v>3195710</v>
      </c>
      <c r="M79" s="1008">
        <v>2409894</v>
      </c>
      <c r="N79" s="1008">
        <v>2917220</v>
      </c>
      <c r="O79" s="1008">
        <v>2986342</v>
      </c>
      <c r="P79" s="1008">
        <v>2540200</v>
      </c>
      <c r="Q79" s="1008">
        <v>1171618</v>
      </c>
      <c r="R79" s="1008">
        <v>91987</v>
      </c>
      <c r="S79" s="1008">
        <v>26729</v>
      </c>
      <c r="T79" s="1008">
        <v>651691</v>
      </c>
      <c r="U79" s="1008">
        <v>710930</v>
      </c>
      <c r="V79" s="1008">
        <v>1078268</v>
      </c>
      <c r="W79" s="1008">
        <v>2224196</v>
      </c>
      <c r="X79" s="1008">
        <v>2648059</v>
      </c>
      <c r="Y79" s="1008">
        <v>3568836</v>
      </c>
      <c r="Z79" s="1008">
        <v>4672233</v>
      </c>
      <c r="AA79" s="1008">
        <v>6076398</v>
      </c>
      <c r="AB79" s="1008">
        <v>7292353</v>
      </c>
      <c r="AC79" s="1008">
        <v>7982879</v>
      </c>
      <c r="AD79" s="1010">
        <v>7456690</v>
      </c>
      <c r="AE79" s="1010">
        <v>7798250</v>
      </c>
      <c r="AF79" s="1010">
        <v>8583028</v>
      </c>
      <c r="AG79" s="1010">
        <v>9152078</v>
      </c>
      <c r="AH79" s="1010">
        <v>9584655</v>
      </c>
      <c r="AI79" s="1011">
        <f ca="1">SUM(Table1[[#This Row],[Q1 FY17]]:Table1[[#This Row],[Q2 FY24]])</f>
        <v>96795261</v>
      </c>
    </row>
    <row r="80" spans="1:35" s="896" customFormat="1" ht="30" customHeight="1" outlineLevel="1">
      <c r="B80" s="905" t="s">
        <v>928</v>
      </c>
      <c r="C80" s="895" t="s">
        <v>929</v>
      </c>
      <c r="D80" s="895"/>
      <c r="E80" s="895" t="str">
        <f>IFERROR(E79/C79-1,"-")</f>
        <v>-</v>
      </c>
      <c r="F80" s="895" t="str">
        <f t="shared" ref="F80" si="69">IFERROR(F79/E79-1,"-")</f>
        <v>-</v>
      </c>
      <c r="G80" s="895" t="str">
        <f t="shared" ref="G80" si="70">IFERROR(G79/F79-1,"-")</f>
        <v>-</v>
      </c>
      <c r="H80" s="895" t="str">
        <f t="shared" ref="H80" si="71">IFERROR(H79/G79-1,"-")</f>
        <v>-</v>
      </c>
      <c r="I80" s="895" t="str">
        <f t="shared" ref="I80" si="72">IFERROR(I79/H79-1,"-")</f>
        <v>-</v>
      </c>
      <c r="J80" s="895" t="str">
        <f t="shared" ref="J80" si="73">IFERROR(J79/I79-1,"-")</f>
        <v>-</v>
      </c>
      <c r="K80" s="895">
        <f t="shared" ref="K80" si="74">IFERROR(K79/J79-1,"-")</f>
        <v>11.009623745158486</v>
      </c>
      <c r="L80" s="895">
        <f t="shared" ref="L80" si="75">IFERROR(L79/K79-1,"-")</f>
        <v>0.75279795744307409</v>
      </c>
      <c r="M80" s="895">
        <f t="shared" ref="M80" si="76">IFERROR(M79/L79-1,"-")</f>
        <v>-0.24589715587459438</v>
      </c>
      <c r="N80" s="895">
        <f t="shared" ref="N80" si="77">IFERROR(N79/M79-1,"-")</f>
        <v>0.21051797298968333</v>
      </c>
      <c r="O80" s="895">
        <f t="shared" ref="O80" si="78">IFERROR(O79/N79-1,"-")</f>
        <v>2.3694476247934748E-2</v>
      </c>
      <c r="P80" s="895">
        <f t="shared" ref="P80" si="79">IFERROR(P79/O79-1,"-")</f>
        <v>-0.14939414172924603</v>
      </c>
      <c r="Q80" s="895">
        <f t="shared" ref="Q80" si="80">IFERROR(Q79/P79-1,"-")</f>
        <v>-0.53876938823714671</v>
      </c>
      <c r="R80" s="895">
        <f t="shared" ref="R80" si="81">IFERROR(R79/Q79-1,"-")</f>
        <v>-0.92148720828802566</v>
      </c>
      <c r="S80" s="895">
        <f t="shared" ref="S80" si="82">IFERROR(S79/R79-1,"-")</f>
        <v>-0.70942633198169314</v>
      </c>
      <c r="T80" s="895">
        <f t="shared" ref="T80" si="83">IFERROR(T79/S79-1,"-")</f>
        <v>23.381420928579445</v>
      </c>
      <c r="U80" s="895">
        <f t="shared" ref="U80" si="84">IFERROR(U79/T79-1,"-")</f>
        <v>9.0900442080679378E-2</v>
      </c>
      <c r="V80" s="895">
        <f t="shared" ref="V80" si="85">IFERROR(V79/U79-1,"-")</f>
        <v>0.51670065969926715</v>
      </c>
      <c r="W80" s="895">
        <f t="shared" ref="W80" si="86">IFERROR(W79/V79-1,"-")</f>
        <v>1.0627487785967866</v>
      </c>
      <c r="X80" s="895">
        <f t="shared" ref="X80" si="87">IFERROR(X79/W79-1,"-")</f>
        <v>0.19056908653733751</v>
      </c>
      <c r="Y80" s="895">
        <f t="shared" ref="Y80" si="88">IFERROR(Y79/X79-1,"-")</f>
        <v>0.34771770568556071</v>
      </c>
      <c r="Z80" s="895">
        <f t="shared" ref="Z80" si="89">IFERROR(Z79/Y79-1,"-")</f>
        <v>0.30917559674919226</v>
      </c>
      <c r="AA80" s="895">
        <f t="shared" ref="AA80" si="90">IFERROR(AA79/Z79-1,"-")</f>
        <v>0.30053402730557321</v>
      </c>
      <c r="AB80" s="895">
        <f t="shared" ref="AB80" si="91">IFERROR(AB79/AA79-1,"-")</f>
        <v>0.20011115137619351</v>
      </c>
      <c r="AC80" s="895">
        <f t="shared" ref="AC80" si="92">IFERROR(AC79/AB79-1,"-")</f>
        <v>9.4691795638527143E-2</v>
      </c>
      <c r="AD80" s="895">
        <f t="shared" ref="AD80" si="93">IFERROR(AD79/AC79-1,"-")</f>
        <v>-6.5914690677385979E-2</v>
      </c>
      <c r="AE80" s="895">
        <f t="shared" ref="AE80" si="94">IFERROR(AE79/AD79-1,"-")</f>
        <v>4.5805846830161867E-2</v>
      </c>
      <c r="AF80" s="895">
        <f t="shared" ref="AF80" si="95">IFERROR(AF79/AE79-1,"-")</f>
        <v>0.10063514249991989</v>
      </c>
      <c r="AG80" s="895">
        <f t="shared" ref="AG80" si="96">IFERROR(AG79/AF79-1,"-")</f>
        <v>6.6299445836597526E-2</v>
      </c>
      <c r="AH80" s="895">
        <f t="shared" ref="AH80" si="97">IFERROR(AH79/AG79-1,"-")</f>
        <v>4.7265440701008021E-2</v>
      </c>
      <c r="AI80" s="1012"/>
    </row>
    <row r="81" spans="1:180" s="896" customFormat="1" ht="30" customHeight="1" outlineLevel="1">
      <c r="B81" s="904" t="s">
        <v>932</v>
      </c>
      <c r="C81" s="894" t="s">
        <v>933</v>
      </c>
      <c r="D81" s="894"/>
      <c r="E81" s="871" t="s">
        <v>78</v>
      </c>
      <c r="F81" s="871" t="s">
        <v>78</v>
      </c>
      <c r="G81" s="871" t="s">
        <v>78</v>
      </c>
      <c r="H81" s="871" t="s">
        <v>78</v>
      </c>
      <c r="I81" s="871" t="s">
        <v>78</v>
      </c>
      <c r="J81" s="1013" t="s">
        <v>78</v>
      </c>
      <c r="K81" s="1013" t="s">
        <v>78</v>
      </c>
      <c r="L81" s="1013" t="s">
        <v>78</v>
      </c>
      <c r="M81" s="1010">
        <v>173667</v>
      </c>
      <c r="N81" s="1010">
        <v>420221</v>
      </c>
      <c r="O81" s="1010">
        <v>414223</v>
      </c>
      <c r="P81" s="1010">
        <v>456541</v>
      </c>
      <c r="Q81" s="1010">
        <v>202596</v>
      </c>
      <c r="R81" s="1010">
        <v>102251</v>
      </c>
      <c r="S81" s="1010">
        <v>137407</v>
      </c>
      <c r="T81" s="1010">
        <v>199961</v>
      </c>
      <c r="U81" s="1010">
        <v>360227</v>
      </c>
      <c r="V81" s="1010">
        <v>381973</v>
      </c>
      <c r="W81" s="1010">
        <v>415277</v>
      </c>
      <c r="X81" s="1010">
        <v>422111</v>
      </c>
      <c r="Y81" s="1010">
        <v>443691</v>
      </c>
      <c r="Z81" s="1010">
        <v>566027</v>
      </c>
      <c r="AA81" s="1010">
        <v>613202</v>
      </c>
      <c r="AB81" s="1010">
        <v>792428</v>
      </c>
      <c r="AC81" s="1010">
        <v>801968</v>
      </c>
      <c r="AD81" s="1010">
        <v>902924</v>
      </c>
      <c r="AE81" s="1010">
        <v>846949</v>
      </c>
      <c r="AF81" s="1010">
        <v>893500</v>
      </c>
      <c r="AG81" s="1010">
        <v>852148</v>
      </c>
      <c r="AH81" s="1010">
        <v>982028</v>
      </c>
      <c r="AI81" s="1011">
        <f ca="1">SUM(Table1[[#This Row],[Q1 FY17]]:Table1[[#This Row],[Q2 FY24]])</f>
        <v>11381320</v>
      </c>
    </row>
    <row r="82" spans="1:180" s="896" customFormat="1" ht="30" customHeight="1" outlineLevel="1">
      <c r="B82" s="905" t="s">
        <v>928</v>
      </c>
      <c r="C82" s="895" t="s">
        <v>929</v>
      </c>
      <c r="D82" s="895"/>
      <c r="E82" s="895" t="str">
        <f>IFERROR(E81/C81-1,"-")</f>
        <v>-</v>
      </c>
      <c r="F82" s="895" t="str">
        <f t="shared" ref="F82:AH82" si="98">IFERROR(F81/E81-1,"-")</f>
        <v>-</v>
      </c>
      <c r="G82" s="895" t="str">
        <f t="shared" si="98"/>
        <v>-</v>
      </c>
      <c r="H82" s="895" t="str">
        <f t="shared" si="98"/>
        <v>-</v>
      </c>
      <c r="I82" s="895" t="str">
        <f t="shared" si="98"/>
        <v>-</v>
      </c>
      <c r="J82" s="895" t="str">
        <f t="shared" si="98"/>
        <v>-</v>
      </c>
      <c r="K82" s="895" t="str">
        <f t="shared" si="98"/>
        <v>-</v>
      </c>
      <c r="L82" s="895" t="str">
        <f t="shared" si="98"/>
        <v>-</v>
      </c>
      <c r="M82" s="895" t="str">
        <f t="shared" si="98"/>
        <v>-</v>
      </c>
      <c r="N82" s="895">
        <f t="shared" si="98"/>
        <v>1.4196940121036237</v>
      </c>
      <c r="O82" s="895">
        <f t="shared" si="98"/>
        <v>-1.4273441831798017E-2</v>
      </c>
      <c r="P82" s="895">
        <f t="shared" si="98"/>
        <v>0.10216236181959948</v>
      </c>
      <c r="Q82" s="895">
        <f t="shared" si="98"/>
        <v>-0.5562370082862218</v>
      </c>
      <c r="R82" s="895">
        <f t="shared" si="98"/>
        <v>-0.49529605717783176</v>
      </c>
      <c r="S82" s="895">
        <f t="shared" si="98"/>
        <v>0.34382059833155676</v>
      </c>
      <c r="T82" s="895">
        <f t="shared" si="98"/>
        <v>0.45524609372157165</v>
      </c>
      <c r="U82" s="895">
        <f t="shared" si="98"/>
        <v>0.80148628982651626</v>
      </c>
      <c r="V82" s="895">
        <f t="shared" si="98"/>
        <v>6.0367490499046328E-2</v>
      </c>
      <c r="W82" s="895">
        <f t="shared" si="98"/>
        <v>8.7189408675482305E-2</v>
      </c>
      <c r="X82" s="895">
        <f t="shared" si="98"/>
        <v>1.6456485671009879E-2</v>
      </c>
      <c r="Y82" s="895">
        <f t="shared" si="98"/>
        <v>5.1123993451959393E-2</v>
      </c>
      <c r="Z82" s="895">
        <f t="shared" si="98"/>
        <v>0.27572342012797191</v>
      </c>
      <c r="AA82" s="895">
        <f t="shared" si="98"/>
        <v>8.3344080759398365E-2</v>
      </c>
      <c r="AB82" s="895">
        <f t="shared" si="98"/>
        <v>0.29227889015365238</v>
      </c>
      <c r="AC82" s="895">
        <f t="shared" si="98"/>
        <v>1.2038948648962489E-2</v>
      </c>
      <c r="AD82" s="895">
        <f t="shared" si="98"/>
        <v>0.12588532210761527</v>
      </c>
      <c r="AE82" s="895">
        <f t="shared" si="98"/>
        <v>-6.1993035958729625E-2</v>
      </c>
      <c r="AF82" s="895">
        <f t="shared" si="98"/>
        <v>5.496316779404653E-2</v>
      </c>
      <c r="AG82" s="895">
        <f t="shared" si="98"/>
        <v>-4.6280917739227712E-2</v>
      </c>
      <c r="AH82" s="895">
        <f t="shared" si="98"/>
        <v>0.15241483873693307</v>
      </c>
      <c r="AI82" s="1012"/>
    </row>
    <row r="83" spans="1:180" s="896" customFormat="1" ht="30" customHeight="1" outlineLevel="1">
      <c r="B83" s="916" t="s">
        <v>934</v>
      </c>
      <c r="C83" s="917" t="s">
        <v>935</v>
      </c>
      <c r="D83" s="898"/>
      <c r="E83" s="1014">
        <v>16000</v>
      </c>
      <c r="F83" s="1014">
        <v>19000</v>
      </c>
      <c r="G83" s="1014">
        <v>23084.600000000002</v>
      </c>
      <c r="H83" s="1014">
        <v>25704</v>
      </c>
      <c r="I83" s="1014">
        <v>24460.149999999998</v>
      </c>
      <c r="J83" s="1014">
        <v>21795.200000000001</v>
      </c>
      <c r="K83" s="1014">
        <v>14406</v>
      </c>
      <c r="L83" s="1014">
        <v>11466.78</v>
      </c>
      <c r="M83" s="1014">
        <v>11441.039999999999</v>
      </c>
      <c r="N83" s="1014">
        <v>11068.300000000001</v>
      </c>
      <c r="O83" s="1014">
        <v>9262.5</v>
      </c>
      <c r="P83" s="1014">
        <v>7809.9999999999991</v>
      </c>
      <c r="Q83" s="1014">
        <v>6873.5999999999995</v>
      </c>
      <c r="R83" s="1014">
        <v>6095.52</v>
      </c>
      <c r="S83" s="1014">
        <v>5675.55</v>
      </c>
      <c r="T83" s="1014">
        <v>6266.5</v>
      </c>
      <c r="U83" s="1014">
        <v>10177.200000000001</v>
      </c>
      <c r="V83" s="1014">
        <v>13699.8</v>
      </c>
      <c r="W83" s="1014">
        <v>18540</v>
      </c>
      <c r="X83" s="1014">
        <v>33313.200000000004</v>
      </c>
      <c r="Y83" s="1014">
        <v>62960.000000000007</v>
      </c>
      <c r="Z83" s="1014">
        <v>71366.399999999994</v>
      </c>
      <c r="AA83" s="1014">
        <v>71540</v>
      </c>
      <c r="AB83" s="1014">
        <v>78173.600000000006</v>
      </c>
      <c r="AC83" s="1014">
        <v>56979</v>
      </c>
      <c r="AD83" s="1014">
        <v>37102</v>
      </c>
      <c r="AE83" s="1014">
        <v>32476.999999999996</v>
      </c>
      <c r="AF83" s="1014">
        <v>18379.400000000001</v>
      </c>
      <c r="AG83" s="919"/>
      <c r="AH83" s="919"/>
      <c r="AI83" s="1015"/>
    </row>
    <row r="84" spans="1:180" s="896" customFormat="1" ht="30" customHeight="1" outlineLevel="1">
      <c r="B84" s="918" t="s">
        <v>928</v>
      </c>
      <c r="C84" s="919" t="s">
        <v>929</v>
      </c>
      <c r="D84" s="919"/>
      <c r="E84" s="919" t="str">
        <f>IFERROR(E83/C83-1,"-")</f>
        <v>-</v>
      </c>
      <c r="F84" s="919">
        <f>IFERROR(F83/E83-1,"-")</f>
        <v>0.1875</v>
      </c>
      <c r="G84" s="919">
        <f t="shared" ref="G84" si="99">IFERROR(G83/F83-1,"-")</f>
        <v>0.21497894736842116</v>
      </c>
      <c r="H84" s="919">
        <f t="shared" ref="H84" si="100">IFERROR(H83/G83-1,"-")</f>
        <v>0.11346958578446231</v>
      </c>
      <c r="I84" s="919">
        <f t="shared" ref="I84" si="101">IFERROR(I83/H83-1,"-")</f>
        <v>-4.8391300964830464E-2</v>
      </c>
      <c r="J84" s="919">
        <f t="shared" ref="J84" si="102">IFERROR(J83/I83-1,"-")</f>
        <v>-0.10895068100563554</v>
      </c>
      <c r="K84" s="919">
        <f t="shared" ref="K84" si="103">IFERROR(K83/J83-1,"-")</f>
        <v>-0.33902877697841727</v>
      </c>
      <c r="L84" s="919">
        <f t="shared" ref="L84" si="104">IFERROR(L83/K83-1,"-")</f>
        <v>-0.20402748854643893</v>
      </c>
      <c r="M84" s="919">
        <f t="shared" ref="M84" si="105">IFERROR(M83/L83-1,"-")</f>
        <v>-2.2447452554249514E-3</v>
      </c>
      <c r="N84" s="919">
        <f t="shared" ref="N84" si="106">IFERROR(N83/M83-1,"-")</f>
        <v>-3.2579206086159829E-2</v>
      </c>
      <c r="O84" s="919">
        <f t="shared" ref="O84" si="107">IFERROR(O83/N83-1,"-")</f>
        <v>-0.16315061933630282</v>
      </c>
      <c r="P84" s="919">
        <f t="shared" ref="P84" si="108">IFERROR(P83/O83-1,"-")</f>
        <v>-0.15681511470985166</v>
      </c>
      <c r="Q84" s="919">
        <f t="shared" ref="Q84" si="109">IFERROR(Q83/P83-1,"-")</f>
        <v>-0.1198975672215109</v>
      </c>
      <c r="R84" s="919">
        <f t="shared" ref="R84" si="110">IFERROR(R83/Q83-1,"-")</f>
        <v>-0.1131983240223462</v>
      </c>
      <c r="S84" s="919">
        <f t="shared" ref="S84" si="111">IFERROR(S83/R83-1,"-")</f>
        <v>-6.8898141585951644E-2</v>
      </c>
      <c r="T84" s="919">
        <f t="shared" ref="T84" si="112">IFERROR(T83/S83-1,"-")</f>
        <v>0.10412206746482711</v>
      </c>
      <c r="U84" s="919">
        <f t="shared" ref="U84" si="113">IFERROR(U83/T83-1,"-")</f>
        <v>0.62406446979972885</v>
      </c>
      <c r="V84" s="919">
        <f t="shared" ref="V84" si="114">IFERROR(V83/U83-1,"-")</f>
        <v>0.34612663600990423</v>
      </c>
      <c r="W84" s="919">
        <f t="shared" ref="W84" si="115">IFERROR(W83/V83-1,"-")</f>
        <v>0.35330442780186577</v>
      </c>
      <c r="X84" s="919">
        <f t="shared" ref="X84" si="116">IFERROR(X83/W83-1,"-")</f>
        <v>0.79682847896440157</v>
      </c>
      <c r="Y84" s="919">
        <f t="shared" ref="Y84" si="117">IFERROR(Y83/X83-1,"-")</f>
        <v>0.88994152468090726</v>
      </c>
      <c r="Z84" s="919">
        <f t="shared" ref="Z84" si="118">IFERROR(Z83/Y83-1,"-")</f>
        <v>0.13351969504447236</v>
      </c>
      <c r="AA84" s="919">
        <f t="shared" ref="AA84" si="119">IFERROR(AA83/Z83-1,"-")</f>
        <v>2.4325172630257352E-3</v>
      </c>
      <c r="AB84" s="919">
        <f t="shared" ref="AB84" si="120">IFERROR(AB83/AA83-1,"-")</f>
        <v>9.2725747833380057E-2</v>
      </c>
      <c r="AC84" s="919">
        <f t="shared" ref="AC84" si="121">IFERROR(AC83/AB83-1,"-")</f>
        <v>-0.27112222028920252</v>
      </c>
      <c r="AD84" s="919">
        <f t="shared" ref="AD84" si="122">IFERROR(AD83/AC83-1,"-")</f>
        <v>-0.3488478211270819</v>
      </c>
      <c r="AE84" s="919">
        <f t="shared" ref="AE84" si="123">IFERROR(AE83/AD83-1,"-")</f>
        <v>-0.12465635275726383</v>
      </c>
      <c r="AF84" s="919">
        <f t="shared" ref="AF84" si="124">IFERROR(AF83/AE83-1,"-")</f>
        <v>-0.43407950241709503</v>
      </c>
    </row>
    <row r="85" spans="1:180" s="896" customFormat="1" ht="30" customHeight="1" outlineLevel="1"/>
    <row r="86" spans="1:180" s="896" customFormat="1" ht="30" customHeight="1" outlineLevel="1"/>
    <row r="87" spans="1:180" s="896" customFormat="1" ht="30" customHeight="1" outlineLevel="1">
      <c r="B87" s="1123" t="s">
        <v>894</v>
      </c>
      <c r="C87" s="948" t="s">
        <v>863</v>
      </c>
      <c r="D87" s="948" t="s">
        <v>895</v>
      </c>
      <c r="E87" s="948" t="s">
        <v>896</v>
      </c>
      <c r="F87" s="948" t="s">
        <v>897</v>
      </c>
      <c r="G87" s="948" t="s">
        <v>898</v>
      </c>
      <c r="H87" s="948" t="s">
        <v>899</v>
      </c>
      <c r="I87" s="948" t="s">
        <v>900</v>
      </c>
      <c r="J87" s="948" t="s">
        <v>901</v>
      </c>
      <c r="K87" s="948" t="s">
        <v>902</v>
      </c>
      <c r="L87" s="948" t="s">
        <v>903</v>
      </c>
      <c r="M87" s="948" t="s">
        <v>904</v>
      </c>
      <c r="N87" s="948" t="s">
        <v>905</v>
      </c>
      <c r="O87" s="948" t="s">
        <v>906</v>
      </c>
      <c r="P87" s="948" t="s">
        <v>907</v>
      </c>
      <c r="Q87" s="948" t="s">
        <v>908</v>
      </c>
      <c r="R87" s="948" t="s">
        <v>909</v>
      </c>
      <c r="S87" s="948" t="s">
        <v>910</v>
      </c>
      <c r="T87" s="948" t="s">
        <v>911</v>
      </c>
      <c r="U87" s="948" t="s">
        <v>912</v>
      </c>
      <c r="V87" s="948" t="s">
        <v>913</v>
      </c>
      <c r="W87" s="948" t="s">
        <v>914</v>
      </c>
      <c r="X87" s="948" t="s">
        <v>915</v>
      </c>
      <c r="Y87" s="948" t="s">
        <v>916</v>
      </c>
      <c r="Z87" s="948" t="s">
        <v>917</v>
      </c>
      <c r="AA87" s="948" t="s">
        <v>918</v>
      </c>
      <c r="AB87" s="948" t="s">
        <v>919</v>
      </c>
      <c r="AC87" s="948" t="s">
        <v>920</v>
      </c>
      <c r="AD87" s="948" t="s">
        <v>921</v>
      </c>
      <c r="AE87" s="948" t="s">
        <v>922</v>
      </c>
      <c r="AF87" s="948" t="s">
        <v>923</v>
      </c>
      <c r="AG87" s="948" t="s">
        <v>924</v>
      </c>
      <c r="AH87" s="948" t="s">
        <v>925</v>
      </c>
      <c r="AI87" s="948" t="s">
        <v>726</v>
      </c>
    </row>
    <row r="88" spans="1:180" s="896" customFormat="1" ht="30" customHeight="1" outlineLevel="1">
      <c r="B88" s="947" t="s">
        <v>936</v>
      </c>
      <c r="C88" s="898" t="s">
        <v>937</v>
      </c>
      <c r="D88" s="898"/>
      <c r="E88" s="1016" t="str">
        <f>IFERROR(E77/E79,"-")</f>
        <v>-</v>
      </c>
      <c r="F88" s="1016" t="str">
        <f t="shared" ref="F88:AH88" si="125">IFERROR(F77/F79,"-")</f>
        <v>-</v>
      </c>
      <c r="G88" s="1016" t="str">
        <f t="shared" si="125"/>
        <v>-</v>
      </c>
      <c r="H88" s="1016" t="str">
        <f t="shared" si="125"/>
        <v>-</v>
      </c>
      <c r="I88" s="1016" t="str">
        <f t="shared" si="125"/>
        <v>-</v>
      </c>
      <c r="J88" s="1016">
        <f t="shared" si="125"/>
        <v>1</v>
      </c>
      <c r="K88" s="1016">
        <f t="shared" si="125"/>
        <v>1</v>
      </c>
      <c r="L88" s="1016">
        <f t="shared" si="125"/>
        <v>0.89218389653629393</v>
      </c>
      <c r="M88" s="1016">
        <f t="shared" si="125"/>
        <v>0.79750686129763382</v>
      </c>
      <c r="N88" s="1016">
        <f t="shared" si="125"/>
        <v>0.73861073213538919</v>
      </c>
      <c r="O88" s="1016">
        <f t="shared" si="125"/>
        <v>0.81903445754036208</v>
      </c>
      <c r="P88" s="1016">
        <f t="shared" si="125"/>
        <v>0.74798322966695541</v>
      </c>
      <c r="Q88" s="1016">
        <f t="shared" si="125"/>
        <v>0.74123221049864374</v>
      </c>
      <c r="R88" s="1016">
        <f t="shared" si="125"/>
        <v>0.28314870579538415</v>
      </c>
      <c r="S88" s="1016">
        <f t="shared" si="125"/>
        <v>0.81465823637247936</v>
      </c>
      <c r="T88" s="1016">
        <f t="shared" si="125"/>
        <v>0.32779492121266063</v>
      </c>
      <c r="U88" s="1016">
        <f t="shared" si="125"/>
        <v>0.47608203339287974</v>
      </c>
      <c r="V88" s="1016">
        <f t="shared" si="125"/>
        <v>0.56771322157385729</v>
      </c>
      <c r="W88" s="1016">
        <f t="shared" si="125"/>
        <v>0.73695303831137182</v>
      </c>
      <c r="X88" s="1016">
        <f t="shared" si="125"/>
        <v>0.74622166651120692</v>
      </c>
      <c r="Y88" s="1016">
        <f t="shared" si="125"/>
        <v>0.8208970655978588</v>
      </c>
      <c r="Z88" s="1016">
        <f t="shared" si="125"/>
        <v>0.81970762160191923</v>
      </c>
      <c r="AA88" s="1016">
        <f t="shared" si="125"/>
        <v>0.8658109623497342</v>
      </c>
      <c r="AB88" s="1016">
        <f t="shared" si="125"/>
        <v>0.83935912043753236</v>
      </c>
      <c r="AC88" s="1016">
        <f t="shared" si="125"/>
        <v>0.81929514402009596</v>
      </c>
      <c r="AD88" s="1016">
        <f t="shared" si="125"/>
        <v>0.85305289612415158</v>
      </c>
      <c r="AE88" s="1016">
        <f t="shared" si="125"/>
        <v>0.84284127849196933</v>
      </c>
      <c r="AF88" s="1016">
        <f t="shared" si="125"/>
        <v>0.85189958602022497</v>
      </c>
      <c r="AG88" s="1016">
        <f t="shared" si="125"/>
        <v>0.84582561468553918</v>
      </c>
      <c r="AH88" s="1016">
        <f t="shared" si="125"/>
        <v>0.83111045728823829</v>
      </c>
      <c r="AI88" s="1112"/>
    </row>
    <row r="89" spans="1:180" s="896" customFormat="1" ht="30" customHeight="1" outlineLevel="1">
      <c r="B89" s="947" t="s">
        <v>938</v>
      </c>
      <c r="C89" s="898" t="s">
        <v>937</v>
      </c>
      <c r="D89" s="898"/>
      <c r="E89" s="1016" t="str">
        <f>IFERROR(E81/E75,"-")</f>
        <v>-</v>
      </c>
      <c r="F89" s="1016" t="str">
        <f t="shared" ref="F89:AH89" si="126">IFERROR(F81/F75,"-")</f>
        <v>-</v>
      </c>
      <c r="G89" s="1016" t="str">
        <f t="shared" si="126"/>
        <v>-</v>
      </c>
      <c r="H89" s="1016" t="str">
        <f t="shared" si="126"/>
        <v>-</v>
      </c>
      <c r="I89" s="1016" t="str">
        <f t="shared" si="126"/>
        <v>-</v>
      </c>
      <c r="J89" s="1016" t="str">
        <f t="shared" si="126"/>
        <v>-</v>
      </c>
      <c r="K89" s="1016" t="str">
        <f t="shared" si="126"/>
        <v>-</v>
      </c>
      <c r="L89" s="1016" t="str">
        <f t="shared" si="126"/>
        <v>-</v>
      </c>
      <c r="M89" s="1016">
        <f t="shared" si="126"/>
        <v>0.35589104426838913</v>
      </c>
      <c r="N89" s="1016">
        <f t="shared" si="126"/>
        <v>0.55108710334399524</v>
      </c>
      <c r="O89" s="1016">
        <f t="shared" si="126"/>
        <v>0.76647496604530496</v>
      </c>
      <c r="P89" s="1016">
        <f t="shared" si="126"/>
        <v>0.71315253845444904</v>
      </c>
      <c r="Q89" s="1016">
        <f t="shared" si="126"/>
        <v>0.66824330341681593</v>
      </c>
      <c r="R89" s="1016">
        <f t="shared" si="126"/>
        <v>1.5506437572981908</v>
      </c>
      <c r="S89" s="1016">
        <f t="shared" si="126"/>
        <v>27.736576503835284</v>
      </c>
      <c r="T89" s="1016">
        <f t="shared" si="126"/>
        <v>0.45645901339968498</v>
      </c>
      <c r="U89" s="1016">
        <f t="shared" si="126"/>
        <v>0.96713543176863515</v>
      </c>
      <c r="V89" s="1016">
        <f t="shared" si="126"/>
        <v>0.8194717680602247</v>
      </c>
      <c r="W89" s="1016">
        <f t="shared" si="126"/>
        <v>4.8817063995862133</v>
      </c>
      <c r="X89" s="1016">
        <f t="shared" si="126"/>
        <v>0.62812267492038931</v>
      </c>
      <c r="Y89" s="1016">
        <f t="shared" si="126"/>
        <v>0.69414788763243362</v>
      </c>
      <c r="Z89" s="1016">
        <f t="shared" si="126"/>
        <v>0.72601258532806257</v>
      </c>
      <c r="AA89" s="1016">
        <f t="shared" si="126"/>
        <v>0.75203798932286137</v>
      </c>
      <c r="AB89" s="1016">
        <f t="shared" si="126"/>
        <v>0.67587359802123759</v>
      </c>
      <c r="AC89" s="1016">
        <f t="shared" si="126"/>
        <v>0.55593967605863248</v>
      </c>
      <c r="AD89" s="1016">
        <f t="shared" si="126"/>
        <v>0.82403200032124435</v>
      </c>
      <c r="AE89" s="1016">
        <f t="shared" si="126"/>
        <v>0.69106932895330553</v>
      </c>
      <c r="AF89" s="1016">
        <f t="shared" si="126"/>
        <v>0.70290681666207766</v>
      </c>
      <c r="AG89" s="1016">
        <f t="shared" si="126"/>
        <v>0.60392468694565693</v>
      </c>
      <c r="AH89" s="1016">
        <f t="shared" si="126"/>
        <v>0.60665897347826836</v>
      </c>
      <c r="AI89" s="1112"/>
    </row>
    <row r="90" spans="1:180" s="896" customFormat="1" ht="30" customHeight="1" outlineLevel="1">
      <c r="B90" s="1113" t="s">
        <v>939</v>
      </c>
      <c r="C90" s="1111"/>
      <c r="D90" s="898"/>
      <c r="E90" s="1016" t="str">
        <f t="shared" ref="E90:AH90" si="127">IFERROR(E75/E79,"-")</f>
        <v>-</v>
      </c>
      <c r="F90" s="1016" t="str">
        <f t="shared" si="127"/>
        <v>-</v>
      </c>
      <c r="G90" s="1016" t="str">
        <f t="shared" si="127"/>
        <v>-</v>
      </c>
      <c r="H90" s="1016" t="str">
        <f t="shared" si="127"/>
        <v>-</v>
      </c>
      <c r="I90" s="1016" t="str">
        <f t="shared" si="127"/>
        <v>-</v>
      </c>
      <c r="J90" s="1016">
        <f t="shared" si="127"/>
        <v>0</v>
      </c>
      <c r="K90" s="1016">
        <f t="shared" si="127"/>
        <v>0</v>
      </c>
      <c r="L90" s="1016">
        <f t="shared" si="127"/>
        <v>0.10781610346370603</v>
      </c>
      <c r="M90" s="1016">
        <f t="shared" si="127"/>
        <v>0.20248940409827154</v>
      </c>
      <c r="N90" s="1016">
        <f t="shared" si="127"/>
        <v>0.26138961065672112</v>
      </c>
      <c r="O90" s="1016">
        <f t="shared" si="127"/>
        <v>0.18096587731746733</v>
      </c>
      <c r="P90" s="1016">
        <f t="shared" si="127"/>
        <v>0.25201677033304465</v>
      </c>
      <c r="Q90" s="1016">
        <f t="shared" si="127"/>
        <v>0.25876778950135626</v>
      </c>
      <c r="R90" s="1016">
        <f t="shared" si="127"/>
        <v>0.71685129420461591</v>
      </c>
      <c r="S90" s="1016">
        <f t="shared" si="127"/>
        <v>0.18534176362752067</v>
      </c>
      <c r="T90" s="1016">
        <f t="shared" si="127"/>
        <v>0.67220507878733937</v>
      </c>
      <c r="U90" s="1016">
        <f t="shared" si="127"/>
        <v>0.52391655999887476</v>
      </c>
      <c r="V90" s="1016">
        <f t="shared" si="127"/>
        <v>0.43228677842614266</v>
      </c>
      <c r="W90" s="1016">
        <f t="shared" si="127"/>
        <v>3.824662934381682E-2</v>
      </c>
      <c r="X90" s="1016">
        <f t="shared" si="127"/>
        <v>0.25377833348879314</v>
      </c>
      <c r="Y90" s="1016">
        <f t="shared" si="127"/>
        <v>0.17910265419873594</v>
      </c>
      <c r="Z90" s="1016">
        <f t="shared" si="127"/>
        <v>0.16686625003504749</v>
      </c>
      <c r="AA90" s="1016">
        <f t="shared" si="127"/>
        <v>0.13418920222144765</v>
      </c>
      <c r="AB90" s="1016">
        <f t="shared" si="127"/>
        <v>0.16077800951215609</v>
      </c>
      <c r="AC90" s="1016">
        <f t="shared" si="127"/>
        <v>0.18070485597990399</v>
      </c>
      <c r="AD90" s="1016">
        <f t="shared" si="127"/>
        <v>0.14694710387584839</v>
      </c>
      <c r="AE90" s="1016">
        <f t="shared" si="127"/>
        <v>0.15715872150803065</v>
      </c>
      <c r="AF90" s="1016">
        <f t="shared" si="127"/>
        <v>0.14810041397977497</v>
      </c>
      <c r="AG90" s="1016">
        <f t="shared" si="127"/>
        <v>0.15417449457926385</v>
      </c>
      <c r="AH90" s="1016">
        <f t="shared" si="127"/>
        <v>0.16888954271176165</v>
      </c>
      <c r="AI90" s="1112"/>
    </row>
    <row r="91" spans="1:180" ht="30" customHeight="1" outlineLevel="1">
      <c r="B91" s="896"/>
      <c r="C91" s="902"/>
    </row>
    <row r="92" spans="1:180" s="994" customFormat="1" ht="30" customHeight="1" outlineLevel="1">
      <c r="B92" s="1124" t="s">
        <v>940</v>
      </c>
      <c r="C92" s="890" t="s">
        <v>863</v>
      </c>
      <c r="D92" s="893" t="s">
        <v>895</v>
      </c>
      <c r="E92" s="890" t="s">
        <v>789</v>
      </c>
      <c r="F92" s="890" t="s">
        <v>790</v>
      </c>
      <c r="G92" s="890" t="s">
        <v>791</v>
      </c>
      <c r="H92" s="890" t="s">
        <v>792</v>
      </c>
      <c r="I92" s="890" t="s">
        <v>793</v>
      </c>
      <c r="J92" s="890" t="s">
        <v>794</v>
      </c>
      <c r="K92" s="890" t="s">
        <v>941</v>
      </c>
      <c r="L92" s="890" t="s">
        <v>942</v>
      </c>
      <c r="M92" s="890" t="s">
        <v>726</v>
      </c>
      <c r="N92" s="995" t="s">
        <v>943</v>
      </c>
      <c r="O92" s="995" t="s">
        <v>800</v>
      </c>
      <c r="P92" s="995" t="s">
        <v>801</v>
      </c>
      <c r="Q92" s="995" t="s">
        <v>802</v>
      </c>
      <c r="R92" s="995" t="s">
        <v>803</v>
      </c>
      <c r="S92" s="995" t="s">
        <v>804</v>
      </c>
      <c r="T92" s="995" t="s">
        <v>805</v>
      </c>
      <c r="U92" s="995" t="s">
        <v>806</v>
      </c>
      <c r="V92" s="995" t="s">
        <v>807</v>
      </c>
      <c r="W92" s="995" t="s">
        <v>808</v>
      </c>
      <c r="X92" s="995" t="s">
        <v>809</v>
      </c>
      <c r="Y92" s="995" t="s">
        <v>810</v>
      </c>
      <c r="Z92" s="995" t="s">
        <v>811</v>
      </c>
      <c r="AA92" s="995" t="s">
        <v>812</v>
      </c>
      <c r="AB92" s="995" t="s">
        <v>813</v>
      </c>
      <c r="AC92" s="995" t="s">
        <v>814</v>
      </c>
      <c r="AD92" s="995" t="s">
        <v>815</v>
      </c>
      <c r="AE92" s="995" t="s">
        <v>816</v>
      </c>
      <c r="AF92" s="995" t="s">
        <v>817</v>
      </c>
      <c r="AG92" s="995" t="s">
        <v>818</v>
      </c>
      <c r="AH92" s="995" t="s">
        <v>819</v>
      </c>
      <c r="AI92" s="995" t="s">
        <v>820</v>
      </c>
      <c r="AJ92" s="995" t="s">
        <v>821</v>
      </c>
      <c r="AK92" s="995" t="s">
        <v>822</v>
      </c>
      <c r="AL92" s="995" t="s">
        <v>823</v>
      </c>
      <c r="AM92" s="995" t="s">
        <v>824</v>
      </c>
      <c r="AN92" s="995" t="s">
        <v>944</v>
      </c>
    </row>
    <row r="93" spans="1:180" s="896" customFormat="1" ht="30" customHeight="1" outlineLevel="1">
      <c r="B93" s="906" t="s">
        <v>926</v>
      </c>
      <c r="C93" s="898" t="s">
        <v>927</v>
      </c>
      <c r="D93" s="898"/>
      <c r="E93" s="996">
        <f>SUM(E75:H75)</f>
        <v>0</v>
      </c>
      <c r="F93" s="997">
        <f>SUM(I75:L75)</f>
        <v>344549</v>
      </c>
      <c r="G93" s="997">
        <f>SUM(M75:P75)</f>
        <v>2431108</v>
      </c>
      <c r="H93" s="997">
        <f>SUM(Q75:T75)</f>
        <v>812142</v>
      </c>
      <c r="I93" s="997">
        <f>SUM(U75:X75)</f>
        <v>1595677</v>
      </c>
      <c r="J93" s="997">
        <f>SUM(Y75:AB75)</f>
        <v>3406663</v>
      </c>
      <c r="K93" s="997">
        <f>SUM(AC75:AF75)</f>
        <v>5034997</v>
      </c>
      <c r="L93" s="997">
        <f>SUM(AG75:AH75)</f>
        <v>3029765</v>
      </c>
      <c r="M93" s="998">
        <f>SUM(E93:L93)</f>
        <v>16654901</v>
      </c>
      <c r="N93" s="999">
        <f t="shared" ref="N93:AM93" si="128">N99/M105</f>
        <v>3453774.1293576085</v>
      </c>
      <c r="O93" s="999">
        <f t="shared" si="128"/>
        <v>1901141.029508386</v>
      </c>
      <c r="P93" s="999">
        <f t="shared" si="128"/>
        <v>2398437.6082578464</v>
      </c>
      <c r="Q93" s="999">
        <f t="shared" si="128"/>
        <v>2726709.2950805314</v>
      </c>
      <c r="R93" s="999">
        <f t="shared" si="128"/>
        <v>3169805.8261997015</v>
      </c>
      <c r="S93" s="999">
        <f t="shared" si="128"/>
        <v>3118345.1490385882</v>
      </c>
      <c r="T93" s="999">
        <f t="shared" si="128"/>
        <v>3641319.7834243923</v>
      </c>
      <c r="U93" s="999">
        <f t="shared" si="128"/>
        <v>4127586.3373111659</v>
      </c>
      <c r="V93" s="999">
        <f t="shared" si="128"/>
        <v>4353576.6695268406</v>
      </c>
      <c r="W93" s="999">
        <f t="shared" si="128"/>
        <v>4897257.4089062046</v>
      </c>
      <c r="X93" s="999">
        <f t="shared" si="128"/>
        <v>5463849.3162429817</v>
      </c>
      <c r="Y93" s="999">
        <f t="shared" si="128"/>
        <v>6057800.4076324524</v>
      </c>
      <c r="Z93" s="999">
        <f t="shared" si="128"/>
        <v>6678498.6722220909</v>
      </c>
      <c r="AA93" s="999">
        <f t="shared" si="128"/>
        <v>7325350.0677125556</v>
      </c>
      <c r="AB93" s="999">
        <f t="shared" si="128"/>
        <v>7997778.013730892</v>
      </c>
      <c r="AC93" s="999">
        <f t="shared" si="128"/>
        <v>8695222.7548973095</v>
      </c>
      <c r="AD93" s="999">
        <f t="shared" si="128"/>
        <v>9417140.7515644152</v>
      </c>
      <c r="AE93" s="999">
        <f t="shared" si="128"/>
        <v>10163004.096840909</v>
      </c>
      <c r="AF93" s="999">
        <f t="shared" si="128"/>
        <v>10932299.958586223</v>
      </c>
      <c r="AG93" s="999">
        <f t="shared" si="128"/>
        <v>11724530.045137087</v>
      </c>
      <c r="AH93" s="999">
        <f t="shared" si="128"/>
        <v>12539210.093596779</v>
      </c>
      <c r="AI93" s="999">
        <f t="shared" si="128"/>
        <v>13375869.379583171</v>
      </c>
      <c r="AJ93" s="999">
        <f t="shared" si="128"/>
        <v>14234050.247393038</v>
      </c>
      <c r="AK93" s="999">
        <f t="shared" si="128"/>
        <v>15113307.659597464</v>
      </c>
      <c r="AL93" s="999">
        <f t="shared" si="128"/>
        <v>16013208.765137315</v>
      </c>
      <c r="AM93" s="999">
        <f t="shared" si="128"/>
        <v>16933332.485038139</v>
      </c>
      <c r="AN93" s="1000">
        <f>(AM93/O93)^(1/(2049-2025)-1)</f>
        <v>0.12298266591613068</v>
      </c>
    </row>
    <row r="94" spans="1:180" s="896" customFormat="1" ht="30" customHeight="1" outlineLevel="1">
      <c r="B94" s="907" t="s">
        <v>204</v>
      </c>
      <c r="C94" s="899" t="s">
        <v>937</v>
      </c>
      <c r="D94" s="899"/>
      <c r="E94" s="1001" t="str">
        <f>IFERROR(E93/C93-1,"-")</f>
        <v>-</v>
      </c>
      <c r="F94" s="1001" t="str">
        <f t="shared" ref="F94:M94" si="129">IFERROR(F93/E93-1,"-")</f>
        <v>-</v>
      </c>
      <c r="G94" s="1001">
        <f t="shared" si="129"/>
        <v>6.0559136726561391</v>
      </c>
      <c r="H94" s="1001">
        <f t="shared" si="129"/>
        <v>-0.66593750668419505</v>
      </c>
      <c r="I94" s="1001">
        <f t="shared" si="129"/>
        <v>0.96477586431929385</v>
      </c>
      <c r="J94" s="1001">
        <f t="shared" si="129"/>
        <v>1.1349326962787583</v>
      </c>
      <c r="K94" s="1001">
        <f t="shared" si="129"/>
        <v>0.47798505458273977</v>
      </c>
      <c r="L94" s="1001">
        <f t="shared" si="129"/>
        <v>-0.39825882716514027</v>
      </c>
      <c r="M94" s="1001">
        <f t="shared" si="129"/>
        <v>4.4970933389223253</v>
      </c>
      <c r="N94" s="1001">
        <f>IFERROR(N93/L93-1,"-")</f>
        <v>0.13994786043063034</v>
      </c>
      <c r="O94" s="1001">
        <f>IFERROR(O93/(L93+N93)-1,"-")</f>
        <v>-0.70677418743414733</v>
      </c>
      <c r="P94" s="1001">
        <f t="shared" ref="P94:AM94" si="130">IFERROR(P93/O93-1,"-")</f>
        <v>0.26157795294021713</v>
      </c>
      <c r="Q94" s="1001">
        <f t="shared" si="130"/>
        <v>0.13686897073846827</v>
      </c>
      <c r="R94" s="1001">
        <f t="shared" si="130"/>
        <v>0.16250229972025076</v>
      </c>
      <c r="S94" s="1001">
        <f t="shared" si="130"/>
        <v>-1.6234646531270269E-2</v>
      </c>
      <c r="T94" s="1001">
        <f t="shared" si="130"/>
        <v>0.16770902815137112</v>
      </c>
      <c r="U94" s="1001">
        <f t="shared" si="130"/>
        <v>0.13354129348932808</v>
      </c>
      <c r="V94" s="1001">
        <f t="shared" si="130"/>
        <v>5.4751206576309164E-2</v>
      </c>
      <c r="W94" s="1001">
        <f t="shared" si="130"/>
        <v>0.12488139767582251</v>
      </c>
      <c r="X94" s="1001">
        <f t="shared" si="130"/>
        <v>0.11569575785548203</v>
      </c>
      <c r="Y94" s="1001">
        <f t="shared" si="130"/>
        <v>0.10870561338940443</v>
      </c>
      <c r="Z94" s="1001">
        <f t="shared" si="130"/>
        <v>0.10246264697126661</v>
      </c>
      <c r="AA94" s="1001">
        <f t="shared" si="130"/>
        <v>9.6855809552065519E-2</v>
      </c>
      <c r="AB94" s="1001">
        <f t="shared" si="130"/>
        <v>9.1794650058043104E-2</v>
      </c>
      <c r="AC94" s="1001">
        <f t="shared" si="130"/>
        <v>8.7204813633113831E-2</v>
      </c>
      <c r="AD94" s="1001">
        <f t="shared" si="130"/>
        <v>8.3024669639487847E-2</v>
      </c>
      <c r="AE94" s="1001">
        <f t="shared" si="130"/>
        <v>7.9202739446427861E-2</v>
      </c>
      <c r="AF94" s="1001">
        <f t="shared" si="130"/>
        <v>7.5695715008561759E-2</v>
      </c>
      <c r="AG94" s="1001">
        <f t="shared" si="130"/>
        <v>7.2466918173851091E-2</v>
      </c>
      <c r="AH94" s="1001">
        <f t="shared" si="130"/>
        <v>6.9485091967297352E-2</v>
      </c>
      <c r="AI94" s="1001">
        <f t="shared" si="130"/>
        <v>6.6723444279288113E-2</v>
      </c>
      <c r="AJ94" s="1001">
        <f t="shared" si="130"/>
        <v>6.4158885187663994E-2</v>
      </c>
      <c r="AK94" s="1001">
        <f t="shared" si="130"/>
        <v>6.1771414103688471E-2</v>
      </c>
      <c r="AL94" s="1001">
        <f t="shared" si="130"/>
        <v>5.9543623792266409E-2</v>
      </c>
      <c r="AM94" s="1001">
        <f t="shared" si="130"/>
        <v>5.7460296271415912E-2</v>
      </c>
      <c r="AN94" s="1002"/>
    </row>
    <row r="95" spans="1:180" s="896" customFormat="1" ht="30" customHeight="1" outlineLevel="1">
      <c r="A95" s="897"/>
      <c r="B95" s="906" t="s">
        <v>930</v>
      </c>
      <c r="C95" s="898" t="s">
        <v>927</v>
      </c>
      <c r="D95" s="898"/>
      <c r="E95" s="996">
        <f>SUM(E77:H77)</f>
        <v>0</v>
      </c>
      <c r="F95" s="997">
        <f>SUM(I77:L77)</f>
        <v>4826178</v>
      </c>
      <c r="G95" s="997">
        <f>SUM(M77:P77)</f>
        <v>8422541</v>
      </c>
      <c r="H95" s="997">
        <f>SUM(Q77:T77)</f>
        <v>1129883</v>
      </c>
      <c r="I95" s="997">
        <f>SUM(U77:X77)</f>
        <v>4565775</v>
      </c>
      <c r="J95" s="997">
        <f>SUM(Y77:AB77)</f>
        <v>18141427</v>
      </c>
      <c r="K95" s="997">
        <f>SUM(AC77:AF77)</f>
        <v>26785850</v>
      </c>
      <c r="L95" s="997">
        <f>SUM(AG77:AH77)</f>
        <v>15706969</v>
      </c>
      <c r="M95" s="998">
        <f t="shared" ref="M95" si="131">SUM(E95:L95)</f>
        <v>79578623</v>
      </c>
      <c r="N95" s="999">
        <f t="shared" ref="N95:AM95" si="132">N97-N93</f>
        <v>17264492.967271931</v>
      </c>
      <c r="O95" s="999">
        <f t="shared" si="132"/>
        <v>9171195.5147716403</v>
      </c>
      <c r="P95" s="999">
        <f t="shared" si="132"/>
        <v>11174918.673381677</v>
      </c>
      <c r="Q95" s="999">
        <f t="shared" si="132"/>
        <v>12279790.670480376</v>
      </c>
      <c r="R95" s="999">
        <f t="shared" si="132"/>
        <v>13808093.817567026</v>
      </c>
      <c r="S95" s="999">
        <f t="shared" si="132"/>
        <v>13148292.959234241</v>
      </c>
      <c r="T95" s="999">
        <f t="shared" si="132"/>
        <v>14870550.744547132</v>
      </c>
      <c r="U95" s="999">
        <f t="shared" si="132"/>
        <v>16336210.450141599</v>
      </c>
      <c r="V95" s="999">
        <f t="shared" si="132"/>
        <v>16708527.916184809</v>
      </c>
      <c r="W95" s="999">
        <f t="shared" si="132"/>
        <v>18235543.058452889</v>
      </c>
      <c r="X95" s="999">
        <f t="shared" si="132"/>
        <v>19749818.652476426</v>
      </c>
      <c r="Y95" s="999">
        <f t="shared" si="132"/>
        <v>21266281.537028674</v>
      </c>
      <c r="Z95" s="999">
        <f t="shared" si="132"/>
        <v>22780889.116837531</v>
      </c>
      <c r="AA95" s="999">
        <f t="shared" si="132"/>
        <v>24290060.153814841</v>
      </c>
      <c r="AB95" s="999">
        <f t="shared" si="132"/>
        <v>25790622.50785774</v>
      </c>
      <c r="AC95" s="999">
        <f t="shared" si="132"/>
        <v>27279767.018121988</v>
      </c>
      <c r="AD95" s="999">
        <f t="shared" si="132"/>
        <v>28755007.154479936</v>
      </c>
      <c r="AE95" s="999">
        <f t="shared" si="132"/>
        <v>30214143.628824927</v>
      </c>
      <c r="AF95" s="999">
        <f t="shared" si="132"/>
        <v>31655233.282585248</v>
      </c>
      <c r="AG95" s="999">
        <f t="shared" si="132"/>
        <v>33076561.671712182</v>
      </c>
      <c r="AH95" s="999">
        <f t="shared" si="132"/>
        <v>34476618.85758388</v>
      </c>
      <c r="AI95" s="999">
        <f t="shared" si="132"/>
        <v>35854077.984980702</v>
      </c>
      <c r="AJ95" s="999">
        <f t="shared" si="132"/>
        <v>37207776.289156348</v>
      </c>
      <c r="AK95" s="999">
        <f t="shared" si="132"/>
        <v>38536698.22515332</v>
      </c>
      <c r="AL95" s="999">
        <f t="shared" si="132"/>
        <v>39839960.455595091</v>
      </c>
      <c r="AM95" s="999">
        <f t="shared" si="132"/>
        <v>41116798.469606414</v>
      </c>
      <c r="AN95" s="1000">
        <f>(AM95/O95)^(1/(2049-2025)-1)</f>
        <v>0.23744136659252996</v>
      </c>
      <c r="AO95" s="897"/>
      <c r="AP95" s="897"/>
      <c r="AQ95" s="897"/>
      <c r="AR95" s="897"/>
      <c r="AS95" s="897"/>
      <c r="AT95" s="897"/>
      <c r="AU95" s="897"/>
      <c r="AV95" s="897"/>
      <c r="AW95" s="897"/>
      <c r="AX95" s="897"/>
      <c r="AY95" s="897"/>
      <c r="BC95" s="897"/>
      <c r="BD95" s="897"/>
      <c r="BE95" s="897"/>
      <c r="BF95" s="897"/>
      <c r="BG95" s="897"/>
      <c r="BH95" s="897"/>
      <c r="BI95" s="897"/>
      <c r="BJ95" s="897"/>
      <c r="BK95" s="897"/>
      <c r="BL95" s="897"/>
      <c r="BM95" s="897"/>
      <c r="BN95" s="897"/>
      <c r="BO95" s="897"/>
      <c r="BP95" s="897"/>
      <c r="BQ95" s="897"/>
      <c r="BR95" s="897"/>
      <c r="BS95" s="897"/>
      <c r="BT95" s="897"/>
      <c r="BU95" s="897"/>
      <c r="BV95" s="897"/>
      <c r="BW95" s="897"/>
      <c r="BX95" s="897"/>
      <c r="BY95" s="897"/>
      <c r="BZ95" s="897"/>
      <c r="CA95" s="897"/>
      <c r="CB95" s="897"/>
      <c r="CC95" s="897"/>
      <c r="CD95" s="897"/>
      <c r="CE95" s="897"/>
      <c r="CF95" s="897"/>
      <c r="CG95" s="897"/>
      <c r="CH95" s="897"/>
      <c r="CI95" s="897"/>
      <c r="CJ95" s="897"/>
      <c r="CK95" s="897"/>
      <c r="CL95" s="897"/>
      <c r="CM95" s="897"/>
      <c r="CN95" s="897"/>
      <c r="CO95" s="897"/>
      <c r="CP95" s="897"/>
      <c r="CQ95" s="897"/>
      <c r="CR95" s="897"/>
      <c r="CS95" s="897"/>
      <c r="CT95" s="897"/>
      <c r="CU95" s="897"/>
      <c r="CV95" s="897"/>
      <c r="CW95" s="897"/>
      <c r="CX95" s="897"/>
      <c r="CY95" s="897"/>
      <c r="CZ95" s="897"/>
      <c r="DA95" s="897"/>
      <c r="DB95" s="897"/>
      <c r="DC95" s="897"/>
      <c r="DD95" s="897"/>
      <c r="DE95" s="897"/>
      <c r="DF95" s="897"/>
      <c r="DG95" s="897"/>
      <c r="DH95" s="897"/>
      <c r="DI95" s="897"/>
      <c r="DJ95" s="897"/>
      <c r="DK95" s="897"/>
      <c r="DL95" s="897"/>
      <c r="DM95" s="897"/>
      <c r="DN95" s="897"/>
      <c r="DO95" s="897"/>
      <c r="DP95" s="897"/>
      <c r="DQ95" s="897"/>
      <c r="DR95" s="897"/>
      <c r="DS95" s="897"/>
      <c r="DT95" s="897"/>
      <c r="DU95" s="897"/>
      <c r="DV95" s="897"/>
      <c r="DW95" s="897"/>
      <c r="DX95" s="897"/>
      <c r="DY95" s="897"/>
      <c r="DZ95" s="897"/>
      <c r="EA95" s="897"/>
      <c r="EB95" s="897"/>
      <c r="EC95" s="897"/>
      <c r="ED95" s="897"/>
      <c r="EE95" s="897"/>
      <c r="EF95" s="897"/>
      <c r="EG95" s="897"/>
      <c r="EH95" s="897"/>
      <c r="EI95" s="897"/>
      <c r="EJ95" s="897"/>
      <c r="EK95" s="897"/>
      <c r="EL95" s="897"/>
      <c r="EM95" s="897"/>
      <c r="EN95" s="897"/>
      <c r="EO95" s="897"/>
      <c r="EP95" s="897"/>
      <c r="EQ95" s="897"/>
      <c r="ER95" s="897"/>
      <c r="ES95" s="897"/>
      <c r="ET95" s="897"/>
      <c r="EU95" s="897"/>
      <c r="EV95" s="897"/>
      <c r="EW95" s="897"/>
      <c r="EX95" s="897"/>
      <c r="EY95" s="897"/>
      <c r="EZ95" s="897"/>
      <c r="FA95" s="897"/>
      <c r="FB95" s="897"/>
      <c r="FC95" s="897"/>
      <c r="FD95" s="897"/>
      <c r="FE95" s="897"/>
      <c r="FF95" s="897"/>
      <c r="FG95" s="897"/>
      <c r="FH95" s="897"/>
      <c r="FI95" s="897"/>
      <c r="FJ95" s="897"/>
      <c r="FK95" s="897"/>
      <c r="FL95" s="897"/>
      <c r="FM95" s="897"/>
      <c r="FN95" s="897"/>
      <c r="FO95" s="897"/>
      <c r="FP95" s="897"/>
      <c r="FQ95" s="897"/>
      <c r="FR95" s="897"/>
      <c r="FS95" s="897"/>
      <c r="FT95" s="897"/>
      <c r="FU95" s="897"/>
      <c r="FV95" s="897"/>
      <c r="FW95" s="897"/>
      <c r="FX95" s="897"/>
    </row>
    <row r="96" spans="1:180" s="896" customFormat="1" ht="30" customHeight="1" outlineLevel="1">
      <c r="A96" s="897"/>
      <c r="B96" s="907" t="s">
        <v>204</v>
      </c>
      <c r="C96" s="899" t="s">
        <v>937</v>
      </c>
      <c r="D96" s="899"/>
      <c r="E96" s="1001" t="str">
        <f>IFERROR(E95/C95-1,"-")</f>
        <v>-</v>
      </c>
      <c r="F96" s="1001" t="str">
        <f t="shared" ref="F96:M96" si="133">IFERROR(F95/E95-1,"-")</f>
        <v>-</v>
      </c>
      <c r="G96" s="1001">
        <f t="shared" si="133"/>
        <v>0.74517827564586314</v>
      </c>
      <c r="H96" s="1001">
        <f t="shared" si="133"/>
        <v>-0.86585010390569783</v>
      </c>
      <c r="I96" s="1001">
        <f t="shared" si="133"/>
        <v>3.040927246449411</v>
      </c>
      <c r="J96" s="1001">
        <f t="shared" si="133"/>
        <v>2.9733510740235776</v>
      </c>
      <c r="K96" s="1001">
        <f t="shared" si="133"/>
        <v>0.47650182094275162</v>
      </c>
      <c r="L96" s="1001">
        <f t="shared" si="133"/>
        <v>-0.4136094617120607</v>
      </c>
      <c r="M96" s="1001">
        <f t="shared" si="133"/>
        <v>4.0664531775672312</v>
      </c>
      <c r="N96" s="1001">
        <f>IFERROR(N95/L95-1,"-")</f>
        <v>9.9161331971300948E-2</v>
      </c>
      <c r="O96" s="1001">
        <f>IFERROR(O95/(L95+N95)-1,"-")</f>
        <v>-0.72184443856705127</v>
      </c>
      <c r="P96" s="1001">
        <f t="shared" ref="P96:AM96" si="134">IFERROR(P95/O95-1,"-")</f>
        <v>0.21848003953058548</v>
      </c>
      <c r="Q96" s="1001">
        <f t="shared" si="134"/>
        <v>9.8870696905425381E-2</v>
      </c>
      <c r="R96" s="1001">
        <f t="shared" si="134"/>
        <v>0.12445677520876375</v>
      </c>
      <c r="S96" s="1001">
        <f t="shared" si="134"/>
        <v>-4.7783630894321472E-2</v>
      </c>
      <c r="T96" s="1001">
        <f t="shared" si="134"/>
        <v>0.13098717762470624</v>
      </c>
      <c r="U96" s="1001">
        <f t="shared" si="134"/>
        <v>9.8561225523668528E-2</v>
      </c>
      <c r="V96" s="1001">
        <f t="shared" si="134"/>
        <v>2.2790932277686471E-2</v>
      </c>
      <c r="W96" s="1001">
        <f t="shared" si="134"/>
        <v>9.1391363136720694E-2</v>
      </c>
      <c r="X96" s="1001">
        <f t="shared" si="134"/>
        <v>8.303978604693163E-2</v>
      </c>
      <c r="Y96" s="1001">
        <f t="shared" si="134"/>
        <v>7.6783635902504699E-2</v>
      </c>
      <c r="Z96" s="1001">
        <f t="shared" si="134"/>
        <v>7.1221081935346042E-2</v>
      </c>
      <c r="AA96" s="1001">
        <f t="shared" si="134"/>
        <v>6.6247240361741122E-2</v>
      </c>
      <c r="AB96" s="1001">
        <f t="shared" si="134"/>
        <v>6.1776806831300934E-2</v>
      </c>
      <c r="AC96" s="1001">
        <f t="shared" si="134"/>
        <v>5.7739766064605291E-2</v>
      </c>
      <c r="AD96" s="1001">
        <f t="shared" si="134"/>
        <v>5.4078179457249131E-2</v>
      </c>
      <c r="AE96" s="1001">
        <f t="shared" si="134"/>
        <v>5.0743735395581746E-2</v>
      </c>
      <c r="AF96" s="1001">
        <f t="shared" si="134"/>
        <v>4.7695862952921608E-2</v>
      </c>
      <c r="AG96" s="1001">
        <f t="shared" si="134"/>
        <v>4.4900265824572516E-2</v>
      </c>
      <c r="AH96" s="1001">
        <f t="shared" si="134"/>
        <v>4.2327772752421833E-2</v>
      </c>
      <c r="AI96" s="1001">
        <f t="shared" si="134"/>
        <v>3.9953428527514045E-2</v>
      </c>
      <c r="AJ96" s="1001">
        <f t="shared" si="134"/>
        <v>3.7755769503896142E-2</v>
      </c>
      <c r="AK96" s="1001">
        <f t="shared" si="134"/>
        <v>3.5716241832604911E-2</v>
      </c>
      <c r="AL96" s="1001">
        <f t="shared" si="134"/>
        <v>3.3818730987988932E-2</v>
      </c>
      <c r="AM96" s="1001">
        <f t="shared" si="134"/>
        <v>3.2049178749423257E-2</v>
      </c>
      <c r="AN96" s="1003"/>
      <c r="AO96" s="897"/>
      <c r="AP96" s="897"/>
      <c r="AQ96" s="897"/>
      <c r="AR96" s="897"/>
      <c r="AS96" s="897"/>
      <c r="AT96" s="897"/>
      <c r="AU96" s="897"/>
      <c r="AV96" s="897"/>
      <c r="AW96" s="897"/>
      <c r="AX96" s="897"/>
      <c r="AY96" s="897"/>
      <c r="BC96" s="897"/>
      <c r="BD96" s="897"/>
      <c r="BE96" s="897"/>
      <c r="BF96" s="897"/>
      <c r="BG96" s="897"/>
      <c r="BH96" s="897"/>
      <c r="BI96" s="897"/>
      <c r="BJ96" s="897"/>
      <c r="BK96" s="897"/>
      <c r="BL96" s="897"/>
      <c r="BM96" s="897"/>
      <c r="BN96" s="897"/>
      <c r="BO96" s="897"/>
      <c r="BP96" s="897"/>
      <c r="BQ96" s="897"/>
      <c r="BR96" s="897"/>
      <c r="BS96" s="897"/>
      <c r="BT96" s="897"/>
      <c r="BU96" s="897"/>
      <c r="BV96" s="897"/>
      <c r="BW96" s="897"/>
      <c r="BX96" s="897"/>
      <c r="BY96" s="897"/>
      <c r="BZ96" s="897"/>
      <c r="CA96" s="897"/>
      <c r="CB96" s="897"/>
      <c r="CC96" s="897"/>
      <c r="CD96" s="897"/>
      <c r="CE96" s="897"/>
      <c r="CF96" s="897"/>
      <c r="CG96" s="897"/>
      <c r="CH96" s="897"/>
      <c r="CI96" s="897"/>
      <c r="CJ96" s="897"/>
      <c r="CK96" s="897"/>
      <c r="CL96" s="897"/>
      <c r="CM96" s="897"/>
      <c r="CN96" s="897"/>
      <c r="CO96" s="897"/>
      <c r="CP96" s="897"/>
      <c r="CQ96" s="897"/>
      <c r="CR96" s="897"/>
      <c r="CS96" s="897"/>
      <c r="CT96" s="897"/>
      <c r="CU96" s="897"/>
      <c r="CV96" s="897"/>
      <c r="CW96" s="897"/>
      <c r="CX96" s="897"/>
      <c r="CY96" s="897"/>
      <c r="CZ96" s="897"/>
      <c r="DA96" s="897"/>
      <c r="DB96" s="897"/>
      <c r="DC96" s="897"/>
      <c r="DD96" s="897"/>
      <c r="DE96" s="897"/>
      <c r="DF96" s="897"/>
      <c r="DG96" s="897"/>
      <c r="DH96" s="897"/>
      <c r="DI96" s="897"/>
      <c r="DJ96" s="897"/>
      <c r="DK96" s="897"/>
      <c r="DL96" s="897"/>
      <c r="DM96" s="897"/>
      <c r="DN96" s="897"/>
      <c r="DO96" s="897"/>
      <c r="DP96" s="897"/>
      <c r="DQ96" s="897"/>
      <c r="DR96" s="897"/>
      <c r="DS96" s="897"/>
      <c r="DT96" s="897"/>
      <c r="DU96" s="897"/>
      <c r="DV96" s="897"/>
      <c r="DW96" s="897"/>
      <c r="DX96" s="897"/>
      <c r="DY96" s="897"/>
      <c r="DZ96" s="897"/>
      <c r="EA96" s="897"/>
      <c r="EB96" s="897"/>
      <c r="EC96" s="897"/>
      <c r="ED96" s="897"/>
      <c r="EE96" s="897"/>
      <c r="EF96" s="897"/>
      <c r="EG96" s="897"/>
      <c r="EH96" s="897"/>
      <c r="EI96" s="897"/>
      <c r="EJ96" s="897"/>
      <c r="EK96" s="897"/>
      <c r="EL96" s="897"/>
      <c r="EM96" s="897"/>
      <c r="EN96" s="897"/>
      <c r="EO96" s="897"/>
      <c r="EP96" s="897"/>
      <c r="EQ96" s="897"/>
      <c r="ER96" s="897"/>
      <c r="ES96" s="897"/>
      <c r="ET96" s="897"/>
      <c r="EU96" s="897"/>
      <c r="EV96" s="897"/>
      <c r="EW96" s="897"/>
      <c r="EX96" s="897"/>
      <c r="EY96" s="897"/>
      <c r="EZ96" s="897"/>
      <c r="FA96" s="897"/>
      <c r="FB96" s="897"/>
      <c r="FC96" s="897"/>
      <c r="FD96" s="897"/>
      <c r="FE96" s="897"/>
      <c r="FF96" s="897"/>
      <c r="FG96" s="897"/>
      <c r="FH96" s="897"/>
      <c r="FI96" s="897"/>
      <c r="FJ96" s="897"/>
      <c r="FK96" s="897"/>
      <c r="FL96" s="897"/>
      <c r="FM96" s="897"/>
      <c r="FN96" s="897"/>
      <c r="FO96" s="897"/>
      <c r="FP96" s="897"/>
      <c r="FQ96" s="897"/>
      <c r="FR96" s="897"/>
      <c r="FS96" s="897"/>
      <c r="FT96" s="897"/>
      <c r="FU96" s="897"/>
      <c r="FV96" s="897"/>
      <c r="FW96" s="897"/>
      <c r="FX96" s="897"/>
    </row>
    <row r="97" spans="1:180" s="896" customFormat="1" ht="30" customHeight="1" outlineLevel="1">
      <c r="A97" s="897"/>
      <c r="B97" s="906" t="s">
        <v>931</v>
      </c>
      <c r="C97" s="898" t="s">
        <v>927</v>
      </c>
      <c r="D97" s="898"/>
      <c r="E97" s="996">
        <f>SUM(E79:H79)</f>
        <v>0</v>
      </c>
      <c r="F97" s="997">
        <f>SUM(I79:L79)</f>
        <v>5170727</v>
      </c>
      <c r="G97" s="997">
        <f>SUM(M79:P79)</f>
        <v>10853656</v>
      </c>
      <c r="H97" s="997">
        <f>SUM(Q79:T79)</f>
        <v>1942025</v>
      </c>
      <c r="I97" s="997">
        <f>SUM(U79:X79)</f>
        <v>6661453</v>
      </c>
      <c r="J97" s="997">
        <f>SUM(Y79:AB79)</f>
        <v>21609820</v>
      </c>
      <c r="K97" s="997">
        <f>SUM(AC79:AF79)</f>
        <v>31820847</v>
      </c>
      <c r="L97" s="997">
        <f>SUM(AG79:AH79)</f>
        <v>18736733</v>
      </c>
      <c r="M97" s="998">
        <f>SUM(E97:L97)</f>
        <v>96795261</v>
      </c>
      <c r="N97" s="999">
        <f t="shared" ref="N97:AM97" si="135">N93/M106</f>
        <v>20718267.096629541</v>
      </c>
      <c r="O97" s="999">
        <f t="shared" si="135"/>
        <v>11072336.544280026</v>
      </c>
      <c r="P97" s="999">
        <f t="shared" si="135"/>
        <v>13573356.281639524</v>
      </c>
      <c r="Q97" s="999">
        <f t="shared" si="135"/>
        <v>15006499.965560907</v>
      </c>
      <c r="R97" s="999">
        <f t="shared" si="135"/>
        <v>16977899.643766727</v>
      </c>
      <c r="S97" s="999">
        <f t="shared" si="135"/>
        <v>16266638.10827283</v>
      </c>
      <c r="T97" s="999">
        <f t="shared" si="135"/>
        <v>18511870.527971525</v>
      </c>
      <c r="U97" s="999">
        <f t="shared" si="135"/>
        <v>20463796.787452765</v>
      </c>
      <c r="V97" s="999">
        <f t="shared" si="135"/>
        <v>21062104.585711651</v>
      </c>
      <c r="W97" s="999">
        <f t="shared" si="135"/>
        <v>23132800.467359096</v>
      </c>
      <c r="X97" s="999">
        <f t="shared" si="135"/>
        <v>25213667.968719408</v>
      </c>
      <c r="Y97" s="999">
        <f t="shared" si="135"/>
        <v>27324081.944661126</v>
      </c>
      <c r="Z97" s="999">
        <f t="shared" si="135"/>
        <v>29459387.78905962</v>
      </c>
      <c r="AA97" s="999">
        <f t="shared" si="135"/>
        <v>31615410.221527398</v>
      </c>
      <c r="AB97" s="999">
        <f t="shared" si="135"/>
        <v>33788400.521588631</v>
      </c>
      <c r="AC97" s="999">
        <f t="shared" si="135"/>
        <v>35974989.773019299</v>
      </c>
      <c r="AD97" s="999">
        <f t="shared" si="135"/>
        <v>38172147.906044349</v>
      </c>
      <c r="AE97" s="999">
        <f t="shared" si="135"/>
        <v>40377147.725665838</v>
      </c>
      <c r="AF97" s="999">
        <f t="shared" si="135"/>
        <v>42587533.241171472</v>
      </c>
      <c r="AG97" s="999">
        <f t="shared" si="135"/>
        <v>44801091.716849267</v>
      </c>
      <c r="AH97" s="999">
        <f t="shared" si="135"/>
        <v>47015828.951180659</v>
      </c>
      <c r="AI97" s="999">
        <f t="shared" si="135"/>
        <v>49229947.364563875</v>
      </c>
      <c r="AJ97" s="999">
        <f t="shared" si="135"/>
        <v>51441826.536549382</v>
      </c>
      <c r="AK97" s="999">
        <f t="shared" si="135"/>
        <v>53650005.884750783</v>
      </c>
      <c r="AL97" s="999">
        <f t="shared" si="135"/>
        <v>55853169.220732406</v>
      </c>
      <c r="AM97" s="999">
        <f t="shared" si="135"/>
        <v>58050130.954644553</v>
      </c>
      <c r="AN97" s="1000">
        <f>(AM97/O97)^(1/(2049-2025)-1)</f>
        <v>0.20437035728415118</v>
      </c>
      <c r="AO97" s="897"/>
      <c r="AP97" s="897"/>
      <c r="AQ97" s="897"/>
      <c r="AR97" s="897"/>
      <c r="AS97" s="897"/>
      <c r="AT97" s="897"/>
      <c r="AU97" s="897"/>
      <c r="AV97" s="897"/>
      <c r="AW97" s="897"/>
      <c r="AX97" s="897"/>
      <c r="AY97" s="897"/>
      <c r="BC97" s="897"/>
      <c r="BD97" s="897"/>
      <c r="BE97" s="897"/>
      <c r="BF97" s="897"/>
      <c r="BG97" s="897"/>
      <c r="BH97" s="897"/>
      <c r="BI97" s="897"/>
      <c r="BJ97" s="897"/>
      <c r="BK97" s="897"/>
      <c r="BL97" s="897"/>
      <c r="BM97" s="897"/>
      <c r="BN97" s="897"/>
      <c r="BO97" s="897"/>
      <c r="BP97" s="897"/>
      <c r="BQ97" s="897"/>
      <c r="BR97" s="897"/>
      <c r="BS97" s="897"/>
      <c r="BT97" s="897"/>
      <c r="BU97" s="897"/>
      <c r="BV97" s="897"/>
      <c r="BW97" s="897"/>
      <c r="BX97" s="897"/>
      <c r="BY97" s="897"/>
      <c r="BZ97" s="897"/>
      <c r="CA97" s="897"/>
      <c r="CB97" s="897"/>
      <c r="CC97" s="897"/>
      <c r="CD97" s="897"/>
      <c r="CE97" s="897"/>
      <c r="CF97" s="897"/>
      <c r="CG97" s="897"/>
      <c r="CH97" s="897"/>
      <c r="CI97" s="897"/>
      <c r="CJ97" s="897"/>
      <c r="CK97" s="897"/>
      <c r="CL97" s="897"/>
      <c r="CM97" s="897"/>
      <c r="CN97" s="897"/>
      <c r="CO97" s="897"/>
      <c r="CP97" s="897"/>
      <c r="CQ97" s="897"/>
      <c r="CR97" s="897"/>
      <c r="CS97" s="897"/>
      <c r="CT97" s="897"/>
      <c r="CU97" s="897"/>
      <c r="CV97" s="897"/>
      <c r="CW97" s="897"/>
      <c r="CX97" s="897"/>
      <c r="CY97" s="897"/>
      <c r="CZ97" s="897"/>
      <c r="DA97" s="897"/>
      <c r="DB97" s="897"/>
      <c r="DC97" s="897"/>
      <c r="DD97" s="897"/>
      <c r="DE97" s="897"/>
      <c r="DF97" s="897"/>
      <c r="DG97" s="897"/>
      <c r="DH97" s="897"/>
      <c r="DI97" s="897"/>
      <c r="DJ97" s="897"/>
      <c r="DK97" s="897"/>
      <c r="DL97" s="897"/>
      <c r="DM97" s="897"/>
      <c r="DN97" s="897"/>
      <c r="DO97" s="897"/>
      <c r="DP97" s="897"/>
      <c r="DQ97" s="897"/>
      <c r="DR97" s="897"/>
      <c r="DS97" s="897"/>
      <c r="DT97" s="897"/>
      <c r="DU97" s="897"/>
      <c r="DV97" s="897"/>
      <c r="DW97" s="897"/>
      <c r="DX97" s="897"/>
      <c r="DY97" s="897"/>
      <c r="DZ97" s="897"/>
      <c r="EA97" s="897"/>
      <c r="EB97" s="897"/>
      <c r="EC97" s="897"/>
      <c r="ED97" s="897"/>
      <c r="EE97" s="897"/>
      <c r="EF97" s="897"/>
      <c r="EG97" s="897"/>
      <c r="EH97" s="897"/>
      <c r="EI97" s="897"/>
      <c r="EJ97" s="897"/>
      <c r="EK97" s="897"/>
      <c r="EL97" s="897"/>
      <c r="EM97" s="897"/>
      <c r="EN97" s="897"/>
      <c r="EO97" s="897"/>
      <c r="EP97" s="897"/>
      <c r="EQ97" s="897"/>
      <c r="ER97" s="897"/>
      <c r="ES97" s="897"/>
      <c r="ET97" s="897"/>
      <c r="EU97" s="897"/>
      <c r="EV97" s="897"/>
      <c r="EW97" s="897"/>
      <c r="EX97" s="897"/>
      <c r="EY97" s="897"/>
      <c r="EZ97" s="897"/>
      <c r="FA97" s="897"/>
      <c r="FB97" s="897"/>
      <c r="FC97" s="897"/>
      <c r="FD97" s="897"/>
      <c r="FE97" s="897"/>
      <c r="FF97" s="897"/>
      <c r="FG97" s="897"/>
      <c r="FH97" s="897"/>
      <c r="FI97" s="897"/>
      <c r="FJ97" s="897"/>
      <c r="FK97" s="897"/>
      <c r="FL97" s="897"/>
      <c r="FM97" s="897"/>
      <c r="FN97" s="897"/>
      <c r="FO97" s="897"/>
      <c r="FP97" s="897"/>
      <c r="FQ97" s="897"/>
      <c r="FR97" s="897"/>
      <c r="FS97" s="897"/>
      <c r="FT97" s="897"/>
      <c r="FU97" s="897"/>
      <c r="FV97" s="897"/>
      <c r="FW97" s="897"/>
      <c r="FX97" s="897"/>
    </row>
    <row r="98" spans="1:180" s="896" customFormat="1" ht="30" customHeight="1" outlineLevel="1">
      <c r="B98" s="907" t="s">
        <v>204</v>
      </c>
      <c r="C98" s="899" t="s">
        <v>937</v>
      </c>
      <c r="D98" s="899"/>
      <c r="E98" s="1001" t="str">
        <f>IFERROR(E97/C97-1,"-")</f>
        <v>-</v>
      </c>
      <c r="F98" s="1001" t="str">
        <f t="shared" ref="F98:M98" si="136">IFERROR(F97/E97-1,"-")</f>
        <v>-</v>
      </c>
      <c r="G98" s="1001">
        <f t="shared" si="136"/>
        <v>1.0990580241424466</v>
      </c>
      <c r="H98" s="1001">
        <f t="shared" si="136"/>
        <v>-0.82107181211565949</v>
      </c>
      <c r="I98" s="1001">
        <f t="shared" si="136"/>
        <v>2.4301582111455824</v>
      </c>
      <c r="J98" s="1001">
        <f t="shared" si="136"/>
        <v>2.2440099780032976</v>
      </c>
      <c r="K98" s="1001">
        <f t="shared" si="136"/>
        <v>0.47251791083868344</v>
      </c>
      <c r="L98" s="1001">
        <f t="shared" si="136"/>
        <v>-0.41118056976924588</v>
      </c>
      <c r="M98" s="1001">
        <f t="shared" si="136"/>
        <v>4.1660692928697864</v>
      </c>
      <c r="N98" s="1001">
        <f>IFERROR(N97/L97-1,"-")</f>
        <v>0.10575664907161464</v>
      </c>
      <c r="O98" s="1001">
        <f>IFERROR(O97/(L97+N97)-1,"-")</f>
        <v>-0.7193679757403959</v>
      </c>
      <c r="P98" s="1001">
        <f t="shared" ref="P98:AM98" si="137">IFERROR(P97/O97-1,"-")</f>
        <v>0.22588003239944188</v>
      </c>
      <c r="Q98" s="1001">
        <f t="shared" si="137"/>
        <v>0.10558506342753082</v>
      </c>
      <c r="R98" s="1001">
        <f t="shared" si="137"/>
        <v>0.13136971863726199</v>
      </c>
      <c r="S98" s="1001">
        <f t="shared" si="137"/>
        <v>-4.1893376119408909E-2</v>
      </c>
      <c r="T98" s="1001">
        <f t="shared" si="137"/>
        <v>0.13802682550347156</v>
      </c>
      <c r="U98" s="1001">
        <f t="shared" si="137"/>
        <v>0.10544187074622569</v>
      </c>
      <c r="V98" s="1001">
        <f t="shared" si="137"/>
        <v>2.9237379772346639E-2</v>
      </c>
      <c r="W98" s="1001">
        <f t="shared" si="137"/>
        <v>9.8313816324518077E-2</v>
      </c>
      <c r="X98" s="1001">
        <f t="shared" si="137"/>
        <v>8.9953116757154561E-2</v>
      </c>
      <c r="Y98" s="1001">
        <f t="shared" si="137"/>
        <v>8.3701188520446168E-2</v>
      </c>
      <c r="Z98" s="1001">
        <f t="shared" si="137"/>
        <v>7.8147395719390778E-2</v>
      </c>
      <c r="AA98" s="1001">
        <f t="shared" si="137"/>
        <v>7.3186260621086685E-2</v>
      </c>
      <c r="AB98" s="1001">
        <f t="shared" si="137"/>
        <v>6.8731997618731278E-2</v>
      </c>
      <c r="AC98" s="1001">
        <f t="shared" si="137"/>
        <v>6.4714198295168668E-2</v>
      </c>
      <c r="AD98" s="1001">
        <f t="shared" si="137"/>
        <v>6.1074600629153819E-2</v>
      </c>
      <c r="AE98" s="1001">
        <f t="shared" si="137"/>
        <v>5.7764625272038739E-2</v>
      </c>
      <c r="AF98" s="1001">
        <f t="shared" si="137"/>
        <v>5.4743478428036507E-2</v>
      </c>
      <c r="AG98" s="1001">
        <f t="shared" si="137"/>
        <v>5.1976677379798053E-2</v>
      </c>
      <c r="AH98" s="1001">
        <f t="shared" si="137"/>
        <v>4.9434894317507139E-2</v>
      </c>
      <c r="AI98" s="1001">
        <f t="shared" si="137"/>
        <v>4.7093042125924578E-2</v>
      </c>
      <c r="AJ98" s="1001">
        <f t="shared" si="137"/>
        <v>4.4929545741859478E-2</v>
      </c>
      <c r="AK98" s="1001">
        <f t="shared" si="137"/>
        <v>4.2925757051657021E-2</v>
      </c>
      <c r="AL98" s="1001">
        <f t="shared" si="137"/>
        <v>4.1065481720810704E-2</v>
      </c>
      <c r="AM98" s="1001">
        <f t="shared" si="137"/>
        <v>3.9334593982119914E-2</v>
      </c>
      <c r="AN98" s="1002"/>
    </row>
    <row r="99" spans="1:180" s="896" customFormat="1" ht="30" customHeight="1" outlineLevel="1">
      <c r="B99" s="906" t="s">
        <v>932</v>
      </c>
      <c r="C99" s="898" t="s">
        <v>933</v>
      </c>
      <c r="D99" s="898"/>
      <c r="E99" s="996">
        <f>SUM(E81:H81)</f>
        <v>0</v>
      </c>
      <c r="F99" s="996">
        <f>SUM(I81:L81)</f>
        <v>0</v>
      </c>
      <c r="G99" s="997">
        <f>SUM(M81:P81)</f>
        <v>1464652</v>
      </c>
      <c r="H99" s="997">
        <f>SUM(Q81:T81)</f>
        <v>642215</v>
      </c>
      <c r="I99" s="997">
        <f>SUM(U81:X81)</f>
        <v>1579588</v>
      </c>
      <c r="J99" s="997">
        <f>SUM(Y81:AB81)</f>
        <v>2415348</v>
      </c>
      <c r="K99" s="997">
        <f>SUM(AC81:AF81)</f>
        <v>3445341</v>
      </c>
      <c r="L99" s="997">
        <f>SUM(AG81:AH81)</f>
        <v>1834176</v>
      </c>
      <c r="M99" s="998">
        <f>SUM(E99:L99)</f>
        <v>11381320</v>
      </c>
      <c r="N99" s="999">
        <f>SUM(U140:V140)</f>
        <v>2108133.8774999999</v>
      </c>
      <c r="O99" s="999">
        <f t="shared" ref="O99:AM99" si="138">P149</f>
        <v>1169934.7488839095</v>
      </c>
      <c r="P99" s="999">
        <f t="shared" si="138"/>
        <v>1487956.0736118788</v>
      </c>
      <c r="Q99" s="999">
        <f t="shared" si="138"/>
        <v>1705244.6363865919</v>
      </c>
      <c r="R99" s="999">
        <f t="shared" si="138"/>
        <v>1998199.8405160343</v>
      </c>
      <c r="S99" s="999">
        <f t="shared" si="138"/>
        <v>1981351.4981516087</v>
      </c>
      <c r="T99" s="999">
        <f t="shared" si="138"/>
        <v>2331848.6312500001</v>
      </c>
      <c r="U99" s="999">
        <f t="shared" si="138"/>
        <v>2663884.6453750003</v>
      </c>
      <c r="V99" s="999">
        <f t="shared" si="138"/>
        <v>2831503.4272370194</v>
      </c>
      <c r="W99" s="999">
        <f t="shared" si="138"/>
        <v>3209591.8197987908</v>
      </c>
      <c r="X99" s="999">
        <f t="shared" si="138"/>
        <v>3608247.2243783819</v>
      </c>
      <c r="Y99" s="999">
        <f t="shared" si="138"/>
        <v>4030772.9542032122</v>
      </c>
      <c r="Z99" s="999">
        <f t="shared" si="138"/>
        <v>4477169.1137921754</v>
      </c>
      <c r="AA99" s="999">
        <f t="shared" si="138"/>
        <v>4947435.703148583</v>
      </c>
      <c r="AB99" s="999">
        <f t="shared" si="138"/>
        <v>5441572.7222724296</v>
      </c>
      <c r="AC99" s="999">
        <f t="shared" si="138"/>
        <v>5959580.1711637191</v>
      </c>
      <c r="AD99" s="999">
        <f t="shared" si="138"/>
        <v>6501458.0498224515</v>
      </c>
      <c r="AE99" s="999">
        <f t="shared" si="138"/>
        <v>7067206.3582486231</v>
      </c>
      <c r="AF99" s="999">
        <f t="shared" si="138"/>
        <v>7656825.0964422375</v>
      </c>
      <c r="AG99" s="999">
        <f t="shared" si="138"/>
        <v>8270314.2644032929</v>
      </c>
      <c r="AH99" s="999">
        <f t="shared" si="138"/>
        <v>8907673.8621317912</v>
      </c>
      <c r="AI99" s="999">
        <f t="shared" si="138"/>
        <v>9568903.8896277286</v>
      </c>
      <c r="AJ99" s="999">
        <f t="shared" si="138"/>
        <v>10254004.346891111</v>
      </c>
      <c r="AK99" s="999">
        <f t="shared" si="138"/>
        <v>10962975.233921932</v>
      </c>
      <c r="AL99" s="999">
        <f t="shared" si="138"/>
        <v>11695816.5507202</v>
      </c>
      <c r="AM99" s="999">
        <f t="shared" si="138"/>
        <v>12452528.297285903</v>
      </c>
      <c r="AN99" s="1000">
        <f>(AM99/O99)^(1/(2049-2025)-1)</f>
        <v>0.10368114041249754</v>
      </c>
    </row>
    <row r="100" spans="1:180" s="896" customFormat="1" ht="30" customHeight="1" outlineLevel="1">
      <c r="B100" s="907" t="s">
        <v>204</v>
      </c>
      <c r="C100" s="899" t="s">
        <v>937</v>
      </c>
      <c r="D100" s="899"/>
      <c r="E100" s="1001" t="str">
        <f>IFERROR(E99/C99-1,"-")</f>
        <v>-</v>
      </c>
      <c r="F100" s="1001" t="str">
        <f t="shared" ref="F100:M100" si="139">IFERROR(F99/E99-1,"-")</f>
        <v>-</v>
      </c>
      <c r="G100" s="1001" t="str">
        <f t="shared" si="139"/>
        <v>-</v>
      </c>
      <c r="H100" s="1001">
        <f t="shared" si="139"/>
        <v>-0.56152382955132008</v>
      </c>
      <c r="I100" s="1001">
        <f t="shared" si="139"/>
        <v>1.4595937497567015</v>
      </c>
      <c r="J100" s="1001">
        <f t="shared" si="139"/>
        <v>0.52909999316277401</v>
      </c>
      <c r="K100" s="1001">
        <f t="shared" si="139"/>
        <v>0.42643668738417828</v>
      </c>
      <c r="L100" s="1001">
        <f t="shared" si="139"/>
        <v>-0.46763585955642706</v>
      </c>
      <c r="M100" s="1001">
        <f t="shared" si="139"/>
        <v>5.2051406190027567</v>
      </c>
      <c r="N100" s="1001">
        <f>IFERROR(N99/L99-1,"-")</f>
        <v>0.1493629169174604</v>
      </c>
      <c r="O100" s="1001">
        <f>IFERROR(O99/(L99+N99)-1,"-")</f>
        <v>-0.70323622819172726</v>
      </c>
      <c r="P100" s="1001">
        <f t="shared" ref="P100:AM100" si="140">IFERROR(P99/O99-1,"-")</f>
        <v>0.27182825797024512</v>
      </c>
      <c r="Q100" s="1001">
        <f t="shared" si="140"/>
        <v>0.14603157084285745</v>
      </c>
      <c r="R100" s="1001">
        <f t="shared" si="140"/>
        <v>0.17179658441865175</v>
      </c>
      <c r="S100" s="1001">
        <f t="shared" si="140"/>
        <v>-8.4317604389730905E-3</v>
      </c>
      <c r="T100" s="1001">
        <f t="shared" si="140"/>
        <v>0.17689800796343702</v>
      </c>
      <c r="U100" s="1001">
        <f t="shared" si="140"/>
        <v>0.14239175291022654</v>
      </c>
      <c r="V100" s="1001">
        <f t="shared" si="140"/>
        <v>6.2922687794697341E-2</v>
      </c>
      <c r="W100" s="1001">
        <f t="shared" si="140"/>
        <v>0.13352920181018813</v>
      </c>
      <c r="X100" s="1001">
        <f t="shared" si="140"/>
        <v>0.124207508917624</v>
      </c>
      <c r="Y100" s="1001">
        <f t="shared" si="140"/>
        <v>0.11709999441560481</v>
      </c>
      <c r="Z100" s="1001">
        <f t="shared" si="140"/>
        <v>0.11074703652644824</v>
      </c>
      <c r="AA100" s="1001">
        <f t="shared" si="140"/>
        <v>0.10503659285679534</v>
      </c>
      <c r="AB100" s="1001">
        <f t="shared" si="140"/>
        <v>9.9877400894644142E-2</v>
      </c>
      <c r="AC100" s="1001">
        <f t="shared" si="140"/>
        <v>9.5194436485444456E-2</v>
      </c>
      <c r="AD100" s="1001">
        <f t="shared" si="140"/>
        <v>9.0925512048765755E-2</v>
      </c>
      <c r="AE100" s="1001">
        <f t="shared" si="140"/>
        <v>8.7018681669663644E-2</v>
      </c>
      <c r="AF100" s="1001">
        <f t="shared" si="140"/>
        <v>8.3430242206728567E-2</v>
      </c>
      <c r="AG100" s="1001">
        <f t="shared" si="140"/>
        <v>8.0123179024438551E-2</v>
      </c>
      <c r="AH100" s="1001">
        <f t="shared" si="140"/>
        <v>7.7065946631773352E-2</v>
      </c>
      <c r="AI100" s="1001">
        <f t="shared" si="140"/>
        <v>7.4231503951547984E-2</v>
      </c>
      <c r="AJ100" s="1001">
        <f t="shared" si="140"/>
        <v>7.159654492987455E-2</v>
      </c>
      <c r="AK100" s="1001">
        <f t="shared" si="140"/>
        <v>6.914088028895482E-2</v>
      </c>
      <c r="AL100" s="1001">
        <f t="shared" si="140"/>
        <v>6.6846937182772237E-2</v>
      </c>
      <c r="AM100" s="1001">
        <f t="shared" si="140"/>
        <v>6.4699351540282724E-2</v>
      </c>
      <c r="AN100" s="1001"/>
    </row>
    <row r="101" spans="1:180" outlineLevel="1">
      <c r="B101" s="896"/>
      <c r="C101" s="889"/>
    </row>
    <row r="102" spans="1:180" outlineLevel="1">
      <c r="B102" s="896"/>
      <c r="C102" s="889"/>
    </row>
    <row r="103" spans="1:180" ht="46.9" customHeight="1" outlineLevel="1">
      <c r="B103" s="900" t="s">
        <v>940</v>
      </c>
      <c r="C103" s="900" t="s">
        <v>863</v>
      </c>
      <c r="D103" s="877" t="s">
        <v>895</v>
      </c>
      <c r="E103" s="876" t="s">
        <v>789</v>
      </c>
      <c r="F103" s="876" t="s">
        <v>790</v>
      </c>
      <c r="G103" s="876" t="s">
        <v>791</v>
      </c>
      <c r="H103" s="876" t="s">
        <v>792</v>
      </c>
      <c r="I103" s="876" t="s">
        <v>793</v>
      </c>
      <c r="J103" s="876" t="s">
        <v>794</v>
      </c>
      <c r="K103" s="876" t="s">
        <v>941</v>
      </c>
      <c r="L103" s="876" t="s">
        <v>942</v>
      </c>
      <c r="M103" s="874" t="s">
        <v>945</v>
      </c>
      <c r="N103" s="966" t="s">
        <v>800</v>
      </c>
      <c r="O103" s="967" t="s">
        <v>801</v>
      </c>
      <c r="P103" s="967" t="s">
        <v>802</v>
      </c>
      <c r="Q103" s="968" t="s">
        <v>803</v>
      </c>
      <c r="R103" s="967" t="s">
        <v>804</v>
      </c>
      <c r="S103" s="968" t="s">
        <v>805</v>
      </c>
      <c r="T103" s="967" t="s">
        <v>806</v>
      </c>
      <c r="U103" s="968" t="s">
        <v>807</v>
      </c>
      <c r="V103" s="967" t="s">
        <v>808</v>
      </c>
      <c r="W103" s="968" t="s">
        <v>809</v>
      </c>
      <c r="X103" s="967" t="s">
        <v>810</v>
      </c>
      <c r="Y103" s="968" t="s">
        <v>811</v>
      </c>
      <c r="Z103" s="967" t="s">
        <v>812</v>
      </c>
      <c r="AA103" s="968" t="s">
        <v>813</v>
      </c>
      <c r="AB103" s="967" t="s">
        <v>814</v>
      </c>
      <c r="AC103" s="968" t="s">
        <v>815</v>
      </c>
      <c r="AD103" s="967" t="s">
        <v>816</v>
      </c>
      <c r="AE103" s="968" t="s">
        <v>817</v>
      </c>
      <c r="AF103" s="967" t="s">
        <v>818</v>
      </c>
      <c r="AG103" s="968" t="s">
        <v>819</v>
      </c>
      <c r="AH103" s="967" t="s">
        <v>820</v>
      </c>
      <c r="AI103" s="968" t="s">
        <v>821</v>
      </c>
      <c r="AJ103" s="967" t="s">
        <v>822</v>
      </c>
      <c r="AK103" s="968" t="s">
        <v>823</v>
      </c>
      <c r="AL103" s="967" t="s">
        <v>824</v>
      </c>
    </row>
    <row r="104" spans="1:180" s="896" customFormat="1" ht="46.9" customHeight="1" outlineLevel="1">
      <c r="B104" s="891" t="s">
        <v>936</v>
      </c>
      <c r="C104" s="898" t="s">
        <v>937</v>
      </c>
      <c r="D104" s="898"/>
      <c r="E104" s="991" t="str">
        <f>IFERROR(E95/E97,"-")</f>
        <v>-</v>
      </c>
      <c r="F104" s="991">
        <f>IFERROR(F95/F97,"-")</f>
        <v>0.9333654629223318</v>
      </c>
      <c r="G104" s="991">
        <f t="shared" ref="G104:K104" si="141">IFERROR(G95/G97,"-")</f>
        <v>0.77600957686515959</v>
      </c>
      <c r="H104" s="991">
        <f t="shared" si="141"/>
        <v>0.58180661937925615</v>
      </c>
      <c r="I104" s="991">
        <f t="shared" si="141"/>
        <v>0.68540226884434974</v>
      </c>
      <c r="J104" s="991">
        <f t="shared" si="141"/>
        <v>0.83949921841088915</v>
      </c>
      <c r="K104" s="991">
        <f t="shared" si="141"/>
        <v>0.84177049089862377</v>
      </c>
      <c r="L104" s="991">
        <f>IFERROR(L95/L97,"-")</f>
        <v>0.83829817076434832</v>
      </c>
      <c r="M104" s="992">
        <f>Table6[[#This Row],[2024 (Q1+Q2)]]-0.5%</f>
        <v>0.83329817076434831</v>
      </c>
      <c r="N104" s="993">
        <f t="shared" ref="N104:AL104" si="142">N95/N97</f>
        <v>0.83329811739325088</v>
      </c>
      <c r="O104" s="993">
        <f t="shared" si="142"/>
        <v>0.82829811739325099</v>
      </c>
      <c r="P104" s="993">
        <f t="shared" si="142"/>
        <v>0.82329811739325098</v>
      </c>
      <c r="Q104" s="993">
        <f t="shared" si="142"/>
        <v>0.81829811739325098</v>
      </c>
      <c r="R104" s="993">
        <f t="shared" si="142"/>
        <v>0.81329811739325097</v>
      </c>
      <c r="S104" s="993">
        <f t="shared" si="142"/>
        <v>0.80829811739325097</v>
      </c>
      <c r="T104" s="993">
        <f t="shared" si="142"/>
        <v>0.80329811739325097</v>
      </c>
      <c r="U104" s="993">
        <f t="shared" si="142"/>
        <v>0.79829811739325096</v>
      </c>
      <c r="V104" s="993">
        <f t="shared" si="142"/>
        <v>0.79329811739325085</v>
      </c>
      <c r="W104" s="993">
        <f t="shared" si="142"/>
        <v>0.78829811739325084</v>
      </c>
      <c r="X104" s="993">
        <f t="shared" si="142"/>
        <v>0.78329811739325095</v>
      </c>
      <c r="Y104" s="993">
        <f t="shared" si="142"/>
        <v>0.77829811739325094</v>
      </c>
      <c r="Z104" s="993">
        <f t="shared" si="142"/>
        <v>0.77329811739325105</v>
      </c>
      <c r="AA104" s="993">
        <f t="shared" si="142"/>
        <v>0.76829811739325093</v>
      </c>
      <c r="AB104" s="993">
        <f t="shared" si="142"/>
        <v>0.76329811739325093</v>
      </c>
      <c r="AC104" s="993">
        <f t="shared" si="142"/>
        <v>0.75829811739325081</v>
      </c>
      <c r="AD104" s="993">
        <f t="shared" si="142"/>
        <v>0.75329811739325103</v>
      </c>
      <c r="AE104" s="993">
        <f t="shared" si="142"/>
        <v>0.74829811739325092</v>
      </c>
      <c r="AF104" s="993">
        <f t="shared" si="142"/>
        <v>0.74329811739325091</v>
      </c>
      <c r="AG104" s="993">
        <f t="shared" si="142"/>
        <v>0.73829811739325091</v>
      </c>
      <c r="AH104" s="993">
        <f t="shared" si="142"/>
        <v>0.7332981173932509</v>
      </c>
      <c r="AI104" s="993">
        <f t="shared" si="142"/>
        <v>0.7282981173932509</v>
      </c>
      <c r="AJ104" s="993">
        <f t="shared" si="142"/>
        <v>0.72329811739325101</v>
      </c>
      <c r="AK104" s="993">
        <f t="shared" si="142"/>
        <v>0.71829811739325089</v>
      </c>
      <c r="AL104" s="993">
        <f t="shared" si="142"/>
        <v>0.71329811739325089</v>
      </c>
    </row>
    <row r="105" spans="1:180" s="994" customFormat="1" ht="46.9" customHeight="1" outlineLevel="1">
      <c r="B105" s="891" t="s">
        <v>938</v>
      </c>
      <c r="C105" s="898" t="s">
        <v>937</v>
      </c>
      <c r="D105" s="898"/>
      <c r="E105" s="991" t="str">
        <f t="shared" ref="E105:K105" si="143">IFERROR(E99/E93,"-")</f>
        <v>-</v>
      </c>
      <c r="F105" s="991">
        <f t="shared" si="143"/>
        <v>0</v>
      </c>
      <c r="G105" s="991">
        <f t="shared" si="143"/>
        <v>0.60246274538194111</v>
      </c>
      <c r="H105" s="991">
        <f t="shared" si="143"/>
        <v>0.79076688559389863</v>
      </c>
      <c r="I105" s="991">
        <f t="shared" si="143"/>
        <v>0.98991713235197354</v>
      </c>
      <c r="J105" s="991">
        <f t="shared" si="143"/>
        <v>0.70900702535002724</v>
      </c>
      <c r="K105" s="991">
        <f t="shared" si="143"/>
        <v>0.68427865994756298</v>
      </c>
      <c r="L105" s="991">
        <f>IFERROR(L99/L93,"-")</f>
        <v>0.60538556620728012</v>
      </c>
      <c r="M105" s="992">
        <f>Table6[[#This Row],[2024 (Q1+Q2)]]+0.5%</f>
        <v>0.61038556620728013</v>
      </c>
      <c r="N105" s="993">
        <f>Table6[[#This Row],[2024 Q3+Q4)]]+0.5%</f>
        <v>0.61538556620728013</v>
      </c>
      <c r="O105" s="993">
        <f>Table6[[#This Row],[2025]]+0.5%</f>
        <v>0.62038556620728014</v>
      </c>
      <c r="P105" s="993">
        <f>Table6[[#This Row],[2026]]+0.5%</f>
        <v>0.62538556620728014</v>
      </c>
      <c r="Q105" s="993">
        <f>Table6[[#This Row],[2027]]+0.5%</f>
        <v>0.63038556620728015</v>
      </c>
      <c r="R105" s="993">
        <f>Table6[[#This Row],[2028]]+0.5%</f>
        <v>0.63538556620728015</v>
      </c>
      <c r="S105" s="993">
        <f>Table6[[#This Row],[2029]]+0.5%</f>
        <v>0.64038556620728015</v>
      </c>
      <c r="T105" s="993">
        <f>Table6[[#This Row],[2030]]+0.5%</f>
        <v>0.64538556620728016</v>
      </c>
      <c r="U105" s="993">
        <f>Table6[[#This Row],[2031]]+0.5%</f>
        <v>0.65038556620728016</v>
      </c>
      <c r="V105" s="993">
        <f>Table6[[#This Row],[2032]]+0.5%</f>
        <v>0.65538556620728017</v>
      </c>
      <c r="W105" s="993">
        <f>Table6[[#This Row],[2033]]+0.5%</f>
        <v>0.66038556620728017</v>
      </c>
      <c r="X105" s="993">
        <f>Table6[[#This Row],[2034]]+0.5%</f>
        <v>0.66538556620728018</v>
      </c>
      <c r="Y105" s="993">
        <f>Table6[[#This Row],[2035]]+0.5%</f>
        <v>0.67038556620728018</v>
      </c>
      <c r="Z105" s="993">
        <f>Table6[[#This Row],[2036]]+0.5%</f>
        <v>0.67538556620728019</v>
      </c>
      <c r="AA105" s="993">
        <f>Table6[[#This Row],[2037]]+0.5%</f>
        <v>0.68038556620728019</v>
      </c>
      <c r="AB105" s="993">
        <f>Table6[[#This Row],[2038]]+0.5%</f>
        <v>0.68538556620728019</v>
      </c>
      <c r="AC105" s="993">
        <f>Table6[[#This Row],[2039]]+0.5%</f>
        <v>0.6903855662072802</v>
      </c>
      <c r="AD105" s="993">
        <f>Table6[[#This Row],[2040]]+0.5%</f>
        <v>0.6953855662072802</v>
      </c>
      <c r="AE105" s="993">
        <f>Table6[[#This Row],[2041]]+0.5%</f>
        <v>0.70038556620728021</v>
      </c>
      <c r="AF105" s="993">
        <f>Table6[[#This Row],[2042]]+0.5%</f>
        <v>0.70538556620728021</v>
      </c>
      <c r="AG105" s="993">
        <f>Table6[[#This Row],[2043]]+0.5%</f>
        <v>0.71038556620728022</v>
      </c>
      <c r="AH105" s="993">
        <f>Table6[[#This Row],[2044]]+0.5%</f>
        <v>0.71538556620728022</v>
      </c>
      <c r="AI105" s="993">
        <f>Table6[[#This Row],[2045]]+0.5%</f>
        <v>0.72038556620728023</v>
      </c>
      <c r="AJ105" s="993">
        <f>Table6[[#This Row],[2046]]+0.5%</f>
        <v>0.72538556620728023</v>
      </c>
      <c r="AK105" s="993">
        <f>Table6[[#This Row],[2047]]+0.5%</f>
        <v>0.73038556620728023</v>
      </c>
      <c r="AL105" s="993">
        <f>Table6[[#This Row],[2048]]+0.5%</f>
        <v>0.73538556620728024</v>
      </c>
    </row>
    <row r="106" spans="1:180" s="994" customFormat="1" ht="46.9" customHeight="1" outlineLevel="1">
      <c r="B106" s="891" t="s">
        <v>939</v>
      </c>
      <c r="C106" s="898"/>
      <c r="D106" s="898"/>
      <c r="E106" s="991" t="str">
        <f>IFERROR(E93/E97,"-")</f>
        <v>-</v>
      </c>
      <c r="F106" s="991">
        <f>IFERROR(F93/F97,"-")</f>
        <v>6.6634537077668185E-2</v>
      </c>
      <c r="G106" s="991">
        <f t="shared" ref="G106:J106" si="144">IFERROR(G93/G97,"-")</f>
        <v>0.22398977819086952</v>
      </c>
      <c r="H106" s="991">
        <f t="shared" si="144"/>
        <v>0.41819338062074379</v>
      </c>
      <c r="I106" s="991">
        <f t="shared" si="144"/>
        <v>0.23953888138218493</v>
      </c>
      <c r="J106" s="991">
        <f t="shared" si="144"/>
        <v>0.15764420990086914</v>
      </c>
      <c r="K106" s="991">
        <f>IFERROR(K93/K97,"-")</f>
        <v>0.1582295091013762</v>
      </c>
      <c r="L106" s="991">
        <f>IFERROR(L93/L97,"-")</f>
        <v>0.161701882606749</v>
      </c>
      <c r="M106" s="992">
        <f>Table6[[#This Row],[2024 (Q1+Q2)]]+0.5%</f>
        <v>0.16670188260674901</v>
      </c>
      <c r="N106" s="993">
        <f>Table6[[#This Row],[2024 Q3+Q4)]]+0.5%</f>
        <v>0.17170188260674901</v>
      </c>
      <c r="O106" s="993">
        <f>Table6[[#This Row],[2025]]+0.5%</f>
        <v>0.17670188260674902</v>
      </c>
      <c r="P106" s="993">
        <f>Table6[[#This Row],[2026]]+0.5%</f>
        <v>0.18170188260674902</v>
      </c>
      <c r="Q106" s="993">
        <f>Table6[[#This Row],[2027]]+0.5%</f>
        <v>0.18670188260674903</v>
      </c>
      <c r="R106" s="993">
        <f>Table6[[#This Row],[2028]]+0.5%</f>
        <v>0.19170188260674903</v>
      </c>
      <c r="S106" s="993">
        <f>Table6[[#This Row],[2029]]+0.5%</f>
        <v>0.19670188260674903</v>
      </c>
      <c r="T106" s="993">
        <f>Table6[[#This Row],[2030]]+0.5%</f>
        <v>0.20170188260674904</v>
      </c>
      <c r="U106" s="993">
        <f>Table6[[#This Row],[2031]]+0.5%</f>
        <v>0.20670188260674904</v>
      </c>
      <c r="V106" s="993">
        <f>Table6[[#This Row],[2032]]+0.5%</f>
        <v>0.21170188260674905</v>
      </c>
      <c r="W106" s="993">
        <f>Table6[[#This Row],[2033]]+0.5%</f>
        <v>0.21670188260674905</v>
      </c>
      <c r="X106" s="993">
        <f>Table6[[#This Row],[2034]]+0.5%</f>
        <v>0.22170188260674906</v>
      </c>
      <c r="Y106" s="993">
        <f>Table6[[#This Row],[2035]]+0.5%</f>
        <v>0.22670188260674906</v>
      </c>
      <c r="Z106" s="993">
        <f>Table6[[#This Row],[2036]]+0.5%</f>
        <v>0.23170188260674907</v>
      </c>
      <c r="AA106" s="993">
        <f>Table6[[#This Row],[2037]]+0.5%</f>
        <v>0.23670188260674907</v>
      </c>
      <c r="AB106" s="993">
        <f>Table6[[#This Row],[2038]]+0.5%</f>
        <v>0.24170188260674907</v>
      </c>
      <c r="AC106" s="993">
        <f>Table6[[#This Row],[2039]]+0.5%</f>
        <v>0.24670188260674908</v>
      </c>
      <c r="AD106" s="993">
        <f>Table6[[#This Row],[2040]]+0.5%</f>
        <v>0.25170188260674908</v>
      </c>
      <c r="AE106" s="993">
        <f>Table6[[#This Row],[2041]]+0.5%</f>
        <v>0.25670188260674909</v>
      </c>
      <c r="AF106" s="993">
        <f>Table6[[#This Row],[2042]]+0.5%</f>
        <v>0.26170188260674909</v>
      </c>
      <c r="AG106" s="993">
        <f>Table6[[#This Row],[2043]]+0.5%</f>
        <v>0.2667018826067491</v>
      </c>
      <c r="AH106" s="993">
        <f>Table6[[#This Row],[2044]]+0.5%</f>
        <v>0.2717018826067491</v>
      </c>
      <c r="AI106" s="993">
        <f>Table6[[#This Row],[2045]]+0.5%</f>
        <v>0.27670188260674911</v>
      </c>
      <c r="AJ106" s="993">
        <f>Table6[[#This Row],[2046]]+0.5%</f>
        <v>0.28170188260674911</v>
      </c>
      <c r="AK106" s="993">
        <f>Table6[[#This Row],[2047]]+0.5%</f>
        <v>0.28670188260674911</v>
      </c>
      <c r="AL106" s="993">
        <f>Table6[[#This Row],[2048]]+0.5%</f>
        <v>0.29170188260674912</v>
      </c>
    </row>
    <row r="107" spans="1:180" outlineLevel="1">
      <c r="B107" s="908"/>
      <c r="C107" s="859"/>
      <c r="D107" s="872"/>
      <c r="E107" s="872"/>
      <c r="F107" s="872"/>
      <c r="G107" s="872"/>
      <c r="H107" s="872"/>
      <c r="I107" s="872"/>
      <c r="J107" s="872"/>
      <c r="K107" s="872"/>
      <c r="L107" s="872"/>
    </row>
    <row r="108" spans="1:180" outlineLevel="1">
      <c r="B108" s="909"/>
      <c r="C108" s="746"/>
    </row>
    <row r="109" spans="1:180" ht="46.9" customHeight="1" outlineLevel="1">
      <c r="B109" s="1114" t="s">
        <v>946</v>
      </c>
      <c r="C109" s="861" t="s">
        <v>947</v>
      </c>
      <c r="D109" s="862" t="s">
        <v>948</v>
      </c>
      <c r="E109" s="862" t="s">
        <v>949</v>
      </c>
      <c r="F109" s="863" t="s">
        <v>950</v>
      </c>
      <c r="G109" s="929"/>
      <c r="H109" s="860"/>
      <c r="I109" s="860"/>
      <c r="J109" s="860"/>
      <c r="K109" s="860"/>
      <c r="L109" s="860"/>
    </row>
    <row r="110" spans="1:180" ht="46.9" customHeight="1" outlineLevel="1">
      <c r="B110" s="906" t="s">
        <v>951</v>
      </c>
      <c r="C110" s="864" t="str">
        <f>IFERROR(I75/E75-1,"-")</f>
        <v>-</v>
      </c>
      <c r="D110" s="864" t="str">
        <f>IFERROR(J75/F75-1,"-")</f>
        <v>-</v>
      </c>
      <c r="E110" s="864" t="str">
        <f>IFERROR(K75/G75-1,"-")</f>
        <v>-</v>
      </c>
      <c r="F110" s="865" t="str">
        <f>IFERROR(L75/H75-1,"-")</f>
        <v>-</v>
      </c>
      <c r="G110" s="929"/>
    </row>
    <row r="111" spans="1:180" ht="46.9" customHeight="1" outlineLevel="1">
      <c r="B111" s="906" t="s">
        <v>952</v>
      </c>
      <c r="C111" s="864" t="str">
        <f>IFERROR(M75/I75-1,"-")</f>
        <v>-</v>
      </c>
      <c r="D111" s="864" t="str">
        <f>IFERROR(N75/J75-1,"-")</f>
        <v>-</v>
      </c>
      <c r="E111" s="864" t="str">
        <f>IFERROR(O75/K75-1,"-")</f>
        <v>-</v>
      </c>
      <c r="F111" s="865">
        <f>IFERROR(P75/L75-1,"-")</f>
        <v>0.85800278044632261</v>
      </c>
      <c r="H111" s="961" t="s">
        <v>953</v>
      </c>
    </row>
    <row r="112" spans="1:180" ht="46.9" customHeight="1" outlineLevel="1">
      <c r="B112" s="906" t="s">
        <v>954</v>
      </c>
      <c r="C112" s="864">
        <f>IFERROR(Q75/M75-1,"-")</f>
        <v>-0.37870764665620171</v>
      </c>
      <c r="D112" s="864">
        <f>IFERROR(R75/N75-1,"-")</f>
        <v>-0.9135235157652607</v>
      </c>
      <c r="E112" s="864">
        <f>IFERROR(S75/O75-1,"-")</f>
        <v>-0.99083315754608403</v>
      </c>
      <c r="F112" s="865">
        <f>IFERROR(T75/P75-1,"-")</f>
        <v>-0.31570059968164854</v>
      </c>
      <c r="G112" s="929"/>
      <c r="H112" s="962" t="s">
        <v>955</v>
      </c>
    </row>
    <row r="113" spans="2:29" ht="46.9" customHeight="1" outlineLevel="1">
      <c r="B113" s="921" t="s">
        <v>956</v>
      </c>
      <c r="C113" s="866">
        <f>U75/Q75-1</f>
        <v>0.22854965911002489</v>
      </c>
      <c r="D113" s="866">
        <f>V75/R75-1</f>
        <v>6.0687584355711923</v>
      </c>
      <c r="E113" s="866">
        <f>W75/S75-1</f>
        <v>16.171578522406136</v>
      </c>
      <c r="F113" s="867">
        <f>X75/T75-1</f>
        <v>0.5340470701029516</v>
      </c>
      <c r="G113" s="929"/>
      <c r="H113" s="963" t="s">
        <v>957</v>
      </c>
    </row>
    <row r="114" spans="2:29" ht="46.9" customHeight="1" outlineLevel="1">
      <c r="B114" s="921" t="s">
        <v>958</v>
      </c>
      <c r="C114" s="864">
        <f>Y75/U75-1</f>
        <v>0.71608836195324166</v>
      </c>
      <c r="D114" s="864">
        <f>Z75/V75-1</f>
        <v>0.67260861450138476</v>
      </c>
      <c r="E114" s="864">
        <f>AA75/W75-1</f>
        <v>8.5851201391827718</v>
      </c>
      <c r="F114" s="865">
        <f>AB75/X75-1</f>
        <v>0.74466533734115048</v>
      </c>
      <c r="G114" s="929"/>
    </row>
    <row r="115" spans="2:29" ht="46.9" customHeight="1" outlineLevel="1">
      <c r="B115" s="921" t="s">
        <v>959</v>
      </c>
      <c r="C115" s="864">
        <f>AC75/Y75-1</f>
        <v>1.2568399281588514</v>
      </c>
      <c r="D115" s="864">
        <f>AD75/Z75-1</f>
        <v>0.40544586077128097</v>
      </c>
      <c r="E115" s="864">
        <f>AE75/AA75-1</f>
        <v>0.50304456656777696</v>
      </c>
      <c r="F115" s="865">
        <f>AF75/AB75-1</f>
        <v>8.4182694357968435E-2</v>
      </c>
      <c r="G115" s="929"/>
    </row>
    <row r="116" spans="2:29" ht="46.9" customHeight="1" outlineLevel="1">
      <c r="B116" s="922" t="s">
        <v>960</v>
      </c>
      <c r="C116" s="868">
        <f>AG75/AC75-1</f>
        <v>-2.1855817322856463E-2</v>
      </c>
      <c r="D116" s="868">
        <f>AH75/AD75-1</f>
        <v>0.47731165907209649</v>
      </c>
      <c r="E116" s="869" t="s">
        <v>304</v>
      </c>
      <c r="F116" s="870" t="s">
        <v>304</v>
      </c>
      <c r="G116" s="929"/>
    </row>
    <row r="117" spans="2:29">
      <c r="B117" s="896"/>
      <c r="C117" s="746"/>
    </row>
    <row r="118" spans="2:29">
      <c r="B118" s="896"/>
      <c r="C118" s="746"/>
    </row>
    <row r="119" spans="2:29" ht="46.9" customHeight="1" outlineLevel="1">
      <c r="B119" s="1114" t="s">
        <v>961</v>
      </c>
      <c r="C119" s="1120" t="s">
        <v>962</v>
      </c>
      <c r="D119" s="933" t="s">
        <v>963</v>
      </c>
      <c r="E119" s="933" t="s">
        <v>964</v>
      </c>
      <c r="F119" s="933" t="s">
        <v>965</v>
      </c>
      <c r="G119" s="933" t="s">
        <v>966</v>
      </c>
      <c r="H119" s="933" t="s">
        <v>967</v>
      </c>
      <c r="I119" s="933" t="s">
        <v>968</v>
      </c>
      <c r="J119" s="933" t="s">
        <v>969</v>
      </c>
      <c r="K119" s="933" t="s">
        <v>970</v>
      </c>
      <c r="L119" s="933" t="s">
        <v>971</v>
      </c>
      <c r="M119" s="933" t="s">
        <v>972</v>
      </c>
      <c r="N119" s="933" t="s">
        <v>973</v>
      </c>
      <c r="O119" s="933" t="s">
        <v>974</v>
      </c>
      <c r="P119" s="933" t="s">
        <v>975</v>
      </c>
      <c r="Q119" s="933" t="s">
        <v>976</v>
      </c>
      <c r="R119" s="933" t="s">
        <v>977</v>
      </c>
      <c r="S119" s="933" t="s">
        <v>978</v>
      </c>
      <c r="T119" s="933" t="s">
        <v>979</v>
      </c>
      <c r="U119" s="933" t="s">
        <v>980</v>
      </c>
      <c r="V119" s="933" t="s">
        <v>981</v>
      </c>
      <c r="W119" s="933" t="s">
        <v>982</v>
      </c>
      <c r="X119" s="933" t="s">
        <v>983</v>
      </c>
      <c r="Y119" s="933" t="s">
        <v>984</v>
      </c>
      <c r="Z119" s="933" t="s">
        <v>985</v>
      </c>
      <c r="AA119" s="933" t="s">
        <v>986</v>
      </c>
      <c r="AB119" s="933" t="s">
        <v>987</v>
      </c>
      <c r="AC119" s="934" t="s">
        <v>988</v>
      </c>
    </row>
    <row r="120" spans="2:29" ht="46.9" customHeight="1" outlineLevel="1">
      <c r="B120" s="1115" t="s">
        <v>989</v>
      </c>
      <c r="C120" s="873">
        <v>524315</v>
      </c>
      <c r="D120" s="873">
        <v>527584</v>
      </c>
      <c r="E120" s="873">
        <v>532395</v>
      </c>
      <c r="F120" s="873">
        <v>534702</v>
      </c>
      <c r="G120" s="873">
        <v>540338</v>
      </c>
      <c r="H120" s="873">
        <v>544406</v>
      </c>
      <c r="I120" s="873">
        <v>546654</v>
      </c>
      <c r="J120" s="873">
        <v>547965</v>
      </c>
      <c r="K120" s="873">
        <v>551170</v>
      </c>
      <c r="L120" s="873">
        <v>552985</v>
      </c>
      <c r="M120" s="873">
        <v>556078</v>
      </c>
      <c r="N120" s="873">
        <v>558708</v>
      </c>
      <c r="O120" s="873">
        <v>557692</v>
      </c>
      <c r="P120" s="873">
        <v>518939</v>
      </c>
      <c r="Q120" s="873">
        <v>538204</v>
      </c>
      <c r="R120" s="873">
        <v>556770</v>
      </c>
      <c r="S120" s="873">
        <v>568917</v>
      </c>
      <c r="T120" s="873">
        <v>573804</v>
      </c>
      <c r="U120" s="873">
        <v>562864</v>
      </c>
      <c r="V120" s="873">
        <v>586759</v>
      </c>
      <c r="W120" s="873">
        <v>589562</v>
      </c>
      <c r="X120" s="873">
        <v>594037</v>
      </c>
      <c r="Y120" s="873">
        <v>595251</v>
      </c>
      <c r="Z120" s="873">
        <v>600340</v>
      </c>
      <c r="AA120" s="873">
        <v>603542</v>
      </c>
      <c r="AB120" s="873">
        <v>606190</v>
      </c>
      <c r="AC120" s="873">
        <v>607475</v>
      </c>
    </row>
    <row r="121" spans="2:29" outlineLevel="1">
      <c r="B121" s="896"/>
    </row>
    <row r="122" spans="2:29" ht="46.9" customHeight="1" outlineLevel="1">
      <c r="B122" s="1114" t="s">
        <v>990</v>
      </c>
      <c r="C122" s="920" t="s">
        <v>787</v>
      </c>
      <c r="D122" s="920" t="s">
        <v>788</v>
      </c>
      <c r="E122" s="920" t="s">
        <v>789</v>
      </c>
      <c r="F122" s="920" t="s">
        <v>790</v>
      </c>
      <c r="G122" s="920" t="s">
        <v>791</v>
      </c>
      <c r="H122" s="920" t="s">
        <v>792</v>
      </c>
      <c r="I122" s="920" t="s">
        <v>793</v>
      </c>
      <c r="J122" s="920" t="s">
        <v>794</v>
      </c>
      <c r="K122" s="920" t="s">
        <v>941</v>
      </c>
    </row>
    <row r="123" spans="2:29" ht="46.9" customHeight="1" outlineLevel="1">
      <c r="B123" s="923" t="s">
        <v>135</v>
      </c>
      <c r="C123" s="1117">
        <f>'Fin. Data'!J5</f>
        <v>0.1</v>
      </c>
      <c r="D123" s="1117">
        <f>'Fin. Data'!I5</f>
        <v>0</v>
      </c>
      <c r="E123" s="1117">
        <f>'Fin. Data'!H5</f>
        <v>0</v>
      </c>
      <c r="F123" s="1117">
        <f>'Fin. Data'!G5</f>
        <v>10.199999999999999</v>
      </c>
      <c r="G123" s="1117">
        <f>'Fin. Data'!F5</f>
        <v>42.8</v>
      </c>
      <c r="H123" s="1117">
        <f>'Fin. Data'!E5</f>
        <v>84.1</v>
      </c>
      <c r="I123" s="1117">
        <f>'Fin. Data'!D5</f>
        <v>175.8</v>
      </c>
      <c r="J123" s="1117">
        <f>'Fin. Data'!C5</f>
        <v>1189.5999999999999</v>
      </c>
      <c r="K123" s="1117">
        <f>'Fin. Data'!B5</f>
        <v>4064</v>
      </c>
    </row>
    <row r="124" spans="2:29" ht="46.9" customHeight="1" outlineLevel="1">
      <c r="B124" s="924" t="s">
        <v>932</v>
      </c>
      <c r="C124" s="882">
        <v>0</v>
      </c>
      <c r="D124" s="882">
        <v>0</v>
      </c>
      <c r="E124" s="883">
        <v>0</v>
      </c>
      <c r="F124" s="883">
        <f t="shared" ref="F124:K124" si="145">F99</f>
        <v>0</v>
      </c>
      <c r="G124" s="883">
        <f t="shared" si="145"/>
        <v>1464652</v>
      </c>
      <c r="H124" s="883">
        <f t="shared" si="145"/>
        <v>642215</v>
      </c>
      <c r="I124" s="883">
        <f t="shared" si="145"/>
        <v>1579588</v>
      </c>
      <c r="J124" s="883">
        <f t="shared" si="145"/>
        <v>2415348</v>
      </c>
      <c r="K124" s="883">
        <f t="shared" si="145"/>
        <v>3445341</v>
      </c>
    </row>
    <row r="125" spans="2:29" ht="46.9" customHeight="1" outlineLevel="1">
      <c r="B125" s="925" t="s">
        <v>991</v>
      </c>
      <c r="C125" s="1117">
        <v>272540</v>
      </c>
      <c r="D125" s="1117">
        <v>289829</v>
      </c>
      <c r="E125" s="1117">
        <v>292523</v>
      </c>
      <c r="F125" s="1117">
        <v>306743</v>
      </c>
      <c r="G125" s="1117">
        <v>320937</v>
      </c>
      <c r="H125" s="1117">
        <v>333814</v>
      </c>
      <c r="I125" s="1117">
        <v>323912</v>
      </c>
      <c r="J125" s="1117">
        <v>316846</v>
      </c>
      <c r="K125" s="1117">
        <v>320905</v>
      </c>
    </row>
    <row r="126" spans="2:29" ht="46.9" customHeight="1" outlineLevel="1">
      <c r="B126" s="923" t="s">
        <v>992</v>
      </c>
      <c r="C126" s="1117">
        <v>1988419</v>
      </c>
      <c r="D126" s="1117">
        <v>2043680</v>
      </c>
      <c r="E126" s="1117">
        <v>2091067</v>
      </c>
      <c r="F126" s="1117">
        <v>2151841</v>
      </c>
      <c r="G126" s="1117">
        <v>2198775</v>
      </c>
      <c r="H126" s="1117">
        <v>2191416</v>
      </c>
      <c r="I126" s="1117">
        <v>2237695</v>
      </c>
      <c r="J126" s="1117">
        <v>2333221</v>
      </c>
      <c r="K126" s="1117">
        <v>2406521</v>
      </c>
    </row>
    <row r="127" spans="2:29" ht="46.9" customHeight="1" outlineLevel="1">
      <c r="B127" s="925" t="s">
        <v>993</v>
      </c>
      <c r="C127" s="1117"/>
      <c r="D127" s="1117"/>
      <c r="E127" s="1117">
        <f>AVERAGE(E83:H83)</f>
        <v>20947.150000000001</v>
      </c>
      <c r="F127" s="1117">
        <f>AVERAGE(I83:L83)</f>
        <v>18032.032500000001</v>
      </c>
      <c r="G127" s="1117">
        <f>AVERAGE(M83:P83)</f>
        <v>9895.4599999999991</v>
      </c>
      <c r="H127" s="1117">
        <f>AVERAGE(Q83:T83)</f>
        <v>6227.7924999999996</v>
      </c>
      <c r="I127" s="1117">
        <f>AVERAGE(U83:X83)</f>
        <v>18932.550000000003</v>
      </c>
      <c r="J127" s="1117">
        <f>AVERAGE(Y83:AB83)</f>
        <v>71010</v>
      </c>
      <c r="K127" s="1117">
        <f>AVERAGE(AC83:AF83)</f>
        <v>36234.35</v>
      </c>
    </row>
    <row r="128" spans="2:29" outlineLevel="1">
      <c r="B128" s="910"/>
      <c r="C128" s="885"/>
      <c r="D128" s="886"/>
      <c r="E128" s="887"/>
      <c r="F128" s="884"/>
      <c r="G128" s="884"/>
      <c r="H128" s="887"/>
      <c r="I128" s="887"/>
      <c r="J128" s="887"/>
      <c r="K128" s="887"/>
    </row>
    <row r="129" spans="2:147" outlineLevel="1">
      <c r="B129" s="911"/>
      <c r="C129" s="881" t="str">
        <f>B130</f>
        <v>GDP Australia (millions) (Total)</v>
      </c>
      <c r="D129" s="881" t="s">
        <v>135</v>
      </c>
      <c r="F129" s="911"/>
      <c r="G129" s="881" t="s">
        <v>994</v>
      </c>
      <c r="H129" s="1118" t="s">
        <v>932</v>
      </c>
      <c r="J129" s="1119"/>
      <c r="K129" s="1118" t="s">
        <v>995</v>
      </c>
      <c r="L129" s="1118" t="s">
        <v>996</v>
      </c>
    </row>
    <row r="130" spans="2:147" outlineLevel="1">
      <c r="B130" s="912" t="str">
        <f>B126</f>
        <v>GDP Australia (millions) (Total)</v>
      </c>
      <c r="C130">
        <v>1</v>
      </c>
      <c r="D130"/>
      <c r="F130" s="10" t="s">
        <v>994</v>
      </c>
      <c r="G130">
        <v>1</v>
      </c>
      <c r="H130"/>
      <c r="J130" s="10" t="s">
        <v>995</v>
      </c>
      <c r="K130">
        <v>1</v>
      </c>
      <c r="L130"/>
    </row>
    <row r="131" spans="2:147" ht="13.9" outlineLevel="1" thickBot="1">
      <c r="B131" s="913" t="s">
        <v>135</v>
      </c>
      <c r="C131" s="880">
        <v>0.76473491155518192</v>
      </c>
      <c r="D131" s="878">
        <v>1</v>
      </c>
      <c r="F131" s="239" t="s">
        <v>932</v>
      </c>
      <c r="G131" s="888">
        <v>0.97033824954241343</v>
      </c>
      <c r="H131" s="878">
        <v>1</v>
      </c>
      <c r="J131" s="239" t="s">
        <v>996</v>
      </c>
      <c r="K131" s="888">
        <v>0.62987402801571812</v>
      </c>
      <c r="L131" s="878">
        <v>1</v>
      </c>
    </row>
    <row r="132" spans="2:147" ht="13.9" outlineLevel="1" thickBot="1">
      <c r="F132" s="745"/>
      <c r="G132" s="746"/>
    </row>
    <row r="133" spans="2:147" outlineLevel="1">
      <c r="B133" s="914"/>
      <c r="C133" s="879" t="s">
        <v>135</v>
      </c>
      <c r="D133" s="931" t="str">
        <f>B135</f>
        <v>GDP Australia Mining</v>
      </c>
      <c r="F133" s="879"/>
      <c r="G133" s="879" t="s">
        <v>135</v>
      </c>
      <c r="H133" s="879" t="s">
        <v>932</v>
      </c>
      <c r="J133" s="1026" t="s">
        <v>997</v>
      </c>
      <c r="K133" s="1026" t="s">
        <v>994</v>
      </c>
      <c r="L133" s="1027">
        <v>-0.03</v>
      </c>
    </row>
    <row r="134" spans="2:147" outlineLevel="1">
      <c r="B134" s="912" t="s">
        <v>135</v>
      </c>
      <c r="C134">
        <v>1</v>
      </c>
      <c r="D134"/>
      <c r="F134" t="s">
        <v>135</v>
      </c>
      <c r="G134">
        <v>1</v>
      </c>
      <c r="H134"/>
      <c r="K134" s="1026" t="s">
        <v>998</v>
      </c>
      <c r="L134" s="1027">
        <v>-7.4999999999999997E-2</v>
      </c>
    </row>
    <row r="135" spans="2:147" s="946" customFormat="1" ht="13.9" outlineLevel="1" thickBot="1">
      <c r="B135" s="930" t="str">
        <f>B125</f>
        <v>GDP Australia Mining</v>
      </c>
      <c r="C135" s="880">
        <v>0.30229414950860034</v>
      </c>
      <c r="D135" s="878">
        <v>1</v>
      </c>
      <c r="F135" s="1054" t="s">
        <v>932</v>
      </c>
      <c r="G135" s="888">
        <v>0.83898450863716467</v>
      </c>
      <c r="H135" s="878">
        <v>1</v>
      </c>
      <c r="U135" s="945">
        <v>16</v>
      </c>
      <c r="V135" s="946">
        <f>U135+0.5</f>
        <v>16.5</v>
      </c>
      <c r="W135" s="946">
        <f t="shared" ref="W135:AU135" si="146">V135+0.5</f>
        <v>17</v>
      </c>
      <c r="X135" s="946">
        <f t="shared" si="146"/>
        <v>17.5</v>
      </c>
      <c r="Y135" s="946">
        <f t="shared" si="146"/>
        <v>18</v>
      </c>
      <c r="Z135" s="946">
        <f t="shared" si="146"/>
        <v>18.5</v>
      </c>
      <c r="AA135" s="946">
        <f>Z135+1</f>
        <v>19.5</v>
      </c>
      <c r="AB135" s="946">
        <f t="shared" si="146"/>
        <v>20</v>
      </c>
      <c r="AC135" s="946">
        <f t="shared" si="146"/>
        <v>20.5</v>
      </c>
      <c r="AD135" s="946">
        <f t="shared" si="146"/>
        <v>21</v>
      </c>
      <c r="AE135" s="946">
        <f t="shared" si="146"/>
        <v>21.5</v>
      </c>
      <c r="AF135" s="946">
        <f t="shared" si="146"/>
        <v>22</v>
      </c>
      <c r="AG135" s="946">
        <f t="shared" si="146"/>
        <v>22.5</v>
      </c>
      <c r="AH135" s="946">
        <f t="shared" si="146"/>
        <v>23</v>
      </c>
      <c r="AI135" s="946">
        <f t="shared" si="146"/>
        <v>23.5</v>
      </c>
      <c r="AJ135" s="946">
        <f t="shared" si="146"/>
        <v>24</v>
      </c>
      <c r="AK135" s="946">
        <f t="shared" si="146"/>
        <v>24.5</v>
      </c>
      <c r="AL135" s="946">
        <f t="shared" si="146"/>
        <v>25</v>
      </c>
      <c r="AM135" s="946">
        <v>23.1</v>
      </c>
      <c r="AN135" s="946">
        <v>23.5</v>
      </c>
      <c r="AO135" s="946">
        <v>23.75</v>
      </c>
      <c r="AP135" s="946">
        <f t="shared" si="146"/>
        <v>24.25</v>
      </c>
      <c r="AQ135" s="946">
        <f t="shared" si="146"/>
        <v>24.75</v>
      </c>
      <c r="AR135" s="946">
        <f t="shared" si="146"/>
        <v>25.25</v>
      </c>
      <c r="AS135" s="946">
        <f t="shared" si="146"/>
        <v>25.75</v>
      </c>
      <c r="AT135" s="946">
        <f t="shared" si="146"/>
        <v>26.25</v>
      </c>
      <c r="AU135" s="946">
        <f t="shared" si="146"/>
        <v>26.75</v>
      </c>
      <c r="AV135" s="946">
        <f>AU135+0.55</f>
        <v>27.3</v>
      </c>
      <c r="AW135" s="946">
        <f t="shared" ref="AW135:BC135" si="147">AV135+0.55</f>
        <v>27.85</v>
      </c>
      <c r="AX135" s="946">
        <f t="shared" si="147"/>
        <v>28.400000000000002</v>
      </c>
      <c r="AY135" s="946">
        <f t="shared" si="147"/>
        <v>28.950000000000003</v>
      </c>
      <c r="AZ135" s="946">
        <f t="shared" si="147"/>
        <v>29.500000000000004</v>
      </c>
      <c r="BA135" s="946">
        <f t="shared" si="147"/>
        <v>30.050000000000004</v>
      </c>
      <c r="BB135" s="946">
        <f t="shared" si="147"/>
        <v>30.600000000000005</v>
      </c>
      <c r="BC135" s="946">
        <f t="shared" si="147"/>
        <v>31.150000000000006</v>
      </c>
      <c r="BD135" s="946">
        <f>BC135+0.55</f>
        <v>31.700000000000006</v>
      </c>
      <c r="BE135" s="946">
        <f>BD135+0.55</f>
        <v>32.250000000000007</v>
      </c>
      <c r="BF135" s="946">
        <f t="shared" ref="BF135:DQ135" si="148">BE135+0.55</f>
        <v>32.800000000000004</v>
      </c>
      <c r="BG135" s="946">
        <f t="shared" si="148"/>
        <v>33.35</v>
      </c>
      <c r="BH135" s="946">
        <f t="shared" si="148"/>
        <v>33.9</v>
      </c>
      <c r="BI135" s="946">
        <f t="shared" si="148"/>
        <v>34.449999999999996</v>
      </c>
      <c r="BJ135" s="946">
        <f t="shared" si="148"/>
        <v>34.999999999999993</v>
      </c>
      <c r="BK135" s="946">
        <f t="shared" si="148"/>
        <v>35.54999999999999</v>
      </c>
      <c r="BL135" s="946">
        <f t="shared" si="148"/>
        <v>36.099999999999987</v>
      </c>
      <c r="BM135" s="946">
        <f t="shared" si="148"/>
        <v>36.649999999999984</v>
      </c>
      <c r="BN135" s="946">
        <f t="shared" si="148"/>
        <v>37.199999999999982</v>
      </c>
      <c r="BO135" s="946">
        <f t="shared" si="148"/>
        <v>37.749999999999979</v>
      </c>
      <c r="BP135" s="946">
        <f t="shared" si="148"/>
        <v>38.299999999999976</v>
      </c>
      <c r="BQ135" s="946">
        <f t="shared" si="148"/>
        <v>38.849999999999973</v>
      </c>
      <c r="BR135" s="946">
        <f t="shared" si="148"/>
        <v>39.39999999999997</v>
      </c>
      <c r="BS135" s="946">
        <f t="shared" si="148"/>
        <v>39.949999999999967</v>
      </c>
      <c r="BT135" s="946">
        <f t="shared" si="148"/>
        <v>40.499999999999964</v>
      </c>
      <c r="BU135" s="946">
        <f t="shared" si="148"/>
        <v>41.049999999999962</v>
      </c>
      <c r="BV135" s="946">
        <f t="shared" si="148"/>
        <v>41.599999999999959</v>
      </c>
      <c r="BW135" s="946">
        <f t="shared" si="148"/>
        <v>42.149999999999956</v>
      </c>
      <c r="BX135" s="946">
        <f t="shared" si="148"/>
        <v>42.699999999999953</v>
      </c>
      <c r="BY135" s="946">
        <f t="shared" si="148"/>
        <v>43.24999999999995</v>
      </c>
      <c r="BZ135" s="946">
        <f t="shared" si="148"/>
        <v>43.799999999999947</v>
      </c>
      <c r="CA135" s="946">
        <f t="shared" si="148"/>
        <v>44.349999999999945</v>
      </c>
      <c r="CB135" s="946">
        <f t="shared" si="148"/>
        <v>44.899999999999942</v>
      </c>
      <c r="CC135" s="946">
        <f t="shared" si="148"/>
        <v>45.449999999999939</v>
      </c>
      <c r="CD135" s="946">
        <f t="shared" si="148"/>
        <v>45.999999999999936</v>
      </c>
      <c r="CE135" s="946">
        <f t="shared" si="148"/>
        <v>46.549999999999933</v>
      </c>
      <c r="CF135" s="946">
        <f t="shared" si="148"/>
        <v>47.09999999999993</v>
      </c>
      <c r="CG135" s="946">
        <f t="shared" si="148"/>
        <v>47.649999999999928</v>
      </c>
      <c r="CH135" s="946">
        <f t="shared" si="148"/>
        <v>48.199999999999925</v>
      </c>
      <c r="CI135" s="946">
        <f t="shared" si="148"/>
        <v>48.749999999999922</v>
      </c>
      <c r="CJ135" s="946">
        <f t="shared" si="148"/>
        <v>49.299999999999919</v>
      </c>
      <c r="CK135" s="946">
        <f t="shared" si="148"/>
        <v>49.849999999999916</v>
      </c>
      <c r="CL135" s="946">
        <f t="shared" si="148"/>
        <v>50.399999999999913</v>
      </c>
      <c r="CM135" s="946">
        <f t="shared" si="148"/>
        <v>50.94999999999991</v>
      </c>
      <c r="CN135" s="946">
        <f t="shared" si="148"/>
        <v>51.499999999999908</v>
      </c>
      <c r="CO135" s="946">
        <f t="shared" si="148"/>
        <v>52.049999999999905</v>
      </c>
      <c r="CP135" s="946">
        <f t="shared" si="148"/>
        <v>52.599999999999902</v>
      </c>
      <c r="CQ135" s="946">
        <f t="shared" si="148"/>
        <v>53.149999999999899</v>
      </c>
      <c r="CR135" s="946">
        <f t="shared" si="148"/>
        <v>53.699999999999896</v>
      </c>
      <c r="CS135" s="946">
        <f t="shared" si="148"/>
        <v>54.249999999999893</v>
      </c>
      <c r="CT135" s="946">
        <f t="shared" si="148"/>
        <v>54.799999999999891</v>
      </c>
      <c r="CU135" s="946">
        <f t="shared" si="148"/>
        <v>55.349999999999888</v>
      </c>
      <c r="CV135" s="946">
        <f t="shared" si="148"/>
        <v>55.899999999999885</v>
      </c>
      <c r="CW135" s="946">
        <f t="shared" si="148"/>
        <v>56.449999999999882</v>
      </c>
      <c r="CX135" s="946">
        <f t="shared" si="148"/>
        <v>56.999999999999879</v>
      </c>
      <c r="CY135" s="946">
        <f t="shared" si="148"/>
        <v>57.549999999999876</v>
      </c>
      <c r="CZ135" s="946">
        <f t="shared" si="148"/>
        <v>58.099999999999874</v>
      </c>
      <c r="DA135" s="946">
        <f t="shared" si="148"/>
        <v>58.649999999999871</v>
      </c>
      <c r="DB135" s="946">
        <f t="shared" si="148"/>
        <v>59.199999999999868</v>
      </c>
      <c r="DC135" s="946">
        <f t="shared" si="148"/>
        <v>59.749999999999865</v>
      </c>
      <c r="DD135" s="946">
        <f t="shared" si="148"/>
        <v>60.299999999999862</v>
      </c>
      <c r="DE135" s="946">
        <f t="shared" si="148"/>
        <v>60.849999999999859</v>
      </c>
      <c r="DF135" s="946">
        <f t="shared" si="148"/>
        <v>61.399999999999856</v>
      </c>
      <c r="DG135" s="946">
        <f t="shared" si="148"/>
        <v>61.949999999999854</v>
      </c>
      <c r="DH135" s="946">
        <f t="shared" si="148"/>
        <v>62.499999999999851</v>
      </c>
      <c r="DI135" s="946">
        <f t="shared" si="148"/>
        <v>63.049999999999848</v>
      </c>
      <c r="DJ135" s="946">
        <f t="shared" si="148"/>
        <v>63.599999999999845</v>
      </c>
      <c r="DK135" s="946">
        <f t="shared" si="148"/>
        <v>64.149999999999849</v>
      </c>
      <c r="DL135" s="946">
        <f t="shared" si="148"/>
        <v>64.699999999999847</v>
      </c>
      <c r="DM135" s="946">
        <f t="shared" si="148"/>
        <v>65.249999999999844</v>
      </c>
      <c r="DN135" s="946">
        <f t="shared" si="148"/>
        <v>65.799999999999841</v>
      </c>
      <c r="DO135" s="946">
        <f t="shared" si="148"/>
        <v>66.349999999999838</v>
      </c>
      <c r="DP135" s="946">
        <f t="shared" si="148"/>
        <v>66.899999999999835</v>
      </c>
      <c r="DQ135" s="946">
        <f t="shared" si="148"/>
        <v>67.449999999999832</v>
      </c>
      <c r="DR135" s="946">
        <f t="shared" ref="DR135" si="149">DQ135+0.55</f>
        <v>67.999999999999829</v>
      </c>
      <c r="DS135" s="946">
        <f>COUNT(S138:DR138)</f>
        <v>104</v>
      </c>
      <c r="DT135" s="946" t="s">
        <v>999</v>
      </c>
    </row>
    <row r="136" spans="2:147" s="946" customFormat="1" ht="22.15" customHeight="1" outlineLevel="1">
      <c r="B136" s="944"/>
      <c r="C136" s="945">
        <v>1</v>
      </c>
      <c r="D136" s="946">
        <v>2</v>
      </c>
      <c r="E136" s="945">
        <v>3</v>
      </c>
      <c r="F136" s="946">
        <v>4</v>
      </c>
      <c r="G136" s="945">
        <v>5</v>
      </c>
      <c r="H136" s="946">
        <v>6</v>
      </c>
      <c r="I136" s="945">
        <v>7</v>
      </c>
      <c r="J136" s="946">
        <v>8</v>
      </c>
      <c r="K136" s="945">
        <v>9</v>
      </c>
      <c r="L136" s="946">
        <v>10</v>
      </c>
      <c r="M136" s="946">
        <v>11</v>
      </c>
      <c r="N136" s="945">
        <v>12</v>
      </c>
      <c r="O136" s="946">
        <v>13</v>
      </c>
      <c r="P136" s="946">
        <v>14</v>
      </c>
      <c r="Q136" s="945">
        <v>15</v>
      </c>
      <c r="R136" s="946">
        <v>16</v>
      </c>
      <c r="S136" s="946">
        <v>17</v>
      </c>
      <c r="T136" s="945">
        <v>18</v>
      </c>
      <c r="U136" s="946">
        <v>19</v>
      </c>
      <c r="V136" s="946">
        <v>20</v>
      </c>
      <c r="W136" s="945">
        <v>21</v>
      </c>
      <c r="X136" s="946">
        <v>22</v>
      </c>
      <c r="Y136" s="946">
        <v>23</v>
      </c>
      <c r="Z136" s="945">
        <v>24</v>
      </c>
      <c r="AA136" s="946">
        <v>25.5</v>
      </c>
      <c r="AB136" s="946">
        <v>26</v>
      </c>
      <c r="AC136" s="945">
        <v>27</v>
      </c>
      <c r="AD136" s="946">
        <v>28</v>
      </c>
      <c r="AE136" s="945">
        <v>29</v>
      </c>
      <c r="AF136" s="946">
        <v>30</v>
      </c>
      <c r="AG136" s="945">
        <v>31</v>
      </c>
      <c r="AH136" s="946">
        <v>32</v>
      </c>
      <c r="AI136" s="945">
        <v>33</v>
      </c>
      <c r="AJ136" s="946">
        <v>34</v>
      </c>
      <c r="AK136" s="945">
        <v>35</v>
      </c>
      <c r="AL136" s="946">
        <v>36</v>
      </c>
      <c r="AM136" s="945">
        <v>37</v>
      </c>
      <c r="AN136" s="946">
        <v>38</v>
      </c>
      <c r="AO136" s="945">
        <v>39</v>
      </c>
      <c r="AP136" s="946">
        <v>40</v>
      </c>
      <c r="AQ136" s="945">
        <v>41</v>
      </c>
      <c r="AR136" s="946">
        <v>42</v>
      </c>
      <c r="AS136" s="945">
        <v>43</v>
      </c>
      <c r="AT136" s="946">
        <v>44</v>
      </c>
      <c r="AU136" s="945">
        <v>45</v>
      </c>
      <c r="AV136" s="945">
        <v>46</v>
      </c>
      <c r="AW136" s="946">
        <v>47</v>
      </c>
      <c r="AX136" s="945">
        <v>48</v>
      </c>
      <c r="AY136" s="946">
        <v>49</v>
      </c>
      <c r="AZ136" s="945">
        <v>50</v>
      </c>
      <c r="BA136" s="945">
        <v>51</v>
      </c>
      <c r="BB136" s="946">
        <v>52</v>
      </c>
      <c r="BC136" s="945">
        <v>53</v>
      </c>
      <c r="BD136" s="946">
        <v>54</v>
      </c>
      <c r="BE136" s="945">
        <v>55</v>
      </c>
      <c r="BF136" s="945">
        <v>56</v>
      </c>
      <c r="BG136" s="946">
        <v>57</v>
      </c>
      <c r="BH136" s="945">
        <v>58</v>
      </c>
      <c r="BI136" s="946">
        <v>59</v>
      </c>
      <c r="BJ136" s="945">
        <v>60</v>
      </c>
      <c r="BK136" s="945">
        <v>61</v>
      </c>
      <c r="BL136" s="946">
        <v>62</v>
      </c>
      <c r="BM136" s="945">
        <v>63</v>
      </c>
      <c r="BN136" s="946">
        <v>64</v>
      </c>
      <c r="BO136" s="945">
        <v>65</v>
      </c>
      <c r="BP136" s="945">
        <v>66</v>
      </c>
      <c r="BQ136" s="946">
        <v>67</v>
      </c>
      <c r="BR136" s="945">
        <v>68</v>
      </c>
      <c r="BS136" s="946">
        <v>69</v>
      </c>
      <c r="BT136" s="945">
        <v>70</v>
      </c>
      <c r="BU136" s="945">
        <v>71</v>
      </c>
      <c r="BV136" s="946">
        <v>72</v>
      </c>
      <c r="BW136" s="945">
        <v>73</v>
      </c>
      <c r="BX136" s="946">
        <v>74</v>
      </c>
      <c r="BY136" s="945">
        <v>75</v>
      </c>
      <c r="BZ136" s="945">
        <v>76</v>
      </c>
      <c r="CA136" s="946">
        <v>77</v>
      </c>
      <c r="CB136" s="945">
        <v>78</v>
      </c>
      <c r="CC136" s="946">
        <v>79</v>
      </c>
      <c r="CD136" s="945">
        <v>80</v>
      </c>
      <c r="CE136" s="945">
        <v>81</v>
      </c>
      <c r="CF136" s="946">
        <v>82</v>
      </c>
      <c r="CG136" s="945">
        <v>83</v>
      </c>
      <c r="CH136" s="946">
        <v>84</v>
      </c>
      <c r="CI136" s="945">
        <v>85</v>
      </c>
      <c r="CJ136" s="945">
        <v>86</v>
      </c>
      <c r="CK136" s="946">
        <v>87</v>
      </c>
      <c r="CL136" s="945">
        <v>88</v>
      </c>
      <c r="CM136" s="946">
        <v>89</v>
      </c>
      <c r="CN136" s="945">
        <v>90</v>
      </c>
      <c r="CO136" s="945">
        <v>91</v>
      </c>
      <c r="CP136" s="946">
        <v>92</v>
      </c>
      <c r="CQ136" s="945">
        <v>93</v>
      </c>
      <c r="CR136" s="946">
        <v>94</v>
      </c>
      <c r="CS136" s="945">
        <v>95</v>
      </c>
      <c r="CT136" s="945">
        <v>96</v>
      </c>
      <c r="CU136" s="946">
        <v>97</v>
      </c>
      <c r="CV136" s="945">
        <v>98</v>
      </c>
      <c r="CW136" s="946">
        <v>99</v>
      </c>
      <c r="CX136" s="945">
        <v>100</v>
      </c>
      <c r="CY136" s="945">
        <v>101</v>
      </c>
      <c r="CZ136" s="946">
        <v>102</v>
      </c>
      <c r="DA136" s="945">
        <v>103</v>
      </c>
      <c r="DB136" s="946">
        <v>104</v>
      </c>
      <c r="DC136" s="945">
        <v>105</v>
      </c>
      <c r="DD136" s="945">
        <v>106</v>
      </c>
      <c r="DE136" s="946">
        <v>107</v>
      </c>
      <c r="DF136" s="945">
        <v>108</v>
      </c>
      <c r="DG136" s="946">
        <v>109</v>
      </c>
      <c r="DH136" s="945">
        <v>110</v>
      </c>
      <c r="DI136" s="945">
        <v>111</v>
      </c>
      <c r="DJ136" s="946">
        <v>112</v>
      </c>
      <c r="DK136" s="945">
        <v>113</v>
      </c>
      <c r="DL136" s="946">
        <v>114</v>
      </c>
      <c r="DM136" s="945">
        <v>115</v>
      </c>
      <c r="DN136" s="945">
        <v>116</v>
      </c>
      <c r="DO136" s="946">
        <v>117</v>
      </c>
      <c r="DP136" s="945">
        <v>118</v>
      </c>
      <c r="DQ136" s="946">
        <v>119</v>
      </c>
      <c r="DR136" s="945">
        <v>120</v>
      </c>
    </row>
    <row r="137" spans="2:147" ht="46.9" customHeight="1">
      <c r="B137" s="1116" t="s">
        <v>1000</v>
      </c>
      <c r="C137" s="1083" t="s">
        <v>974</v>
      </c>
      <c r="D137" s="1084" t="s">
        <v>975</v>
      </c>
      <c r="E137" s="1085" t="s">
        <v>976</v>
      </c>
      <c r="F137" s="1085" t="s">
        <v>977</v>
      </c>
      <c r="G137" s="1083" t="s">
        <v>978</v>
      </c>
      <c r="H137" s="1084" t="s">
        <v>979</v>
      </c>
      <c r="I137" s="1085" t="s">
        <v>980</v>
      </c>
      <c r="J137" s="1085" t="s">
        <v>981</v>
      </c>
      <c r="K137" s="1083" t="s">
        <v>982</v>
      </c>
      <c r="L137" s="1084" t="s">
        <v>983</v>
      </c>
      <c r="M137" s="1085" t="s">
        <v>984</v>
      </c>
      <c r="N137" s="1085" t="s">
        <v>985</v>
      </c>
      <c r="O137" s="1083" t="s">
        <v>986</v>
      </c>
      <c r="P137" s="1084" t="s">
        <v>987</v>
      </c>
      <c r="Q137" s="1085" t="s">
        <v>988</v>
      </c>
      <c r="R137" s="1085" t="s">
        <v>1001</v>
      </c>
      <c r="S137" s="1083" t="s">
        <v>1002</v>
      </c>
      <c r="T137" s="1084" t="s">
        <v>1003</v>
      </c>
      <c r="U137" s="1085" t="s">
        <v>1004</v>
      </c>
      <c r="V137" s="1085" t="s">
        <v>1005</v>
      </c>
      <c r="W137" s="1083" t="s">
        <v>1006</v>
      </c>
      <c r="X137" s="1084" t="s">
        <v>1007</v>
      </c>
      <c r="Y137" s="1085" t="s">
        <v>1008</v>
      </c>
      <c r="Z137" s="1085" t="s">
        <v>1009</v>
      </c>
      <c r="AA137" s="1083" t="s">
        <v>1010</v>
      </c>
      <c r="AB137" s="1084" t="s">
        <v>1011</v>
      </c>
      <c r="AC137" s="1085" t="s">
        <v>1012</v>
      </c>
      <c r="AD137" s="1085" t="s">
        <v>1013</v>
      </c>
      <c r="AE137" s="1083" t="s">
        <v>1014</v>
      </c>
      <c r="AF137" s="1084" t="s">
        <v>1015</v>
      </c>
      <c r="AG137" s="1085" t="s">
        <v>1016</v>
      </c>
      <c r="AH137" s="1085" t="s">
        <v>1017</v>
      </c>
      <c r="AI137" s="1083" t="s">
        <v>1018</v>
      </c>
      <c r="AJ137" s="1084" t="s">
        <v>1019</v>
      </c>
      <c r="AK137" s="1085" t="s">
        <v>1020</v>
      </c>
      <c r="AL137" s="1085" t="s">
        <v>1021</v>
      </c>
      <c r="AM137" s="1083" t="s">
        <v>1022</v>
      </c>
      <c r="AN137" s="1084" t="s">
        <v>1023</v>
      </c>
      <c r="AO137" s="1085" t="s">
        <v>1024</v>
      </c>
      <c r="AP137" s="1085" t="s">
        <v>1025</v>
      </c>
      <c r="AQ137" s="1083" t="s">
        <v>1026</v>
      </c>
      <c r="AR137" s="1084" t="s">
        <v>1027</v>
      </c>
      <c r="AS137" s="1085" t="s">
        <v>1028</v>
      </c>
      <c r="AT137" s="1085" t="s">
        <v>1029</v>
      </c>
      <c r="AU137" s="1083" t="s">
        <v>1030</v>
      </c>
      <c r="AV137" s="1084" t="s">
        <v>1031</v>
      </c>
      <c r="AW137" s="1085" t="s">
        <v>1032</v>
      </c>
      <c r="AX137" s="1085" t="s">
        <v>1033</v>
      </c>
      <c r="AY137" s="1083" t="s">
        <v>1034</v>
      </c>
      <c r="AZ137" s="1084" t="s">
        <v>1035</v>
      </c>
      <c r="BA137" s="1085" t="s">
        <v>1036</v>
      </c>
      <c r="BB137" s="1085" t="s">
        <v>1037</v>
      </c>
      <c r="BC137" s="1083" t="s">
        <v>1038</v>
      </c>
      <c r="BD137" s="1084" t="s">
        <v>1039</v>
      </c>
      <c r="BE137" s="1085" t="s">
        <v>1040</v>
      </c>
      <c r="BF137" s="1085" t="s">
        <v>1041</v>
      </c>
      <c r="BG137" s="1083" t="s">
        <v>1042</v>
      </c>
      <c r="BH137" s="1084" t="s">
        <v>1043</v>
      </c>
      <c r="BI137" s="1085" t="s">
        <v>1044</v>
      </c>
      <c r="BJ137" s="1085" t="s">
        <v>1045</v>
      </c>
      <c r="BK137" s="1083" t="s">
        <v>1046</v>
      </c>
      <c r="BL137" s="1084" t="s">
        <v>1047</v>
      </c>
      <c r="BM137" s="1085" t="s">
        <v>1048</v>
      </c>
      <c r="BN137" s="1085" t="s">
        <v>1049</v>
      </c>
      <c r="BO137" s="1083" t="s">
        <v>1050</v>
      </c>
      <c r="BP137" s="1084" t="s">
        <v>1051</v>
      </c>
      <c r="BQ137" s="1085" t="s">
        <v>1052</v>
      </c>
      <c r="BR137" s="1085" t="s">
        <v>1053</v>
      </c>
      <c r="BS137" s="1083" t="s">
        <v>1054</v>
      </c>
      <c r="BT137" s="1084" t="s">
        <v>1055</v>
      </c>
      <c r="BU137" s="1085" t="s">
        <v>1056</v>
      </c>
      <c r="BV137" s="1085" t="s">
        <v>1057</v>
      </c>
      <c r="BW137" s="1083" t="s">
        <v>1058</v>
      </c>
      <c r="BX137" s="1084" t="s">
        <v>1059</v>
      </c>
      <c r="BY137" s="1085" t="s">
        <v>1060</v>
      </c>
      <c r="BZ137" s="1085" t="s">
        <v>1061</v>
      </c>
      <c r="CA137" s="1083" t="s">
        <v>1062</v>
      </c>
      <c r="CB137" s="1084" t="s">
        <v>1063</v>
      </c>
      <c r="CC137" s="1085" t="s">
        <v>1064</v>
      </c>
      <c r="CD137" s="1085" t="s">
        <v>1065</v>
      </c>
      <c r="CE137" s="1083" t="s">
        <v>1066</v>
      </c>
      <c r="CF137" s="1084" t="s">
        <v>1067</v>
      </c>
      <c r="CG137" s="1085" t="s">
        <v>1068</v>
      </c>
      <c r="CH137" s="1085" t="s">
        <v>1069</v>
      </c>
      <c r="CI137" s="1083" t="s">
        <v>1070</v>
      </c>
      <c r="CJ137" s="1084" t="s">
        <v>1071</v>
      </c>
      <c r="CK137" s="1085" t="s">
        <v>1072</v>
      </c>
      <c r="CL137" s="1085" t="s">
        <v>1073</v>
      </c>
      <c r="CM137" s="1083" t="s">
        <v>1074</v>
      </c>
      <c r="CN137" s="1084" t="s">
        <v>1075</v>
      </c>
      <c r="CO137" s="1085" t="s">
        <v>1076</v>
      </c>
      <c r="CP137" s="1085" t="s">
        <v>1077</v>
      </c>
      <c r="CQ137" s="1083" t="s">
        <v>1078</v>
      </c>
      <c r="CR137" s="1084" t="s">
        <v>1079</v>
      </c>
      <c r="CS137" s="1085" t="s">
        <v>1080</v>
      </c>
      <c r="CT137" s="1085" t="s">
        <v>1081</v>
      </c>
      <c r="CU137" s="1083" t="s">
        <v>1082</v>
      </c>
      <c r="CV137" s="1084" t="s">
        <v>1083</v>
      </c>
      <c r="CW137" s="1085" t="s">
        <v>1084</v>
      </c>
      <c r="CX137" s="1085" t="s">
        <v>1085</v>
      </c>
      <c r="CY137" s="1083" t="s">
        <v>1086</v>
      </c>
      <c r="CZ137" s="1084" t="s">
        <v>1087</v>
      </c>
      <c r="DA137" s="1085" t="s">
        <v>1088</v>
      </c>
      <c r="DB137" s="1085" t="s">
        <v>1089</v>
      </c>
      <c r="DC137" s="1083" t="s">
        <v>1090</v>
      </c>
      <c r="DD137" s="1084" t="s">
        <v>1091</v>
      </c>
      <c r="DE137" s="1085" t="s">
        <v>1092</v>
      </c>
      <c r="DF137" s="1085" t="s">
        <v>1093</v>
      </c>
      <c r="DG137" s="1083" t="s">
        <v>1094</v>
      </c>
      <c r="DH137" s="1084" t="s">
        <v>1095</v>
      </c>
      <c r="DI137" s="1085" t="s">
        <v>1096</v>
      </c>
      <c r="DJ137" s="1085" t="s">
        <v>1097</v>
      </c>
      <c r="DK137" s="1083" t="s">
        <v>1098</v>
      </c>
      <c r="DL137" s="1084" t="s">
        <v>1099</v>
      </c>
      <c r="DM137" s="1085" t="s">
        <v>1100</v>
      </c>
      <c r="DN137" s="1085" t="s">
        <v>1101</v>
      </c>
      <c r="DO137" s="1083" t="s">
        <v>1102</v>
      </c>
      <c r="DP137" s="1084" t="s">
        <v>1103</v>
      </c>
      <c r="DQ137" s="1085" t="s">
        <v>1104</v>
      </c>
      <c r="DR137" s="1085" t="s">
        <v>1105</v>
      </c>
      <c r="DS137" s="1085" t="s">
        <v>944</v>
      </c>
    </row>
    <row r="138" spans="2:147" s="889" customFormat="1" ht="46.9" customHeight="1">
      <c r="B138" s="926" t="s">
        <v>1106</v>
      </c>
      <c r="C138" s="935">
        <v>68247</v>
      </c>
      <c r="D138" s="935">
        <v>33312</v>
      </c>
      <c r="E138" s="936">
        <v>70410</v>
      </c>
      <c r="F138" s="936">
        <v>86010</v>
      </c>
      <c r="G138" s="936">
        <v>98692</v>
      </c>
      <c r="H138" s="936">
        <v>118235</v>
      </c>
      <c r="I138" s="936">
        <v>122744</v>
      </c>
      <c r="J138" s="936">
        <v>148691</v>
      </c>
      <c r="K138" s="936">
        <v>178697</v>
      </c>
      <c r="L138" s="936">
        <v>196788</v>
      </c>
      <c r="M138" s="936">
        <v>205682</v>
      </c>
      <c r="N138" s="936">
        <v>226789</v>
      </c>
      <c r="O138" s="937">
        <v>258885</v>
      </c>
      <c r="P138" s="938">
        <f>616.32*P136^2+8817.2*P136+38927</f>
        <v>283166.52</v>
      </c>
      <c r="Q138" s="938">
        <f t="shared" ref="Q138:Z138" si="150">616.32*Q136^2+8817.2*Q136+38927</f>
        <v>309857</v>
      </c>
      <c r="R138" s="938">
        <f t="shared" si="150"/>
        <v>337780.12</v>
      </c>
      <c r="S138" s="938">
        <f>616.32*S136^2+8817.2*S136+38927</f>
        <v>366935.88</v>
      </c>
      <c r="T138" s="938">
        <f t="shared" si="150"/>
        <v>397324.28</v>
      </c>
      <c r="U138" s="938">
        <f t="shared" si="150"/>
        <v>428945.32000000007</v>
      </c>
      <c r="V138" s="938">
        <f t="shared" si="150"/>
        <v>461799</v>
      </c>
      <c r="W138" s="938">
        <f t="shared" si="150"/>
        <v>495885.32</v>
      </c>
      <c r="X138" s="938">
        <f t="shared" si="150"/>
        <v>531204.28</v>
      </c>
      <c r="Y138" s="938">
        <f t="shared" si="150"/>
        <v>567755.88</v>
      </c>
      <c r="Z138" s="938">
        <f t="shared" si="150"/>
        <v>605540.12</v>
      </c>
      <c r="AA138" s="938">
        <f t="shared" ref="AA138:BF138" si="151">616.32*AA136^2+8817.2*AA136+38927+(Z138*$L$133)</f>
        <v>646361.47640000004</v>
      </c>
      <c r="AB138" s="938">
        <f t="shared" si="151"/>
        <v>665415.67570799997</v>
      </c>
      <c r="AC138" s="938">
        <f t="shared" si="151"/>
        <v>706326.20972876006</v>
      </c>
      <c r="AD138" s="938">
        <f t="shared" si="151"/>
        <v>747813.69370813726</v>
      </c>
      <c r="AE138" s="938">
        <f t="shared" si="151"/>
        <v>790516.50918875588</v>
      </c>
      <c r="AF138" s="938">
        <f t="shared" si="151"/>
        <v>834415.50472433737</v>
      </c>
      <c r="AG138" s="938">
        <f t="shared" si="151"/>
        <v>879511.25485826982</v>
      </c>
      <c r="AH138" s="938">
        <f t="shared" si="151"/>
        <v>925803.74235425203</v>
      </c>
      <c r="AI138" s="938">
        <f t="shared" si="151"/>
        <v>973292.96772937255</v>
      </c>
      <c r="AJ138" s="938">
        <f t="shared" si="151"/>
        <v>1021978.9309681191</v>
      </c>
      <c r="AK138" s="938">
        <f t="shared" si="151"/>
        <v>1071861.6320709565</v>
      </c>
      <c r="AL138" s="938">
        <f t="shared" si="151"/>
        <v>1122941.0710378715</v>
      </c>
      <c r="AM138" s="938">
        <f t="shared" si="151"/>
        <v>1175217.2478688639</v>
      </c>
      <c r="AN138" s="938">
        <f t="shared" si="151"/>
        <v>1228690.1625639342</v>
      </c>
      <c r="AO138" s="938">
        <f t="shared" si="151"/>
        <v>1283359.8151230819</v>
      </c>
      <c r="AP138" s="938">
        <f t="shared" si="151"/>
        <v>1339226.2055463076</v>
      </c>
      <c r="AQ138" s="938">
        <f t="shared" si="151"/>
        <v>1396289.3338336109</v>
      </c>
      <c r="AR138" s="938">
        <f t="shared" si="151"/>
        <v>1454549.1999849915</v>
      </c>
      <c r="AS138" s="938">
        <f t="shared" si="151"/>
        <v>1514005.8040004505</v>
      </c>
      <c r="AT138" s="938">
        <f t="shared" si="151"/>
        <v>1574659.1458799865</v>
      </c>
      <c r="AU138" s="938">
        <f t="shared" si="151"/>
        <v>1636509.2256236004</v>
      </c>
      <c r="AV138" s="938">
        <f t="shared" si="151"/>
        <v>1699556.0432312922</v>
      </c>
      <c r="AW138" s="938">
        <f t="shared" si="151"/>
        <v>1763799.5987030615</v>
      </c>
      <c r="AX138" s="938">
        <f t="shared" si="151"/>
        <v>1829239.8920389083</v>
      </c>
      <c r="AY138" s="938">
        <f t="shared" si="151"/>
        <v>1895876.923238833</v>
      </c>
      <c r="AZ138" s="938">
        <f t="shared" si="151"/>
        <v>1963710.6923028352</v>
      </c>
      <c r="BA138" s="938">
        <f t="shared" si="151"/>
        <v>2032741.1992309149</v>
      </c>
      <c r="BB138" s="938">
        <f t="shared" si="151"/>
        <v>2102968.4440230727</v>
      </c>
      <c r="BC138" s="938">
        <f t="shared" si="151"/>
        <v>2174392.4266793076</v>
      </c>
      <c r="BD138" s="938">
        <f t="shared" si="151"/>
        <v>2247013.1471996205</v>
      </c>
      <c r="BE138" s="938">
        <f t="shared" si="151"/>
        <v>2320830.6055840119</v>
      </c>
      <c r="BF138" s="938">
        <f t="shared" si="151"/>
        <v>2395844.8018324799</v>
      </c>
      <c r="BG138" s="938">
        <f t="shared" ref="BG138:CL138" si="152">616.32*BG136^2+8817.2*BG136+38927+(BF138*$L$133)</f>
        <v>2472055.7359450255</v>
      </c>
      <c r="BH138" s="938">
        <f t="shared" si="152"/>
        <v>2549463.4079216495</v>
      </c>
      <c r="BI138" s="938">
        <f t="shared" si="152"/>
        <v>2628067.8177623511</v>
      </c>
      <c r="BJ138" s="938">
        <f t="shared" si="152"/>
        <v>2707868.9654671294</v>
      </c>
      <c r="BK138" s="938">
        <f t="shared" si="152"/>
        <v>2788866.8510359866</v>
      </c>
      <c r="BL138" s="938">
        <f t="shared" si="152"/>
        <v>2871061.4744689204</v>
      </c>
      <c r="BM138" s="938">
        <f t="shared" si="152"/>
        <v>2954452.8357659327</v>
      </c>
      <c r="BN138" s="938">
        <f t="shared" si="152"/>
        <v>3039040.9349270226</v>
      </c>
      <c r="BO138" s="938">
        <f t="shared" si="152"/>
        <v>3124825.7719521895</v>
      </c>
      <c r="BP138" s="938">
        <f t="shared" si="152"/>
        <v>3211807.3468414349</v>
      </c>
      <c r="BQ138" s="938">
        <f t="shared" si="152"/>
        <v>3299985.6595947575</v>
      </c>
      <c r="BR138" s="938">
        <f t="shared" si="152"/>
        <v>3389360.7102121576</v>
      </c>
      <c r="BS138" s="938">
        <f t="shared" si="152"/>
        <v>3479932.4986936357</v>
      </c>
      <c r="BT138" s="938">
        <f t="shared" si="152"/>
        <v>3571701.0250391914</v>
      </c>
      <c r="BU138" s="938">
        <f t="shared" si="152"/>
        <v>3664666.2892488246</v>
      </c>
      <c r="BV138" s="938">
        <f t="shared" si="152"/>
        <v>3758828.2913225354</v>
      </c>
      <c r="BW138" s="938">
        <f t="shared" si="152"/>
        <v>3854187.0312603242</v>
      </c>
      <c r="BX138" s="938">
        <f t="shared" si="152"/>
        <v>3950742.5090621905</v>
      </c>
      <c r="BY138" s="938">
        <f t="shared" si="152"/>
        <v>4048494.7247281349</v>
      </c>
      <c r="BZ138" s="938">
        <f t="shared" si="152"/>
        <v>4147443.6782581564</v>
      </c>
      <c r="CA138" s="938">
        <f t="shared" si="152"/>
        <v>4247589.3696522564</v>
      </c>
      <c r="CB138" s="938">
        <f t="shared" si="152"/>
        <v>4348931.7989104325</v>
      </c>
      <c r="CC138" s="938">
        <f t="shared" si="152"/>
        <v>4451470.9660326866</v>
      </c>
      <c r="CD138" s="938">
        <f t="shared" si="152"/>
        <v>4555206.8710190197</v>
      </c>
      <c r="CE138" s="938">
        <f t="shared" si="152"/>
        <v>4660139.5138694299</v>
      </c>
      <c r="CF138" s="938">
        <f t="shared" si="152"/>
        <v>4766268.8945839172</v>
      </c>
      <c r="CG138" s="938">
        <f t="shared" si="152"/>
        <v>4873595.0131624825</v>
      </c>
      <c r="CH138" s="938">
        <f t="shared" si="152"/>
        <v>4982117.8696051249</v>
      </c>
      <c r="CI138" s="938">
        <f t="shared" si="152"/>
        <v>5091837.4639118463</v>
      </c>
      <c r="CJ138" s="938">
        <f t="shared" si="152"/>
        <v>5202753.7960826457</v>
      </c>
      <c r="CK138" s="938">
        <f t="shared" si="152"/>
        <v>5314866.8661175212</v>
      </c>
      <c r="CL138" s="938">
        <f t="shared" si="152"/>
        <v>5428176.6740164738</v>
      </c>
      <c r="CM138" s="938">
        <f t="shared" ref="CM138:DR138" si="153">616.32*CM136^2+8817.2*CM136+38927+(CL138*$L$133)</f>
        <v>5542683.2197795063</v>
      </c>
      <c r="CN138" s="938">
        <f t="shared" si="153"/>
        <v>5658386.503406615</v>
      </c>
      <c r="CO138" s="938">
        <f t="shared" si="153"/>
        <v>5775286.5248978026</v>
      </c>
      <c r="CP138" s="938">
        <f t="shared" si="153"/>
        <v>5893383.2842530664</v>
      </c>
      <c r="CQ138" s="938">
        <f t="shared" si="153"/>
        <v>6012676.7814724091</v>
      </c>
      <c r="CR138" s="938">
        <f t="shared" si="153"/>
        <v>6133167.016555828</v>
      </c>
      <c r="CS138" s="938">
        <f t="shared" si="153"/>
        <v>6254853.989503325</v>
      </c>
      <c r="CT138" s="938">
        <f t="shared" si="153"/>
        <v>6377737.7003149008</v>
      </c>
      <c r="CU138" s="938">
        <f t="shared" si="153"/>
        <v>6501818.1489905538</v>
      </c>
      <c r="CV138" s="938">
        <f t="shared" si="153"/>
        <v>6627095.3355302839</v>
      </c>
      <c r="CW138" s="938">
        <f t="shared" si="153"/>
        <v>6753569.2599340919</v>
      </c>
      <c r="CX138" s="938">
        <f t="shared" si="153"/>
        <v>6881239.922201978</v>
      </c>
      <c r="CY138" s="938">
        <f t="shared" si="153"/>
        <v>7010107.3223339412</v>
      </c>
      <c r="CZ138" s="938">
        <f t="shared" si="153"/>
        <v>7140171.4603299825</v>
      </c>
      <c r="DA138" s="938">
        <f t="shared" si="153"/>
        <v>7271432.3361901008</v>
      </c>
      <c r="DB138" s="938">
        <f t="shared" si="153"/>
        <v>7403889.9499142971</v>
      </c>
      <c r="DC138" s="938">
        <f t="shared" si="153"/>
        <v>7537544.3015025724</v>
      </c>
      <c r="DD138" s="938">
        <f t="shared" si="153"/>
        <v>7672395.3909549238</v>
      </c>
      <c r="DE138" s="938">
        <f t="shared" si="153"/>
        <v>7808443.2182713533</v>
      </c>
      <c r="DF138" s="938">
        <f t="shared" si="153"/>
        <v>7945687.7834518598</v>
      </c>
      <c r="DG138" s="938">
        <f t="shared" si="153"/>
        <v>8084129.0864964444</v>
      </c>
      <c r="DH138" s="938">
        <f t="shared" si="153"/>
        <v>8223767.1274051089</v>
      </c>
      <c r="DI138" s="938">
        <f t="shared" si="153"/>
        <v>8364601.9061778467</v>
      </c>
      <c r="DJ138" s="938">
        <f t="shared" si="153"/>
        <v>8506633.4228146654</v>
      </c>
      <c r="DK138" s="938">
        <f t="shared" si="153"/>
        <v>8649861.6773155611</v>
      </c>
      <c r="DL138" s="938">
        <f t="shared" si="153"/>
        <v>8794286.6696805339</v>
      </c>
      <c r="DM138" s="938">
        <f t="shared" si="153"/>
        <v>8939908.3999095857</v>
      </c>
      <c r="DN138" s="938">
        <f t="shared" si="153"/>
        <v>9086726.8680027127</v>
      </c>
      <c r="DO138" s="938">
        <f t="shared" si="153"/>
        <v>9234742.0739599187</v>
      </c>
      <c r="DP138" s="938">
        <f t="shared" si="153"/>
        <v>9383954.0177812036</v>
      </c>
      <c r="DQ138" s="938">
        <f t="shared" si="153"/>
        <v>9534362.6994665656</v>
      </c>
      <c r="DR138" s="938">
        <f t="shared" si="153"/>
        <v>9685968.1190160029</v>
      </c>
      <c r="DS138" s="965">
        <f>(DR138/S138)^(1/COUNT(S138:DR138))-1</f>
        <v>3.1974051861502595E-2</v>
      </c>
    </row>
    <row r="139" spans="2:147" s="889" customFormat="1" ht="46.9" customHeight="1">
      <c r="B139" s="943" t="s">
        <v>204</v>
      </c>
      <c r="C139" s="942" t="s">
        <v>78</v>
      </c>
      <c r="D139" s="942">
        <f t="shared" ref="D139" si="154">(D138/C138-1)</f>
        <v>-0.51189063255527723</v>
      </c>
      <c r="E139" s="942">
        <f t="shared" ref="E139" si="155">(E138/D138-1)</f>
        <v>1.1136527377521612</v>
      </c>
      <c r="F139" s="942">
        <f t="shared" ref="F139" si="156">(F138/E138-1)</f>
        <v>0.22155943757988927</v>
      </c>
      <c r="G139" s="942">
        <f t="shared" ref="G139" si="157">(G138/F138-1)</f>
        <v>0.14744797116614339</v>
      </c>
      <c r="H139" s="942">
        <f t="shared" ref="H139" si="158">(H138/G138-1)</f>
        <v>0.19802010294654071</v>
      </c>
      <c r="I139" s="942">
        <f t="shared" ref="I139" si="159">(I138/H138-1)</f>
        <v>3.8135915760984407E-2</v>
      </c>
      <c r="J139" s="942">
        <f t="shared" ref="J139" si="160">(J138/I138-1)</f>
        <v>0.21139118816398361</v>
      </c>
      <c r="K139" s="942">
        <f t="shared" ref="K139" si="161">(K138/J138-1)</f>
        <v>0.20180105050070285</v>
      </c>
      <c r="L139" s="942">
        <f t="shared" ref="L139" si="162">(L138/K138-1)</f>
        <v>0.10123840915068527</v>
      </c>
      <c r="M139" s="942">
        <f t="shared" ref="M139" si="163">(M138/L138-1)</f>
        <v>4.519584527511844E-2</v>
      </c>
      <c r="N139" s="942">
        <f t="shared" ref="N139" si="164">(N138/M138-1)</f>
        <v>0.10261957779484843</v>
      </c>
      <c r="O139" s="942">
        <f t="shared" ref="O139" si="165">(O138/N138-1)</f>
        <v>0.14152361887040388</v>
      </c>
      <c r="P139" s="942">
        <f t="shared" ref="P139" si="166">(P138/O138-1)</f>
        <v>9.3792687872993774E-2</v>
      </c>
      <c r="Q139" s="942">
        <f t="shared" ref="Q139:T139" si="167">(Q138/P138-1)</f>
        <v>9.4257188314494256E-2</v>
      </c>
      <c r="R139" s="942">
        <f t="shared" si="167"/>
        <v>9.0116150353227509E-2</v>
      </c>
      <c r="S139" s="942">
        <f t="shared" si="167"/>
        <v>8.6315796204939454E-2</v>
      </c>
      <c r="T139" s="942">
        <f t="shared" si="167"/>
        <v>8.2816649055960534E-2</v>
      </c>
      <c r="U139" s="942">
        <f>(U138/T138-1)</f>
        <v>7.9584967724600331E-2</v>
      </c>
      <c r="V139" s="942">
        <f t="shared" ref="V139:CG139" si="168">(V138/U138-1)</f>
        <v>7.6591766987922583E-2</v>
      </c>
      <c r="W139" s="942">
        <f t="shared" si="168"/>
        <v>7.3812026444405543E-2</v>
      </c>
      <c r="X139" s="942">
        <f t="shared" si="168"/>
        <v>7.1224048334401324E-2</v>
      </c>
      <c r="Y139" s="942">
        <f t="shared" si="168"/>
        <v>6.880893354247819E-2</v>
      </c>
      <c r="Z139" s="942">
        <f t="shared" si="168"/>
        <v>6.6550151801157975E-2</v>
      </c>
      <c r="AA139" s="942">
        <f t="shared" si="168"/>
        <v>6.7413132593097336E-2</v>
      </c>
      <c r="AB139" s="942">
        <f t="shared" si="168"/>
        <v>2.9479169170361086E-2</v>
      </c>
      <c r="AC139" s="942">
        <f t="shared" si="168"/>
        <v>6.1481169612109587E-2</v>
      </c>
      <c r="AD139" s="942">
        <f t="shared" si="168"/>
        <v>5.8737001980018633E-2</v>
      </c>
      <c r="AE139" s="942">
        <f t="shared" si="168"/>
        <v>5.7103548437139162E-2</v>
      </c>
      <c r="AF139" s="942">
        <f t="shared" si="168"/>
        <v>5.5532041425208956E-2</v>
      </c>
      <c r="AG139" s="942">
        <f t="shared" si="168"/>
        <v>5.404471738433303E-2</v>
      </c>
      <c r="AH139" s="942">
        <f t="shared" si="168"/>
        <v>5.2634332125109706E-2</v>
      </c>
      <c r="AI139" s="942">
        <f t="shared" si="168"/>
        <v>5.1295132221391704E-2</v>
      </c>
      <c r="AJ139" s="942">
        <f t="shared" si="168"/>
        <v>5.0021899729048247E-2</v>
      </c>
      <c r="AK139" s="942">
        <f t="shared" si="168"/>
        <v>4.8809911428979946E-2</v>
      </c>
      <c r="AL139" s="942">
        <f t="shared" si="168"/>
        <v>4.765488141246732E-2</v>
      </c>
      <c r="AM139" s="942">
        <f t="shared" si="168"/>
        <v>4.6552911973088973E-2</v>
      </c>
      <c r="AN139" s="942">
        <f t="shared" si="168"/>
        <v>4.5500450909853551E-2</v>
      </c>
      <c r="AO139" s="942">
        <f t="shared" si="168"/>
        <v>4.4494254308236059E-2</v>
      </c>
      <c r="AP139" s="942">
        <f t="shared" si="168"/>
        <v>4.3531354001346667E-2</v>
      </c>
      <c r="AQ139" s="942">
        <f t="shared" si="168"/>
        <v>4.2609029043025437E-2</v>
      </c>
      <c r="AR139" s="942">
        <f t="shared" si="168"/>
        <v>4.1724780630833846E-2</v>
      </c>
      <c r="AS139" s="942">
        <f t="shared" si="168"/>
        <v>4.0876310004551719E-2</v>
      </c>
      <c r="AT139" s="942">
        <f t="shared" si="168"/>
        <v>4.0061498918479543E-2</v>
      </c>
      <c r="AU139" s="942">
        <f t="shared" si="168"/>
        <v>3.9278392346331792E-2</v>
      </c>
      <c r="AV139" s="942">
        <f t="shared" si="168"/>
        <v>3.8525183127927409E-2</v>
      </c>
      <c r="AW139" s="942">
        <f t="shared" si="168"/>
        <v>3.7800198309215993E-2</v>
      </c>
      <c r="AX139" s="942">
        <f t="shared" si="168"/>
        <v>3.7101886962649155E-2</v>
      </c>
      <c r="AY139" s="942">
        <f t="shared" si="168"/>
        <v>3.6428809304858145E-2</v>
      </c>
      <c r="AZ139" s="942">
        <f t="shared" si="168"/>
        <v>3.5779626953904797E-2</v>
      </c>
      <c r="BA139" s="942">
        <f t="shared" si="168"/>
        <v>3.5153094189820822E-2</v>
      </c>
      <c r="BB139" s="942">
        <f t="shared" si="168"/>
        <v>3.4548050100390526E-2</v>
      </c>
      <c r="BC139" s="942">
        <f t="shared" si="168"/>
        <v>3.3963411509683628E-2</v>
      </c>
      <c r="BD139" s="942">
        <f t="shared" si="168"/>
        <v>3.3398166600137502E-2</v>
      </c>
      <c r="BE139" s="942">
        <f t="shared" si="168"/>
        <v>3.2851369150370902E-2</v>
      </c>
      <c r="BF139" s="942">
        <f t="shared" si="168"/>
        <v>3.2322133320708879E-2</v>
      </c>
      <c r="BG139" s="942">
        <f t="shared" si="168"/>
        <v>3.1809628926821487E-2</v>
      </c>
      <c r="BH139" s="942">
        <f t="shared" si="168"/>
        <v>3.1313077149141444E-2</v>
      </c>
      <c r="BI139" s="942">
        <f t="shared" si="168"/>
        <v>3.0831746632041579E-2</v>
      </c>
      <c r="BJ139" s="942">
        <f t="shared" si="168"/>
        <v>3.0364949932199403E-2</v>
      </c>
      <c r="BK139" s="942">
        <f t="shared" si="168"/>
        <v>2.9912040280311025E-2</v>
      </c>
      <c r="BL139" s="942">
        <f t="shared" si="168"/>
        <v>2.9472408624456436E-2</v>
      </c>
      <c r="BM139" s="942">
        <f t="shared" si="168"/>
        <v>2.9045480927028189E-2</v>
      </c>
      <c r="BN139" s="942">
        <f t="shared" si="168"/>
        <v>2.8630715690257658E-2</v>
      </c>
      <c r="BO139" s="942">
        <f t="shared" si="168"/>
        <v>2.8227601688171067E-2</v>
      </c>
      <c r="BP139" s="942">
        <f t="shared" si="168"/>
        <v>2.7835655885193544E-2</v>
      </c>
      <c r="BQ139" s="942">
        <f t="shared" si="168"/>
        <v>2.7454421523768868E-2</v>
      </c>
      <c r="BR139" s="942">
        <f t="shared" si="168"/>
        <v>2.7083466365237285E-2</v>
      </c>
      <c r="BS139" s="942">
        <f t="shared" si="168"/>
        <v>2.6722381069853363E-2</v>
      </c>
      <c r="BT139" s="942">
        <f t="shared" si="168"/>
        <v>2.6370777703304649E-2</v>
      </c>
      <c r="BU139" s="942">
        <f t="shared" si="168"/>
        <v>2.6028288358377782E-2</v>
      </c>
      <c r="BV139" s="942">
        <f t="shared" si="168"/>
        <v>2.5694563881561994E-2</v>
      </c>
      <c r="BW139" s="942">
        <f t="shared" si="168"/>
        <v>2.5369272695411338E-2</v>
      </c>
      <c r="BX139" s="942">
        <f t="shared" si="168"/>
        <v>2.505209970837674E-2</v>
      </c>
      <c r="BY139" s="942">
        <f t="shared" si="168"/>
        <v>2.4742745304641156E-2</v>
      </c>
      <c r="BZ139" s="942">
        <f t="shared" si="168"/>
        <v>2.4440924407198361E-2</v>
      </c>
      <c r="CA139" s="942">
        <f t="shared" si="168"/>
        <v>2.4146365608070042E-2</v>
      </c>
      <c r="CB139" s="942">
        <f t="shared" si="168"/>
        <v>2.3858810360115612E-2</v>
      </c>
      <c r="CC139" s="942">
        <f t="shared" si="168"/>
        <v>2.3578012225426104E-2</v>
      </c>
      <c r="CD139" s="942">
        <f t="shared" si="168"/>
        <v>2.3303736175726675E-2</v>
      </c>
      <c r="CE139" s="942">
        <f t="shared" si="168"/>
        <v>2.3035757940656598E-2</v>
      </c>
      <c r="CF139" s="942">
        <f t="shared" si="168"/>
        <v>2.2773863400146421E-2</v>
      </c>
      <c r="CG139" s="942">
        <f t="shared" si="168"/>
        <v>2.2517848017455266E-2</v>
      </c>
      <c r="CH139" s="942">
        <f t="shared" ref="CH139:DR139" si="169">(CH138/CG138-1)</f>
        <v>2.2267516309735669E-2</v>
      </c>
      <c r="CI139" s="942">
        <f t="shared" si="169"/>
        <v>2.2022681353265128E-2</v>
      </c>
      <c r="CJ139" s="942">
        <f t="shared" si="169"/>
        <v>2.1783164320721804E-2</v>
      </c>
      <c r="CK139" s="942">
        <f t="shared" si="169"/>
        <v>2.1548794048123154E-2</v>
      </c>
      <c r="CL139" s="942">
        <f t="shared" si="169"/>
        <v>2.1319406629224602E-2</v>
      </c>
      <c r="CM139" s="942">
        <f t="shared" si="169"/>
        <v>2.1094845035378285E-2</v>
      </c>
      <c r="CN139" s="942">
        <f t="shared" si="169"/>
        <v>2.0874958759001805E-2</v>
      </c>
      <c r="CO139" s="942">
        <f t="shared" si="169"/>
        <v>2.0659603478978994E-2</v>
      </c>
      <c r="CP139" s="942">
        <f t="shared" si="169"/>
        <v>2.0448640746417945E-2</v>
      </c>
      <c r="CQ139" s="942">
        <f t="shared" si="169"/>
        <v>2.0241937689355893E-2</v>
      </c>
      <c r="CR139" s="942">
        <f t="shared" si="169"/>
        <v>2.003936673507889E-2</v>
      </c>
      <c r="CS139" s="942">
        <f t="shared" si="169"/>
        <v>1.9840805348854129E-2</v>
      </c>
      <c r="CT139" s="942">
        <f t="shared" si="169"/>
        <v>1.9646135787948937E-2</v>
      </c>
      <c r="CU139" s="942">
        <f t="shared" si="169"/>
        <v>1.9455244869905242E-2</v>
      </c>
      <c r="CV139" s="942">
        <f t="shared" si="169"/>
        <v>1.9268023754121844E-2</v>
      </c>
      <c r="CW139" s="942">
        <f t="shared" si="169"/>
        <v>1.908436773585187E-2</v>
      </c>
      <c r="CX139" s="942">
        <f t="shared" si="169"/>
        <v>1.8904176051810051E-2</v>
      </c>
      <c r="CY139" s="942">
        <f t="shared" si="169"/>
        <v>1.8727351696629313E-2</v>
      </c>
      <c r="CZ139" s="942">
        <f t="shared" si="169"/>
        <v>1.855380124947037E-2</v>
      </c>
      <c r="DA139" s="942">
        <f t="shared" si="169"/>
        <v>1.8383434710131263E-2</v>
      </c>
      <c r="DB139" s="942">
        <f t="shared" si="169"/>
        <v>1.8216165344061785E-2</v>
      </c>
      <c r="DC139" s="942">
        <f t="shared" si="169"/>
        <v>1.8051909535719446E-2</v>
      </c>
      <c r="DD139" s="942">
        <f t="shared" si="169"/>
        <v>1.7890586649748741E-2</v>
      </c>
      <c r="DE139" s="942">
        <f t="shared" si="169"/>
        <v>1.7732118899505434E-2</v>
      </c>
      <c r="DF139" s="942">
        <f t="shared" si="169"/>
        <v>1.7576431222469768E-2</v>
      </c>
      <c r="DG139" s="942">
        <f t="shared" si="169"/>
        <v>1.7423451162139836E-2</v>
      </c>
      <c r="DH139" s="942">
        <f t="shared" si="169"/>
        <v>1.7273108756008515E-2</v>
      </c>
      <c r="DI139" s="942">
        <f t="shared" si="169"/>
        <v>1.7125336429264504E-2</v>
      </c>
      <c r="DJ139" s="942">
        <f t="shared" si="169"/>
        <v>1.6980068893884592E-2</v>
      </c>
      <c r="DK139" s="942">
        <f t="shared" si="169"/>
        <v>1.6837243052787443E-2</v>
      </c>
      <c r="DL139" s="942">
        <f t="shared" si="169"/>
        <v>1.6696797908772432E-2</v>
      </c>
      <c r="DM139" s="942">
        <f t="shared" si="169"/>
        <v>1.6558674477954227E-2</v>
      </c>
      <c r="DN139" s="942">
        <f t="shared" si="169"/>
        <v>1.6422815707441973E-2</v>
      </c>
      <c r="DO139" s="942">
        <f t="shared" si="169"/>
        <v>1.6289166397024157E-2</v>
      </c>
      <c r="DP139" s="942">
        <f t="shared" si="169"/>
        <v>1.6157673124627125E-2</v>
      </c>
      <c r="DQ139" s="942">
        <f t="shared" si="169"/>
        <v>1.6028284175344298E-2</v>
      </c>
      <c r="DR139" s="942">
        <f t="shared" si="169"/>
        <v>1.5900949473835135E-2</v>
      </c>
      <c r="DS139" s="1033"/>
      <c r="DT139" s="707"/>
      <c r="DU139" s="707"/>
      <c r="DV139" s="707"/>
      <c r="DW139" s="707"/>
      <c r="DX139" s="707"/>
      <c r="DY139" s="707"/>
      <c r="DZ139" s="707"/>
      <c r="EA139" s="707"/>
      <c r="EB139" s="707"/>
      <c r="EC139" s="707"/>
      <c r="ED139" s="707"/>
      <c r="EE139" s="707"/>
      <c r="EF139" s="707"/>
      <c r="EG139" s="707"/>
      <c r="EH139" s="707"/>
      <c r="EI139" s="707"/>
      <c r="EJ139" s="707"/>
      <c r="EK139" s="707"/>
      <c r="EL139" s="707"/>
      <c r="EM139" s="707"/>
      <c r="EN139" s="707"/>
      <c r="EO139" s="707"/>
      <c r="EP139" s="707"/>
      <c r="EQ139" s="707"/>
    </row>
    <row r="140" spans="2:147" s="889" customFormat="1" ht="46.9" customHeight="1">
      <c r="B140" s="927" t="str">
        <f>F131</f>
        <v>Ore Processed</v>
      </c>
      <c r="C140" s="939">
        <f t="shared" ref="C140:T140" si="170">Q81</f>
        <v>202596</v>
      </c>
      <c r="D140" s="939">
        <f t="shared" si="170"/>
        <v>102251</v>
      </c>
      <c r="E140" s="939">
        <f t="shared" si="170"/>
        <v>137407</v>
      </c>
      <c r="F140" s="939">
        <f t="shared" si="170"/>
        <v>199961</v>
      </c>
      <c r="G140" s="939">
        <f t="shared" si="170"/>
        <v>360227</v>
      </c>
      <c r="H140" s="939">
        <f t="shared" si="170"/>
        <v>381973</v>
      </c>
      <c r="I140" s="939">
        <f t="shared" si="170"/>
        <v>415277</v>
      </c>
      <c r="J140" s="939">
        <f t="shared" si="170"/>
        <v>422111</v>
      </c>
      <c r="K140" s="939">
        <f t="shared" si="170"/>
        <v>443691</v>
      </c>
      <c r="L140" s="939">
        <f t="shared" si="170"/>
        <v>566027</v>
      </c>
      <c r="M140" s="939">
        <f t="shared" si="170"/>
        <v>613202</v>
      </c>
      <c r="N140" s="939">
        <f t="shared" si="170"/>
        <v>792428</v>
      </c>
      <c r="O140" s="940">
        <f t="shared" si="170"/>
        <v>801968</v>
      </c>
      <c r="P140" s="940">
        <f t="shared" si="170"/>
        <v>902924</v>
      </c>
      <c r="Q140" s="940">
        <f t="shared" si="170"/>
        <v>846949</v>
      </c>
      <c r="R140" s="940">
        <f t="shared" si="170"/>
        <v>893500</v>
      </c>
      <c r="S140" s="940">
        <f t="shared" si="170"/>
        <v>852148</v>
      </c>
      <c r="T140" s="940">
        <f t="shared" si="170"/>
        <v>982028</v>
      </c>
      <c r="U140" s="941">
        <f>2650.9*U135^2+19237*U135+116729+($L$134*T140)</f>
        <v>1029499.2999999999</v>
      </c>
      <c r="V140" s="941">
        <f>2650.9*V135^2+19237*V135+116729+($L$134*U140)</f>
        <v>1078634.5774999999</v>
      </c>
      <c r="W140" s="941">
        <f>2650.9*W135^2+19237*W135+116729+($L$134*V140)*3</f>
        <v>967175.32006250019</v>
      </c>
      <c r="X140" s="941">
        <f t="shared" ref="X140:AD140" si="171">2650.9*X135^2+19237*X135+116729+($L$134*W140)</f>
        <v>1192676.4759953124</v>
      </c>
      <c r="Y140" s="941">
        <f t="shared" si="171"/>
        <v>1232435.8643003516</v>
      </c>
      <c r="Z140" s="941">
        <f t="shared" si="171"/>
        <v>1287451.3351774735</v>
      </c>
      <c r="AA140" s="941">
        <f t="shared" si="171"/>
        <v>1403296.3748616895</v>
      </c>
      <c r="AB140" s="941">
        <f t="shared" si="171"/>
        <v>1456581.7718853734</v>
      </c>
      <c r="AC140" s="941">
        <f t="shared" si="171"/>
        <v>1515884.592108597</v>
      </c>
      <c r="AD140" s="941">
        <f t="shared" si="171"/>
        <v>1576061.5555918554</v>
      </c>
      <c r="AE140" s="941">
        <f>2650.9*AE135^2+19237*AE135+116729+($L$134*AD140*2)</f>
        <v>1519293.7916612218</v>
      </c>
      <c r="AF140" s="941">
        <f t="shared" ref="AF140:AL140" si="172">2650.9*AF135^2+19237*AF135+116729+($L$134*AE140)</f>
        <v>1709031.5656254084</v>
      </c>
      <c r="AG140" s="941">
        <f t="shared" si="172"/>
        <v>1763402.2575780945</v>
      </c>
      <c r="AH140" s="941">
        <f t="shared" si="172"/>
        <v>1829250.9306816431</v>
      </c>
      <c r="AI140" s="941">
        <f t="shared" si="172"/>
        <v>1895564.205198877</v>
      </c>
      <c r="AJ140" s="941">
        <f t="shared" si="172"/>
        <v>1963168.0846100845</v>
      </c>
      <c r="AK140" s="941">
        <f t="shared" si="172"/>
        <v>2032000.6186542436</v>
      </c>
      <c r="AL140" s="941">
        <f t="shared" si="172"/>
        <v>2102066.4536009319</v>
      </c>
      <c r="AM140" s="941">
        <f>2650.9*AM135^2+19237*AM135+116729+(AL140*$L$134)</f>
        <v>1817995.4649799301</v>
      </c>
      <c r="AN140" s="941">
        <f>2650.9*AN135^2+19237*AN135+116729+(AM140*$L$134)</f>
        <v>1896408.3651265055</v>
      </c>
      <c r="AO140" s="941">
        <f t="shared" ref="AO140:AP140" si="173">2650.9*AO135^2+19237*AO135+116729</f>
        <v>2068881.03125</v>
      </c>
      <c r="AP140" s="941">
        <f t="shared" si="173"/>
        <v>2142121.1312500001</v>
      </c>
      <c r="AQ140" s="941">
        <f t="shared" ref="AQ140:AX140" si="174">2650.9*AQ135^2+19237*AQ135+116729+($L$134*AP140*0)</f>
        <v>2216686.6812500004</v>
      </c>
      <c r="AR140" s="941">
        <f t="shared" si="174"/>
        <v>2292577.6812500004</v>
      </c>
      <c r="AS140" s="941">
        <f t="shared" si="174"/>
        <v>2369794.1312500001</v>
      </c>
      <c r="AT140" s="941">
        <f t="shared" si="174"/>
        <v>2448336.03125</v>
      </c>
      <c r="AU140" s="941">
        <f t="shared" si="174"/>
        <v>2528203.3812500001</v>
      </c>
      <c r="AV140" s="941">
        <f t="shared" si="174"/>
        <v>2617588.361</v>
      </c>
      <c r="AW140" s="941">
        <f t="shared" si="174"/>
        <v>2708577.1352500003</v>
      </c>
      <c r="AX140" s="941">
        <f t="shared" si="174"/>
        <v>2801169.7040000008</v>
      </c>
      <c r="AY140" s="941">
        <f t="shared" ref="AY140:CD140" si="175">2650.9*AY135^2+19237*AY135+116729+($L$134*AX140)</f>
        <v>2685278.3394500003</v>
      </c>
      <c r="AZ140" s="941">
        <f t="shared" si="175"/>
        <v>2789770.3495412506</v>
      </c>
      <c r="BA140" s="941">
        <f t="shared" si="175"/>
        <v>2879337.4010344073</v>
      </c>
      <c r="BB140" s="941">
        <f t="shared" si="175"/>
        <v>2971627.6189224203</v>
      </c>
      <c r="BC140" s="941">
        <f t="shared" si="175"/>
        <v>3065317.39383082</v>
      </c>
      <c r="BD140" s="941">
        <f t="shared" si="175"/>
        <v>3160505.9964626902</v>
      </c>
      <c r="BE140" s="941">
        <f t="shared" si="175"/>
        <v>3257185.9815152995</v>
      </c>
      <c r="BF140" s="941">
        <f t="shared" si="175"/>
        <v>3355357.9073863537</v>
      </c>
      <c r="BG140" s="941">
        <f t="shared" si="175"/>
        <v>3455021.7321960242</v>
      </c>
      <c r="BH140" s="941">
        <f t="shared" si="175"/>
        <v>3556177.4590852973</v>
      </c>
      <c r="BI140" s="941">
        <f t="shared" si="175"/>
        <v>3658825.0878186021</v>
      </c>
      <c r="BJ140" s="941">
        <f t="shared" si="175"/>
        <v>3762964.6184136039</v>
      </c>
      <c r="BK140" s="941">
        <f t="shared" si="175"/>
        <v>3868596.0508689783</v>
      </c>
      <c r="BL140" s="941">
        <f t="shared" si="175"/>
        <v>3975719.3851848245</v>
      </c>
      <c r="BM140" s="941">
        <f t="shared" si="175"/>
        <v>4084334.621361135</v>
      </c>
      <c r="BN140" s="941">
        <f t="shared" si="175"/>
        <v>4194441.7593979109</v>
      </c>
      <c r="BO140" s="941">
        <f t="shared" si="175"/>
        <v>4306040.7992951516</v>
      </c>
      <c r="BP140" s="941">
        <f t="shared" si="175"/>
        <v>4419131.7410528576</v>
      </c>
      <c r="BQ140" s="941">
        <f t="shared" si="175"/>
        <v>4533714.5846710298</v>
      </c>
      <c r="BR140" s="941">
        <f t="shared" si="175"/>
        <v>4649789.3301496655</v>
      </c>
      <c r="BS140" s="941">
        <f t="shared" si="175"/>
        <v>4767355.9774887674</v>
      </c>
      <c r="BT140" s="941">
        <f t="shared" si="175"/>
        <v>4886414.5266883336</v>
      </c>
      <c r="BU140" s="941">
        <f t="shared" si="175"/>
        <v>5006964.9777483661</v>
      </c>
      <c r="BV140" s="941">
        <f t="shared" si="175"/>
        <v>5129007.3306688629</v>
      </c>
      <c r="BW140" s="941">
        <f t="shared" si="175"/>
        <v>5252541.5854498241</v>
      </c>
      <c r="BX140" s="941">
        <f t="shared" si="175"/>
        <v>5377567.7420912525</v>
      </c>
      <c r="BY140" s="941">
        <f t="shared" si="175"/>
        <v>5504085.8005931433</v>
      </c>
      <c r="BZ140" s="941">
        <f t="shared" si="175"/>
        <v>5632095.7609555013</v>
      </c>
      <c r="CA140" s="941">
        <f t="shared" si="175"/>
        <v>5761597.6231783237</v>
      </c>
      <c r="CB140" s="941">
        <f t="shared" si="175"/>
        <v>5892591.3872616105</v>
      </c>
      <c r="CC140" s="941">
        <f t="shared" si="175"/>
        <v>6025077.0532053635</v>
      </c>
      <c r="CD140" s="941">
        <f t="shared" si="175"/>
        <v>6159054.6210095817</v>
      </c>
      <c r="CE140" s="941">
        <f t="shared" ref="CE140:DJ140" si="176">2650.9*CE135^2+19237*CE135+116729+($L$134*CD140)</f>
        <v>6294524.0906742644</v>
      </c>
      <c r="CF140" s="941">
        <f t="shared" si="176"/>
        <v>6431485.4621994123</v>
      </c>
      <c r="CG140" s="941">
        <f t="shared" si="176"/>
        <v>6569938.7355850255</v>
      </c>
      <c r="CH140" s="941">
        <f t="shared" si="176"/>
        <v>6709883.9108311031</v>
      </c>
      <c r="CI140" s="941">
        <f t="shared" si="176"/>
        <v>6851320.9879376451</v>
      </c>
      <c r="CJ140" s="941">
        <f t="shared" si="176"/>
        <v>6994249.9669046542</v>
      </c>
      <c r="CK140" s="941">
        <f t="shared" si="176"/>
        <v>7138670.8477321276</v>
      </c>
      <c r="CL140" s="941">
        <f t="shared" si="176"/>
        <v>7284583.6304200655</v>
      </c>
      <c r="CM140" s="941">
        <f t="shared" si="176"/>
        <v>7431988.3149684696</v>
      </c>
      <c r="CN140" s="941">
        <f t="shared" si="176"/>
        <v>7580884.901377338</v>
      </c>
      <c r="CO140" s="941">
        <f t="shared" si="176"/>
        <v>7731273.3896466708</v>
      </c>
      <c r="CP140" s="941">
        <f t="shared" si="176"/>
        <v>7883153.7797764717</v>
      </c>
      <c r="CQ140" s="941">
        <f t="shared" si="176"/>
        <v>8036526.0717667341</v>
      </c>
      <c r="CR140" s="941">
        <f t="shared" si="176"/>
        <v>8191390.2656174637</v>
      </c>
      <c r="CS140" s="941">
        <f t="shared" si="176"/>
        <v>8347746.3613286577</v>
      </c>
      <c r="CT140" s="941">
        <f t="shared" si="176"/>
        <v>8505594.3589003179</v>
      </c>
      <c r="CU140" s="941">
        <f t="shared" si="176"/>
        <v>8664934.2583324425</v>
      </c>
      <c r="CV140" s="941">
        <f t="shared" si="176"/>
        <v>8825766.0596250296</v>
      </c>
      <c r="CW140" s="941">
        <f t="shared" si="176"/>
        <v>8988089.7627780866</v>
      </c>
      <c r="CX140" s="941">
        <f t="shared" si="176"/>
        <v>9151905.3677916061</v>
      </c>
      <c r="CY140" s="941">
        <f t="shared" si="176"/>
        <v>9317212.87466559</v>
      </c>
      <c r="CZ140" s="941">
        <f t="shared" si="176"/>
        <v>9484012.2834000401</v>
      </c>
      <c r="DA140" s="941">
        <f t="shared" si="176"/>
        <v>9652303.5939949527</v>
      </c>
      <c r="DB140" s="941">
        <f t="shared" si="176"/>
        <v>9822086.8064503334</v>
      </c>
      <c r="DC140" s="941">
        <f t="shared" si="176"/>
        <v>9993361.9207661804</v>
      </c>
      <c r="DD140" s="941">
        <f t="shared" si="176"/>
        <v>10166128.93694249</v>
      </c>
      <c r="DE140" s="941">
        <f t="shared" si="176"/>
        <v>10340387.854979265</v>
      </c>
      <c r="DF140" s="941">
        <f t="shared" si="176"/>
        <v>10516138.674876506</v>
      </c>
      <c r="DG140" s="941">
        <f t="shared" si="176"/>
        <v>10693381.39663421</v>
      </c>
      <c r="DH140" s="941">
        <f t="shared" si="176"/>
        <v>10872116.020252382</v>
      </c>
      <c r="DI140" s="941">
        <f t="shared" si="176"/>
        <v>11052342.545731017</v>
      </c>
      <c r="DJ140" s="941">
        <f t="shared" si="176"/>
        <v>11234060.97307012</v>
      </c>
      <c r="DK140" s="941">
        <f t="shared" ref="DK140:DR140" si="177">2650.9*DK135^2+19237*DK135+116729+($L$134*DJ140)</f>
        <v>11417271.302269688</v>
      </c>
      <c r="DL140" s="941">
        <f t="shared" si="177"/>
        <v>11601973.533329718</v>
      </c>
      <c r="DM140" s="941">
        <f t="shared" si="177"/>
        <v>11788167.666250216</v>
      </c>
      <c r="DN140" s="941">
        <f t="shared" si="177"/>
        <v>11975853.701031175</v>
      </c>
      <c r="DO140" s="941">
        <f t="shared" si="177"/>
        <v>12165031.637672601</v>
      </c>
      <c r="DP140" s="941">
        <f t="shared" si="177"/>
        <v>12355701.476174492</v>
      </c>
      <c r="DQ140" s="941">
        <f t="shared" si="177"/>
        <v>12547863.216536852</v>
      </c>
      <c r="DR140" s="941">
        <f t="shared" si="177"/>
        <v>12741516.858759671</v>
      </c>
      <c r="DS140" s="965">
        <f>(DR140/S140)^(1/COUNT(S140:DR140))-1</f>
        <v>2.6349443099114023E-2</v>
      </c>
    </row>
    <row r="141" spans="2:147" s="889" customFormat="1" ht="46.9" customHeight="1">
      <c r="B141" s="943" t="s">
        <v>204</v>
      </c>
      <c r="C141" s="942" t="s">
        <v>78</v>
      </c>
      <c r="D141" s="942">
        <f t="shared" ref="D141:AI141" si="178">D140/C140-1</f>
        <v>-0.49529605717783176</v>
      </c>
      <c r="E141" s="942">
        <f t="shared" si="178"/>
        <v>0.34382059833155676</v>
      </c>
      <c r="F141" s="942">
        <f t="shared" si="178"/>
        <v>0.45524609372157165</v>
      </c>
      <c r="G141" s="942">
        <f t="shared" si="178"/>
        <v>0.80148628982651626</v>
      </c>
      <c r="H141" s="942">
        <f t="shared" si="178"/>
        <v>6.0367490499046328E-2</v>
      </c>
      <c r="I141" s="942">
        <f t="shared" si="178"/>
        <v>8.7189408675482305E-2</v>
      </c>
      <c r="J141" s="942">
        <f t="shared" si="178"/>
        <v>1.6456485671009879E-2</v>
      </c>
      <c r="K141" s="942">
        <f t="shared" si="178"/>
        <v>5.1123993451959393E-2</v>
      </c>
      <c r="L141" s="942">
        <f t="shared" si="178"/>
        <v>0.27572342012797191</v>
      </c>
      <c r="M141" s="942">
        <f t="shared" si="178"/>
        <v>8.3344080759398365E-2</v>
      </c>
      <c r="N141" s="942">
        <f t="shared" si="178"/>
        <v>0.29227889015365238</v>
      </c>
      <c r="O141" s="942">
        <f t="shared" si="178"/>
        <v>1.2038948648962489E-2</v>
      </c>
      <c r="P141" s="942">
        <f t="shared" si="178"/>
        <v>0.12588532210761527</v>
      </c>
      <c r="Q141" s="942">
        <f t="shared" si="178"/>
        <v>-6.1993035958729625E-2</v>
      </c>
      <c r="R141" s="942">
        <f t="shared" si="178"/>
        <v>5.496316779404653E-2</v>
      </c>
      <c r="S141" s="942">
        <f t="shared" si="178"/>
        <v>-4.6280917739227712E-2</v>
      </c>
      <c r="T141" s="942">
        <f t="shared" si="178"/>
        <v>0.15241483873693307</v>
      </c>
      <c r="U141" s="942">
        <f t="shared" si="178"/>
        <v>4.8340067696644118E-2</v>
      </c>
      <c r="V141" s="942">
        <f t="shared" si="178"/>
        <v>4.7727353967117692E-2</v>
      </c>
      <c r="W141" s="942">
        <f t="shared" si="178"/>
        <v>-0.10333365883359114</v>
      </c>
      <c r="X141" s="942">
        <f t="shared" si="178"/>
        <v>0.23315437362301594</v>
      </c>
      <c r="Y141" s="942">
        <f t="shared" si="178"/>
        <v>3.3336272748952345E-2</v>
      </c>
      <c r="Z141" s="942">
        <f t="shared" si="178"/>
        <v>4.4639621801621177E-2</v>
      </c>
      <c r="AA141" s="942">
        <f t="shared" si="178"/>
        <v>8.9980130913644985E-2</v>
      </c>
      <c r="AB141" s="942">
        <f t="shared" si="178"/>
        <v>3.7971591730888488E-2</v>
      </c>
      <c r="AC141" s="942">
        <f t="shared" si="178"/>
        <v>4.0713691031889709E-2</v>
      </c>
      <c r="AD141" s="942">
        <f t="shared" si="178"/>
        <v>3.9697588983045318E-2</v>
      </c>
      <c r="AE141" s="942">
        <f t="shared" si="178"/>
        <v>-3.6018747953861285E-2</v>
      </c>
      <c r="AF141" s="942">
        <f t="shared" si="178"/>
        <v>0.12488550601969095</v>
      </c>
      <c r="AG141" s="942">
        <f t="shared" si="178"/>
        <v>3.1813743552939755E-2</v>
      </c>
      <c r="AH141" s="942">
        <f t="shared" si="178"/>
        <v>3.7341833277443337E-2</v>
      </c>
      <c r="AI141" s="942">
        <f t="shared" si="178"/>
        <v>3.625160080827361E-2</v>
      </c>
      <c r="AJ141" s="942">
        <f t="shared" ref="AJ141:BO141" si="179">AJ140/AI140-1</f>
        <v>3.5664251955060955E-2</v>
      </c>
      <c r="AK141" s="942">
        <f t="shared" si="179"/>
        <v>3.5061966717857551E-2</v>
      </c>
      <c r="AL141" s="942">
        <f t="shared" si="179"/>
        <v>3.4481207487570442E-2</v>
      </c>
      <c r="AM141" s="942">
        <f t="shared" si="179"/>
        <v>-0.13513891919752385</v>
      </c>
      <c r="AN141" s="942">
        <f t="shared" si="179"/>
        <v>4.3131515813457311E-2</v>
      </c>
      <c r="AO141" s="942">
        <f t="shared" si="179"/>
        <v>9.0947007667301349E-2</v>
      </c>
      <c r="AP141" s="942">
        <f t="shared" si="179"/>
        <v>3.5400827255760214E-2</v>
      </c>
      <c r="AQ141" s="942">
        <f t="shared" si="179"/>
        <v>3.4809212659458133E-2</v>
      </c>
      <c r="AR141" s="942">
        <f t="shared" si="179"/>
        <v>3.4236232229809094E-2</v>
      </c>
      <c r="AS141" s="942">
        <f t="shared" si="179"/>
        <v>3.3681061554214464E-2</v>
      </c>
      <c r="AT141" s="942">
        <f t="shared" si="179"/>
        <v>3.3142921135757675E-2</v>
      </c>
      <c r="AU141" s="942">
        <f t="shared" si="179"/>
        <v>3.2621073651897259E-2</v>
      </c>
      <c r="AV141" s="942">
        <f t="shared" si="179"/>
        <v>3.5355138124135488E-2</v>
      </c>
      <c r="AW141" s="942">
        <f t="shared" si="179"/>
        <v>3.4760535921408042E-2</v>
      </c>
      <c r="AX141" s="942">
        <f t="shared" si="179"/>
        <v>3.4184948083988864E-2</v>
      </c>
      <c r="AY141" s="942">
        <f t="shared" si="179"/>
        <v>-4.1372489636922194E-2</v>
      </c>
      <c r="AZ141" s="942">
        <f t="shared" si="179"/>
        <v>3.8912915862812314E-2</v>
      </c>
      <c r="BA141" s="942">
        <f t="shared" si="179"/>
        <v>3.210552850985926E-2</v>
      </c>
      <c r="BB141" s="942">
        <f t="shared" si="179"/>
        <v>3.2052588854247333E-2</v>
      </c>
      <c r="BC141" s="942">
        <f t="shared" si="179"/>
        <v>3.1528100732343356E-2</v>
      </c>
      <c r="BD141" s="942">
        <f t="shared" si="179"/>
        <v>3.1053424622012882E-2</v>
      </c>
      <c r="BE141" s="942">
        <f t="shared" si="179"/>
        <v>3.0590033735362621E-2</v>
      </c>
      <c r="BF141" s="942">
        <f t="shared" si="179"/>
        <v>3.0140104503760368E-2</v>
      </c>
      <c r="BG141" s="942">
        <f t="shared" si="179"/>
        <v>2.9702889396768795E-2</v>
      </c>
      <c r="BH141" s="942">
        <f t="shared" si="179"/>
        <v>2.9277884404211418E-2</v>
      </c>
      <c r="BI141" s="942">
        <f t="shared" si="179"/>
        <v>2.8864596863989789E-2</v>
      </c>
      <c r="BJ141" s="942">
        <f t="shared" si="179"/>
        <v>2.8462560547569016E-2</v>
      </c>
      <c r="BK141" s="942">
        <f t="shared" si="179"/>
        <v>2.8071332889626488E-2</v>
      </c>
      <c r="BL141" s="942">
        <f t="shared" si="179"/>
        <v>2.7690493633157676E-2</v>
      </c>
      <c r="BM141" s="942">
        <f t="shared" si="179"/>
        <v>2.7319643479128741E-2</v>
      </c>
      <c r="BN141" s="942">
        <f t="shared" si="179"/>
        <v>2.6958402835290274E-2</v>
      </c>
      <c r="BO141" s="942">
        <f t="shared" si="179"/>
        <v>2.6606410649807177E-2</v>
      </c>
      <c r="BP141" s="942">
        <f t="shared" ref="BP141:CU141" si="180">BP140/BO140-1</f>
        <v>2.6263323323879817E-2</v>
      </c>
      <c r="BQ141" s="942">
        <f t="shared" si="180"/>
        <v>2.592881369743294E-2</v>
      </c>
      <c r="BR141" s="942">
        <f t="shared" si="180"/>
        <v>2.5602570102471134E-2</v>
      </c>
      <c r="BS141" s="942">
        <f t="shared" si="180"/>
        <v>2.5284295479106822E-2</v>
      </c>
      <c r="BT141" s="942">
        <f t="shared" si="180"/>
        <v>2.4973706549658692E-2</v>
      </c>
      <c r="BU141" s="942">
        <f t="shared" si="180"/>
        <v>2.4670533046596166E-2</v>
      </c>
      <c r="BV141" s="942">
        <f t="shared" si="180"/>
        <v>2.4374516990406381E-2</v>
      </c>
      <c r="BW141" s="942">
        <f t="shared" si="180"/>
        <v>2.4085412013800322E-2</v>
      </c>
      <c r="BX141" s="942">
        <f t="shared" si="180"/>
        <v>2.3802982728926114E-2</v>
      </c>
      <c r="BY141" s="942">
        <f t="shared" si="180"/>
        <v>2.3527004134529017E-2</v>
      </c>
      <c r="BZ141" s="942">
        <f t="shared" si="180"/>
        <v>2.3257261060240619E-2</v>
      </c>
      <c r="CA141" s="942">
        <f t="shared" si="180"/>
        <v>2.2993547645371093E-2</v>
      </c>
      <c r="CB141" s="942">
        <f t="shared" si="180"/>
        <v>2.2735666849818204E-2</v>
      </c>
      <c r="CC141" s="942">
        <f t="shared" si="180"/>
        <v>2.2483429994849979E-2</v>
      </c>
      <c r="CD141" s="942">
        <f t="shared" si="180"/>
        <v>2.2236656331713123E-2</v>
      </c>
      <c r="CE141" s="942">
        <f t="shared" si="180"/>
        <v>2.1995172636166238E-2</v>
      </c>
      <c r="CF141" s="942">
        <f t="shared" si="180"/>
        <v>2.175881282717862E-2</v>
      </c>
      <c r="CG141" s="942">
        <f t="shared" si="180"/>
        <v>2.1527417608165678E-2</v>
      </c>
      <c r="CH141" s="942">
        <f t="shared" si="180"/>
        <v>2.1300834129257096E-2</v>
      </c>
      <c r="CI141" s="942">
        <f t="shared" si="180"/>
        <v>2.1078915669201725E-2</v>
      </c>
      <c r="CJ141" s="942">
        <f t="shared" si="180"/>
        <v>2.0861521335615141E-2</v>
      </c>
      <c r="CK141" s="942">
        <f t="shared" si="180"/>
        <v>2.0648515782370369E-2</v>
      </c>
      <c r="CL141" s="942">
        <f t="shared" si="180"/>
        <v>2.0439768943022907E-2</v>
      </c>
      <c r="CM141" s="942">
        <f t="shared" si="180"/>
        <v>2.0235155779233516E-2</v>
      </c>
      <c r="CN141" s="942">
        <f t="shared" si="180"/>
        <v>2.0034556043230234E-2</v>
      </c>
      <c r="CO141" s="942">
        <f t="shared" si="180"/>
        <v>1.9837854053424531E-2</v>
      </c>
      <c r="CP141" s="942">
        <f t="shared" si="180"/>
        <v>1.9644938482345164E-2</v>
      </c>
      <c r="CQ141" s="942">
        <f t="shared" si="180"/>
        <v>1.9455702156125021E-2</v>
      </c>
      <c r="CR141" s="942">
        <f t="shared" si="180"/>
        <v>1.9270041864828391E-2</v>
      </c>
      <c r="CS141" s="942">
        <f t="shared" si="180"/>
        <v>1.9087858182936568E-2</v>
      </c>
      <c r="CT141" s="942">
        <f t="shared" si="180"/>
        <v>1.8909055299391797E-2</v>
      </c>
      <c r="CU141" s="942">
        <f t="shared" si="180"/>
        <v>1.873354085659984E-2</v>
      </c>
      <c r="CV141" s="942">
        <f t="shared" ref="CV141:DR141" si="181">CV140/CU140-1</f>
        <v>1.8561225797867564E-2</v>
      </c>
      <c r="CW141" s="942">
        <f t="shared" si="181"/>
        <v>1.8392024222762204E-2</v>
      </c>
      <c r="CX141" s="942">
        <f t="shared" si="181"/>
        <v>1.8225853249921986E-2</v>
      </c>
      <c r="CY141" s="942">
        <f t="shared" si="181"/>
        <v>1.8062632886890695E-2</v>
      </c>
      <c r="CZ141" s="942">
        <f t="shared" si="181"/>
        <v>1.7902285906549853E-2</v>
      </c>
      <c r="DA141" s="942">
        <f t="shared" si="181"/>
        <v>1.7744737729776583E-2</v>
      </c>
      <c r="DB141" s="942">
        <f t="shared" si="181"/>
        <v>1.7589916313967668E-2</v>
      </c>
      <c r="DC141" s="942">
        <f t="shared" si="181"/>
        <v>1.7437752047087196E-2</v>
      </c>
      <c r="DD141" s="942">
        <f t="shared" si="181"/>
        <v>1.72881776469338E-2</v>
      </c>
      <c r="DE141" s="942">
        <f t="shared" si="181"/>
        <v>1.7141128065328859E-2</v>
      </c>
      <c r="DF141" s="942">
        <f t="shared" si="181"/>
        <v>1.6996540396945425E-2</v>
      </c>
      <c r="DG141" s="942">
        <f t="shared" si="181"/>
        <v>1.685435379253275E-2</v>
      </c>
      <c r="DH141" s="942">
        <f t="shared" si="181"/>
        <v>1.6714509376279274E-2</v>
      </c>
      <c r="DI141" s="942">
        <f t="shared" si="181"/>
        <v>1.6576950167098259E-2</v>
      </c>
      <c r="DJ141" s="942">
        <f t="shared" si="181"/>
        <v>1.6441621003620899E-2</v>
      </c>
      <c r="DK141" s="942">
        <f t="shared" si="181"/>
        <v>1.6308468472687965E-2</v>
      </c>
      <c r="DL141" s="942">
        <f t="shared" si="181"/>
        <v>1.6177440841167678E-2</v>
      </c>
      <c r="DM141" s="942">
        <f t="shared" si="181"/>
        <v>1.6048487990909965E-2</v>
      </c>
      <c r="DN141" s="942">
        <f t="shared" si="181"/>
        <v>1.5921561356673664E-2</v>
      </c>
      <c r="DO141" s="942">
        <f t="shared" si="181"/>
        <v>1.579661386687925E-2</v>
      </c>
      <c r="DP141" s="942">
        <f t="shared" si="181"/>
        <v>1.567359988702588E-2</v>
      </c>
      <c r="DQ141" s="942">
        <f t="shared" si="181"/>
        <v>1.5552475165647506E-2</v>
      </c>
      <c r="DR141" s="942">
        <f t="shared" si="181"/>
        <v>1.5433196782668412E-2</v>
      </c>
      <c r="DS141" s="964"/>
    </row>
    <row r="142" spans="2:147" s="889" customFormat="1" ht="46.9" customHeight="1">
      <c r="B142" s="976" t="s">
        <v>1107</v>
      </c>
      <c r="C142" s="960" t="s">
        <v>78</v>
      </c>
      <c r="D142" s="978" t="s">
        <v>78</v>
      </c>
      <c r="E142" s="917" t="str">
        <f t="shared" ref="E142:AJ142" si="182">IF((E140/D140-1)&gt;(E138/D138-1),"Surplus of Supply","Surplus of Demand")</f>
        <v>Surplus of Demand</v>
      </c>
      <c r="F142" s="917" t="str">
        <f t="shared" si="182"/>
        <v>Surplus of Supply</v>
      </c>
      <c r="G142" s="917" t="str">
        <f t="shared" si="182"/>
        <v>Surplus of Supply</v>
      </c>
      <c r="H142" s="917" t="str">
        <f t="shared" si="182"/>
        <v>Surplus of Demand</v>
      </c>
      <c r="I142" s="917" t="str">
        <f t="shared" si="182"/>
        <v>Surplus of Supply</v>
      </c>
      <c r="J142" s="917" t="str">
        <f t="shared" si="182"/>
        <v>Surplus of Demand</v>
      </c>
      <c r="K142" s="917" t="str">
        <f t="shared" si="182"/>
        <v>Surplus of Demand</v>
      </c>
      <c r="L142" s="917" t="str">
        <f t="shared" si="182"/>
        <v>Surplus of Supply</v>
      </c>
      <c r="M142" s="917" t="str">
        <f t="shared" si="182"/>
        <v>Surplus of Supply</v>
      </c>
      <c r="N142" s="917" t="str">
        <f t="shared" si="182"/>
        <v>Surplus of Supply</v>
      </c>
      <c r="O142" s="917" t="str">
        <f t="shared" si="182"/>
        <v>Surplus of Demand</v>
      </c>
      <c r="P142" s="917" t="str">
        <f t="shared" si="182"/>
        <v>Surplus of Supply</v>
      </c>
      <c r="Q142" s="917" t="str">
        <f t="shared" si="182"/>
        <v>Surplus of Demand</v>
      </c>
      <c r="R142" s="917" t="str">
        <f t="shared" si="182"/>
        <v>Surplus of Demand</v>
      </c>
      <c r="S142" s="917" t="str">
        <f t="shared" si="182"/>
        <v>Surplus of Demand</v>
      </c>
      <c r="T142" s="917" t="str">
        <f>IF((T140/S140-1)&gt;(T138/S138-1),"Surplus of Supply","Surplus of Demand")</f>
        <v>Surplus of Supply</v>
      </c>
      <c r="U142" s="917" t="str">
        <f t="shared" si="182"/>
        <v>Surplus of Demand</v>
      </c>
      <c r="V142" s="917" t="str">
        <f t="shared" si="182"/>
        <v>Surplus of Demand</v>
      </c>
      <c r="W142" s="917" t="str">
        <f t="shared" si="182"/>
        <v>Surplus of Demand</v>
      </c>
      <c r="X142" s="917" t="str">
        <f t="shared" si="182"/>
        <v>Surplus of Supply</v>
      </c>
      <c r="Y142" s="917" t="str">
        <f t="shared" si="182"/>
        <v>Surplus of Demand</v>
      </c>
      <c r="Z142" s="917" t="str">
        <f t="shared" si="182"/>
        <v>Surplus of Demand</v>
      </c>
      <c r="AA142" s="917" t="str">
        <f t="shared" si="182"/>
        <v>Surplus of Supply</v>
      </c>
      <c r="AB142" s="917" t="str">
        <f t="shared" si="182"/>
        <v>Surplus of Supply</v>
      </c>
      <c r="AC142" s="917" t="str">
        <f t="shared" si="182"/>
        <v>Surplus of Demand</v>
      </c>
      <c r="AD142" s="917" t="str">
        <f t="shared" si="182"/>
        <v>Surplus of Demand</v>
      </c>
      <c r="AE142" s="917" t="str">
        <f t="shared" si="182"/>
        <v>Surplus of Demand</v>
      </c>
      <c r="AF142" s="917" t="str">
        <f t="shared" si="182"/>
        <v>Surplus of Supply</v>
      </c>
      <c r="AG142" s="917" t="str">
        <f t="shared" si="182"/>
        <v>Surplus of Demand</v>
      </c>
      <c r="AH142" s="917" t="str">
        <f t="shared" si="182"/>
        <v>Surplus of Demand</v>
      </c>
      <c r="AI142" s="917" t="str">
        <f t="shared" si="182"/>
        <v>Surplus of Demand</v>
      </c>
      <c r="AJ142" s="917" t="str">
        <f t="shared" si="182"/>
        <v>Surplus of Demand</v>
      </c>
      <c r="AK142" s="917" t="str">
        <f t="shared" ref="AK142:BP142" si="183">IF((AK140/AJ140-1)&gt;(AK138/AJ138-1),"Surplus of Supply","Surplus of Demand")</f>
        <v>Surplus of Demand</v>
      </c>
      <c r="AL142" s="917" t="str">
        <f t="shared" si="183"/>
        <v>Surplus of Demand</v>
      </c>
      <c r="AM142" s="917" t="str">
        <f t="shared" si="183"/>
        <v>Surplus of Demand</v>
      </c>
      <c r="AN142" s="917" t="str">
        <f t="shared" si="183"/>
        <v>Surplus of Demand</v>
      </c>
      <c r="AO142" s="917" t="str">
        <f t="shared" si="183"/>
        <v>Surplus of Supply</v>
      </c>
      <c r="AP142" s="917" t="str">
        <f t="shared" si="183"/>
        <v>Surplus of Demand</v>
      </c>
      <c r="AQ142" s="917" t="str">
        <f t="shared" si="183"/>
        <v>Surplus of Demand</v>
      </c>
      <c r="AR142" s="917" t="str">
        <f t="shared" si="183"/>
        <v>Surplus of Demand</v>
      </c>
      <c r="AS142" s="917" t="str">
        <f t="shared" si="183"/>
        <v>Surplus of Demand</v>
      </c>
      <c r="AT142" s="917" t="str">
        <f t="shared" si="183"/>
        <v>Surplus of Demand</v>
      </c>
      <c r="AU142" s="917" t="str">
        <f t="shared" si="183"/>
        <v>Surplus of Demand</v>
      </c>
      <c r="AV142" s="917" t="str">
        <f t="shared" si="183"/>
        <v>Surplus of Demand</v>
      </c>
      <c r="AW142" s="917" t="str">
        <f t="shared" si="183"/>
        <v>Surplus of Demand</v>
      </c>
      <c r="AX142" s="917" t="str">
        <f t="shared" si="183"/>
        <v>Surplus of Demand</v>
      </c>
      <c r="AY142" s="917" t="str">
        <f t="shared" si="183"/>
        <v>Surplus of Demand</v>
      </c>
      <c r="AZ142" s="917" t="str">
        <f t="shared" si="183"/>
        <v>Surplus of Supply</v>
      </c>
      <c r="BA142" s="917" t="str">
        <f t="shared" si="183"/>
        <v>Surplus of Demand</v>
      </c>
      <c r="BB142" s="917" t="str">
        <f t="shared" si="183"/>
        <v>Surplus of Demand</v>
      </c>
      <c r="BC142" s="917" t="str">
        <f t="shared" si="183"/>
        <v>Surplus of Demand</v>
      </c>
      <c r="BD142" s="917" t="str">
        <f t="shared" si="183"/>
        <v>Surplus of Demand</v>
      </c>
      <c r="BE142" s="917" t="str">
        <f t="shared" si="183"/>
        <v>Surplus of Demand</v>
      </c>
      <c r="BF142" s="917" t="str">
        <f t="shared" si="183"/>
        <v>Surplus of Demand</v>
      </c>
      <c r="BG142" s="917" t="str">
        <f t="shared" si="183"/>
        <v>Surplus of Demand</v>
      </c>
      <c r="BH142" s="917" t="str">
        <f t="shared" si="183"/>
        <v>Surplus of Demand</v>
      </c>
      <c r="BI142" s="917" t="str">
        <f t="shared" si="183"/>
        <v>Surplus of Demand</v>
      </c>
      <c r="BJ142" s="917" t="str">
        <f t="shared" si="183"/>
        <v>Surplus of Demand</v>
      </c>
      <c r="BK142" s="917" t="str">
        <f t="shared" si="183"/>
        <v>Surplus of Demand</v>
      </c>
      <c r="BL142" s="917" t="str">
        <f t="shared" si="183"/>
        <v>Surplus of Demand</v>
      </c>
      <c r="BM142" s="917" t="str">
        <f t="shared" si="183"/>
        <v>Surplus of Demand</v>
      </c>
      <c r="BN142" s="917" t="str">
        <f t="shared" si="183"/>
        <v>Surplus of Demand</v>
      </c>
      <c r="BO142" s="917" t="str">
        <f t="shared" si="183"/>
        <v>Surplus of Demand</v>
      </c>
      <c r="BP142" s="917" t="str">
        <f t="shared" si="183"/>
        <v>Surplus of Demand</v>
      </c>
      <c r="BQ142" s="917" t="str">
        <f t="shared" ref="BQ142:CV142" si="184">IF((BQ140/BP140-1)&gt;(BQ138/BP138-1),"Surplus of Supply","Surplus of Demand")</f>
        <v>Surplus of Demand</v>
      </c>
      <c r="BR142" s="917" t="str">
        <f t="shared" si="184"/>
        <v>Surplus of Demand</v>
      </c>
      <c r="BS142" s="917" t="str">
        <f t="shared" si="184"/>
        <v>Surplus of Demand</v>
      </c>
      <c r="BT142" s="917" t="str">
        <f t="shared" si="184"/>
        <v>Surplus of Demand</v>
      </c>
      <c r="BU142" s="917" t="str">
        <f t="shared" si="184"/>
        <v>Surplus of Demand</v>
      </c>
      <c r="BV142" s="917" t="str">
        <f t="shared" si="184"/>
        <v>Surplus of Demand</v>
      </c>
      <c r="BW142" s="917" t="str">
        <f t="shared" si="184"/>
        <v>Surplus of Demand</v>
      </c>
      <c r="BX142" s="917" t="str">
        <f t="shared" si="184"/>
        <v>Surplus of Demand</v>
      </c>
      <c r="BY142" s="917" t="str">
        <f t="shared" si="184"/>
        <v>Surplus of Demand</v>
      </c>
      <c r="BZ142" s="917" t="str">
        <f t="shared" si="184"/>
        <v>Surplus of Demand</v>
      </c>
      <c r="CA142" s="917" t="str">
        <f t="shared" si="184"/>
        <v>Surplus of Demand</v>
      </c>
      <c r="CB142" s="917" t="str">
        <f t="shared" si="184"/>
        <v>Surplus of Demand</v>
      </c>
      <c r="CC142" s="917" t="str">
        <f t="shared" si="184"/>
        <v>Surplus of Demand</v>
      </c>
      <c r="CD142" s="917" t="str">
        <f t="shared" si="184"/>
        <v>Surplus of Demand</v>
      </c>
      <c r="CE142" s="917" t="str">
        <f t="shared" si="184"/>
        <v>Surplus of Demand</v>
      </c>
      <c r="CF142" s="917" t="str">
        <f t="shared" si="184"/>
        <v>Surplus of Demand</v>
      </c>
      <c r="CG142" s="917" t="str">
        <f t="shared" si="184"/>
        <v>Surplus of Demand</v>
      </c>
      <c r="CH142" s="917" t="str">
        <f t="shared" si="184"/>
        <v>Surplus of Demand</v>
      </c>
      <c r="CI142" s="917" t="str">
        <f t="shared" si="184"/>
        <v>Surplus of Demand</v>
      </c>
      <c r="CJ142" s="917" t="str">
        <f t="shared" si="184"/>
        <v>Surplus of Demand</v>
      </c>
      <c r="CK142" s="917" t="str">
        <f t="shared" si="184"/>
        <v>Surplus of Demand</v>
      </c>
      <c r="CL142" s="917" t="str">
        <f t="shared" si="184"/>
        <v>Surplus of Demand</v>
      </c>
      <c r="CM142" s="917" t="str">
        <f t="shared" si="184"/>
        <v>Surplus of Demand</v>
      </c>
      <c r="CN142" s="917" t="str">
        <f t="shared" si="184"/>
        <v>Surplus of Demand</v>
      </c>
      <c r="CO142" s="917" t="str">
        <f t="shared" si="184"/>
        <v>Surplus of Demand</v>
      </c>
      <c r="CP142" s="917" t="str">
        <f t="shared" si="184"/>
        <v>Surplus of Demand</v>
      </c>
      <c r="CQ142" s="917" t="str">
        <f t="shared" si="184"/>
        <v>Surplus of Demand</v>
      </c>
      <c r="CR142" s="917" t="str">
        <f t="shared" si="184"/>
        <v>Surplus of Demand</v>
      </c>
      <c r="CS142" s="917" t="str">
        <f t="shared" si="184"/>
        <v>Surplus of Demand</v>
      </c>
      <c r="CT142" s="917" t="str">
        <f t="shared" si="184"/>
        <v>Surplus of Demand</v>
      </c>
      <c r="CU142" s="917" t="str">
        <f t="shared" si="184"/>
        <v>Surplus of Demand</v>
      </c>
      <c r="CV142" s="917" t="str">
        <f t="shared" si="184"/>
        <v>Surplus of Demand</v>
      </c>
      <c r="CW142" s="917" t="str">
        <f t="shared" ref="CW142:DR142" si="185">IF((CW140/CV140-1)&gt;(CW138/CV138-1),"Surplus of Supply","Surplus of Demand")</f>
        <v>Surplus of Demand</v>
      </c>
      <c r="CX142" s="917" t="str">
        <f t="shared" si="185"/>
        <v>Surplus of Demand</v>
      </c>
      <c r="CY142" s="917" t="str">
        <f t="shared" si="185"/>
        <v>Surplus of Demand</v>
      </c>
      <c r="CZ142" s="917" t="str">
        <f t="shared" si="185"/>
        <v>Surplus of Demand</v>
      </c>
      <c r="DA142" s="917" t="str">
        <f t="shared" si="185"/>
        <v>Surplus of Demand</v>
      </c>
      <c r="DB142" s="917" t="str">
        <f t="shared" si="185"/>
        <v>Surplus of Demand</v>
      </c>
      <c r="DC142" s="917" t="str">
        <f t="shared" si="185"/>
        <v>Surplus of Demand</v>
      </c>
      <c r="DD142" s="917" t="str">
        <f t="shared" si="185"/>
        <v>Surplus of Demand</v>
      </c>
      <c r="DE142" s="917" t="str">
        <f t="shared" si="185"/>
        <v>Surplus of Demand</v>
      </c>
      <c r="DF142" s="917" t="str">
        <f t="shared" si="185"/>
        <v>Surplus of Demand</v>
      </c>
      <c r="DG142" s="917" t="str">
        <f t="shared" si="185"/>
        <v>Surplus of Demand</v>
      </c>
      <c r="DH142" s="917" t="str">
        <f t="shared" si="185"/>
        <v>Surplus of Demand</v>
      </c>
      <c r="DI142" s="917" t="str">
        <f t="shared" si="185"/>
        <v>Surplus of Demand</v>
      </c>
      <c r="DJ142" s="917" t="str">
        <f t="shared" si="185"/>
        <v>Surplus of Demand</v>
      </c>
      <c r="DK142" s="917" t="str">
        <f t="shared" si="185"/>
        <v>Surplus of Demand</v>
      </c>
      <c r="DL142" s="917" t="str">
        <f t="shared" si="185"/>
        <v>Surplus of Demand</v>
      </c>
      <c r="DM142" s="917" t="str">
        <f t="shared" si="185"/>
        <v>Surplus of Demand</v>
      </c>
      <c r="DN142" s="917" t="str">
        <f t="shared" si="185"/>
        <v>Surplus of Demand</v>
      </c>
      <c r="DO142" s="917" t="str">
        <f t="shared" si="185"/>
        <v>Surplus of Demand</v>
      </c>
      <c r="DP142" s="917" t="str">
        <f t="shared" si="185"/>
        <v>Surplus of Demand</v>
      </c>
      <c r="DQ142" s="917" t="str">
        <f t="shared" si="185"/>
        <v>Surplus of Demand</v>
      </c>
      <c r="DR142" s="917" t="str">
        <f t="shared" si="185"/>
        <v>Surplus of Demand</v>
      </c>
      <c r="DS142" s="1031"/>
    </row>
    <row r="143" spans="2:147" s="889" customFormat="1" ht="46.9" customHeight="1">
      <c r="B143" s="977" t="str">
        <f>B83</f>
        <v>Lithium Market price</v>
      </c>
      <c r="C143" s="1029">
        <f t="shared" ref="C143:J143" si="186">Q83</f>
        <v>6873.5999999999995</v>
      </c>
      <c r="D143" s="1029">
        <f t="shared" si="186"/>
        <v>6095.52</v>
      </c>
      <c r="E143" s="1029">
        <f t="shared" si="186"/>
        <v>5675.55</v>
      </c>
      <c r="F143" s="1029">
        <f t="shared" si="186"/>
        <v>6266.5</v>
      </c>
      <c r="G143" s="1029">
        <f t="shared" si="186"/>
        <v>10177.200000000001</v>
      </c>
      <c r="H143" s="1029">
        <f t="shared" si="186"/>
        <v>13699.8</v>
      </c>
      <c r="I143" s="1029">
        <f t="shared" si="186"/>
        <v>18540</v>
      </c>
      <c r="J143" s="1029">
        <f t="shared" si="186"/>
        <v>33313.200000000004</v>
      </c>
      <c r="K143" s="1029">
        <f t="shared" ref="K143:M143" si="187">Y83</f>
        <v>62960.000000000007</v>
      </c>
      <c r="L143" s="1029">
        <f t="shared" si="187"/>
        <v>71366.399999999994</v>
      </c>
      <c r="M143" s="1029">
        <f t="shared" si="187"/>
        <v>71540</v>
      </c>
      <c r="N143" s="1029">
        <f>AB83</f>
        <v>78173.600000000006</v>
      </c>
      <c r="O143" s="1029">
        <f t="shared" ref="O143" si="188">AC83</f>
        <v>56979</v>
      </c>
      <c r="P143" s="1029">
        <f t="shared" ref="P143" si="189">AD83</f>
        <v>37102</v>
      </c>
      <c r="Q143" s="1029">
        <f>AE83</f>
        <v>32476.999999999996</v>
      </c>
      <c r="R143" s="1029">
        <f>AF83</f>
        <v>18379.400000000001</v>
      </c>
      <c r="S143" s="1030">
        <f t="shared" ref="S143:AX143" si="190">IF(ABS(S139)&gt;S141,R143*(1-S139+S141+$L$153),R143*(1+S139-S141+$L$154))</f>
        <v>15942.351955734575</v>
      </c>
      <c r="T143" s="1030">
        <f t="shared" si="190"/>
        <v>18818.381109292182</v>
      </c>
      <c r="U143" s="1030">
        <f t="shared" si="190"/>
        <v>18230.402672844368</v>
      </c>
      <c r="V143" s="1030">
        <f t="shared" si="190"/>
        <v>17704.192800559802</v>
      </c>
      <c r="W143" s="1030">
        <f t="shared" si="190"/>
        <v>14567.971434610861</v>
      </c>
      <c r="X143" s="1030">
        <f t="shared" si="190"/>
        <v>15850.967940061793</v>
      </c>
      <c r="Y143" s="1030">
        <f t="shared" si="190"/>
        <v>15288.691931074929</v>
      </c>
      <c r="Z143" s="1030">
        <f t="shared" si="190"/>
        <v>14953.708587865436</v>
      </c>
      <c r="AA143" s="1030">
        <f t="shared" si="190"/>
        <v>18354.675418243478</v>
      </c>
      <c r="AB143" s="1030">
        <f t="shared" si="190"/>
        <v>22787.4686131913</v>
      </c>
      <c r="AC143" s="1030">
        <f t="shared" si="190"/>
        <v>22314.230346869419</v>
      </c>
      <c r="AD143" s="1030">
        <f t="shared" si="190"/>
        <v>21889.380499585775</v>
      </c>
      <c r="AE143" s="1030">
        <f t="shared" si="190"/>
        <v>19850.991120887964</v>
      </c>
      <c r="AF143" s="1030">
        <f t="shared" si="190"/>
        <v>23437.003891242075</v>
      </c>
      <c r="AG143" s="1030">
        <f t="shared" si="190"/>
        <v>22915.976471049609</v>
      </c>
      <c r="AH143" s="1030">
        <f t="shared" si="190"/>
        <v>22565.533927272932</v>
      </c>
      <c r="AI143" s="1030">
        <f t="shared" si="190"/>
        <v>22226.068608784219</v>
      </c>
      <c r="AJ143" s="1030">
        <f t="shared" si="190"/>
        <v>21906.95454429882</v>
      </c>
      <c r="AK143" s="1030">
        <f t="shared" si="190"/>
        <v>21605.778944434729</v>
      </c>
      <c r="AL143" s="1030">
        <f t="shared" si="190"/>
        <v>21321.151457727345</v>
      </c>
      <c r="AM143" s="1030">
        <f t="shared" si="190"/>
        <v>17447.272406706881</v>
      </c>
      <c r="AN143" s="1030">
        <f t="shared" si="190"/>
        <v>17405.940950766246</v>
      </c>
      <c r="AO143" s="1030">
        <f t="shared" si="190"/>
        <v>20948.872306489407</v>
      </c>
      <c r="AP143" s="1030">
        <f t="shared" si="190"/>
        <v>20778.546939911619</v>
      </c>
      <c r="AQ143" s="1030">
        <f t="shared" si="190"/>
        <v>20616.478089062974</v>
      </c>
      <c r="AR143" s="1030">
        <f t="shared" si="190"/>
        <v>20462.090595034359</v>
      </c>
      <c r="AS143" s="1030">
        <f t="shared" si="190"/>
        <v>20314.860769389776</v>
      </c>
      <c r="AT143" s="1030">
        <f t="shared" si="190"/>
        <v>20174.310825011587</v>
      </c>
      <c r="AU143" s="1030">
        <f t="shared" si="190"/>
        <v>20040.004008408905</v>
      </c>
      <c r="AV143" s="1030">
        <f t="shared" si="190"/>
        <v>19976.476293826079</v>
      </c>
      <c r="AW143" s="1030">
        <f t="shared" si="190"/>
        <v>19915.754550194801</v>
      </c>
      <c r="AX143" s="1030">
        <f t="shared" si="190"/>
        <v>19857.661511449482</v>
      </c>
      <c r="AY143" s="1030">
        <f t="shared" ref="AY143:CD143" si="191">IF(ABS(AY139)&gt;AY141,AX143*(1-AY139+AY141+$L$153),AX143*(1+AY139-AY141+$L$154))</f>
        <v>18312.709651912515</v>
      </c>
      <c r="AZ143" s="1030">
        <f t="shared" si="191"/>
        <v>22833.508054846265</v>
      </c>
      <c r="BA143" s="1030">
        <f t="shared" si="191"/>
        <v>22763.921439345191</v>
      </c>
      <c r="BB143" s="1030">
        <f t="shared" si="191"/>
        <v>22707.114955583056</v>
      </c>
      <c r="BC143" s="1030">
        <f t="shared" si="191"/>
        <v>22651.816073809419</v>
      </c>
      <c r="BD143" s="1030">
        <f t="shared" si="191"/>
        <v>22598.703409780399</v>
      </c>
      <c r="BE143" s="1030">
        <f t="shared" si="191"/>
        <v>22547.600161426595</v>
      </c>
      <c r="BF143" s="1030">
        <f t="shared" si="191"/>
        <v>22498.400648121329</v>
      </c>
      <c r="BG143" s="1030">
        <f t="shared" si="191"/>
        <v>22451.002378112968</v>
      </c>
      <c r="BH143" s="1030">
        <f t="shared" si="191"/>
        <v>22405.310260956627</v>
      </c>
      <c r="BI143" s="1030">
        <f t="shared" si="191"/>
        <v>22361.235660073657</v>
      </c>
      <c r="BJ143" s="1030">
        <f t="shared" si="191"/>
        <v>22318.695882726715</v>
      </c>
      <c r="BK143" s="1030">
        <f t="shared" si="191"/>
        <v>22277.613694264939</v>
      </c>
      <c r="BL143" s="1030">
        <f t="shared" si="191"/>
        <v>22237.916880452765</v>
      </c>
      <c r="BM143" s="1030">
        <f t="shared" si="191"/>
        <v>22199.537850737204</v>
      </c>
      <c r="BN143" s="1030">
        <f t="shared" si="191"/>
        <v>22162.413278215081</v>
      </c>
      <c r="BO143" s="1030">
        <f t="shared" si="191"/>
        <v>22126.483772419921</v>
      </c>
      <c r="BP143" s="1030">
        <f t="shared" si="191"/>
        <v>22091.693581517164</v>
      </c>
      <c r="BQ143" s="1030">
        <f t="shared" si="191"/>
        <v>22057.990320892186</v>
      </c>
      <c r="BR143" s="1030">
        <f t="shared" si="191"/>
        <v>22025.324725461844</v>
      </c>
      <c r="BS143" s="1030">
        <f t="shared" si="191"/>
        <v>21993.650423342642</v>
      </c>
      <c r="BT143" s="1030">
        <f t="shared" si="191"/>
        <v>21962.923728772817</v>
      </c>
      <c r="BU143" s="1030">
        <f t="shared" si="191"/>
        <v>21933.103452417821</v>
      </c>
      <c r="BV143" s="1030">
        <f t="shared" si="191"/>
        <v>21904.150727392062</v>
      </c>
      <c r="BW143" s="1030">
        <f t="shared" si="191"/>
        <v>21876.028849509083</v>
      </c>
      <c r="BX143" s="1030">
        <f t="shared" si="191"/>
        <v>21848.703130430211</v>
      </c>
      <c r="BY143" s="1030">
        <f t="shared" si="191"/>
        <v>21822.14076252099</v>
      </c>
      <c r="BZ143" s="1030">
        <f t="shared" si="191"/>
        <v>21796.310694348242</v>
      </c>
      <c r="CA143" s="1030">
        <f t="shared" si="191"/>
        <v>21771.183515859229</v>
      </c>
      <c r="CB143" s="1030">
        <f t="shared" si="191"/>
        <v>21746.731352381899</v>
      </c>
      <c r="CC143" s="1030">
        <f t="shared" si="191"/>
        <v>21722.927766670469</v>
      </c>
      <c r="CD143" s="1030">
        <f t="shared" si="191"/>
        <v>21699.747668297692</v>
      </c>
      <c r="CE143" s="1030">
        <f t="shared" ref="CE143:DJ143" si="192">IF(ABS(CE139)&gt;CE141,CD143*(1-CE139+CE141+$L$153),CD143*(1+CE139-CE141+$L$154))</f>
        <v>21677.167229762912</v>
      </c>
      <c r="CF143" s="1030">
        <f t="shared" si="192"/>
        <v>21655.163808746023</v>
      </c>
      <c r="CG143" s="1030">
        <f t="shared" si="192"/>
        <v>21633.715875991693</v>
      </c>
      <c r="CH143" s="1030">
        <f t="shared" si="192"/>
        <v>21612.802948356835</v>
      </c>
      <c r="CI143" s="1030">
        <f t="shared" si="192"/>
        <v>21592.405526597751</v>
      </c>
      <c r="CJ143" s="1030">
        <f t="shared" si="192"/>
        <v>21572.505037512583</v>
      </c>
      <c r="CK143" s="1030">
        <f t="shared" si="192"/>
        <v>21553.08378008947</v>
      </c>
      <c r="CL143" s="1030">
        <f t="shared" si="192"/>
        <v>21534.124875342641</v>
      </c>
      <c r="CM143" s="1030">
        <f t="shared" si="192"/>
        <v>21515.612219546831</v>
      </c>
      <c r="CN143" s="1030">
        <f t="shared" si="192"/>
        <v>21497.530440606035</v>
      </c>
      <c r="CO143" s="1030">
        <f t="shared" si="192"/>
        <v>21479.864857315628</v>
      </c>
      <c r="CP143" s="1030">
        <f t="shared" si="192"/>
        <v>21462.601441297826</v>
      </c>
      <c r="CQ143" s="1030">
        <f t="shared" si="192"/>
        <v>21445.726781409106</v>
      </c>
      <c r="CR143" s="1030">
        <f t="shared" si="192"/>
        <v>21429.228050435573</v>
      </c>
      <c r="CS143" s="1030">
        <f t="shared" si="192"/>
        <v>21413.092973907198</v>
      </c>
      <c r="CT143" s="1030">
        <f t="shared" si="192"/>
        <v>21397.309800876472</v>
      </c>
      <c r="CU143" s="1030">
        <f t="shared" si="192"/>
        <v>21381.867276519239</v>
      </c>
      <c r="CV143" s="1030">
        <f t="shared" si="192"/>
        <v>21366.754616427294</v>
      </c>
      <c r="CW143" s="1030">
        <f t="shared" si="192"/>
        <v>21351.961482472831</v>
      </c>
      <c r="CX143" s="1030">
        <f t="shared" si="192"/>
        <v>21337.477960134234</v>
      </c>
      <c r="CY143" s="1030">
        <f t="shared" si="192"/>
        <v>21323.294537181751</v>
      </c>
      <c r="CZ143" s="1030">
        <f t="shared" si="192"/>
        <v>21309.402083629164</v>
      </c>
      <c r="DA143" s="1030">
        <f t="shared" si="192"/>
        <v>21295.791832865187</v>
      </c>
      <c r="DB143" s="1030">
        <f t="shared" si="192"/>
        <v>21282.455363884768</v>
      </c>
      <c r="DC143" s="1030">
        <f t="shared" si="192"/>
        <v>21269.384584546558</v>
      </c>
      <c r="DD143" s="1030">
        <f t="shared" si="192"/>
        <v>21256.571715788494</v>
      </c>
      <c r="DE143" s="1030">
        <f t="shared" si="192"/>
        <v>21244.009276738445</v>
      </c>
      <c r="DF143" s="1030">
        <f t="shared" si="192"/>
        <v>21231.690070661509</v>
      </c>
      <c r="DG143" s="1030">
        <f t="shared" si="192"/>
        <v>21219.607171689982</v>
      </c>
      <c r="DH143" s="1030">
        <f t="shared" si="192"/>
        <v>21207.753912285778</v>
      </c>
      <c r="DI143" s="1030">
        <f t="shared" si="192"/>
        <v>21196.123871388878</v>
      </c>
      <c r="DJ143" s="1030">
        <f t="shared" si="192"/>
        <v>21184.710863208562</v>
      </c>
      <c r="DK143" s="1030">
        <f t="shared" ref="DK143:DR143" si="193">IF(ABS(DK139)&gt;DK141,DJ143*(1-DK139+DK141+$L$153),DJ143*(1+DK139-DK141+$L$154))</f>
        <v>21173.508926617342</v>
      </c>
      <c r="DL143" s="1030">
        <f t="shared" si="193"/>
        <v>21162.512315110311</v>
      </c>
      <c r="DM143" s="1030">
        <f t="shared" si="193"/>
        <v>21151.715487295234</v>
      </c>
      <c r="DN143" s="1030">
        <f t="shared" si="193"/>
        <v>21141.113097881014</v>
      </c>
      <c r="DO143" s="1030">
        <f t="shared" si="193"/>
        <v>21130.699989134573</v>
      </c>
      <c r="DP143" s="1030">
        <f t="shared" si="193"/>
        <v>21120.471182778052</v>
      </c>
      <c r="DQ143" s="1030">
        <f t="shared" si="193"/>
        <v>21110.421872300245</v>
      </c>
      <c r="DR143" s="1030">
        <f t="shared" si="193"/>
        <v>21100.547415657813</v>
      </c>
      <c r="DS143" s="1032">
        <f>(DR143/S143)^(1/COUNT(S143:DR143))-1</f>
        <v>2.6990182224406745E-3</v>
      </c>
    </row>
    <row r="144" spans="2:147" s="889" customFormat="1" ht="46.9" customHeight="1">
      <c r="B144" s="1028" t="s">
        <v>204</v>
      </c>
      <c r="C144" s="970" t="str">
        <f t="shared" ref="C144" si="194">IFERROR(C143/B143-1,"-")</f>
        <v>-</v>
      </c>
      <c r="D144" s="970">
        <f t="shared" ref="D144" si="195">IFERROR(D143/C143-1,"-")</f>
        <v>-0.1131983240223462</v>
      </c>
      <c r="E144" s="970">
        <f t="shared" ref="E144" si="196">IFERROR(E143/D143-1,"-")</f>
        <v>-6.8898141585951644E-2</v>
      </c>
      <c r="F144" s="970">
        <f t="shared" ref="F144" si="197">IFERROR(F143/E143-1,"-")</f>
        <v>0.10412206746482711</v>
      </c>
      <c r="G144" s="970">
        <f t="shared" ref="G144" si="198">IFERROR(G143/F143-1,"-")</f>
        <v>0.62406446979972885</v>
      </c>
      <c r="H144" s="970">
        <f t="shared" ref="H144" si="199">IFERROR(H143/G143-1,"-")</f>
        <v>0.34612663600990423</v>
      </c>
      <c r="I144" s="970">
        <f t="shared" ref="I144" si="200">IFERROR(I143/H143-1,"-")</f>
        <v>0.35330442780186577</v>
      </c>
      <c r="J144" s="970">
        <f t="shared" ref="J144" si="201">IFERROR(J143/I143-1,"-")</f>
        <v>0.79682847896440157</v>
      </c>
      <c r="K144" s="970">
        <f t="shared" ref="K144" si="202">IFERROR(K143/J143-1,"-")</f>
        <v>0.88994152468090726</v>
      </c>
      <c r="L144" s="970">
        <f t="shared" ref="L144" si="203">IFERROR(L143/K143-1,"-")</f>
        <v>0.13351969504447236</v>
      </c>
      <c r="M144" s="970">
        <f t="shared" ref="M144" si="204">IFERROR(M143/L143-1,"-")</f>
        <v>2.4325172630257352E-3</v>
      </c>
      <c r="N144" s="970">
        <f t="shared" ref="N144" si="205">IFERROR(N143/M143-1,"-")</f>
        <v>9.2725747833380057E-2</v>
      </c>
      <c r="O144" s="970">
        <f t="shared" ref="O144:R144" si="206">IFERROR(O143/N143-1,"-")</f>
        <v>-0.27112222028920252</v>
      </c>
      <c r="P144" s="970">
        <f t="shared" si="206"/>
        <v>-0.3488478211270819</v>
      </c>
      <c r="Q144" s="970">
        <f t="shared" si="206"/>
        <v>-0.12465635275726383</v>
      </c>
      <c r="R144" s="970">
        <f t="shared" si="206"/>
        <v>-0.43407950241709503</v>
      </c>
      <c r="S144" s="970">
        <f>IFERROR(S143/R143-1,"-")</f>
        <v>-0.13259671394416717</v>
      </c>
      <c r="T144" s="970">
        <f t="shared" ref="T144:CE144" si="207">IFERROR(T143/S143-1,"-")</f>
        <v>0.18040181031902747</v>
      </c>
      <c r="U144" s="970">
        <f t="shared" si="207"/>
        <v>-3.1244900027956213E-2</v>
      </c>
      <c r="V144" s="970">
        <f t="shared" si="207"/>
        <v>-2.8864413020804891E-2</v>
      </c>
      <c r="W144" s="970">
        <f t="shared" si="207"/>
        <v>-0.17714568527799668</v>
      </c>
      <c r="X144" s="970">
        <f t="shared" si="207"/>
        <v>8.8069674711385382E-2</v>
      </c>
      <c r="Y144" s="970">
        <f t="shared" si="207"/>
        <v>-3.5472660793525845E-2</v>
      </c>
      <c r="Z144" s="970">
        <f t="shared" si="207"/>
        <v>-2.1910529999536799E-2</v>
      </c>
      <c r="AA144" s="970">
        <f t="shared" si="207"/>
        <v>0.22743300167945235</v>
      </c>
      <c r="AB144" s="970">
        <f t="shared" si="207"/>
        <v>0.2415075774394726</v>
      </c>
      <c r="AC144" s="970">
        <f t="shared" si="207"/>
        <v>-2.0767478580219767E-2</v>
      </c>
      <c r="AD144" s="970">
        <f t="shared" si="207"/>
        <v>-1.9039412996973426E-2</v>
      </c>
      <c r="AE144" s="970">
        <f t="shared" si="207"/>
        <v>-9.3122296391000448E-2</v>
      </c>
      <c r="AF144" s="970">
        <f t="shared" si="207"/>
        <v>0.18064653540551801</v>
      </c>
      <c r="AG144" s="970">
        <f t="shared" si="207"/>
        <v>-2.2230973831393275E-2</v>
      </c>
      <c r="AH144" s="970">
        <f t="shared" si="207"/>
        <v>-1.5292498847666369E-2</v>
      </c>
      <c r="AI144" s="970">
        <f t="shared" si="207"/>
        <v>-1.5043531413118205E-2</v>
      </c>
      <c r="AJ144" s="970">
        <f t="shared" si="207"/>
        <v>-1.4357647773987292E-2</v>
      </c>
      <c r="AK144" s="970">
        <f t="shared" si="207"/>
        <v>-1.3747944711122395E-2</v>
      </c>
      <c r="AL144" s="970">
        <f t="shared" si="207"/>
        <v>-1.3173673924896767E-2</v>
      </c>
      <c r="AM144" s="970">
        <f t="shared" si="207"/>
        <v>-0.18169183117061294</v>
      </c>
      <c r="AN144" s="970">
        <f t="shared" si="207"/>
        <v>-2.3689350963963518E-3</v>
      </c>
      <c r="AO144" s="970">
        <f t="shared" si="207"/>
        <v>0.20354724664093471</v>
      </c>
      <c r="AP144" s="970">
        <f t="shared" si="207"/>
        <v>-8.1305267455864527E-3</v>
      </c>
      <c r="AQ144" s="970">
        <f t="shared" si="207"/>
        <v>-7.799816383567304E-3</v>
      </c>
      <c r="AR144" s="970">
        <f t="shared" si="207"/>
        <v>-7.4885484010247527E-3</v>
      </c>
      <c r="AS144" s="970">
        <f t="shared" si="207"/>
        <v>-7.1952484503373659E-3</v>
      </c>
      <c r="AT144" s="970">
        <f t="shared" si="207"/>
        <v>-6.9185777827218686E-3</v>
      </c>
      <c r="AU144" s="970">
        <f t="shared" si="207"/>
        <v>-6.6573186944345331E-3</v>
      </c>
      <c r="AV144" s="970">
        <f t="shared" si="207"/>
        <v>-3.1700450037919214E-3</v>
      </c>
      <c r="AW144" s="970">
        <f t="shared" si="207"/>
        <v>-3.0396623878078399E-3</v>
      </c>
      <c r="AX144" s="970">
        <f t="shared" si="207"/>
        <v>-2.9169388786602912E-3</v>
      </c>
      <c r="AY144" s="970">
        <f t="shared" si="207"/>
        <v>-7.7801298941780339E-2</v>
      </c>
      <c r="AZ144" s="970">
        <f t="shared" si="207"/>
        <v>0.24686671109109248</v>
      </c>
      <c r="BA144" s="970">
        <f t="shared" si="207"/>
        <v>-3.0475656799614503E-3</v>
      </c>
      <c r="BB144" s="970">
        <f t="shared" si="207"/>
        <v>-2.4954612461431935E-3</v>
      </c>
      <c r="BC144" s="970">
        <f t="shared" si="207"/>
        <v>-2.4353107773402716E-3</v>
      </c>
      <c r="BD144" s="970">
        <f t="shared" si="207"/>
        <v>-2.3447419781247314E-3</v>
      </c>
      <c r="BE144" s="970">
        <f t="shared" si="207"/>
        <v>-2.2613354150082809E-3</v>
      </c>
      <c r="BF144" s="970">
        <f t="shared" si="207"/>
        <v>-2.1820288169485114E-3</v>
      </c>
      <c r="BG144" s="970">
        <f t="shared" si="207"/>
        <v>-2.1067395300528036E-3</v>
      </c>
      <c r="BH144" s="970">
        <f t="shared" si="207"/>
        <v>-2.0351927449299145E-3</v>
      </c>
      <c r="BI144" s="970">
        <f t="shared" si="207"/>
        <v>-1.9671497680517902E-3</v>
      </c>
      <c r="BJ144" s="970">
        <f t="shared" si="207"/>
        <v>-1.9023893846302764E-3</v>
      </c>
      <c r="BK144" s="970">
        <f t="shared" si="207"/>
        <v>-1.8407073906845373E-3</v>
      </c>
      <c r="BL144" s="970">
        <f t="shared" si="207"/>
        <v>-1.7819149912987609E-3</v>
      </c>
      <c r="BM144" s="970">
        <f t="shared" si="207"/>
        <v>-1.7258374478994476E-3</v>
      </c>
      <c r="BN144" s="970">
        <f t="shared" si="207"/>
        <v>-1.6723128549673838E-3</v>
      </c>
      <c r="BO144" s="970">
        <f t="shared" si="207"/>
        <v>-1.6211910383638894E-3</v>
      </c>
      <c r="BP144" s="970">
        <f t="shared" si="207"/>
        <v>-1.5723325613138384E-3</v>
      </c>
      <c r="BQ144" s="970">
        <f t="shared" si="207"/>
        <v>-1.5256078263359285E-3</v>
      </c>
      <c r="BR144" s="970">
        <f t="shared" si="207"/>
        <v>-1.4808962627661515E-3</v>
      </c>
      <c r="BS144" s="970">
        <f t="shared" si="207"/>
        <v>-1.4380855907466517E-3</v>
      </c>
      <c r="BT144" s="970">
        <f t="shared" si="207"/>
        <v>-1.3970711536459568E-3</v>
      </c>
      <c r="BU144" s="970">
        <f t="shared" si="207"/>
        <v>-1.3577553117816166E-3</v>
      </c>
      <c r="BV144" s="970">
        <f t="shared" si="207"/>
        <v>-1.3200468911556129E-3</v>
      </c>
      <c r="BW144" s="970">
        <f t="shared" si="207"/>
        <v>-1.2838606816110154E-3</v>
      </c>
      <c r="BX144" s="970">
        <f t="shared" si="207"/>
        <v>-1.2491169794505153E-3</v>
      </c>
      <c r="BY144" s="970">
        <f t="shared" si="207"/>
        <v>-1.215741170112028E-3</v>
      </c>
      <c r="BZ144" s="970">
        <f t="shared" si="207"/>
        <v>-1.1836633469577418E-3</v>
      </c>
      <c r="CA144" s="970">
        <f t="shared" si="207"/>
        <v>-1.1528179626989488E-3</v>
      </c>
      <c r="CB144" s="970">
        <f t="shared" si="207"/>
        <v>-1.1231435102974086E-3</v>
      </c>
      <c r="CC144" s="970">
        <f t="shared" si="207"/>
        <v>-1.0945822305761244E-3</v>
      </c>
      <c r="CD144" s="970">
        <f t="shared" si="207"/>
        <v>-1.067079844013552E-3</v>
      </c>
      <c r="CE144" s="970">
        <f t="shared" si="207"/>
        <v>-1.0405853044903601E-3</v>
      </c>
      <c r="CF144" s="970">
        <f t="shared" ref="CF144:DR144" si="208">IFERROR(CF143/CE143-1,"-")</f>
        <v>-1.0150505729678017E-3</v>
      </c>
      <c r="CG144" s="970">
        <f t="shared" si="208"/>
        <v>-9.9043040928958881E-4</v>
      </c>
      <c r="CH144" s="970">
        <f t="shared" si="208"/>
        <v>-9.6668218047857302E-4</v>
      </c>
      <c r="CI144" s="970">
        <f t="shared" si="208"/>
        <v>-9.4376568406340233E-4</v>
      </c>
      <c r="CJ144" s="970">
        <f t="shared" si="208"/>
        <v>-9.2164298510677423E-4</v>
      </c>
      <c r="CK144" s="970">
        <f t="shared" si="208"/>
        <v>-9.0027826575267422E-4</v>
      </c>
      <c r="CL144" s="970">
        <f t="shared" si="208"/>
        <v>-8.7963768620169525E-4</v>
      </c>
      <c r="CM144" s="970">
        <f t="shared" si="208"/>
        <v>-8.5968925614465785E-4</v>
      </c>
      <c r="CN144" s="970">
        <f t="shared" si="208"/>
        <v>-8.40402715771571E-4</v>
      </c>
      <c r="CO144" s="970">
        <f t="shared" si="208"/>
        <v>-8.2174942555446329E-4</v>
      </c>
      <c r="CP144" s="970">
        <f t="shared" si="208"/>
        <v>-8.0370226407278089E-4</v>
      </c>
      <c r="CQ144" s="970">
        <f t="shared" si="208"/>
        <v>-7.8623553323076134E-4</v>
      </c>
      <c r="CR144" s="970">
        <f t="shared" si="208"/>
        <v>-7.6932487025038743E-4</v>
      </c>
      <c r="CS144" s="970">
        <f t="shared" si="208"/>
        <v>-7.5294716591745026E-4</v>
      </c>
      <c r="CT144" s="970">
        <f t="shared" si="208"/>
        <v>-7.3708048855714026E-4</v>
      </c>
      <c r="CU144" s="970">
        <f t="shared" si="208"/>
        <v>-7.2170401330551304E-4</v>
      </c>
      <c r="CV144" s="970">
        <f t="shared" si="208"/>
        <v>-7.0679795625427921E-4</v>
      </c>
      <c r="CW144" s="970">
        <f t="shared" si="208"/>
        <v>-6.9234351308966602E-4</v>
      </c>
      <c r="CX144" s="970">
        <f t="shared" si="208"/>
        <v>-6.7832280188806493E-4</v>
      </c>
      <c r="CY144" s="970">
        <f t="shared" si="208"/>
        <v>-6.6471880973850705E-4</v>
      </c>
      <c r="CZ144" s="970">
        <f t="shared" si="208"/>
        <v>-6.5151534292051672E-4</v>
      </c>
      <c r="DA144" s="970">
        <f t="shared" si="208"/>
        <v>-6.3869698035468048E-4</v>
      </c>
      <c r="DB144" s="970">
        <f t="shared" si="208"/>
        <v>-6.2624903009411703E-4</v>
      </c>
      <c r="DC144" s="970">
        <f t="shared" si="208"/>
        <v>-6.1415748863213881E-4</v>
      </c>
      <c r="DD144" s="970">
        <f t="shared" si="208"/>
        <v>-6.0240900281494092E-4</v>
      </c>
      <c r="DE144" s="970">
        <f t="shared" si="208"/>
        <v>-5.9099083417657461E-4</v>
      </c>
      <c r="DF144" s="970">
        <f t="shared" si="208"/>
        <v>-5.7989082552445392E-4</v>
      </c>
      <c r="DG144" s="970">
        <f t="shared" si="208"/>
        <v>-5.6909736960708557E-4</v>
      </c>
      <c r="DH144" s="970">
        <f t="shared" si="208"/>
        <v>-5.5859937972924101E-4</v>
      </c>
      <c r="DI144" s="970">
        <f t="shared" si="208"/>
        <v>-5.4838626216624498E-4</v>
      </c>
      <c r="DJ144" s="970">
        <f t="shared" si="208"/>
        <v>-5.3844789026358253E-4</v>
      </c>
      <c r="DK144" s="970">
        <f t="shared" si="208"/>
        <v>-5.2877458009936706E-4</v>
      </c>
      <c r="DL144" s="970">
        <f t="shared" si="208"/>
        <v>-5.193570676047532E-4</v>
      </c>
      <c r="DM144" s="970">
        <f t="shared" si="208"/>
        <v>-5.1018648704426184E-4</v>
      </c>
      <c r="DN144" s="970">
        <f t="shared" si="208"/>
        <v>-5.0125435076830982E-4</v>
      </c>
      <c r="DO144" s="970">
        <f t="shared" si="208"/>
        <v>-4.9255253014490741E-4</v>
      </c>
      <c r="DP144" s="970">
        <f t="shared" si="208"/>
        <v>-4.8407323760124576E-4</v>
      </c>
      <c r="DQ144" s="970">
        <f t="shared" si="208"/>
        <v>-4.7580900969679263E-4</v>
      </c>
      <c r="DR144" s="970">
        <f t="shared" si="208"/>
        <v>-4.6775269116661189E-4</v>
      </c>
      <c r="DS144" s="1031"/>
    </row>
    <row r="145" spans="2:40" ht="13.9" thickBot="1">
      <c r="B145" s="897"/>
      <c r="C145" s="746"/>
      <c r="G145" s="987"/>
      <c r="K145" s="987"/>
    </row>
    <row r="146" spans="2:40">
      <c r="B146" s="914"/>
      <c r="C146" s="879" t="s">
        <v>135</v>
      </c>
      <c r="D146" s="879" t="s">
        <v>932</v>
      </c>
      <c r="E146" s="879" t="s">
        <v>991</v>
      </c>
      <c r="F146" s="879" t="s">
        <v>992</v>
      </c>
      <c r="G146" s="879" t="s">
        <v>1108</v>
      </c>
      <c r="H146" s="932"/>
    </row>
    <row r="147" spans="2:40">
      <c r="B147" s="468" t="s">
        <v>135</v>
      </c>
      <c r="C147">
        <v>1</v>
      </c>
      <c r="D147"/>
      <c r="E147"/>
      <c r="F147"/>
      <c r="G147"/>
      <c r="K147" s="988"/>
      <c r="O147" s="875" t="s">
        <v>799</v>
      </c>
      <c r="P147" s="877" t="s">
        <v>800</v>
      </c>
      <c r="Q147" s="877" t="s">
        <v>801</v>
      </c>
      <c r="R147" s="877" t="s">
        <v>802</v>
      </c>
      <c r="S147" s="877" t="s">
        <v>803</v>
      </c>
      <c r="T147" s="877" t="s">
        <v>804</v>
      </c>
      <c r="U147" s="877" t="s">
        <v>805</v>
      </c>
      <c r="V147" s="877" t="s">
        <v>806</v>
      </c>
      <c r="W147" s="877" t="s">
        <v>807</v>
      </c>
      <c r="X147" s="877" t="s">
        <v>808</v>
      </c>
      <c r="Y147" s="877" t="s">
        <v>809</v>
      </c>
      <c r="Z147" s="877" t="s">
        <v>810</v>
      </c>
      <c r="AA147" s="877" t="s">
        <v>811</v>
      </c>
      <c r="AB147" s="877" t="s">
        <v>812</v>
      </c>
      <c r="AC147" s="877" t="s">
        <v>813</v>
      </c>
      <c r="AD147" s="877" t="s">
        <v>814</v>
      </c>
      <c r="AE147" s="877" t="s">
        <v>815</v>
      </c>
      <c r="AF147" s="877" t="s">
        <v>816</v>
      </c>
      <c r="AG147" s="877" t="s">
        <v>817</v>
      </c>
      <c r="AH147" s="877" t="s">
        <v>818</v>
      </c>
      <c r="AI147" s="877" t="s">
        <v>819</v>
      </c>
      <c r="AJ147" s="877" t="s">
        <v>820</v>
      </c>
      <c r="AK147" s="877" t="s">
        <v>821</v>
      </c>
      <c r="AL147" s="877" t="s">
        <v>822</v>
      </c>
      <c r="AM147" s="877" t="s">
        <v>823</v>
      </c>
      <c r="AN147" s="863" t="s">
        <v>824</v>
      </c>
    </row>
    <row r="148" spans="2:40" s="889" customFormat="1" ht="22.9" customHeight="1">
      <c r="B148" s="287" t="s">
        <v>932</v>
      </c>
      <c r="C148" s="287">
        <v>0.83898450863716467</v>
      </c>
      <c r="D148" s="287">
        <v>1</v>
      </c>
      <c r="E148" s="287"/>
      <c r="F148" s="287"/>
      <c r="G148" s="287"/>
      <c r="H148" s="909" t="s">
        <v>1109</v>
      </c>
      <c r="K148" s="1039"/>
      <c r="N148" s="976" t="s">
        <v>1110</v>
      </c>
      <c r="O148" s="969">
        <f>SUM(Table7[[#Totals],[Q1 2024]:[Q4 2024]])</f>
        <v>0.20220134266146716</v>
      </c>
      <c r="P148" s="970">
        <f>SUM(Table7[[#Totals],[Q1 2025]:[Q4 2025]])</f>
        <v>0.20779660933999833</v>
      </c>
      <c r="Q148" s="970">
        <f>SUM(Table7[[#Totals],[Q1 2026]:[Q4 2026]])</f>
        <v>0.2083630026594685</v>
      </c>
      <c r="R148" s="970">
        <f>SUM(Table7[[#Totals],[Q1 2027]:[Q4 2027]])</f>
        <v>0.15802233489621276</v>
      </c>
      <c r="S148" s="970">
        <f>SUM(Table7[[#Totals],[Q1 2028]:[Q4 2028]])</f>
        <v>0.14145902696876256</v>
      </c>
      <c r="T148" s="970">
        <f>SUM(Table7[[#Totals],[Q1 2029]:[Q4 2029]])</f>
        <v>3.434043153899502E-2</v>
      </c>
      <c r="U148" s="970">
        <f>SUM(Table7[[#Totals],[Q1 2030]:[Q4 2030]])</f>
        <v>0.13586942757923937</v>
      </c>
      <c r="V148" s="970">
        <f>SUM(Table7[[#Totals],[Q1 2031]:[Q4 2031]])</f>
        <v>0.13692169578142965</v>
      </c>
      <c r="W148" s="970">
        <f>SUM(Table7[[#Totals],[Q1 2032]:[Q4 2032]])</f>
        <v>6.1698543589996713E-2</v>
      </c>
      <c r="X148" s="970">
        <f>SUM(Table7[[#Totals],[Q1 2033]:[Q4 2033]])</f>
        <v>0.12331166359347923</v>
      </c>
      <c r="Y148" s="970">
        <f>SUM(Table7[[#Totals],[Q1 2034]:[Q4 2034]])</f>
        <v>0.11630793121253902</v>
      </c>
      <c r="Z148" s="970">
        <f>SUM(Table7[[#Totals],[Q1 2035]:[Q4 2035]])</f>
        <v>0.11003987283720318</v>
      </c>
      <c r="AA148" s="970">
        <f>SUM(Table7[[#Totals],[Q1 2036]:[Q4 2036]])</f>
        <v>0.10440111777359107</v>
      </c>
      <c r="AB148" s="970">
        <f>SUM(Table7[[#Totals],[Q1 2037]:[Q4 2037]])</f>
        <v>9.930305206576806E-2</v>
      </c>
      <c r="AC148" s="970">
        <f>SUM(Table7[[#Totals],[Q1 2038]:[Q4 2038]])</f>
        <v>9.4672659937496073E-2</v>
      </c>
      <c r="AD148" s="970">
        <f>SUM(Table7[[#Totals],[Q1 2039]:[Q4 2039]])</f>
        <v>9.0449300821752399E-2</v>
      </c>
      <c r="AE148" s="970">
        <f>SUM(Table7[[#Totals],[Q1 2040]:[Q4 2040]])</f>
        <v>8.6582237200767631E-2</v>
      </c>
      <c r="AF148" s="970">
        <f>SUM(Table7[[#Totals],[Q1 2041]:[Q4 2041]])</f>
        <v>8.3028721730210142E-2</v>
      </c>
      <c r="AG148" s="970">
        <f>SUM(Table7[[#Totals],[Q1 2042]:[Q4 2042]])</f>
        <v>7.9752504358233445E-2</v>
      </c>
      <c r="AH148" s="970">
        <f>SUM(Table7[[#Totals],[Q1 2043]:[Q4 2043]])</f>
        <v>7.6722657503281777E-2</v>
      </c>
      <c r="AI148" s="970">
        <f>SUM(Table7[[#Totals],[Q1 2044]:[Q4 2044]])</f>
        <v>7.3912644127151594E-2</v>
      </c>
      <c r="AJ148" s="970">
        <f>SUM(Table7[[#Totals],[Q1 2045]:[Q4 2045]])</f>
        <v>7.1299572837184799E-2</v>
      </c>
      <c r="AK148" s="970">
        <f>SUM(Table7[[#Totals],[Q1 2046]:[Q4 2046]])</f>
        <v>6.886359815629528E-2</v>
      </c>
      <c r="AL148" s="970">
        <f>SUM(Table7[[#Totals],[Q1 2047]:[Q4 2047]])</f>
        <v>6.6587434339531182E-2</v>
      </c>
      <c r="AM148" s="970">
        <f>SUM(Table7[[#Totals],[Q1 2048]:[Q4 2048]])</f>
        <v>6.4455958661439272E-2</v>
      </c>
      <c r="AN148" s="971">
        <f>SUM(Table7[[#Totals],[Q1 2049]:[Q4 2049]])</f>
        <v>6.2455885702221048E-2</v>
      </c>
    </row>
    <row r="149" spans="2:40" s="889" customFormat="1" ht="22.9" customHeight="1">
      <c r="B149" s="287" t="s">
        <v>991</v>
      </c>
      <c r="C149" s="287">
        <v>0.30229414950860034</v>
      </c>
      <c r="D149" s="287">
        <v>0.60139102493559249</v>
      </c>
      <c r="E149" s="287">
        <v>1</v>
      </c>
      <c r="F149" s="287"/>
      <c r="G149" s="287"/>
      <c r="H149" s="909" t="s">
        <v>1111</v>
      </c>
      <c r="L149" s="1040"/>
      <c r="N149" s="976" t="s">
        <v>932</v>
      </c>
      <c r="O149" s="972">
        <f>AVERAGE(S140:V140)</f>
        <v>985577.46937499987</v>
      </c>
      <c r="P149" s="972">
        <f>AVERAGE(W140:Z140)</f>
        <v>1169934.7488839095</v>
      </c>
      <c r="Q149" s="972">
        <f>AVERAGE(AA140:AD140)</f>
        <v>1487956.0736118788</v>
      </c>
      <c r="R149" s="972">
        <f>AVERAGE(AE140:AH140)</f>
        <v>1705244.6363865919</v>
      </c>
      <c r="S149" s="972">
        <f>AVERAGE(AI140:AL140)</f>
        <v>1998199.8405160343</v>
      </c>
      <c r="T149" s="972">
        <f>AVERAGE(AM140:AP140)</f>
        <v>1981351.4981516087</v>
      </c>
      <c r="U149" s="972">
        <f>AVERAGE(AQ140:AT140)</f>
        <v>2331848.6312500001</v>
      </c>
      <c r="V149" s="972">
        <f>AVERAGE(AU140:AX140)</f>
        <v>2663884.6453750003</v>
      </c>
      <c r="W149" s="972">
        <f>AVERAGE(AY140:BB140)</f>
        <v>2831503.4272370194</v>
      </c>
      <c r="X149" s="972">
        <f>AVERAGE(BC140:BF140)</f>
        <v>3209591.8197987908</v>
      </c>
      <c r="Y149" s="972">
        <f>AVERAGE(BG140:BJ140)</f>
        <v>3608247.2243783819</v>
      </c>
      <c r="Z149" s="972">
        <f>AVERAGE(BK140:BN140)</f>
        <v>4030772.9542032122</v>
      </c>
      <c r="AA149" s="972">
        <f>AVERAGE(BO140:BR140)</f>
        <v>4477169.1137921754</v>
      </c>
      <c r="AB149" s="972">
        <f>AVERAGE(BS140:BV140)</f>
        <v>4947435.703148583</v>
      </c>
      <c r="AC149" s="972">
        <f>AVERAGE(BW140:BZ140)</f>
        <v>5441572.7222724296</v>
      </c>
      <c r="AD149" s="972">
        <f>AVERAGE(CA140:CD140)</f>
        <v>5959580.1711637191</v>
      </c>
      <c r="AE149" s="972">
        <f>AVERAGE(CE140:CH140)</f>
        <v>6501458.0498224515</v>
      </c>
      <c r="AF149" s="972">
        <f>AVERAGE(CI140:CL140)</f>
        <v>7067206.3582486231</v>
      </c>
      <c r="AG149" s="972">
        <f>AVERAGE(CM140:CP140)</f>
        <v>7656825.0964422375</v>
      </c>
      <c r="AH149" s="972">
        <f>AVERAGE(CQ140:CT140)</f>
        <v>8270314.2644032929</v>
      </c>
      <c r="AI149" s="972">
        <f>AVERAGE(CU140:CX140)</f>
        <v>8907673.8621317912</v>
      </c>
      <c r="AJ149" s="972">
        <f>AVERAGE(CY140:DB140)</f>
        <v>9568903.8896277286</v>
      </c>
      <c r="AK149" s="972">
        <f>AVERAGE(DC140:DF140)</f>
        <v>10254004.346891111</v>
      </c>
      <c r="AL149" s="972">
        <f>AVERAGE(DG140:DJ140)</f>
        <v>10962975.233921932</v>
      </c>
      <c r="AM149" s="972">
        <f>AVERAGE(DK140:DN140)</f>
        <v>11695816.5507202</v>
      </c>
      <c r="AN149" s="972">
        <f>AVERAGE(DO140:DR140)</f>
        <v>12452528.297285903</v>
      </c>
    </row>
    <row r="150" spans="2:40" s="889" customFormat="1" ht="22.9" customHeight="1">
      <c r="B150" s="287" t="s">
        <v>992</v>
      </c>
      <c r="C150" s="287">
        <v>0.76473491155518192</v>
      </c>
      <c r="D150" s="287">
        <v>0.93351650748115822</v>
      </c>
      <c r="E150" s="287">
        <v>0.77327223989682881</v>
      </c>
      <c r="F150" s="287">
        <v>1</v>
      </c>
      <c r="G150" s="287"/>
      <c r="H150" s="909" t="s">
        <v>1112</v>
      </c>
      <c r="N150" s="976" t="s">
        <v>1113</v>
      </c>
      <c r="O150" s="973">
        <f>AVERAGE(S143:V143)</f>
        <v>17673.832134607732</v>
      </c>
      <c r="P150" s="973">
        <f>AVERAGE(W143:Z143)</f>
        <v>15165.334973403256</v>
      </c>
      <c r="Q150" s="974">
        <f>AVERAGE(AA143:AD143)</f>
        <v>21336.438719472495</v>
      </c>
      <c r="R150" s="974">
        <f>AVERAGE(AE143:AH143)</f>
        <v>22192.376352613144</v>
      </c>
      <c r="S150" s="974">
        <f>AVERAGE(AI143:AL143)</f>
        <v>21764.988388811278</v>
      </c>
      <c r="T150" s="974">
        <f>AVERAGE(AM143:AP143)</f>
        <v>19145.158150968538</v>
      </c>
      <c r="U150" s="974">
        <f>AVERAGE(AQ143:AT143)</f>
        <v>20391.935069624677</v>
      </c>
      <c r="V150" s="974">
        <f>AVERAGE(AU143:AX143)</f>
        <v>19947.474090969816</v>
      </c>
      <c r="W150" s="974">
        <f>AVERAGE(AY143:BB143)</f>
        <v>21654.313525421756</v>
      </c>
      <c r="X150" s="974">
        <f>AVERAGE(BC143:BF143)</f>
        <v>22574.130073284436</v>
      </c>
      <c r="Y150" s="974">
        <f>AVERAGE(BG143:BJ143)</f>
        <v>22384.06104546749</v>
      </c>
      <c r="Z150" s="974">
        <f>AVERAGE(BK143:BN143)</f>
        <v>22219.370425917499</v>
      </c>
      <c r="AA150" s="974">
        <f>AVERAGE(BO143:BR143)</f>
        <v>22075.373100072778</v>
      </c>
      <c r="AB150" s="974">
        <f>AVERAGE(BS143:BV143)</f>
        <v>21948.457082981335</v>
      </c>
      <c r="AC150" s="974">
        <f>AVERAGE(BW143:BZ143)</f>
        <v>21835.795859202131</v>
      </c>
      <c r="AD150" s="974">
        <f>AVERAGE(CA143:CD143)</f>
        <v>21735.147575802323</v>
      </c>
      <c r="AE150" s="974">
        <f>AVERAGE(CE143:CH143)</f>
        <v>21644.712465714365</v>
      </c>
      <c r="AF150" s="974">
        <f>AVERAGE(CI143:CL143)</f>
        <v>21563.029804885613</v>
      </c>
      <c r="AG150" s="974">
        <f>AVERAGE(CM143:CP143)</f>
        <v>21488.902239691579</v>
      </c>
      <c r="AH150" s="974">
        <f>AVERAGE(CQ143:CT143)</f>
        <v>21421.339401657089</v>
      </c>
      <c r="AI150" s="974">
        <f>AVERAGE(CU143:CX143)</f>
        <v>21359.515333888397</v>
      </c>
      <c r="AJ150" s="974">
        <f>AVERAGE(CY143:DB143)</f>
        <v>21302.735954390217</v>
      </c>
      <c r="AK150" s="974">
        <f>AVERAGE(DC143:DF143)</f>
        <v>21250.413911933752</v>
      </c>
      <c r="AL150" s="974">
        <f>AVERAGE(DG143:DJ143)</f>
        <v>21202.048954643298</v>
      </c>
      <c r="AM150" s="974">
        <f>AVERAGE(DK143:DN143)</f>
        <v>21157.212456725974</v>
      </c>
      <c r="AN150" s="974">
        <f>AVERAGE(DO143:DR143)</f>
        <v>21115.535114967672</v>
      </c>
    </row>
    <row r="151" spans="2:40" s="889" customFormat="1" ht="22.9" customHeight="1" thickBot="1">
      <c r="B151" s="1087" t="s">
        <v>1108</v>
      </c>
      <c r="C151" s="1087">
        <v>0.46279005574378818</v>
      </c>
      <c r="D151" s="1087">
        <v>0.57833486635929965</v>
      </c>
      <c r="E151" s="1087">
        <v>-0.11721681597884008</v>
      </c>
      <c r="F151" s="1087">
        <v>0.62987402801571812</v>
      </c>
      <c r="G151" s="1087">
        <v>1</v>
      </c>
      <c r="H151" s="1088" t="s">
        <v>1114</v>
      </c>
      <c r="I151" s="1089"/>
      <c r="J151" s="1089"/>
      <c r="K151" s="1089"/>
      <c r="L151" s="1089"/>
      <c r="N151" s="976"/>
      <c r="O151" s="969">
        <f>O150/(AVERAGE(O143:R143))-1</f>
        <v>-0.51223543034143759</v>
      </c>
      <c r="P151" s="970">
        <f>P150/O150-1</f>
        <v>-0.14193283845287308</v>
      </c>
      <c r="Q151" s="970">
        <f t="shared" ref="Q151:AN151" si="209">Q150/P150-1</f>
        <v>0.40692169061165018</v>
      </c>
      <c r="R151" s="970">
        <f t="shared" si="209"/>
        <v>4.0116237034415914E-2</v>
      </c>
      <c r="S151" s="970">
        <f t="shared" si="209"/>
        <v>-1.9258323534673716E-2</v>
      </c>
      <c r="T151" s="970">
        <f t="shared" si="209"/>
        <v>-0.12036901610246276</v>
      </c>
      <c r="U151" s="970">
        <f t="shared" si="209"/>
        <v>6.5122309715319071E-2</v>
      </c>
      <c r="V151" s="970">
        <f t="shared" si="209"/>
        <v>-2.1795919668110342E-2</v>
      </c>
      <c r="W151" s="970">
        <f t="shared" si="209"/>
        <v>8.5566695144856597E-2</v>
      </c>
      <c r="X151" s="970">
        <f t="shared" si="209"/>
        <v>4.2477289653298556E-2</v>
      </c>
      <c r="Y151" s="970">
        <f t="shared" si="209"/>
        <v>-8.4197719779193214E-3</v>
      </c>
      <c r="Z151" s="970">
        <f t="shared" si="209"/>
        <v>-7.3574951040146219E-3</v>
      </c>
      <c r="AA151" s="970">
        <f t="shared" si="209"/>
        <v>-6.4807113381014636E-3</v>
      </c>
      <c r="AB151" s="970">
        <f t="shared" si="209"/>
        <v>-5.7492127773380863E-3</v>
      </c>
      <c r="AC151" s="970">
        <f t="shared" si="209"/>
        <v>-5.1329905948860333E-3</v>
      </c>
      <c r="AD151" s="970">
        <f t="shared" si="209"/>
        <v>-4.6093251672066904E-3</v>
      </c>
      <c r="AE151" s="970">
        <f t="shared" si="209"/>
        <v>-4.1607773663629999E-3</v>
      </c>
      <c r="AF151" s="970">
        <f t="shared" si="209"/>
        <v>-3.7737928354621975E-3</v>
      </c>
      <c r="AG151" s="970">
        <f t="shared" si="209"/>
        <v>-3.4377156579934454E-3</v>
      </c>
      <c r="AH151" s="970">
        <f t="shared" si="209"/>
        <v>-3.1440804784199639E-3</v>
      </c>
      <c r="AI151" s="970">
        <f t="shared" si="209"/>
        <v>-2.8860972047298761E-3</v>
      </c>
      <c r="AJ151" s="970">
        <f t="shared" si="209"/>
        <v>-2.6582709677919203E-3</v>
      </c>
      <c r="AK151" s="970">
        <f t="shared" si="209"/>
        <v>-2.4561184332607677E-3</v>
      </c>
      <c r="AL151" s="970">
        <f t="shared" si="209"/>
        <v>-2.2759536586387519E-3</v>
      </c>
      <c r="AM151" s="970">
        <f t="shared" si="209"/>
        <v>-2.1147247614247133E-3</v>
      </c>
      <c r="AN151" s="970">
        <f t="shared" si="209"/>
        <v>-1.9698881335878937E-3</v>
      </c>
    </row>
    <row r="152" spans="2:40" s="889" customFormat="1" ht="22.9" customHeight="1" thickBot="1">
      <c r="N152" s="976" t="s">
        <v>860</v>
      </c>
      <c r="O152" s="1156">
        <f>O151*0.8+O148*0.2</f>
        <v>-0.36934807574085665</v>
      </c>
      <c r="P152" s="975">
        <f>P151*0.4+P148*0.6</f>
        <v>6.7904830222849766E-2</v>
      </c>
      <c r="Q152" s="975">
        <f t="shared" ref="Q152:S152" si="210">Q151*0.4+Q148*0.6</f>
        <v>0.28778647784034117</v>
      </c>
      <c r="R152" s="975">
        <f t="shared" si="210"/>
        <v>0.11085989575149402</v>
      </c>
      <c r="S152" s="975">
        <f t="shared" si="210"/>
        <v>7.7172086767388043E-2</v>
      </c>
      <c r="T152" s="975">
        <f t="shared" ref="T152" si="211">T151*0.4+T148*0.6</f>
        <v>-2.7543347517588093E-2</v>
      </c>
      <c r="U152" s="975">
        <f t="shared" ref="U152:V152" si="212">U151*0.4+U148*0.6</f>
        <v>0.10757058043367125</v>
      </c>
      <c r="V152" s="975">
        <f t="shared" si="212"/>
        <v>7.3434649601613652E-2</v>
      </c>
      <c r="W152" s="975">
        <f t="shared" ref="W152:X152" si="213">W151*0.4+W148*0.6</f>
        <v>7.1245804211940669E-2</v>
      </c>
      <c r="X152" s="975">
        <f t="shared" si="213"/>
        <v>9.0977914017406958E-2</v>
      </c>
      <c r="Y152" s="975">
        <f t="shared" ref="Y152" si="214">Y151*0.4+Y148*0.6</f>
        <v>6.6416849936355674E-2</v>
      </c>
      <c r="Z152" s="975">
        <f t="shared" ref="Z152" si="215">Z151*0.4+Z148*0.6</f>
        <v>6.3080925660716061E-2</v>
      </c>
      <c r="AA152" s="975">
        <f t="shared" ref="AA152" si="216">AA151*0.4+AA148*0.6</f>
        <v>6.0048386128914055E-2</v>
      </c>
      <c r="AB152" s="975">
        <f t="shared" ref="AB152" si="217">AB151*0.4+AB148*0.6</f>
        <v>5.7282146128525599E-2</v>
      </c>
      <c r="AC152" s="975">
        <f t="shared" ref="AC152" si="218">AC151*0.4+AC148*0.6</f>
        <v>5.4750399724543229E-2</v>
      </c>
      <c r="AD152" s="975">
        <f t="shared" ref="AD152" si="219">AD151*0.4+AD148*0.6</f>
        <v>5.2425850426168763E-2</v>
      </c>
      <c r="AE152" s="975">
        <f t="shared" ref="AE152:AF152" si="220">AE151*0.4+AE148*0.6</f>
        <v>5.0285031373915379E-2</v>
      </c>
      <c r="AF152" s="975">
        <f t="shared" si="220"/>
        <v>4.8307715903941201E-2</v>
      </c>
      <c r="AG152" s="975">
        <f t="shared" ref="AG152" si="221">AG151*0.4+AG148*0.6</f>
        <v>4.647641635174269E-2</v>
      </c>
      <c r="AH152" s="975">
        <f t="shared" ref="AH152" si="222">AH151*0.4+AH148*0.6</f>
        <v>4.4775962310601082E-2</v>
      </c>
      <c r="AI152" s="975">
        <f t="shared" ref="AI152" si="223">AI151*0.4+AI148*0.6</f>
        <v>4.3193147594399003E-2</v>
      </c>
      <c r="AJ152" s="975">
        <f t="shared" ref="AJ152" si="224">AJ151*0.4+AJ148*0.6</f>
        <v>4.171643531519411E-2</v>
      </c>
      <c r="AK152" s="975">
        <f t="shared" ref="AK152" si="225">AK151*0.4+AK148*0.6</f>
        <v>4.0335711520472856E-2</v>
      </c>
      <c r="AL152" s="975">
        <f t="shared" ref="AL152" si="226">AL151*0.4+AL148*0.6</f>
        <v>3.9042079140263211E-2</v>
      </c>
      <c r="AM152" s="975">
        <f t="shared" ref="AM152:AN152" si="227">AM151*0.4+AM148*0.6</f>
        <v>3.7827685292293675E-2</v>
      </c>
      <c r="AN152" s="975">
        <f t="shared" si="227"/>
        <v>3.6685576167897471E-2</v>
      </c>
    </row>
    <row r="153" spans="2:40" ht="18" customHeight="1">
      <c r="B153" s="914"/>
      <c r="C153" s="879" t="s">
        <v>994</v>
      </c>
      <c r="D153" s="879" t="s">
        <v>932</v>
      </c>
      <c r="E153" s="879" t="s">
        <v>934</v>
      </c>
      <c r="K153" s="1121" t="s">
        <v>1115</v>
      </c>
      <c r="L153" s="990">
        <v>0</v>
      </c>
      <c r="N153" s="1055" t="s">
        <v>1116</v>
      </c>
      <c r="O153" s="1056">
        <f>IF(O151&lt;O148,O151,O148*0.2+0.8*O151)</f>
        <v>-0.51223543034143759</v>
      </c>
      <c r="P153" s="1056">
        <f>IF(P151&gt;P148,P151,P148+P151)</f>
        <v>6.586377088712525E-2</v>
      </c>
      <c r="Q153" s="1056">
        <f t="shared" ref="Q153:AN153" si="228">IF(Q151&gt;Q148,Q151,Q148+Q151)</f>
        <v>0.40692169061165018</v>
      </c>
      <c r="R153" s="1056">
        <f t="shared" si="228"/>
        <v>0.19813857193062867</v>
      </c>
      <c r="S153" s="1056">
        <f t="shared" si="228"/>
        <v>0.12220070343408884</v>
      </c>
      <c r="T153" s="1056">
        <f t="shared" si="228"/>
        <v>-8.6028584563467736E-2</v>
      </c>
      <c r="U153" s="1056">
        <f t="shared" si="228"/>
        <v>0.20099173729455844</v>
      </c>
      <c r="V153" s="1056">
        <f t="shared" si="228"/>
        <v>0.11512577611331931</v>
      </c>
      <c r="W153" s="1056">
        <f t="shared" si="228"/>
        <v>8.5566695144856597E-2</v>
      </c>
      <c r="X153" s="1056">
        <f t="shared" si="228"/>
        <v>0.16578895324677778</v>
      </c>
      <c r="Y153" s="1056">
        <f t="shared" si="228"/>
        <v>0.1078881592346197</v>
      </c>
      <c r="Z153" s="1056">
        <f t="shared" si="228"/>
        <v>0.10268237773318856</v>
      </c>
      <c r="AA153" s="1056">
        <f t="shared" si="228"/>
        <v>9.7920406435489604E-2</v>
      </c>
      <c r="AB153" s="1056">
        <f t="shared" si="228"/>
        <v>9.3553839288429974E-2</v>
      </c>
      <c r="AC153" s="1056">
        <f t="shared" si="228"/>
        <v>8.953966934261004E-2</v>
      </c>
      <c r="AD153" s="1056">
        <f t="shared" si="228"/>
        <v>8.5839975654545708E-2</v>
      </c>
      <c r="AE153" s="1056">
        <f t="shared" si="228"/>
        <v>8.2421459834404631E-2</v>
      </c>
      <c r="AF153" s="1056">
        <f t="shared" si="228"/>
        <v>7.9254928894747945E-2</v>
      </c>
      <c r="AG153" s="1056">
        <f t="shared" si="228"/>
        <v>7.6314788700239999E-2</v>
      </c>
      <c r="AH153" s="1056">
        <f t="shared" si="228"/>
        <v>7.3578577024861813E-2</v>
      </c>
      <c r="AI153" s="1056">
        <f t="shared" si="228"/>
        <v>7.1026546922421718E-2</v>
      </c>
      <c r="AJ153" s="1056">
        <f t="shared" si="228"/>
        <v>6.8641301869392879E-2</v>
      </c>
      <c r="AK153" s="1056">
        <f t="shared" si="228"/>
        <v>6.6407479723034513E-2</v>
      </c>
      <c r="AL153" s="1056">
        <f t="shared" si="228"/>
        <v>6.431148068089243E-2</v>
      </c>
      <c r="AM153" s="1056">
        <f t="shared" si="228"/>
        <v>6.2341233900014559E-2</v>
      </c>
      <c r="AN153" s="1056">
        <f t="shared" si="228"/>
        <v>6.0485997568633154E-2</v>
      </c>
    </row>
    <row r="154" spans="2:40" ht="21">
      <c r="B154" s="468" t="s">
        <v>994</v>
      </c>
      <c r="C154">
        <v>1</v>
      </c>
      <c r="D154"/>
      <c r="E154"/>
      <c r="F154" s="979" t="s">
        <v>1117</v>
      </c>
      <c r="K154" s="1121" t="s">
        <v>1118</v>
      </c>
      <c r="L154" s="990">
        <v>0.25</v>
      </c>
    </row>
    <row r="155" spans="2:40" ht="13.9" customHeight="1">
      <c r="B155" s="468" t="s">
        <v>932</v>
      </c>
      <c r="C155">
        <v>0.97033824954241343</v>
      </c>
      <c r="D155">
        <v>1</v>
      </c>
      <c r="E155"/>
      <c r="F155" s="1499" t="s">
        <v>1119</v>
      </c>
      <c r="G155" s="1499"/>
      <c r="H155" s="1499"/>
      <c r="I155" s="1499"/>
    </row>
    <row r="156" spans="2:40" ht="18" customHeight="1" thickBot="1">
      <c r="B156" s="915" t="s">
        <v>934</v>
      </c>
      <c r="C156" s="878">
        <v>-0.82670246257523927</v>
      </c>
      <c r="D156" s="878">
        <v>-0.80372538230705759</v>
      </c>
      <c r="E156" s="878">
        <v>1</v>
      </c>
      <c r="F156" s="1500"/>
      <c r="G156" s="1500"/>
      <c r="H156" s="1500"/>
      <c r="I156" s="1500"/>
      <c r="K156" s="980"/>
      <c r="L156" s="980"/>
      <c r="M156" s="981" t="s">
        <v>1120</v>
      </c>
      <c r="S156" s="966"/>
    </row>
    <row r="157" spans="2:40" ht="14.45" thickBot="1">
      <c r="B157" s="745"/>
      <c r="C157" s="746"/>
      <c r="K157" s="981" t="s">
        <v>1121</v>
      </c>
      <c r="L157" s="982">
        <f>DR140/K140</f>
        <v>28.717095588505675</v>
      </c>
      <c r="M157" s="983">
        <f>DR140</f>
        <v>12741516.858759671</v>
      </c>
      <c r="S157" s="966"/>
    </row>
    <row r="158" spans="2:40" ht="13.9">
      <c r="B158" s="879"/>
      <c r="C158" s="879" t="s">
        <v>1122</v>
      </c>
      <c r="D158" s="879" t="s">
        <v>135</v>
      </c>
      <c r="K158" s="981" t="s">
        <v>1123</v>
      </c>
      <c r="L158" s="984">
        <v>22</v>
      </c>
      <c r="M158" s="983">
        <f>K140*22</f>
        <v>9761202</v>
      </c>
      <c r="O158" s="980"/>
      <c r="P158" s="980"/>
      <c r="Q158" s="980"/>
    </row>
    <row r="159" spans="2:40" ht="13.9" customHeight="1">
      <c r="B159" t="str">
        <f>C158</f>
        <v>BEV Sales</v>
      </c>
      <c r="C159">
        <v>1</v>
      </c>
      <c r="D159"/>
      <c r="E159" s="1501" t="s">
        <v>1124</v>
      </c>
      <c r="F159" s="1501"/>
    </row>
    <row r="160" spans="2:40" ht="13.9" thickBot="1">
      <c r="B160" s="878" t="str">
        <f>D158</f>
        <v>Net Sales</v>
      </c>
      <c r="C160" s="878">
        <v>0.94029192193250277</v>
      </c>
      <c r="D160" s="878">
        <v>1</v>
      </c>
      <c r="E160" s="1502"/>
      <c r="F160" s="1502"/>
      <c r="R160" s="543"/>
    </row>
    <row r="161" spans="2:24">
      <c r="B161" s="953"/>
      <c r="C161" s="945"/>
      <c r="D161" s="946"/>
      <c r="E161" s="946"/>
      <c r="R161" s="543"/>
    </row>
    <row r="166" spans="2:24">
      <c r="B166" s="953"/>
      <c r="C166" s="945"/>
      <c r="D166" s="946"/>
      <c r="E166" s="946"/>
    </row>
    <row r="167" spans="2:24">
      <c r="B167" s="954"/>
      <c r="C167" s="955"/>
      <c r="D167" s="956"/>
      <c r="E167" s="956"/>
    </row>
    <row r="168" spans="2:24">
      <c r="B168" s="957"/>
      <c r="C168" s="958"/>
      <c r="D168" s="959"/>
      <c r="E168" s="959"/>
    </row>
    <row r="169" spans="2:24">
      <c r="X169" s="987"/>
    </row>
    <row r="174" spans="2:24">
      <c r="B174" s="745"/>
      <c r="C174" s="746"/>
    </row>
    <row r="175" spans="2:24">
      <c r="B175" s="745"/>
      <c r="C175" s="746"/>
    </row>
    <row r="176" spans="2:24">
      <c r="B176" s="745"/>
      <c r="C176" s="746"/>
    </row>
    <row r="177" spans="2:5">
      <c r="B177" s="745"/>
      <c r="C177" s="746"/>
    </row>
    <row r="178" spans="2:5">
      <c r="B178" s="745"/>
      <c r="C178" s="746"/>
    </row>
    <row r="179" spans="2:5">
      <c r="B179" s="745"/>
      <c r="C179" s="746"/>
    </row>
    <row r="180" spans="2:5">
      <c r="B180" s="745"/>
      <c r="C180" s="746"/>
    </row>
    <row r="181" spans="2:5">
      <c r="B181" s="745"/>
      <c r="C181" s="952"/>
      <c r="D181" s="932"/>
      <c r="E181" s="932"/>
    </row>
    <row r="182" spans="2:5">
      <c r="B182" s="745"/>
      <c r="C182" s="746"/>
    </row>
    <row r="183" spans="2:5">
      <c r="B183" s="745"/>
      <c r="C183" s="746"/>
    </row>
    <row r="184" spans="2:5">
      <c r="B184" s="745"/>
      <c r="C184" s="746"/>
    </row>
    <row r="185" spans="2:5">
      <c r="B185" s="745"/>
      <c r="C185" s="746"/>
    </row>
    <row r="186" spans="2:5">
      <c r="B186" s="745"/>
      <c r="C186" s="746"/>
    </row>
    <row r="187" spans="2:5">
      <c r="B187" s="745"/>
      <c r="C187" s="746"/>
    </row>
    <row r="188" spans="2:5">
      <c r="B188" s="745"/>
      <c r="C188" s="746"/>
    </row>
    <row r="189" spans="2:5">
      <c r="B189" s="745"/>
      <c r="C189" s="746"/>
    </row>
    <row r="190" spans="2:5">
      <c r="B190" s="745"/>
      <c r="C190" s="746"/>
    </row>
    <row r="191" spans="2:5">
      <c r="B191" s="745"/>
      <c r="C191" s="746"/>
    </row>
    <row r="192" spans="2:5">
      <c r="B192" s="745"/>
      <c r="C192" s="746"/>
    </row>
    <row r="193" spans="2:3">
      <c r="B193" s="745"/>
      <c r="C193" s="746"/>
    </row>
    <row r="194" spans="2:3">
      <c r="B194" s="745"/>
      <c r="C194" s="746"/>
    </row>
    <row r="195" spans="2:3">
      <c r="B195" s="745"/>
      <c r="C195" s="746"/>
    </row>
    <row r="196" spans="2:3">
      <c r="B196" s="745"/>
      <c r="C196" s="746"/>
    </row>
    <row r="197" spans="2:3">
      <c r="B197" s="745"/>
      <c r="C197" s="746"/>
    </row>
    <row r="198" spans="2:3">
      <c r="B198" s="745"/>
      <c r="C198" s="746"/>
    </row>
    <row r="199" spans="2:3">
      <c r="B199" s="745"/>
      <c r="C199" s="746"/>
    </row>
    <row r="200" spans="2:3">
      <c r="B200" s="745"/>
      <c r="C200" s="746"/>
    </row>
    <row r="201" spans="2:3">
      <c r="B201" s="745"/>
      <c r="C201" s="746"/>
    </row>
    <row r="202" spans="2:3">
      <c r="B202" s="745"/>
      <c r="C202" s="746"/>
    </row>
    <row r="203" spans="2:3">
      <c r="B203" s="745"/>
      <c r="C203" s="746"/>
    </row>
    <row r="204" spans="2:3">
      <c r="B204" s="745"/>
      <c r="C204" s="746"/>
    </row>
    <row r="205" spans="2:3">
      <c r="B205" s="745"/>
      <c r="C205" s="746"/>
    </row>
    <row r="206" spans="2:3">
      <c r="B206" s="745"/>
      <c r="C206" s="746"/>
    </row>
    <row r="207" spans="2:3">
      <c r="B207" s="745"/>
      <c r="C207" s="746"/>
    </row>
    <row r="208" spans="2:3">
      <c r="B208" s="745"/>
      <c r="C208" s="746"/>
    </row>
    <row r="209" spans="2:48">
      <c r="B209" s="745"/>
      <c r="C209" s="746"/>
    </row>
    <row r="210" spans="2:48">
      <c r="B210" s="745"/>
      <c r="C210" s="746"/>
    </row>
    <row r="211" spans="2:48">
      <c r="B211" s="745"/>
      <c r="C211" s="746"/>
    </row>
    <row r="212" spans="2:48">
      <c r="B212" s="745"/>
      <c r="C212" s="746"/>
    </row>
    <row r="213" spans="2:48">
      <c r="B213" s="745"/>
      <c r="C213" s="746"/>
      <c r="V213" s="988"/>
      <c r="W213" s="989"/>
      <c r="X213" s="989"/>
      <c r="Y213" s="989"/>
      <c r="Z213" s="989"/>
      <c r="AA213" s="989"/>
      <c r="AB213" s="989"/>
      <c r="AC213" s="989"/>
      <c r="AD213" s="989"/>
      <c r="AE213" s="989"/>
      <c r="AF213" s="989"/>
      <c r="AG213" s="989"/>
      <c r="AH213" s="989"/>
      <c r="AI213" s="989"/>
      <c r="AJ213" s="989"/>
      <c r="AK213" s="989"/>
      <c r="AL213" s="989"/>
      <c r="AM213" s="989"/>
      <c r="AN213" s="989"/>
      <c r="AO213" s="989"/>
      <c r="AP213" s="989"/>
      <c r="AQ213" s="989"/>
      <c r="AR213" s="989"/>
      <c r="AS213" s="989"/>
      <c r="AT213" s="989"/>
      <c r="AU213" s="989"/>
      <c r="AV213" s="989"/>
    </row>
    <row r="214" spans="2:48">
      <c r="B214" s="745"/>
      <c r="C214" s="746"/>
    </row>
    <row r="215" spans="2:48">
      <c r="B215" s="745"/>
      <c r="C215" s="746"/>
    </row>
    <row r="216" spans="2:48">
      <c r="B216" s="745"/>
      <c r="C216" s="746"/>
    </row>
    <row r="217" spans="2:48">
      <c r="B217" s="745"/>
      <c r="C217" s="746"/>
    </row>
    <row r="218" spans="2:48">
      <c r="B218" s="745"/>
      <c r="C218" s="746"/>
    </row>
    <row r="219" spans="2:48">
      <c r="B219" s="745"/>
      <c r="C219" s="746"/>
    </row>
    <row r="220" spans="2:48">
      <c r="B220" s="745"/>
      <c r="C220" s="746"/>
    </row>
    <row r="221" spans="2:48">
      <c r="B221" s="745"/>
      <c r="C221" s="746"/>
    </row>
    <row r="222" spans="2:48">
      <c r="B222" s="745"/>
      <c r="C222" s="746"/>
    </row>
    <row r="223" spans="2:48">
      <c r="B223" s="745"/>
      <c r="C223" s="746"/>
    </row>
    <row r="224" spans="2:48">
      <c r="B224" s="745"/>
      <c r="C224" s="746"/>
    </row>
    <row r="225" spans="2:3">
      <c r="B225" s="745"/>
      <c r="C225" s="746"/>
    </row>
    <row r="226" spans="2:3">
      <c r="B226" s="745"/>
      <c r="C226" s="746"/>
    </row>
    <row r="227" spans="2:3">
      <c r="B227" s="745"/>
      <c r="C227" s="746"/>
    </row>
    <row r="228" spans="2:3">
      <c r="B228" s="745"/>
      <c r="C228" s="746"/>
    </row>
    <row r="229" spans="2:3">
      <c r="B229" s="745"/>
      <c r="C229" s="746"/>
    </row>
    <row r="230" spans="2:3">
      <c r="B230" s="745"/>
      <c r="C230" s="746"/>
    </row>
    <row r="231" spans="2:3">
      <c r="B231" s="745"/>
      <c r="C231" s="746"/>
    </row>
    <row r="232" spans="2:3">
      <c r="B232" s="745"/>
      <c r="C232" s="746"/>
    </row>
    <row r="233" spans="2:3">
      <c r="B233" s="745"/>
      <c r="C233" s="746"/>
    </row>
    <row r="234" spans="2:3">
      <c r="B234" s="745"/>
      <c r="C234" s="746"/>
    </row>
    <row r="235" spans="2:3">
      <c r="B235" s="745"/>
      <c r="C235" s="746"/>
    </row>
    <row r="236" spans="2:3">
      <c r="B236" s="745"/>
      <c r="C236" s="746"/>
    </row>
    <row r="237" spans="2:3">
      <c r="B237" s="745"/>
      <c r="C237" s="746"/>
    </row>
    <row r="238" spans="2:3">
      <c r="B238" s="745"/>
      <c r="C238" s="746"/>
    </row>
    <row r="239" spans="2:3">
      <c r="B239" s="745"/>
      <c r="C239" s="746"/>
    </row>
    <row r="240" spans="2:3">
      <c r="B240" s="745"/>
      <c r="C240" s="746"/>
    </row>
    <row r="241" spans="2:3">
      <c r="B241" s="745"/>
      <c r="C241" s="746"/>
    </row>
    <row r="242" spans="2:3">
      <c r="B242" s="745"/>
      <c r="C242" s="746"/>
    </row>
    <row r="243" spans="2:3">
      <c r="B243" s="745"/>
      <c r="C243" s="746"/>
    </row>
    <row r="244" spans="2:3">
      <c r="B244" s="745"/>
      <c r="C244" s="746"/>
    </row>
    <row r="245" spans="2:3">
      <c r="B245" s="745"/>
      <c r="C245" s="746"/>
    </row>
    <row r="246" spans="2:3">
      <c r="B246" s="745"/>
      <c r="C246" s="746"/>
    </row>
    <row r="247" spans="2:3">
      <c r="B247" s="745"/>
      <c r="C247" s="746"/>
    </row>
    <row r="248" spans="2:3">
      <c r="B248" s="745"/>
      <c r="C248" s="746"/>
    </row>
    <row r="249" spans="2:3">
      <c r="B249" s="745"/>
      <c r="C249" s="746"/>
    </row>
    <row r="250" spans="2:3">
      <c r="B250" s="745"/>
      <c r="C250" s="746"/>
    </row>
    <row r="251" spans="2:3">
      <c r="B251" s="745"/>
      <c r="C251" s="746"/>
    </row>
    <row r="252" spans="2:3">
      <c r="B252" s="745"/>
      <c r="C252" s="746"/>
    </row>
    <row r="253" spans="2:3">
      <c r="B253" s="745"/>
      <c r="C253" s="746"/>
    </row>
    <row r="254" spans="2:3">
      <c r="B254" s="745"/>
      <c r="C254" s="746"/>
    </row>
    <row r="255" spans="2:3">
      <c r="B255" s="745"/>
      <c r="C255" s="746"/>
    </row>
    <row r="256" spans="2:3">
      <c r="B256" s="745"/>
      <c r="C256" s="746"/>
    </row>
    <row r="257" spans="2:3">
      <c r="B257" s="745"/>
      <c r="C257" s="746"/>
    </row>
    <row r="258" spans="2:3">
      <c r="B258" s="745"/>
      <c r="C258" s="746"/>
    </row>
    <row r="259" spans="2:3">
      <c r="B259" s="745"/>
      <c r="C259" s="746"/>
    </row>
    <row r="260" spans="2:3">
      <c r="B260" s="745"/>
      <c r="C260" s="746"/>
    </row>
    <row r="261" spans="2:3">
      <c r="B261" s="745"/>
      <c r="C261" s="746"/>
    </row>
    <row r="262" spans="2:3">
      <c r="B262" s="745"/>
      <c r="C262" s="746"/>
    </row>
    <row r="263" spans="2:3">
      <c r="B263" s="745"/>
      <c r="C263" s="746"/>
    </row>
    <row r="264" spans="2:3">
      <c r="B264" s="745"/>
      <c r="C264" s="746"/>
    </row>
    <row r="265" spans="2:3">
      <c r="B265" s="745"/>
      <c r="C265" s="746"/>
    </row>
    <row r="266" spans="2:3">
      <c r="B266" s="745"/>
      <c r="C266" s="746"/>
    </row>
    <row r="267" spans="2:3">
      <c r="B267" s="745"/>
      <c r="C267" s="746"/>
    </row>
    <row r="268" spans="2:3">
      <c r="B268" s="745"/>
      <c r="C268" s="746"/>
    </row>
    <row r="269" spans="2:3">
      <c r="B269" s="745"/>
      <c r="C269" s="746"/>
    </row>
    <row r="270" spans="2:3">
      <c r="B270" s="745"/>
      <c r="C270" s="746"/>
    </row>
    <row r="271" spans="2:3">
      <c r="B271" s="745"/>
      <c r="C271" s="746"/>
    </row>
    <row r="272" spans="2:3">
      <c r="B272" s="745"/>
      <c r="C272" s="746"/>
    </row>
    <row r="273" spans="2:3">
      <c r="B273" s="745"/>
      <c r="C273" s="746"/>
    </row>
    <row r="274" spans="2:3">
      <c r="B274" s="745"/>
      <c r="C274" s="746"/>
    </row>
    <row r="275" spans="2:3">
      <c r="B275" s="745"/>
      <c r="C275" s="746"/>
    </row>
    <row r="276" spans="2:3">
      <c r="B276" s="745"/>
      <c r="C276" s="746"/>
    </row>
    <row r="277" spans="2:3">
      <c r="B277" s="745"/>
      <c r="C277" s="746"/>
    </row>
    <row r="278" spans="2:3">
      <c r="B278" s="745"/>
      <c r="C278" s="746"/>
    </row>
    <row r="279" spans="2:3">
      <c r="B279" s="745"/>
      <c r="C279" s="746"/>
    </row>
    <row r="280" spans="2:3">
      <c r="B280" s="745"/>
      <c r="C280" s="746"/>
    </row>
    <row r="281" spans="2:3">
      <c r="B281" s="745"/>
      <c r="C281" s="746"/>
    </row>
    <row r="282" spans="2:3">
      <c r="B282" s="745"/>
      <c r="C282" s="746"/>
    </row>
    <row r="283" spans="2:3">
      <c r="B283" s="745"/>
      <c r="C283" s="746"/>
    </row>
    <row r="284" spans="2:3">
      <c r="B284" s="745"/>
      <c r="C284" s="746"/>
    </row>
    <row r="285" spans="2:3">
      <c r="B285" s="745"/>
      <c r="C285" s="746"/>
    </row>
    <row r="286" spans="2:3">
      <c r="B286" s="745"/>
      <c r="C286" s="746"/>
    </row>
    <row r="287" spans="2:3">
      <c r="B287" s="745"/>
      <c r="C287" s="746"/>
    </row>
    <row r="288" spans="2:3">
      <c r="B288" s="745"/>
      <c r="C288" s="746"/>
    </row>
    <row r="289" spans="2:3">
      <c r="B289" s="745"/>
      <c r="C289" s="746"/>
    </row>
    <row r="290" spans="2:3">
      <c r="B290" s="745"/>
      <c r="C290" s="746"/>
    </row>
    <row r="291" spans="2:3">
      <c r="B291" s="745"/>
      <c r="C291" s="746"/>
    </row>
    <row r="292" spans="2:3">
      <c r="B292" s="745"/>
      <c r="C292" s="746"/>
    </row>
    <row r="293" spans="2:3">
      <c r="B293" s="745"/>
      <c r="C293" s="746"/>
    </row>
    <row r="294" spans="2:3">
      <c r="B294" s="745"/>
      <c r="C294" s="746"/>
    </row>
    <row r="295" spans="2:3">
      <c r="B295" s="745"/>
      <c r="C295" s="746"/>
    </row>
    <row r="296" spans="2:3">
      <c r="B296" s="745"/>
      <c r="C296" s="746"/>
    </row>
    <row r="297" spans="2:3">
      <c r="B297" s="745"/>
      <c r="C297" s="746"/>
    </row>
    <row r="298" spans="2:3">
      <c r="B298" s="745"/>
      <c r="C298" s="746"/>
    </row>
    <row r="299" spans="2:3">
      <c r="B299" s="745"/>
      <c r="C299" s="746"/>
    </row>
    <row r="300" spans="2:3">
      <c r="B300" s="745"/>
      <c r="C300" s="746"/>
    </row>
    <row r="301" spans="2:3">
      <c r="B301" s="745"/>
      <c r="C301" s="746"/>
    </row>
    <row r="302" spans="2:3">
      <c r="B302" s="745"/>
      <c r="C302" s="746"/>
    </row>
    <row r="303" spans="2:3">
      <c r="B303" s="745"/>
      <c r="C303" s="746"/>
    </row>
    <row r="304" spans="2:3">
      <c r="B304" s="745"/>
      <c r="C304" s="746"/>
    </row>
    <row r="305" spans="2:3">
      <c r="B305" s="745"/>
      <c r="C305" s="746"/>
    </row>
    <row r="306" spans="2:3">
      <c r="B306" s="745"/>
      <c r="C306" s="746"/>
    </row>
    <row r="307" spans="2:3">
      <c r="B307" s="745"/>
      <c r="C307" s="746"/>
    </row>
    <row r="308" spans="2:3">
      <c r="B308" s="745"/>
      <c r="C308" s="746"/>
    </row>
    <row r="309" spans="2:3">
      <c r="B309" s="745"/>
      <c r="C309" s="746"/>
    </row>
    <row r="310" spans="2:3">
      <c r="B310" s="745"/>
      <c r="C310" s="746"/>
    </row>
    <row r="311" spans="2:3">
      <c r="B311" s="745"/>
      <c r="C311" s="746"/>
    </row>
    <row r="312" spans="2:3">
      <c r="B312" s="745"/>
      <c r="C312" s="746"/>
    </row>
    <row r="313" spans="2:3">
      <c r="B313" s="745"/>
      <c r="C313" s="746"/>
    </row>
    <row r="314" spans="2:3">
      <c r="B314" s="745"/>
      <c r="C314" s="746"/>
    </row>
    <row r="315" spans="2:3">
      <c r="B315" s="745"/>
      <c r="C315" s="746"/>
    </row>
    <row r="316" spans="2:3">
      <c r="B316" s="745"/>
      <c r="C316" s="746"/>
    </row>
    <row r="317" spans="2:3">
      <c r="B317" s="745"/>
      <c r="C317" s="746"/>
    </row>
    <row r="318" spans="2:3">
      <c r="B318" s="745"/>
      <c r="C318" s="746"/>
    </row>
    <row r="319" spans="2:3">
      <c r="B319" s="745"/>
      <c r="C319" s="746"/>
    </row>
    <row r="320" spans="2:3">
      <c r="B320" s="745"/>
      <c r="C320" s="746"/>
    </row>
    <row r="321" spans="2:3">
      <c r="B321" s="745"/>
      <c r="C321" s="746"/>
    </row>
    <row r="322" spans="2:3">
      <c r="B322" s="745"/>
      <c r="C322" s="746"/>
    </row>
    <row r="323" spans="2:3">
      <c r="B323" s="745"/>
      <c r="C323" s="746"/>
    </row>
    <row r="324" spans="2:3">
      <c r="B324" s="745"/>
      <c r="C324" s="746"/>
    </row>
    <row r="325" spans="2:3">
      <c r="B325" s="745"/>
      <c r="C325" s="746"/>
    </row>
    <row r="326" spans="2:3">
      <c r="B326" s="745"/>
      <c r="C326" s="746"/>
    </row>
    <row r="327" spans="2:3">
      <c r="B327" s="745"/>
      <c r="C327" s="746"/>
    </row>
    <row r="328" spans="2:3">
      <c r="B328" s="745"/>
      <c r="C328" s="746"/>
    </row>
    <row r="329" spans="2:3">
      <c r="B329" s="745"/>
      <c r="C329" s="746"/>
    </row>
    <row r="330" spans="2:3">
      <c r="B330" s="745"/>
      <c r="C330" s="746"/>
    </row>
    <row r="331" spans="2:3">
      <c r="B331" s="745"/>
      <c r="C331" s="746"/>
    </row>
    <row r="332" spans="2:3">
      <c r="B332" s="745"/>
      <c r="C332" s="746"/>
    </row>
    <row r="333" spans="2:3">
      <c r="B333" s="745"/>
      <c r="C333" s="746"/>
    </row>
    <row r="334" spans="2:3">
      <c r="B334" s="745"/>
      <c r="C334" s="746"/>
    </row>
    <row r="335" spans="2:3">
      <c r="B335" s="745"/>
      <c r="C335" s="746"/>
    </row>
    <row r="336" spans="2:3">
      <c r="B336" s="745"/>
      <c r="C336" s="746"/>
    </row>
    <row r="337" spans="2:3">
      <c r="B337" s="745"/>
      <c r="C337" s="746"/>
    </row>
    <row r="338" spans="2:3">
      <c r="B338" s="745"/>
      <c r="C338" s="746"/>
    </row>
    <row r="339" spans="2:3">
      <c r="B339" s="745"/>
      <c r="C339" s="746"/>
    </row>
    <row r="340" spans="2:3">
      <c r="B340" s="745"/>
      <c r="C340" s="746"/>
    </row>
    <row r="341" spans="2:3">
      <c r="B341" s="745"/>
      <c r="C341" s="746"/>
    </row>
    <row r="342" spans="2:3">
      <c r="B342" s="745"/>
      <c r="C342" s="746"/>
    </row>
    <row r="343" spans="2:3">
      <c r="B343" s="745"/>
      <c r="C343" s="746"/>
    </row>
    <row r="344" spans="2:3">
      <c r="B344" s="745"/>
      <c r="C344" s="746"/>
    </row>
    <row r="345" spans="2:3">
      <c r="B345" s="745"/>
      <c r="C345" s="746"/>
    </row>
    <row r="346" spans="2:3">
      <c r="B346" s="745"/>
      <c r="C346" s="746"/>
    </row>
    <row r="347" spans="2:3">
      <c r="B347" s="745"/>
      <c r="C347" s="746"/>
    </row>
    <row r="348" spans="2:3">
      <c r="B348" s="745"/>
      <c r="C348" s="746"/>
    </row>
    <row r="349" spans="2:3">
      <c r="B349" s="745"/>
      <c r="C349" s="746"/>
    </row>
    <row r="350" spans="2:3">
      <c r="B350" s="745"/>
      <c r="C350" s="746"/>
    </row>
    <row r="351" spans="2:3">
      <c r="B351" s="745"/>
      <c r="C351" s="746"/>
    </row>
    <row r="352" spans="2:3">
      <c r="B352" s="745"/>
      <c r="C352" s="746"/>
    </row>
    <row r="353" spans="2:3">
      <c r="B353" s="745"/>
      <c r="C353" s="746"/>
    </row>
    <row r="354" spans="2:3">
      <c r="B354" s="745"/>
      <c r="C354" s="746"/>
    </row>
    <row r="355" spans="2:3">
      <c r="B355" s="745"/>
      <c r="C355" s="746"/>
    </row>
    <row r="356" spans="2:3">
      <c r="B356" s="745"/>
      <c r="C356" s="746"/>
    </row>
    <row r="357" spans="2:3">
      <c r="B357" s="745"/>
      <c r="C357" s="746"/>
    </row>
    <row r="358" spans="2:3">
      <c r="B358" s="745"/>
      <c r="C358" s="746"/>
    </row>
    <row r="359" spans="2:3">
      <c r="B359" s="745"/>
      <c r="C359" s="746"/>
    </row>
    <row r="360" spans="2:3">
      <c r="B360" s="745"/>
      <c r="C360" s="746"/>
    </row>
    <row r="361" spans="2:3">
      <c r="B361" s="745"/>
      <c r="C361" s="746"/>
    </row>
    <row r="362" spans="2:3">
      <c r="B362" s="745"/>
      <c r="C362" s="746"/>
    </row>
    <row r="363" spans="2:3">
      <c r="B363" s="745"/>
      <c r="C363" s="746"/>
    </row>
    <row r="364" spans="2:3">
      <c r="B364" s="745"/>
      <c r="C364" s="746"/>
    </row>
    <row r="365" spans="2:3">
      <c r="B365" s="745"/>
      <c r="C365" s="746"/>
    </row>
    <row r="366" spans="2:3">
      <c r="B366" s="745"/>
      <c r="C366" s="746"/>
    </row>
    <row r="367" spans="2:3">
      <c r="B367" s="745"/>
      <c r="C367" s="746"/>
    </row>
    <row r="368" spans="2:3">
      <c r="B368" s="745"/>
      <c r="C368" s="746"/>
    </row>
    <row r="369" spans="2:3">
      <c r="B369" s="745"/>
      <c r="C369" s="746"/>
    </row>
    <row r="370" spans="2:3">
      <c r="B370" s="745"/>
      <c r="C370" s="746"/>
    </row>
    <row r="371" spans="2:3">
      <c r="B371" s="745"/>
      <c r="C371" s="746"/>
    </row>
    <row r="372" spans="2:3">
      <c r="B372" s="745"/>
      <c r="C372" s="746"/>
    </row>
    <row r="373" spans="2:3">
      <c r="B373" s="745"/>
      <c r="C373" s="746"/>
    </row>
    <row r="374" spans="2:3">
      <c r="B374" s="745"/>
      <c r="C374" s="746"/>
    </row>
    <row r="375" spans="2:3">
      <c r="B375" s="745"/>
      <c r="C375" s="746"/>
    </row>
    <row r="376" spans="2:3">
      <c r="B376" s="745"/>
      <c r="C376" s="746"/>
    </row>
    <row r="377" spans="2:3">
      <c r="B377" s="745"/>
      <c r="C377" s="746"/>
    </row>
    <row r="378" spans="2:3">
      <c r="B378" s="745"/>
      <c r="C378" s="746"/>
    </row>
    <row r="379" spans="2:3">
      <c r="B379" s="745"/>
      <c r="C379" s="746"/>
    </row>
    <row r="380" spans="2:3">
      <c r="B380" s="745"/>
      <c r="C380" s="746"/>
    </row>
    <row r="381" spans="2:3">
      <c r="B381" s="745"/>
      <c r="C381" s="746"/>
    </row>
    <row r="382" spans="2:3">
      <c r="B382" s="745"/>
      <c r="C382" s="746"/>
    </row>
    <row r="383" spans="2:3">
      <c r="B383" s="745"/>
      <c r="C383" s="746"/>
    </row>
    <row r="384" spans="2:3">
      <c r="B384" s="745"/>
      <c r="C384" s="746"/>
    </row>
    <row r="385" spans="2:3">
      <c r="B385" s="745"/>
      <c r="C385" s="746"/>
    </row>
    <row r="386" spans="2:3">
      <c r="B386" s="745"/>
      <c r="C386" s="746"/>
    </row>
    <row r="387" spans="2:3">
      <c r="B387" s="745"/>
      <c r="C387" s="746"/>
    </row>
    <row r="388" spans="2:3">
      <c r="B388" s="745"/>
      <c r="C388" s="746"/>
    </row>
    <row r="389" spans="2:3">
      <c r="B389" s="745"/>
      <c r="C389" s="746"/>
    </row>
    <row r="390" spans="2:3">
      <c r="B390" s="745"/>
      <c r="C390" s="746"/>
    </row>
    <row r="391" spans="2:3">
      <c r="B391" s="745"/>
      <c r="C391" s="746"/>
    </row>
    <row r="392" spans="2:3">
      <c r="B392" s="745"/>
      <c r="C392" s="746"/>
    </row>
    <row r="393" spans="2:3">
      <c r="B393" s="745"/>
      <c r="C393" s="746"/>
    </row>
    <row r="394" spans="2:3">
      <c r="B394" s="745"/>
      <c r="C394" s="746"/>
    </row>
    <row r="395" spans="2:3">
      <c r="B395" s="745"/>
      <c r="C395" s="746"/>
    </row>
    <row r="396" spans="2:3">
      <c r="B396" s="745"/>
      <c r="C396" s="746"/>
    </row>
    <row r="397" spans="2:3">
      <c r="B397" s="745"/>
      <c r="C397" s="746"/>
    </row>
    <row r="398" spans="2:3">
      <c r="B398" s="745"/>
      <c r="C398" s="746"/>
    </row>
    <row r="399" spans="2:3">
      <c r="B399" s="745"/>
      <c r="C399" s="746"/>
    </row>
    <row r="400" spans="2:3">
      <c r="B400" s="745"/>
      <c r="C400" s="746"/>
    </row>
    <row r="401" spans="2:3">
      <c r="B401" s="745"/>
      <c r="C401" s="746"/>
    </row>
    <row r="402" spans="2:3">
      <c r="B402" s="745"/>
      <c r="C402" s="746"/>
    </row>
    <row r="403" spans="2:3">
      <c r="B403" s="745"/>
      <c r="C403" s="746"/>
    </row>
    <row r="404" spans="2:3">
      <c r="B404" s="745"/>
      <c r="C404" s="746"/>
    </row>
    <row r="405" spans="2:3">
      <c r="B405" s="745"/>
      <c r="C405" s="746"/>
    </row>
    <row r="406" spans="2:3">
      <c r="B406" s="745"/>
      <c r="C406" s="746"/>
    </row>
    <row r="407" spans="2:3">
      <c r="B407" s="745"/>
      <c r="C407" s="746"/>
    </row>
    <row r="408" spans="2:3">
      <c r="B408" s="745"/>
      <c r="C408" s="746"/>
    </row>
    <row r="409" spans="2:3">
      <c r="B409" s="745"/>
      <c r="C409" s="746"/>
    </row>
    <row r="410" spans="2:3">
      <c r="B410" s="745"/>
      <c r="C410" s="746"/>
    </row>
    <row r="411" spans="2:3">
      <c r="B411" s="745"/>
      <c r="C411" s="746"/>
    </row>
    <row r="412" spans="2:3">
      <c r="B412" s="745"/>
      <c r="C412" s="746"/>
    </row>
    <row r="413" spans="2:3">
      <c r="B413" s="745"/>
      <c r="C413" s="746"/>
    </row>
    <row r="414" spans="2:3">
      <c r="B414" s="745"/>
      <c r="C414" s="746"/>
    </row>
    <row r="415" spans="2:3">
      <c r="B415" s="745"/>
      <c r="C415" s="746"/>
    </row>
    <row r="416" spans="2:3">
      <c r="B416" s="745"/>
      <c r="C416" s="746"/>
    </row>
    <row r="417" spans="2:3">
      <c r="B417" s="745"/>
      <c r="C417" s="746"/>
    </row>
    <row r="418" spans="2:3">
      <c r="B418" s="745"/>
      <c r="C418" s="746"/>
    </row>
    <row r="419" spans="2:3">
      <c r="B419" s="745"/>
      <c r="C419" s="746"/>
    </row>
    <row r="420" spans="2:3">
      <c r="B420" s="745"/>
      <c r="C420" s="746"/>
    </row>
    <row r="421" spans="2:3">
      <c r="B421" s="745"/>
      <c r="C421" s="746"/>
    </row>
    <row r="422" spans="2:3">
      <c r="B422" s="745"/>
      <c r="C422" s="746"/>
    </row>
    <row r="423" spans="2:3">
      <c r="B423" s="745"/>
      <c r="C423" s="746"/>
    </row>
    <row r="424" spans="2:3">
      <c r="B424" s="745"/>
      <c r="C424" s="746"/>
    </row>
    <row r="425" spans="2:3">
      <c r="B425" s="745"/>
      <c r="C425" s="746"/>
    </row>
    <row r="426" spans="2:3">
      <c r="B426" s="745"/>
      <c r="C426" s="746"/>
    </row>
    <row r="427" spans="2:3">
      <c r="B427" s="745"/>
      <c r="C427" s="746"/>
    </row>
    <row r="428" spans="2:3">
      <c r="B428" s="745"/>
      <c r="C428" s="746"/>
    </row>
    <row r="429" spans="2:3">
      <c r="B429" s="745"/>
      <c r="C429" s="746"/>
    </row>
    <row r="430" spans="2:3">
      <c r="B430" s="745"/>
      <c r="C430" s="746"/>
    </row>
    <row r="431" spans="2:3">
      <c r="B431" s="744"/>
      <c r="C431" s="746"/>
    </row>
    <row r="432" spans="2:3">
      <c r="B432" s="744"/>
      <c r="C432" s="746"/>
    </row>
    <row r="433" spans="2:3">
      <c r="B433" s="744"/>
      <c r="C433" s="746"/>
    </row>
    <row r="434" spans="2:3">
      <c r="B434" s="744"/>
      <c r="C434" s="746"/>
    </row>
    <row r="435" spans="2:3">
      <c r="B435" s="744"/>
      <c r="C435" s="746"/>
    </row>
    <row r="436" spans="2:3">
      <c r="B436" s="744"/>
      <c r="C436" s="746"/>
    </row>
    <row r="437" spans="2:3">
      <c r="B437" s="744"/>
      <c r="C437" s="746"/>
    </row>
    <row r="438" spans="2:3">
      <c r="B438" s="744"/>
      <c r="C438" s="746"/>
    </row>
    <row r="439" spans="2:3">
      <c r="B439" s="744"/>
      <c r="C439" s="746"/>
    </row>
    <row r="440" spans="2:3">
      <c r="B440" s="744"/>
      <c r="C440" s="746"/>
    </row>
    <row r="441" spans="2:3">
      <c r="B441" s="744"/>
      <c r="C441" s="746"/>
    </row>
    <row r="442" spans="2:3">
      <c r="B442" s="744"/>
      <c r="C442" s="746"/>
    </row>
    <row r="443" spans="2:3">
      <c r="B443" s="744"/>
      <c r="C443" s="746"/>
    </row>
    <row r="444" spans="2:3">
      <c r="B444" s="744"/>
      <c r="C444" s="746"/>
    </row>
    <row r="445" spans="2:3">
      <c r="B445" s="744"/>
      <c r="C445" s="746"/>
    </row>
    <row r="446" spans="2:3">
      <c r="B446" s="744"/>
      <c r="C446" s="746"/>
    </row>
    <row r="447" spans="2:3">
      <c r="B447" s="744"/>
      <c r="C447" s="746"/>
    </row>
    <row r="448" spans="2:3">
      <c r="B448" s="744"/>
      <c r="C448" s="746"/>
    </row>
    <row r="449" spans="2:3">
      <c r="B449" s="744"/>
      <c r="C449" s="746"/>
    </row>
    <row r="450" spans="2:3">
      <c r="B450" s="744"/>
      <c r="C450" s="746"/>
    </row>
    <row r="451" spans="2:3">
      <c r="B451" s="744"/>
      <c r="C451" s="746"/>
    </row>
    <row r="452" spans="2:3">
      <c r="B452" s="744"/>
      <c r="C452" s="746"/>
    </row>
    <row r="453" spans="2:3">
      <c r="B453" s="744"/>
      <c r="C453" s="746"/>
    </row>
    <row r="454" spans="2:3">
      <c r="B454" s="744"/>
      <c r="C454" s="746"/>
    </row>
    <row r="455" spans="2:3">
      <c r="B455" s="744"/>
      <c r="C455" s="746"/>
    </row>
    <row r="456" spans="2:3">
      <c r="B456" s="744"/>
      <c r="C456" s="746"/>
    </row>
    <row r="457" spans="2:3">
      <c r="B457" s="744"/>
      <c r="C457" s="746"/>
    </row>
    <row r="458" spans="2:3">
      <c r="B458" s="744"/>
      <c r="C458" s="746"/>
    </row>
    <row r="459" spans="2:3">
      <c r="B459" s="744"/>
      <c r="C459" s="746"/>
    </row>
    <row r="460" spans="2:3">
      <c r="B460" s="744"/>
      <c r="C460" s="746"/>
    </row>
    <row r="461" spans="2:3">
      <c r="B461" s="744"/>
      <c r="C461" s="746"/>
    </row>
    <row r="462" spans="2:3">
      <c r="B462" s="744"/>
      <c r="C462" s="746"/>
    </row>
    <row r="463" spans="2:3">
      <c r="B463" s="744"/>
      <c r="C463" s="746"/>
    </row>
    <row r="464" spans="2:3">
      <c r="B464" s="744"/>
      <c r="C464" s="746"/>
    </row>
    <row r="465" spans="2:3">
      <c r="B465" s="744"/>
      <c r="C465" s="746"/>
    </row>
    <row r="466" spans="2:3">
      <c r="B466" s="744"/>
      <c r="C466" s="746"/>
    </row>
    <row r="467" spans="2:3">
      <c r="B467" s="744"/>
      <c r="C467" s="746"/>
    </row>
    <row r="468" spans="2:3">
      <c r="B468" s="744"/>
      <c r="C468" s="746"/>
    </row>
    <row r="469" spans="2:3">
      <c r="B469" s="744"/>
      <c r="C469" s="746"/>
    </row>
    <row r="470" spans="2:3">
      <c r="B470" s="744"/>
      <c r="C470" s="746"/>
    </row>
    <row r="471" spans="2:3">
      <c r="B471" s="744"/>
      <c r="C471" s="746"/>
    </row>
    <row r="472" spans="2:3">
      <c r="B472" s="744"/>
      <c r="C472" s="746"/>
    </row>
    <row r="473" spans="2:3">
      <c r="B473" s="744"/>
      <c r="C473" s="746"/>
    </row>
    <row r="474" spans="2:3">
      <c r="B474" s="744"/>
      <c r="C474" s="746"/>
    </row>
    <row r="475" spans="2:3">
      <c r="B475" s="744"/>
      <c r="C475" s="746"/>
    </row>
    <row r="476" spans="2:3">
      <c r="B476" s="744"/>
      <c r="C476" s="746"/>
    </row>
    <row r="477" spans="2:3">
      <c r="B477" s="744"/>
      <c r="C477" s="746"/>
    </row>
    <row r="478" spans="2:3">
      <c r="B478" s="744"/>
      <c r="C478" s="746"/>
    </row>
    <row r="479" spans="2:3">
      <c r="B479" s="744"/>
      <c r="C479" s="746"/>
    </row>
    <row r="480" spans="2:3">
      <c r="B480" s="744"/>
      <c r="C480" s="746"/>
    </row>
    <row r="481" spans="2:3">
      <c r="B481" s="744"/>
      <c r="C481" s="746"/>
    </row>
    <row r="482" spans="2:3">
      <c r="B482" s="744"/>
      <c r="C482" s="746"/>
    </row>
    <row r="483" spans="2:3">
      <c r="B483" s="744"/>
      <c r="C483" s="746"/>
    </row>
    <row r="484" spans="2:3">
      <c r="B484" s="744"/>
      <c r="C484" s="746"/>
    </row>
    <row r="485" spans="2:3">
      <c r="B485" s="744"/>
      <c r="C485" s="746"/>
    </row>
    <row r="486" spans="2:3">
      <c r="B486" s="744"/>
      <c r="C486" s="746"/>
    </row>
    <row r="487" spans="2:3">
      <c r="B487" s="744"/>
      <c r="C487" s="746"/>
    </row>
    <row r="488" spans="2:3">
      <c r="B488" s="744"/>
      <c r="C488" s="746"/>
    </row>
    <row r="489" spans="2:3">
      <c r="B489" s="744"/>
      <c r="C489" s="746"/>
    </row>
    <row r="490" spans="2:3">
      <c r="B490" s="744"/>
      <c r="C490" s="746"/>
    </row>
    <row r="491" spans="2:3">
      <c r="B491" s="744"/>
      <c r="C491" s="746"/>
    </row>
    <row r="492" spans="2:3">
      <c r="B492" s="744"/>
      <c r="C492" s="746"/>
    </row>
    <row r="493" spans="2:3">
      <c r="B493" s="744"/>
      <c r="C493" s="746"/>
    </row>
    <row r="494" spans="2:3">
      <c r="B494" s="744"/>
      <c r="C494" s="746"/>
    </row>
    <row r="495" spans="2:3">
      <c r="B495" s="744"/>
      <c r="C495" s="746"/>
    </row>
    <row r="496" spans="2:3">
      <c r="B496" s="744"/>
      <c r="C496" s="746"/>
    </row>
    <row r="497" spans="2:3">
      <c r="B497" s="744"/>
      <c r="C497" s="746"/>
    </row>
    <row r="498" spans="2:3">
      <c r="B498" s="744"/>
      <c r="C498" s="746"/>
    </row>
    <row r="499" spans="2:3">
      <c r="B499" s="744"/>
      <c r="C499" s="746"/>
    </row>
    <row r="500" spans="2:3">
      <c r="B500" s="744"/>
      <c r="C500" s="746"/>
    </row>
    <row r="501" spans="2:3">
      <c r="B501" s="744"/>
      <c r="C501" s="746"/>
    </row>
    <row r="502" spans="2:3">
      <c r="B502" s="744"/>
      <c r="C502" s="746"/>
    </row>
    <row r="503" spans="2:3">
      <c r="B503" s="744"/>
      <c r="C503" s="746"/>
    </row>
    <row r="504" spans="2:3">
      <c r="B504" s="744"/>
      <c r="C504" s="746"/>
    </row>
    <row r="505" spans="2:3">
      <c r="B505" s="744"/>
      <c r="C505" s="746"/>
    </row>
    <row r="506" spans="2:3">
      <c r="B506" s="744"/>
      <c r="C506" s="746"/>
    </row>
    <row r="507" spans="2:3">
      <c r="B507" s="744"/>
      <c r="C507" s="746"/>
    </row>
    <row r="508" spans="2:3">
      <c r="B508" s="744"/>
      <c r="C508" s="746"/>
    </row>
    <row r="509" spans="2:3">
      <c r="B509" s="744"/>
      <c r="C509" s="746"/>
    </row>
    <row r="510" spans="2:3">
      <c r="B510" s="744"/>
      <c r="C510" s="746"/>
    </row>
    <row r="511" spans="2:3">
      <c r="B511" s="744"/>
      <c r="C511" s="746"/>
    </row>
    <row r="512" spans="2:3">
      <c r="B512" s="744"/>
      <c r="C512" s="746"/>
    </row>
    <row r="513" spans="2:3">
      <c r="B513" s="744"/>
      <c r="C513" s="746"/>
    </row>
    <row r="514" spans="2:3">
      <c r="B514" s="744"/>
      <c r="C514" s="746"/>
    </row>
    <row r="515" spans="2:3">
      <c r="B515" s="744"/>
      <c r="C515" s="746"/>
    </row>
    <row r="516" spans="2:3">
      <c r="B516" s="744"/>
      <c r="C516" s="746"/>
    </row>
    <row r="517" spans="2:3">
      <c r="B517" s="744"/>
      <c r="C517" s="746"/>
    </row>
    <row r="518" spans="2:3">
      <c r="B518" s="744"/>
      <c r="C518" s="746"/>
    </row>
    <row r="519" spans="2:3">
      <c r="B519" s="744"/>
      <c r="C519" s="746"/>
    </row>
    <row r="520" spans="2:3">
      <c r="B520" s="744"/>
      <c r="C520" s="746"/>
    </row>
    <row r="521" spans="2:3">
      <c r="B521" s="744"/>
      <c r="C521" s="746"/>
    </row>
    <row r="522" spans="2:3">
      <c r="B522" s="744"/>
      <c r="C522" s="746"/>
    </row>
    <row r="523" spans="2:3">
      <c r="B523" s="744"/>
      <c r="C523" s="746"/>
    </row>
    <row r="524" spans="2:3">
      <c r="B524" s="744"/>
      <c r="C524" s="746"/>
    </row>
    <row r="525" spans="2:3">
      <c r="B525" s="744"/>
      <c r="C525" s="746"/>
    </row>
    <row r="526" spans="2:3">
      <c r="B526" s="744"/>
      <c r="C526" s="746"/>
    </row>
    <row r="527" spans="2:3">
      <c r="B527" s="744"/>
      <c r="C527" s="746"/>
    </row>
    <row r="528" spans="2:3">
      <c r="B528" s="744"/>
      <c r="C528" s="746"/>
    </row>
    <row r="529" spans="2:3">
      <c r="B529" s="744"/>
      <c r="C529" s="746"/>
    </row>
    <row r="530" spans="2:3">
      <c r="B530" s="744"/>
      <c r="C530" s="746"/>
    </row>
    <row r="531" spans="2:3">
      <c r="B531" s="744"/>
      <c r="C531" s="746"/>
    </row>
    <row r="532" spans="2:3">
      <c r="B532" s="744"/>
      <c r="C532" s="746"/>
    </row>
    <row r="533" spans="2:3">
      <c r="B533" s="744"/>
      <c r="C533" s="746"/>
    </row>
    <row r="534" spans="2:3">
      <c r="B534" s="744"/>
      <c r="C534" s="746"/>
    </row>
    <row r="535" spans="2:3">
      <c r="B535" s="744"/>
      <c r="C535" s="746"/>
    </row>
    <row r="536" spans="2:3">
      <c r="B536" s="744"/>
      <c r="C536" s="746"/>
    </row>
    <row r="537" spans="2:3">
      <c r="B537" s="744"/>
      <c r="C537" s="746"/>
    </row>
    <row r="538" spans="2:3">
      <c r="B538" s="744"/>
      <c r="C538" s="746"/>
    </row>
    <row r="539" spans="2:3">
      <c r="B539" s="744"/>
      <c r="C539" s="746"/>
    </row>
    <row r="540" spans="2:3">
      <c r="B540" s="744"/>
      <c r="C540" s="746"/>
    </row>
    <row r="541" spans="2:3">
      <c r="B541" s="744"/>
      <c r="C541" s="746"/>
    </row>
    <row r="542" spans="2:3">
      <c r="B542" s="744"/>
      <c r="C542" s="746"/>
    </row>
    <row r="543" spans="2:3">
      <c r="B543" s="744"/>
      <c r="C543" s="746"/>
    </row>
    <row r="544" spans="2:3">
      <c r="B544" s="744"/>
      <c r="C544" s="746"/>
    </row>
    <row r="545" spans="2:3">
      <c r="B545" s="744"/>
      <c r="C545" s="746"/>
    </row>
    <row r="546" spans="2:3">
      <c r="B546" s="744"/>
      <c r="C546" s="746"/>
    </row>
    <row r="547" spans="2:3">
      <c r="B547" s="745"/>
      <c r="C547" s="746"/>
    </row>
    <row r="548" spans="2:3">
      <c r="B548" s="744"/>
      <c r="C548" s="746"/>
    </row>
    <row r="549" spans="2:3">
      <c r="B549" s="744"/>
      <c r="C549" s="746"/>
    </row>
    <row r="550" spans="2:3">
      <c r="B550" s="744"/>
      <c r="C550" s="746"/>
    </row>
    <row r="551" spans="2:3">
      <c r="B551" s="744"/>
      <c r="C551" s="746"/>
    </row>
    <row r="552" spans="2:3">
      <c r="B552" s="744"/>
      <c r="C552" s="746"/>
    </row>
    <row r="553" spans="2:3">
      <c r="B553" s="744"/>
      <c r="C553" s="746"/>
    </row>
    <row r="554" spans="2:3">
      <c r="B554" s="745"/>
      <c r="C554" s="746"/>
    </row>
    <row r="555" spans="2:3">
      <c r="B555" s="744"/>
      <c r="C555" s="746"/>
    </row>
    <row r="556" spans="2:3">
      <c r="B556" s="744"/>
      <c r="C556" s="746"/>
    </row>
    <row r="557" spans="2:3">
      <c r="B557" s="744"/>
      <c r="C557" s="746"/>
    </row>
    <row r="558" spans="2:3">
      <c r="B558" s="744"/>
      <c r="C558" s="746"/>
    </row>
    <row r="559" spans="2:3">
      <c r="B559" s="744"/>
      <c r="C559" s="746"/>
    </row>
    <row r="560" spans="2:3">
      <c r="B560" s="745"/>
      <c r="C560" s="746"/>
    </row>
    <row r="561" spans="2:3">
      <c r="B561" s="744"/>
      <c r="C561" s="746"/>
    </row>
    <row r="562" spans="2:3">
      <c r="B562" s="744"/>
      <c r="C562" s="746"/>
    </row>
    <row r="563" spans="2:3">
      <c r="B563" s="744"/>
      <c r="C563" s="746"/>
    </row>
    <row r="564" spans="2:3">
      <c r="B564" s="744"/>
      <c r="C564" s="746"/>
    </row>
    <row r="565" spans="2:3">
      <c r="B565" s="744"/>
      <c r="C565" s="746"/>
    </row>
    <row r="566" spans="2:3">
      <c r="B566" s="744"/>
      <c r="C566" s="746"/>
    </row>
    <row r="567" spans="2:3">
      <c r="B567" s="745"/>
      <c r="C567" s="746"/>
    </row>
    <row r="568" spans="2:3">
      <c r="B568" s="744"/>
      <c r="C568" s="746"/>
    </row>
    <row r="569" spans="2:3">
      <c r="B569" s="744"/>
      <c r="C569" s="746"/>
    </row>
    <row r="570" spans="2:3">
      <c r="B570" s="744"/>
      <c r="C570" s="746"/>
    </row>
    <row r="571" spans="2:3">
      <c r="B571" s="744"/>
      <c r="C571" s="746"/>
    </row>
    <row r="572" spans="2:3">
      <c r="B572" s="744"/>
      <c r="C572" s="746"/>
    </row>
    <row r="573" spans="2:3">
      <c r="B573" s="744"/>
      <c r="C573" s="746"/>
    </row>
    <row r="574" spans="2:3">
      <c r="B574" s="744"/>
      <c r="C574" s="746"/>
    </row>
    <row r="575" spans="2:3">
      <c r="B575" s="744"/>
      <c r="C575" s="746"/>
    </row>
    <row r="576" spans="2:3">
      <c r="B576" s="744"/>
      <c r="C576" s="746"/>
    </row>
    <row r="577" spans="2:3">
      <c r="B577" s="744"/>
      <c r="C577" s="746"/>
    </row>
    <row r="578" spans="2:3">
      <c r="B578" s="744"/>
      <c r="C578" s="746"/>
    </row>
    <row r="579" spans="2:3">
      <c r="B579" s="744"/>
      <c r="C579" s="746"/>
    </row>
    <row r="580" spans="2:3">
      <c r="B580" s="744"/>
      <c r="C580" s="746"/>
    </row>
    <row r="581" spans="2:3">
      <c r="B581" s="744"/>
      <c r="C581" s="746"/>
    </row>
    <row r="582" spans="2:3">
      <c r="B582" s="744"/>
      <c r="C582" s="746"/>
    </row>
    <row r="583" spans="2:3">
      <c r="B583" s="744"/>
      <c r="C583" s="746"/>
    </row>
    <row r="584" spans="2:3">
      <c r="B584" s="745"/>
      <c r="C584" s="746"/>
    </row>
    <row r="585" spans="2:3">
      <c r="B585" s="744"/>
      <c r="C585" s="746"/>
    </row>
    <row r="586" spans="2:3">
      <c r="B586" s="744"/>
      <c r="C586" s="746"/>
    </row>
    <row r="587" spans="2:3">
      <c r="B587" s="744"/>
      <c r="C587" s="746"/>
    </row>
    <row r="588" spans="2:3">
      <c r="B588" s="744"/>
      <c r="C588" s="746"/>
    </row>
    <row r="589" spans="2:3">
      <c r="B589" s="744"/>
      <c r="C589" s="746"/>
    </row>
    <row r="590" spans="2:3">
      <c r="B590" s="745"/>
      <c r="C590" s="746"/>
    </row>
    <row r="591" spans="2:3">
      <c r="B591" s="744"/>
      <c r="C591" s="746"/>
    </row>
    <row r="592" spans="2:3">
      <c r="B592" s="744"/>
      <c r="C592" s="746"/>
    </row>
    <row r="593" spans="2:3">
      <c r="B593" s="744"/>
      <c r="C593" s="746"/>
    </row>
    <row r="594" spans="2:3">
      <c r="B594" s="744"/>
      <c r="C594" s="746"/>
    </row>
    <row r="595" spans="2:3">
      <c r="B595" s="744"/>
      <c r="C595" s="746"/>
    </row>
    <row r="596" spans="2:3">
      <c r="B596" s="744"/>
      <c r="C596" s="746"/>
    </row>
    <row r="597" spans="2:3">
      <c r="B597" s="744"/>
      <c r="C597" s="746"/>
    </row>
    <row r="598" spans="2:3">
      <c r="B598" s="745"/>
      <c r="C598" s="746"/>
    </row>
    <row r="599" spans="2:3">
      <c r="B599" s="744"/>
      <c r="C599" s="746"/>
    </row>
    <row r="600" spans="2:3">
      <c r="B600" s="744"/>
      <c r="C600" s="746"/>
    </row>
    <row r="601" spans="2:3">
      <c r="B601" s="744"/>
      <c r="C601" s="746"/>
    </row>
    <row r="602" spans="2:3">
      <c r="B602" s="744"/>
      <c r="C602" s="746"/>
    </row>
    <row r="603" spans="2:3">
      <c r="B603" s="744"/>
      <c r="C603" s="746"/>
    </row>
    <row r="604" spans="2:3">
      <c r="B604" s="744"/>
      <c r="C604" s="746"/>
    </row>
    <row r="605" spans="2:3">
      <c r="B605" s="745"/>
      <c r="C605" s="746"/>
    </row>
    <row r="606" spans="2:3">
      <c r="B606" s="744"/>
      <c r="C606" s="746"/>
    </row>
    <row r="607" spans="2:3">
      <c r="B607" s="744"/>
      <c r="C607" s="746"/>
    </row>
    <row r="608" spans="2:3">
      <c r="B608" s="744"/>
      <c r="C608" s="746"/>
    </row>
    <row r="609" spans="2:3">
      <c r="B609" s="744"/>
      <c r="C609" s="746"/>
    </row>
    <row r="610" spans="2:3">
      <c r="B610" s="744"/>
      <c r="C610" s="746"/>
    </row>
    <row r="611" spans="2:3">
      <c r="B611" s="744"/>
      <c r="C611" s="746"/>
    </row>
    <row r="612" spans="2:3">
      <c r="B612" s="744"/>
      <c r="C612" s="746"/>
    </row>
    <row r="613" spans="2:3">
      <c r="B613" s="744"/>
      <c r="C613" s="746"/>
    </row>
    <row r="614" spans="2:3">
      <c r="B614" s="744"/>
      <c r="C614" s="746"/>
    </row>
    <row r="615" spans="2:3">
      <c r="B615" s="744"/>
      <c r="C615" s="746"/>
    </row>
    <row r="616" spans="2:3">
      <c r="B616" s="744"/>
      <c r="C616" s="746"/>
    </row>
    <row r="617" spans="2:3">
      <c r="B617" s="744"/>
      <c r="C617" s="746"/>
    </row>
    <row r="618" spans="2:3">
      <c r="B618" s="744"/>
      <c r="C618" s="746"/>
    </row>
    <row r="619" spans="2:3">
      <c r="B619" s="744"/>
      <c r="C619" s="746"/>
    </row>
    <row r="620" spans="2:3">
      <c r="B620" s="744"/>
      <c r="C620" s="746"/>
    </row>
    <row r="621" spans="2:3">
      <c r="B621" s="744"/>
      <c r="C621" s="746"/>
    </row>
    <row r="622" spans="2:3">
      <c r="B622" s="745"/>
      <c r="C622" s="746"/>
    </row>
    <row r="623" spans="2:3">
      <c r="B623" s="744"/>
      <c r="C623" s="746"/>
    </row>
    <row r="624" spans="2:3">
      <c r="B624" s="744"/>
      <c r="C624" s="746"/>
    </row>
    <row r="625" spans="2:3">
      <c r="B625" s="744"/>
      <c r="C625" s="746"/>
    </row>
    <row r="626" spans="2:3">
      <c r="B626" s="744"/>
      <c r="C626" s="746"/>
    </row>
    <row r="627" spans="2:3">
      <c r="B627" s="744"/>
      <c r="C627" s="746"/>
    </row>
    <row r="628" spans="2:3">
      <c r="B628" s="745"/>
      <c r="C628" s="746"/>
    </row>
    <row r="629" spans="2:3">
      <c r="B629" s="744"/>
      <c r="C629" s="746"/>
    </row>
    <row r="630" spans="2:3">
      <c r="B630" s="744"/>
      <c r="C630" s="746"/>
    </row>
    <row r="631" spans="2:3">
      <c r="B631" s="744"/>
      <c r="C631" s="746"/>
    </row>
    <row r="632" spans="2:3">
      <c r="B632" s="744"/>
      <c r="C632" s="746"/>
    </row>
    <row r="633" spans="2:3">
      <c r="B633" s="744"/>
      <c r="C633" s="746"/>
    </row>
    <row r="634" spans="2:3">
      <c r="B634" s="744"/>
      <c r="C634" s="746"/>
    </row>
    <row r="635" spans="2:3">
      <c r="B635" s="745"/>
      <c r="C635" s="746"/>
    </row>
    <row r="636" spans="2:3">
      <c r="B636" s="744"/>
      <c r="C636" s="746"/>
    </row>
    <row r="637" spans="2:3">
      <c r="B637" s="744"/>
      <c r="C637" s="746"/>
    </row>
    <row r="638" spans="2:3">
      <c r="B638" s="744"/>
      <c r="C638" s="746"/>
    </row>
    <row r="639" spans="2:3">
      <c r="B639" s="744"/>
      <c r="C639" s="746"/>
    </row>
    <row r="640" spans="2:3">
      <c r="B640" s="744"/>
      <c r="C640" s="746"/>
    </row>
    <row r="641" spans="2:3">
      <c r="B641" s="744"/>
      <c r="C641" s="746"/>
    </row>
    <row r="642" spans="2:3">
      <c r="B642" s="744"/>
      <c r="C642" s="746"/>
    </row>
    <row r="643" spans="2:3">
      <c r="B643" s="744"/>
      <c r="C643" s="746"/>
    </row>
    <row r="644" spans="2:3">
      <c r="B644" s="744"/>
      <c r="C644" s="746"/>
    </row>
    <row r="645" spans="2:3">
      <c r="B645" s="744"/>
      <c r="C645" s="746"/>
    </row>
    <row r="646" spans="2:3">
      <c r="B646" s="744"/>
      <c r="C646" s="746"/>
    </row>
    <row r="647" spans="2:3">
      <c r="B647" s="744"/>
      <c r="C647" s="746"/>
    </row>
    <row r="648" spans="2:3">
      <c r="B648" s="744"/>
      <c r="C648" s="746"/>
    </row>
    <row r="649" spans="2:3">
      <c r="B649" s="744"/>
      <c r="C649" s="746"/>
    </row>
    <row r="650" spans="2:3">
      <c r="B650" s="744"/>
      <c r="C650" s="746"/>
    </row>
    <row r="651" spans="2:3">
      <c r="B651" s="744"/>
      <c r="C651" s="746"/>
    </row>
    <row r="652" spans="2:3">
      <c r="B652" s="744"/>
      <c r="C652" s="746"/>
    </row>
    <row r="653" spans="2:3">
      <c r="B653" s="744"/>
      <c r="C653" s="746"/>
    </row>
    <row r="654" spans="2:3">
      <c r="B654" s="744"/>
      <c r="C654" s="746"/>
    </row>
    <row r="655" spans="2:3">
      <c r="B655" s="744"/>
      <c r="C655" s="746"/>
    </row>
    <row r="656" spans="2:3">
      <c r="B656" s="744"/>
      <c r="C656" s="746"/>
    </row>
    <row r="657" spans="2:3">
      <c r="B657" s="744"/>
      <c r="C657" s="746"/>
    </row>
    <row r="658" spans="2:3">
      <c r="B658" s="744"/>
      <c r="C658" s="746"/>
    </row>
    <row r="659" spans="2:3">
      <c r="B659" s="744"/>
      <c r="C659" s="746"/>
    </row>
    <row r="660" spans="2:3">
      <c r="B660" s="744"/>
      <c r="C660" s="746"/>
    </row>
    <row r="661" spans="2:3">
      <c r="B661" s="744"/>
      <c r="C661" s="746"/>
    </row>
    <row r="662" spans="2:3">
      <c r="B662" s="744"/>
      <c r="C662" s="746"/>
    </row>
    <row r="663" spans="2:3">
      <c r="B663" s="744"/>
      <c r="C663" s="746"/>
    </row>
    <row r="664" spans="2:3">
      <c r="B664" s="744"/>
      <c r="C664" s="746"/>
    </row>
    <row r="665" spans="2:3">
      <c r="B665" s="744"/>
      <c r="C665" s="746"/>
    </row>
    <row r="666" spans="2:3">
      <c r="B666" s="744"/>
      <c r="C666" s="746"/>
    </row>
    <row r="667" spans="2:3">
      <c r="B667" s="744"/>
      <c r="C667" s="746"/>
    </row>
    <row r="668" spans="2:3">
      <c r="B668" s="744"/>
      <c r="C668" s="746"/>
    </row>
    <row r="669" spans="2:3">
      <c r="B669" s="744"/>
      <c r="C669" s="746"/>
    </row>
    <row r="670" spans="2:3">
      <c r="B670" s="744"/>
      <c r="C670" s="746"/>
    </row>
    <row r="671" spans="2:3">
      <c r="B671" s="744"/>
      <c r="C671" s="746"/>
    </row>
    <row r="672" spans="2:3">
      <c r="B672" s="744"/>
      <c r="C672" s="746"/>
    </row>
    <row r="673" spans="2:3">
      <c r="B673" s="744"/>
      <c r="C673" s="746"/>
    </row>
    <row r="674" spans="2:3">
      <c r="B674" s="744"/>
      <c r="C674" s="746"/>
    </row>
    <row r="675" spans="2:3">
      <c r="B675" s="744"/>
      <c r="C675" s="746"/>
    </row>
    <row r="676" spans="2:3">
      <c r="B676" s="744"/>
      <c r="C676" s="746"/>
    </row>
    <row r="677" spans="2:3">
      <c r="B677" s="744"/>
      <c r="C677" s="746"/>
    </row>
    <row r="678" spans="2:3">
      <c r="B678" s="744"/>
      <c r="C678" s="746"/>
    </row>
    <row r="679" spans="2:3">
      <c r="B679" s="744"/>
      <c r="C679" s="746"/>
    </row>
    <row r="680" spans="2:3">
      <c r="B680" s="744"/>
      <c r="C680" s="746"/>
    </row>
    <row r="681" spans="2:3">
      <c r="B681" s="744"/>
      <c r="C681" s="746"/>
    </row>
    <row r="682" spans="2:3">
      <c r="B682" s="744"/>
      <c r="C682" s="746"/>
    </row>
    <row r="683" spans="2:3">
      <c r="B683" s="744"/>
      <c r="C683" s="746"/>
    </row>
    <row r="684" spans="2:3">
      <c r="B684" s="744"/>
      <c r="C684" s="746"/>
    </row>
    <row r="685" spans="2:3">
      <c r="B685" s="744"/>
      <c r="C685" s="746"/>
    </row>
    <row r="686" spans="2:3">
      <c r="B686" s="744"/>
      <c r="C686" s="746"/>
    </row>
    <row r="687" spans="2:3">
      <c r="B687" s="744"/>
      <c r="C687" s="746"/>
    </row>
    <row r="688" spans="2:3">
      <c r="B688" s="744"/>
      <c r="C688" s="746"/>
    </row>
    <row r="689" spans="2:3">
      <c r="B689" s="744"/>
      <c r="C689" s="746"/>
    </row>
    <row r="690" spans="2:3">
      <c r="B690" s="744"/>
      <c r="C690" s="746"/>
    </row>
    <row r="691" spans="2:3">
      <c r="B691" s="744"/>
      <c r="C691" s="746"/>
    </row>
    <row r="692" spans="2:3">
      <c r="B692" s="744"/>
      <c r="C692" s="746"/>
    </row>
    <row r="693" spans="2:3">
      <c r="B693" s="744"/>
      <c r="C693" s="746"/>
    </row>
    <row r="694" spans="2:3">
      <c r="B694" s="744"/>
      <c r="C694" s="746"/>
    </row>
    <row r="695" spans="2:3">
      <c r="B695" s="744"/>
      <c r="C695" s="746"/>
    </row>
    <row r="696" spans="2:3">
      <c r="B696" s="744"/>
      <c r="C696" s="746"/>
    </row>
    <row r="697" spans="2:3">
      <c r="B697" s="744"/>
      <c r="C697" s="746"/>
    </row>
    <row r="698" spans="2:3">
      <c r="B698" s="744"/>
      <c r="C698" s="746"/>
    </row>
    <row r="699" spans="2:3">
      <c r="B699" s="744"/>
      <c r="C699" s="746"/>
    </row>
    <row r="700" spans="2:3">
      <c r="B700" s="744"/>
      <c r="C700" s="746"/>
    </row>
    <row r="701" spans="2:3">
      <c r="B701" s="744"/>
      <c r="C701" s="746"/>
    </row>
    <row r="702" spans="2:3">
      <c r="B702" s="744"/>
      <c r="C702" s="746"/>
    </row>
    <row r="703" spans="2:3">
      <c r="B703" s="744"/>
      <c r="C703" s="746"/>
    </row>
    <row r="704" spans="2:3">
      <c r="B704" s="744"/>
      <c r="C704" s="746"/>
    </row>
    <row r="705" spans="2:3">
      <c r="B705" s="744"/>
      <c r="C705" s="746"/>
    </row>
    <row r="706" spans="2:3">
      <c r="B706" s="744"/>
      <c r="C706" s="746"/>
    </row>
    <row r="707" spans="2:3">
      <c r="B707" s="744"/>
      <c r="C707" s="746"/>
    </row>
    <row r="708" spans="2:3">
      <c r="B708" s="744"/>
      <c r="C708" s="746"/>
    </row>
    <row r="709" spans="2:3">
      <c r="B709" s="744"/>
      <c r="C709" s="746"/>
    </row>
    <row r="710" spans="2:3">
      <c r="B710" s="744"/>
      <c r="C710" s="746"/>
    </row>
    <row r="711" spans="2:3">
      <c r="B711" s="744"/>
      <c r="C711" s="746"/>
    </row>
    <row r="712" spans="2:3">
      <c r="B712" s="744"/>
      <c r="C712" s="746"/>
    </row>
    <row r="713" spans="2:3">
      <c r="B713" s="744"/>
      <c r="C713" s="746"/>
    </row>
    <row r="714" spans="2:3">
      <c r="B714" s="744"/>
      <c r="C714" s="746"/>
    </row>
    <row r="715" spans="2:3">
      <c r="B715" s="744"/>
      <c r="C715" s="746"/>
    </row>
    <row r="716" spans="2:3">
      <c r="B716" s="744"/>
      <c r="C716" s="746"/>
    </row>
    <row r="717" spans="2:3">
      <c r="B717" s="744"/>
      <c r="C717" s="746"/>
    </row>
    <row r="718" spans="2:3">
      <c r="B718" s="744"/>
      <c r="C718" s="746"/>
    </row>
    <row r="719" spans="2:3">
      <c r="B719" s="744"/>
      <c r="C719" s="746"/>
    </row>
    <row r="720" spans="2:3">
      <c r="B720" s="744"/>
      <c r="C720" s="746"/>
    </row>
    <row r="721" spans="2:3">
      <c r="B721" s="744"/>
      <c r="C721" s="746"/>
    </row>
    <row r="722" spans="2:3">
      <c r="B722" s="744"/>
      <c r="C722" s="746"/>
    </row>
    <row r="723" spans="2:3">
      <c r="B723" s="744"/>
      <c r="C723" s="746"/>
    </row>
    <row r="724" spans="2:3">
      <c r="B724" s="744"/>
      <c r="C724" s="746"/>
    </row>
    <row r="725" spans="2:3">
      <c r="B725" s="744"/>
      <c r="C725" s="746"/>
    </row>
    <row r="726" spans="2:3">
      <c r="B726" s="744"/>
      <c r="C726" s="746"/>
    </row>
    <row r="727" spans="2:3">
      <c r="B727" s="744"/>
      <c r="C727" s="746"/>
    </row>
    <row r="728" spans="2:3">
      <c r="B728" s="744"/>
      <c r="C728" s="746"/>
    </row>
    <row r="729" spans="2:3">
      <c r="B729" s="744"/>
      <c r="C729" s="746"/>
    </row>
    <row r="730" spans="2:3">
      <c r="B730" s="744"/>
      <c r="C730" s="746"/>
    </row>
    <row r="731" spans="2:3">
      <c r="B731" s="744"/>
      <c r="C731" s="746"/>
    </row>
    <row r="732" spans="2:3">
      <c r="B732" s="744"/>
      <c r="C732" s="746"/>
    </row>
    <row r="733" spans="2:3">
      <c r="B733" s="744"/>
      <c r="C733" s="746"/>
    </row>
    <row r="734" spans="2:3">
      <c r="B734" s="744"/>
      <c r="C734" s="746"/>
    </row>
    <row r="735" spans="2:3">
      <c r="B735" s="744"/>
      <c r="C735" s="746"/>
    </row>
    <row r="736" spans="2:3">
      <c r="B736" s="744"/>
      <c r="C736" s="746"/>
    </row>
    <row r="737" spans="2:3">
      <c r="B737" s="744"/>
      <c r="C737" s="746"/>
    </row>
    <row r="738" spans="2:3">
      <c r="B738" s="744"/>
      <c r="C738" s="746"/>
    </row>
    <row r="739" spans="2:3">
      <c r="B739" s="744"/>
      <c r="C739" s="746"/>
    </row>
    <row r="740" spans="2:3">
      <c r="B740" s="744"/>
      <c r="C740" s="746"/>
    </row>
    <row r="741" spans="2:3">
      <c r="B741" s="744"/>
      <c r="C741" s="746"/>
    </row>
    <row r="742" spans="2:3">
      <c r="B742" s="744"/>
      <c r="C742" s="746"/>
    </row>
    <row r="743" spans="2:3">
      <c r="B743" s="744"/>
      <c r="C743" s="746"/>
    </row>
    <row r="744" spans="2:3">
      <c r="B744" s="744"/>
      <c r="C744" s="746"/>
    </row>
    <row r="745" spans="2:3">
      <c r="B745" s="744"/>
      <c r="C745" s="746"/>
    </row>
    <row r="746" spans="2:3">
      <c r="B746" s="744"/>
      <c r="C746" s="746"/>
    </row>
    <row r="747" spans="2:3">
      <c r="B747" s="744"/>
      <c r="C747" s="746"/>
    </row>
    <row r="748" spans="2:3">
      <c r="B748" s="744"/>
      <c r="C748" s="746"/>
    </row>
    <row r="749" spans="2:3">
      <c r="B749" s="744"/>
      <c r="C749" s="746"/>
    </row>
    <row r="750" spans="2:3">
      <c r="B750" s="744"/>
      <c r="C750" s="746"/>
    </row>
    <row r="751" spans="2:3">
      <c r="B751" s="744"/>
      <c r="C751" s="746"/>
    </row>
    <row r="752" spans="2:3">
      <c r="B752" s="744"/>
      <c r="C752" s="746"/>
    </row>
    <row r="753" spans="2:3">
      <c r="B753" s="744"/>
      <c r="C753" s="746"/>
    </row>
    <row r="754" spans="2:3">
      <c r="B754" s="744"/>
      <c r="C754" s="746"/>
    </row>
    <row r="755" spans="2:3">
      <c r="B755" s="744"/>
      <c r="C755" s="746"/>
    </row>
    <row r="756" spans="2:3">
      <c r="B756" s="744"/>
      <c r="C756" s="746"/>
    </row>
    <row r="757" spans="2:3">
      <c r="B757" s="744"/>
      <c r="C757" s="746"/>
    </row>
    <row r="758" spans="2:3">
      <c r="B758" s="744"/>
      <c r="C758" s="746"/>
    </row>
    <row r="759" spans="2:3">
      <c r="B759" s="744"/>
      <c r="C759" s="746"/>
    </row>
    <row r="760" spans="2:3">
      <c r="B760" s="744"/>
      <c r="C760" s="746"/>
    </row>
    <row r="761" spans="2:3">
      <c r="B761" s="744"/>
      <c r="C761" s="746"/>
    </row>
    <row r="762" spans="2:3">
      <c r="B762" s="744"/>
      <c r="C762" s="746"/>
    </row>
    <row r="763" spans="2:3">
      <c r="B763" s="744"/>
      <c r="C763" s="746"/>
    </row>
    <row r="764" spans="2:3">
      <c r="B764" s="744"/>
      <c r="C764" s="746"/>
    </row>
    <row r="765" spans="2:3">
      <c r="B765" s="744"/>
      <c r="C765" s="746"/>
    </row>
    <row r="766" spans="2:3">
      <c r="B766" s="744"/>
      <c r="C766" s="746"/>
    </row>
    <row r="767" spans="2:3">
      <c r="B767" s="744"/>
      <c r="C767" s="746"/>
    </row>
    <row r="768" spans="2:3">
      <c r="B768" s="744"/>
      <c r="C768" s="746"/>
    </row>
    <row r="769" spans="2:3">
      <c r="B769" s="744"/>
      <c r="C769" s="746"/>
    </row>
    <row r="770" spans="2:3">
      <c r="B770" s="744"/>
      <c r="C770" s="746"/>
    </row>
    <row r="771" spans="2:3">
      <c r="B771" s="744"/>
      <c r="C771" s="746"/>
    </row>
    <row r="772" spans="2:3">
      <c r="B772" s="744"/>
      <c r="C772" s="746"/>
    </row>
    <row r="773" spans="2:3">
      <c r="B773" s="744"/>
      <c r="C773" s="746"/>
    </row>
    <row r="774" spans="2:3">
      <c r="B774" s="744"/>
      <c r="C774" s="746"/>
    </row>
    <row r="775" spans="2:3">
      <c r="B775" s="744"/>
      <c r="C775" s="746"/>
    </row>
    <row r="776" spans="2:3">
      <c r="B776" s="744"/>
      <c r="C776" s="746"/>
    </row>
    <row r="777" spans="2:3">
      <c r="B777" s="744"/>
      <c r="C777" s="746"/>
    </row>
    <row r="778" spans="2:3">
      <c r="B778" s="744"/>
      <c r="C778" s="746"/>
    </row>
    <row r="779" spans="2:3">
      <c r="B779" s="744"/>
      <c r="C779" s="746"/>
    </row>
    <row r="780" spans="2:3">
      <c r="B780" s="744"/>
      <c r="C780" s="746"/>
    </row>
    <row r="781" spans="2:3">
      <c r="B781" s="744"/>
      <c r="C781" s="746"/>
    </row>
    <row r="782" spans="2:3">
      <c r="B782" s="744"/>
      <c r="C782" s="746"/>
    </row>
    <row r="783" spans="2:3">
      <c r="B783" s="744"/>
      <c r="C783" s="746"/>
    </row>
    <row r="784" spans="2:3">
      <c r="B784" s="744"/>
      <c r="C784" s="746"/>
    </row>
    <row r="785" spans="2:3">
      <c r="B785" s="744"/>
      <c r="C785" s="746"/>
    </row>
    <row r="786" spans="2:3">
      <c r="B786" s="744"/>
      <c r="C786" s="746"/>
    </row>
    <row r="787" spans="2:3">
      <c r="B787" s="744"/>
      <c r="C787" s="746"/>
    </row>
    <row r="788" spans="2:3">
      <c r="B788" s="744"/>
      <c r="C788" s="746"/>
    </row>
    <row r="789" spans="2:3">
      <c r="B789" s="744"/>
      <c r="C789" s="746"/>
    </row>
    <row r="790" spans="2:3">
      <c r="B790" s="744"/>
      <c r="C790" s="746"/>
    </row>
    <row r="791" spans="2:3">
      <c r="B791" s="744"/>
      <c r="C791" s="746"/>
    </row>
    <row r="792" spans="2:3">
      <c r="B792" s="744"/>
      <c r="C792" s="746"/>
    </row>
    <row r="793" spans="2:3">
      <c r="B793" s="744"/>
      <c r="C793" s="746"/>
    </row>
    <row r="794" spans="2:3">
      <c r="B794" s="744"/>
      <c r="C794" s="746"/>
    </row>
    <row r="795" spans="2:3">
      <c r="B795" s="744"/>
      <c r="C795" s="746"/>
    </row>
    <row r="796" spans="2:3">
      <c r="B796" s="744"/>
      <c r="C796" s="746"/>
    </row>
    <row r="797" spans="2:3">
      <c r="B797" s="744"/>
      <c r="C797" s="746"/>
    </row>
    <row r="798" spans="2:3">
      <c r="B798" s="744"/>
      <c r="C798" s="746"/>
    </row>
    <row r="799" spans="2:3">
      <c r="B799" s="744"/>
      <c r="C799" s="746"/>
    </row>
    <row r="800" spans="2:3">
      <c r="B800" s="744"/>
      <c r="C800" s="746"/>
    </row>
    <row r="801" spans="2:3">
      <c r="B801" s="744"/>
      <c r="C801" s="746"/>
    </row>
    <row r="802" spans="2:3">
      <c r="B802" s="744"/>
      <c r="C802" s="746"/>
    </row>
    <row r="803" spans="2:3">
      <c r="B803" s="744"/>
      <c r="C803" s="746"/>
    </row>
    <row r="804" spans="2:3">
      <c r="B804" s="744"/>
      <c r="C804" s="746"/>
    </row>
    <row r="805" spans="2:3">
      <c r="B805" s="744"/>
      <c r="C805" s="746"/>
    </row>
    <row r="806" spans="2:3">
      <c r="B806" s="744"/>
      <c r="C806" s="746"/>
    </row>
    <row r="807" spans="2:3">
      <c r="B807" s="744"/>
      <c r="C807" s="746"/>
    </row>
    <row r="808" spans="2:3">
      <c r="B808" s="744"/>
      <c r="C808" s="746"/>
    </row>
    <row r="809" spans="2:3">
      <c r="B809" s="744"/>
      <c r="C809" s="746"/>
    </row>
    <row r="810" spans="2:3">
      <c r="B810" s="744"/>
      <c r="C810" s="746"/>
    </row>
    <row r="811" spans="2:3">
      <c r="B811" s="744"/>
      <c r="C811" s="746"/>
    </row>
    <row r="812" spans="2:3">
      <c r="B812" s="744"/>
      <c r="C812" s="746"/>
    </row>
    <row r="813" spans="2:3">
      <c r="B813" s="744"/>
      <c r="C813" s="746"/>
    </row>
    <row r="814" spans="2:3">
      <c r="B814" s="744"/>
      <c r="C814" s="746"/>
    </row>
    <row r="815" spans="2:3">
      <c r="B815" s="744"/>
      <c r="C815" s="746"/>
    </row>
    <row r="816" spans="2:3">
      <c r="B816" s="744"/>
      <c r="C816" s="746"/>
    </row>
    <row r="817" spans="2:3">
      <c r="B817" s="744"/>
      <c r="C817" s="746"/>
    </row>
    <row r="818" spans="2:3">
      <c r="B818" s="744"/>
      <c r="C818" s="746"/>
    </row>
    <row r="819" spans="2:3">
      <c r="B819" s="744"/>
      <c r="C819" s="746"/>
    </row>
    <row r="820" spans="2:3">
      <c r="B820" s="744"/>
      <c r="C820" s="746"/>
    </row>
    <row r="821" spans="2:3">
      <c r="B821" s="744"/>
      <c r="C821" s="746"/>
    </row>
    <row r="822" spans="2:3">
      <c r="B822" s="744"/>
      <c r="C822" s="746"/>
    </row>
    <row r="823" spans="2:3">
      <c r="B823" s="744"/>
      <c r="C823" s="746"/>
    </row>
    <row r="824" spans="2:3">
      <c r="B824" s="744"/>
      <c r="C824" s="746"/>
    </row>
    <row r="825" spans="2:3">
      <c r="B825" s="744"/>
      <c r="C825" s="746"/>
    </row>
    <row r="826" spans="2:3">
      <c r="B826" s="744"/>
      <c r="C826" s="746"/>
    </row>
    <row r="827" spans="2:3">
      <c r="B827" s="744"/>
      <c r="C827" s="746"/>
    </row>
    <row r="828" spans="2:3">
      <c r="B828" s="744"/>
      <c r="C828" s="746"/>
    </row>
    <row r="829" spans="2:3">
      <c r="B829" s="744"/>
      <c r="C829" s="746"/>
    </row>
    <row r="830" spans="2:3">
      <c r="B830" s="744"/>
      <c r="C830" s="746"/>
    </row>
    <row r="831" spans="2:3">
      <c r="B831" s="744"/>
      <c r="C831" s="746"/>
    </row>
    <row r="832" spans="2:3">
      <c r="B832" s="744"/>
      <c r="C832" s="746"/>
    </row>
    <row r="833" spans="2:3">
      <c r="B833" s="744"/>
      <c r="C833" s="746"/>
    </row>
    <row r="834" spans="2:3">
      <c r="B834" s="744"/>
      <c r="C834" s="746"/>
    </row>
    <row r="835" spans="2:3">
      <c r="B835" s="744"/>
      <c r="C835" s="746"/>
    </row>
    <row r="836" spans="2:3">
      <c r="B836" s="744"/>
      <c r="C836" s="746"/>
    </row>
    <row r="837" spans="2:3">
      <c r="B837" s="744"/>
      <c r="C837" s="746"/>
    </row>
    <row r="838" spans="2:3">
      <c r="B838" s="744"/>
      <c r="C838" s="746"/>
    </row>
    <row r="839" spans="2:3">
      <c r="B839" s="744"/>
      <c r="C839" s="746"/>
    </row>
    <row r="840" spans="2:3">
      <c r="B840" s="744"/>
      <c r="C840" s="746"/>
    </row>
    <row r="841" spans="2:3">
      <c r="B841" s="744"/>
      <c r="C841" s="746"/>
    </row>
    <row r="842" spans="2:3">
      <c r="B842" s="744"/>
      <c r="C842" s="746"/>
    </row>
    <row r="843" spans="2:3">
      <c r="B843" s="744"/>
      <c r="C843" s="746"/>
    </row>
    <row r="844" spans="2:3">
      <c r="B844" s="744"/>
      <c r="C844" s="746"/>
    </row>
    <row r="845" spans="2:3">
      <c r="B845" s="744"/>
      <c r="C845" s="746"/>
    </row>
    <row r="846" spans="2:3">
      <c r="B846" s="744"/>
      <c r="C846" s="746"/>
    </row>
    <row r="847" spans="2:3">
      <c r="B847" s="744"/>
      <c r="C847" s="746"/>
    </row>
    <row r="848" spans="2:3">
      <c r="B848" s="744"/>
      <c r="C848" s="746"/>
    </row>
    <row r="849" spans="2:3">
      <c r="B849" s="744"/>
      <c r="C849" s="746"/>
    </row>
    <row r="850" spans="2:3">
      <c r="B850" s="744"/>
      <c r="C850" s="746"/>
    </row>
    <row r="851" spans="2:3">
      <c r="B851" s="744"/>
      <c r="C851" s="746"/>
    </row>
    <row r="852" spans="2:3">
      <c r="B852" s="744"/>
      <c r="C852" s="746"/>
    </row>
    <row r="853" spans="2:3">
      <c r="B853" s="744"/>
      <c r="C853" s="746"/>
    </row>
    <row r="854" spans="2:3">
      <c r="B854" s="744"/>
      <c r="C854" s="746"/>
    </row>
    <row r="855" spans="2:3">
      <c r="B855" s="744"/>
      <c r="C855" s="746"/>
    </row>
    <row r="856" spans="2:3">
      <c r="B856" s="744"/>
      <c r="C856" s="746"/>
    </row>
    <row r="857" spans="2:3">
      <c r="B857" s="744"/>
      <c r="C857" s="746"/>
    </row>
    <row r="858" spans="2:3">
      <c r="B858" s="744"/>
      <c r="C858" s="746"/>
    </row>
    <row r="859" spans="2:3">
      <c r="B859" s="744"/>
      <c r="C859" s="746"/>
    </row>
    <row r="860" spans="2:3">
      <c r="B860" s="744"/>
      <c r="C860" s="746"/>
    </row>
    <row r="861" spans="2:3">
      <c r="B861" s="744"/>
      <c r="C861" s="746"/>
    </row>
    <row r="862" spans="2:3">
      <c r="B862" s="744"/>
      <c r="C862" s="746"/>
    </row>
    <row r="863" spans="2:3">
      <c r="B863" s="744"/>
      <c r="C863" s="746"/>
    </row>
    <row r="864" spans="2:3">
      <c r="B864" s="744"/>
      <c r="C864" s="746"/>
    </row>
    <row r="865" spans="2:3">
      <c r="B865" s="744"/>
      <c r="C865" s="746"/>
    </row>
    <row r="866" spans="2:3">
      <c r="B866" s="744"/>
      <c r="C866" s="746"/>
    </row>
    <row r="867" spans="2:3">
      <c r="B867" s="744"/>
      <c r="C867" s="746"/>
    </row>
    <row r="868" spans="2:3">
      <c r="B868" s="744"/>
      <c r="C868" s="746"/>
    </row>
    <row r="869" spans="2:3">
      <c r="B869" s="744"/>
      <c r="C869" s="746"/>
    </row>
    <row r="870" spans="2:3">
      <c r="B870" s="744"/>
      <c r="C870" s="746"/>
    </row>
    <row r="871" spans="2:3">
      <c r="B871" s="744"/>
      <c r="C871" s="746"/>
    </row>
    <row r="872" spans="2:3">
      <c r="B872" s="744"/>
      <c r="C872" s="746"/>
    </row>
    <row r="873" spans="2:3">
      <c r="B873" s="744"/>
      <c r="C873" s="746"/>
    </row>
    <row r="874" spans="2:3">
      <c r="B874" s="744"/>
      <c r="C874" s="746"/>
    </row>
    <row r="875" spans="2:3">
      <c r="B875" s="744"/>
      <c r="C875" s="746"/>
    </row>
    <row r="876" spans="2:3">
      <c r="B876" s="744"/>
      <c r="C876" s="746"/>
    </row>
    <row r="877" spans="2:3">
      <c r="B877" s="744"/>
      <c r="C877" s="746"/>
    </row>
    <row r="878" spans="2:3">
      <c r="B878" s="744"/>
      <c r="C878" s="746"/>
    </row>
    <row r="879" spans="2:3">
      <c r="B879" s="744"/>
      <c r="C879" s="746"/>
    </row>
    <row r="880" spans="2:3">
      <c r="B880" s="744"/>
      <c r="C880" s="746"/>
    </row>
    <row r="881" spans="2:3">
      <c r="B881" s="744"/>
      <c r="C881" s="746"/>
    </row>
    <row r="882" spans="2:3">
      <c r="B882" s="744"/>
      <c r="C882" s="746"/>
    </row>
    <row r="883" spans="2:3">
      <c r="B883" s="744"/>
      <c r="C883" s="746"/>
    </row>
    <row r="884" spans="2:3">
      <c r="B884" s="744"/>
      <c r="C884" s="746"/>
    </row>
    <row r="885" spans="2:3">
      <c r="B885" s="744"/>
      <c r="C885" s="746"/>
    </row>
    <row r="886" spans="2:3">
      <c r="B886" s="744"/>
      <c r="C886" s="746"/>
    </row>
    <row r="887" spans="2:3">
      <c r="B887" s="744"/>
      <c r="C887" s="746"/>
    </row>
    <row r="888" spans="2:3">
      <c r="B888" s="744"/>
      <c r="C888" s="746"/>
    </row>
    <row r="889" spans="2:3">
      <c r="B889" s="744"/>
      <c r="C889" s="746"/>
    </row>
    <row r="890" spans="2:3">
      <c r="B890" s="744"/>
      <c r="C890" s="746"/>
    </row>
    <row r="891" spans="2:3">
      <c r="B891" s="744"/>
      <c r="C891" s="746"/>
    </row>
    <row r="892" spans="2:3">
      <c r="B892" s="744"/>
      <c r="C892" s="746"/>
    </row>
    <row r="893" spans="2:3">
      <c r="B893" s="744"/>
      <c r="C893" s="746"/>
    </row>
    <row r="894" spans="2:3">
      <c r="B894" s="744"/>
      <c r="C894" s="746"/>
    </row>
    <row r="895" spans="2:3">
      <c r="B895" s="744"/>
      <c r="C895" s="746"/>
    </row>
    <row r="896" spans="2:3">
      <c r="B896" s="744"/>
      <c r="C896" s="746"/>
    </row>
    <row r="897" spans="2:3">
      <c r="B897" s="744"/>
      <c r="C897" s="746"/>
    </row>
    <row r="898" spans="2:3">
      <c r="B898" s="744"/>
      <c r="C898" s="746"/>
    </row>
    <row r="899" spans="2:3">
      <c r="B899" s="744"/>
      <c r="C899" s="746"/>
    </row>
    <row r="900" spans="2:3">
      <c r="B900" s="744"/>
      <c r="C900" s="746"/>
    </row>
    <row r="901" spans="2:3">
      <c r="B901" s="744"/>
      <c r="C901" s="746"/>
    </row>
    <row r="902" spans="2:3">
      <c r="B902" s="744"/>
      <c r="C902" s="746"/>
    </row>
    <row r="903" spans="2:3">
      <c r="B903" s="744"/>
      <c r="C903" s="746"/>
    </row>
    <row r="904" spans="2:3">
      <c r="B904" s="744"/>
      <c r="C904" s="746"/>
    </row>
    <row r="905" spans="2:3">
      <c r="B905" s="744"/>
      <c r="C905" s="746"/>
    </row>
    <row r="906" spans="2:3">
      <c r="B906" s="744"/>
      <c r="C906" s="746"/>
    </row>
    <row r="907" spans="2:3">
      <c r="B907" s="744"/>
      <c r="C907" s="746"/>
    </row>
    <row r="908" spans="2:3">
      <c r="B908" s="744"/>
      <c r="C908" s="746"/>
    </row>
    <row r="909" spans="2:3">
      <c r="B909" s="744"/>
      <c r="C909" s="746"/>
    </row>
    <row r="910" spans="2:3">
      <c r="B910" s="744"/>
      <c r="C910" s="746"/>
    </row>
    <row r="911" spans="2:3">
      <c r="B911" s="744"/>
      <c r="C911" s="746"/>
    </row>
    <row r="912" spans="2:3">
      <c r="B912" s="744"/>
      <c r="C912" s="746"/>
    </row>
    <row r="913" spans="2:3">
      <c r="B913" s="744"/>
      <c r="C913" s="746"/>
    </row>
    <row r="914" spans="2:3">
      <c r="B914" s="744"/>
      <c r="C914" s="746"/>
    </row>
    <row r="915" spans="2:3">
      <c r="B915" s="744"/>
      <c r="C915" s="746"/>
    </row>
    <row r="916" spans="2:3">
      <c r="B916" s="744"/>
      <c r="C916" s="746"/>
    </row>
    <row r="917" spans="2:3">
      <c r="B917" s="744"/>
      <c r="C917" s="746"/>
    </row>
    <row r="918" spans="2:3">
      <c r="B918" s="744"/>
      <c r="C918" s="746"/>
    </row>
    <row r="919" spans="2:3">
      <c r="B919" s="744"/>
      <c r="C919" s="746"/>
    </row>
    <row r="920" spans="2:3">
      <c r="B920" s="744"/>
      <c r="C920" s="746"/>
    </row>
    <row r="921" spans="2:3">
      <c r="B921" s="744"/>
      <c r="C921" s="746"/>
    </row>
    <row r="922" spans="2:3">
      <c r="B922" s="744"/>
      <c r="C922" s="746"/>
    </row>
    <row r="923" spans="2:3">
      <c r="B923" s="744"/>
      <c r="C923" s="746"/>
    </row>
    <row r="924" spans="2:3">
      <c r="B924" s="744"/>
      <c r="C924" s="746"/>
    </row>
    <row r="925" spans="2:3">
      <c r="B925" s="744"/>
      <c r="C925" s="746"/>
    </row>
    <row r="926" spans="2:3">
      <c r="B926" s="744"/>
      <c r="C926" s="746"/>
    </row>
    <row r="927" spans="2:3">
      <c r="B927" s="744"/>
      <c r="C927" s="746"/>
    </row>
    <row r="928" spans="2:3">
      <c r="B928" s="744"/>
      <c r="C928" s="746"/>
    </row>
    <row r="929" spans="2:3">
      <c r="B929" s="744"/>
      <c r="C929" s="746"/>
    </row>
    <row r="930" spans="2:3">
      <c r="B930" s="744"/>
      <c r="C930" s="746"/>
    </row>
    <row r="931" spans="2:3">
      <c r="B931" s="744"/>
      <c r="C931" s="746"/>
    </row>
    <row r="932" spans="2:3">
      <c r="B932" s="744"/>
      <c r="C932" s="746"/>
    </row>
    <row r="933" spans="2:3">
      <c r="B933" s="744"/>
      <c r="C933" s="746"/>
    </row>
    <row r="934" spans="2:3">
      <c r="B934" s="744"/>
      <c r="C934" s="746"/>
    </row>
    <row r="935" spans="2:3">
      <c r="B935" s="744"/>
      <c r="C935" s="746"/>
    </row>
    <row r="936" spans="2:3">
      <c r="B936" s="744"/>
      <c r="C936" s="746"/>
    </row>
    <row r="937" spans="2:3">
      <c r="B937" s="744"/>
      <c r="C937" s="746"/>
    </row>
    <row r="938" spans="2:3">
      <c r="B938" s="744"/>
      <c r="C938" s="746"/>
    </row>
    <row r="939" spans="2:3">
      <c r="B939" s="744"/>
      <c r="C939" s="746"/>
    </row>
    <row r="940" spans="2:3">
      <c r="B940" s="744"/>
      <c r="C940" s="746"/>
    </row>
    <row r="941" spans="2:3">
      <c r="B941" s="744"/>
      <c r="C941" s="746"/>
    </row>
    <row r="942" spans="2:3">
      <c r="B942" s="744"/>
      <c r="C942" s="746"/>
    </row>
    <row r="943" spans="2:3">
      <c r="B943" s="744"/>
      <c r="C943" s="746"/>
    </row>
    <row r="944" spans="2:3">
      <c r="B944" s="744"/>
      <c r="C944" s="746"/>
    </row>
    <row r="945" spans="2:3">
      <c r="B945" s="744"/>
      <c r="C945" s="746"/>
    </row>
    <row r="946" spans="2:3">
      <c r="B946" s="744"/>
      <c r="C946" s="746"/>
    </row>
    <row r="947" spans="2:3">
      <c r="B947" s="744"/>
      <c r="C947" s="746"/>
    </row>
    <row r="948" spans="2:3">
      <c r="B948" s="744"/>
      <c r="C948" s="746"/>
    </row>
    <row r="949" spans="2:3">
      <c r="B949" s="744"/>
      <c r="C949" s="746"/>
    </row>
    <row r="950" spans="2:3">
      <c r="B950" s="744"/>
      <c r="C950" s="746"/>
    </row>
    <row r="951" spans="2:3">
      <c r="B951" s="744"/>
      <c r="C951" s="746"/>
    </row>
    <row r="952" spans="2:3">
      <c r="B952" s="744"/>
      <c r="C952" s="746"/>
    </row>
    <row r="953" spans="2:3">
      <c r="B953" s="744"/>
      <c r="C953" s="746"/>
    </row>
    <row r="954" spans="2:3">
      <c r="B954" s="744"/>
      <c r="C954" s="746"/>
    </row>
    <row r="955" spans="2:3">
      <c r="B955" s="744"/>
      <c r="C955" s="746"/>
    </row>
    <row r="956" spans="2:3">
      <c r="B956" s="744"/>
      <c r="C956" s="746"/>
    </row>
    <row r="957" spans="2:3">
      <c r="B957" s="744"/>
      <c r="C957" s="746"/>
    </row>
    <row r="958" spans="2:3">
      <c r="B958" s="744"/>
      <c r="C958" s="746"/>
    </row>
    <row r="959" spans="2:3">
      <c r="B959" s="744"/>
      <c r="C959" s="746"/>
    </row>
    <row r="960" spans="2:3">
      <c r="B960" s="744"/>
      <c r="C960" s="746"/>
    </row>
    <row r="961" spans="2:3">
      <c r="B961" s="744"/>
      <c r="C961" s="746"/>
    </row>
    <row r="962" spans="2:3">
      <c r="B962" s="744"/>
      <c r="C962" s="746"/>
    </row>
    <row r="963" spans="2:3">
      <c r="B963" s="744"/>
      <c r="C963" s="746"/>
    </row>
    <row r="964" spans="2:3">
      <c r="B964" s="744"/>
      <c r="C964" s="746"/>
    </row>
    <row r="965" spans="2:3">
      <c r="B965" s="744"/>
      <c r="C965" s="746"/>
    </row>
    <row r="966" spans="2:3">
      <c r="B966" s="744"/>
      <c r="C966" s="746"/>
    </row>
    <row r="967" spans="2:3">
      <c r="B967" s="744"/>
      <c r="C967" s="746"/>
    </row>
    <row r="968" spans="2:3">
      <c r="B968" s="744"/>
      <c r="C968" s="746"/>
    </row>
    <row r="969" spans="2:3">
      <c r="B969" s="744"/>
      <c r="C969" s="746"/>
    </row>
    <row r="970" spans="2:3">
      <c r="B970" s="744"/>
      <c r="C970" s="746"/>
    </row>
    <row r="971" spans="2:3">
      <c r="B971" s="744"/>
      <c r="C971" s="746"/>
    </row>
    <row r="972" spans="2:3">
      <c r="B972" s="744"/>
      <c r="C972" s="746"/>
    </row>
    <row r="973" spans="2:3">
      <c r="B973" s="744"/>
      <c r="C973" s="746"/>
    </row>
    <row r="974" spans="2:3">
      <c r="B974" s="744"/>
      <c r="C974" s="746"/>
    </row>
    <row r="975" spans="2:3">
      <c r="B975" s="744"/>
      <c r="C975" s="746"/>
    </row>
    <row r="976" spans="2:3">
      <c r="B976" s="744"/>
      <c r="C976" s="746"/>
    </row>
    <row r="977" spans="2:3">
      <c r="B977" s="744"/>
      <c r="C977" s="746"/>
    </row>
    <row r="978" spans="2:3">
      <c r="B978" s="744"/>
      <c r="C978" s="746"/>
    </row>
    <row r="979" spans="2:3">
      <c r="B979" s="744"/>
      <c r="C979" s="746"/>
    </row>
    <row r="980" spans="2:3">
      <c r="B980" s="744"/>
      <c r="C980" s="746"/>
    </row>
    <row r="981" spans="2:3">
      <c r="B981" s="744"/>
      <c r="C981" s="746"/>
    </row>
    <row r="982" spans="2:3">
      <c r="B982" s="744"/>
      <c r="C982" s="746"/>
    </row>
    <row r="983" spans="2:3">
      <c r="B983" s="744"/>
      <c r="C983" s="746"/>
    </row>
    <row r="984" spans="2:3">
      <c r="B984" s="744"/>
      <c r="C984" s="746"/>
    </row>
    <row r="985" spans="2:3">
      <c r="B985" s="744"/>
      <c r="C985" s="746"/>
    </row>
    <row r="986" spans="2:3">
      <c r="B986" s="744"/>
      <c r="C986" s="746"/>
    </row>
    <row r="987" spans="2:3">
      <c r="B987" s="744"/>
      <c r="C987" s="746"/>
    </row>
    <row r="988" spans="2:3">
      <c r="B988" s="744"/>
      <c r="C988" s="746"/>
    </row>
    <row r="989" spans="2:3">
      <c r="B989" s="744"/>
      <c r="C989" s="746"/>
    </row>
    <row r="990" spans="2:3">
      <c r="B990" s="744"/>
      <c r="C990" s="746"/>
    </row>
    <row r="991" spans="2:3">
      <c r="B991" s="744"/>
      <c r="C991" s="746"/>
    </row>
    <row r="992" spans="2:3">
      <c r="B992" s="744"/>
      <c r="C992" s="746"/>
    </row>
    <row r="993" spans="2:3">
      <c r="B993" s="744"/>
      <c r="C993" s="746"/>
    </row>
    <row r="994" spans="2:3">
      <c r="B994" s="744"/>
      <c r="C994" s="746"/>
    </row>
    <row r="995" spans="2:3">
      <c r="B995" s="744"/>
      <c r="C995" s="746"/>
    </row>
    <row r="996" spans="2:3">
      <c r="B996" s="744"/>
      <c r="C996" s="746"/>
    </row>
    <row r="997" spans="2:3">
      <c r="B997" s="744"/>
      <c r="C997" s="746"/>
    </row>
    <row r="998" spans="2:3">
      <c r="B998" s="744"/>
      <c r="C998" s="746"/>
    </row>
    <row r="999" spans="2:3">
      <c r="B999" s="744"/>
      <c r="C999" s="746"/>
    </row>
    <row r="1000" spans="2:3">
      <c r="B1000" s="744"/>
      <c r="C1000" s="746"/>
    </row>
    <row r="1001" spans="2:3">
      <c r="B1001" s="744"/>
      <c r="C1001" s="746"/>
    </row>
    <row r="1002" spans="2:3">
      <c r="B1002" s="744"/>
      <c r="C1002" s="746"/>
    </row>
    <row r="1003" spans="2:3">
      <c r="B1003" s="744"/>
      <c r="C1003" s="746"/>
    </row>
    <row r="1004" spans="2:3">
      <c r="B1004" s="744"/>
      <c r="C1004" s="746"/>
    </row>
    <row r="1005" spans="2:3">
      <c r="B1005" s="744"/>
      <c r="C1005" s="746"/>
    </row>
    <row r="1006" spans="2:3">
      <c r="B1006" s="744"/>
      <c r="C1006" s="746"/>
    </row>
    <row r="1007" spans="2:3">
      <c r="B1007" s="744"/>
      <c r="C1007" s="746"/>
    </row>
    <row r="1008" spans="2:3">
      <c r="B1008" s="744"/>
      <c r="C1008" s="746"/>
    </row>
    <row r="1009" spans="2:3">
      <c r="B1009" s="744"/>
      <c r="C1009" s="746"/>
    </row>
    <row r="1010" spans="2:3">
      <c r="B1010" s="744"/>
      <c r="C1010" s="746"/>
    </row>
    <row r="1011" spans="2:3">
      <c r="B1011" s="744"/>
      <c r="C1011" s="746"/>
    </row>
    <row r="1012" spans="2:3">
      <c r="B1012" s="744"/>
      <c r="C1012" s="746"/>
    </row>
    <row r="1013" spans="2:3">
      <c r="B1013" s="744"/>
      <c r="C1013" s="746"/>
    </row>
    <row r="1014" spans="2:3">
      <c r="B1014" s="744"/>
      <c r="C1014" s="746"/>
    </row>
    <row r="1015" spans="2:3">
      <c r="B1015" s="744"/>
      <c r="C1015" s="746"/>
    </row>
    <row r="1016" spans="2:3">
      <c r="B1016" s="744"/>
      <c r="C1016" s="746"/>
    </row>
    <row r="1017" spans="2:3">
      <c r="B1017" s="744"/>
      <c r="C1017" s="746"/>
    </row>
    <row r="1018" spans="2:3">
      <c r="B1018" s="744"/>
      <c r="C1018" s="746"/>
    </row>
    <row r="1019" spans="2:3">
      <c r="B1019" s="744"/>
      <c r="C1019" s="746"/>
    </row>
    <row r="1020" spans="2:3">
      <c r="B1020" s="744"/>
      <c r="C1020" s="746"/>
    </row>
    <row r="1021" spans="2:3">
      <c r="B1021" s="744"/>
      <c r="C1021" s="746"/>
    </row>
    <row r="1022" spans="2:3">
      <c r="B1022" s="744"/>
      <c r="C1022" s="746"/>
    </row>
    <row r="1023" spans="2:3">
      <c r="B1023" s="744"/>
      <c r="C1023" s="746"/>
    </row>
    <row r="1024" spans="2:3">
      <c r="B1024" s="744"/>
      <c r="C1024" s="746"/>
    </row>
    <row r="1025" spans="2:3">
      <c r="B1025" s="744"/>
      <c r="C1025" s="746"/>
    </row>
    <row r="1026" spans="2:3">
      <c r="B1026" s="744"/>
      <c r="C1026" s="746"/>
    </row>
    <row r="1027" spans="2:3">
      <c r="B1027" s="744"/>
      <c r="C1027" s="746"/>
    </row>
    <row r="1028" spans="2:3">
      <c r="B1028" s="744"/>
      <c r="C1028" s="746"/>
    </row>
    <row r="1029" spans="2:3">
      <c r="B1029" s="744"/>
      <c r="C1029" s="746"/>
    </row>
    <row r="1030" spans="2:3">
      <c r="B1030" s="744"/>
      <c r="C1030" s="746"/>
    </row>
    <row r="1031" spans="2:3">
      <c r="B1031" s="744"/>
      <c r="C1031" s="746"/>
    </row>
    <row r="1032" spans="2:3">
      <c r="B1032" s="744"/>
      <c r="C1032" s="746"/>
    </row>
    <row r="1033" spans="2:3">
      <c r="B1033" s="744"/>
      <c r="C1033" s="746"/>
    </row>
    <row r="1034" spans="2:3">
      <c r="B1034" s="744"/>
      <c r="C1034" s="746"/>
    </row>
    <row r="1035" spans="2:3">
      <c r="B1035" s="744"/>
      <c r="C1035" s="746"/>
    </row>
    <row r="1036" spans="2:3">
      <c r="B1036" s="744"/>
      <c r="C1036" s="746"/>
    </row>
    <row r="1037" spans="2:3">
      <c r="B1037" s="744"/>
      <c r="C1037" s="746"/>
    </row>
    <row r="1038" spans="2:3">
      <c r="B1038" s="744"/>
      <c r="C1038" s="746"/>
    </row>
    <row r="1039" spans="2:3">
      <c r="B1039" s="744"/>
      <c r="C1039" s="746"/>
    </row>
    <row r="1040" spans="2:3">
      <c r="B1040" s="744"/>
      <c r="C1040" s="746"/>
    </row>
    <row r="1041" spans="2:3">
      <c r="B1041" s="744"/>
      <c r="C1041" s="746"/>
    </row>
    <row r="1042" spans="2:3">
      <c r="B1042" s="744"/>
      <c r="C1042" s="746"/>
    </row>
    <row r="1043" spans="2:3">
      <c r="B1043" s="744"/>
      <c r="C1043" s="746"/>
    </row>
    <row r="1044" spans="2:3">
      <c r="B1044" s="744"/>
      <c r="C1044" s="746"/>
    </row>
    <row r="1045" spans="2:3">
      <c r="B1045" s="744"/>
      <c r="C1045" s="746"/>
    </row>
    <row r="1046" spans="2:3">
      <c r="B1046" s="744"/>
      <c r="C1046" s="746"/>
    </row>
    <row r="1047" spans="2:3">
      <c r="B1047" s="744"/>
      <c r="C1047" s="746"/>
    </row>
    <row r="1048" spans="2:3">
      <c r="B1048" s="744"/>
      <c r="C1048" s="746"/>
    </row>
    <row r="1049" spans="2:3">
      <c r="B1049" s="744"/>
      <c r="C1049" s="746"/>
    </row>
    <row r="1050" spans="2:3">
      <c r="B1050" s="744"/>
      <c r="C1050" s="746"/>
    </row>
    <row r="1051" spans="2:3">
      <c r="B1051" s="744"/>
      <c r="C1051" s="746"/>
    </row>
    <row r="1052" spans="2:3">
      <c r="B1052" s="744"/>
      <c r="C1052" s="746"/>
    </row>
    <row r="1053" spans="2:3">
      <c r="B1053" s="744"/>
      <c r="C1053" s="746"/>
    </row>
    <row r="1054" spans="2:3">
      <c r="B1054" s="744"/>
      <c r="C1054" s="746"/>
    </row>
    <row r="1055" spans="2:3">
      <c r="B1055" s="744"/>
      <c r="C1055" s="746"/>
    </row>
    <row r="1056" spans="2:3">
      <c r="B1056" s="744"/>
      <c r="C1056" s="746"/>
    </row>
    <row r="1057" spans="2:3">
      <c r="B1057" s="744"/>
      <c r="C1057" s="746"/>
    </row>
    <row r="1058" spans="2:3">
      <c r="B1058" s="744"/>
      <c r="C1058" s="746"/>
    </row>
    <row r="1059" spans="2:3">
      <c r="B1059" s="744"/>
      <c r="C1059" s="746"/>
    </row>
    <row r="1060" spans="2:3">
      <c r="B1060" s="744"/>
      <c r="C1060" s="746"/>
    </row>
    <row r="1061" spans="2:3">
      <c r="B1061" s="744"/>
      <c r="C1061" s="746"/>
    </row>
    <row r="1062" spans="2:3">
      <c r="B1062" s="744"/>
      <c r="C1062" s="746"/>
    </row>
    <row r="1063" spans="2:3">
      <c r="B1063" s="744"/>
      <c r="C1063" s="746"/>
    </row>
    <row r="1064" spans="2:3">
      <c r="B1064" s="744"/>
      <c r="C1064" s="746"/>
    </row>
    <row r="1065" spans="2:3">
      <c r="B1065" s="744"/>
      <c r="C1065" s="746"/>
    </row>
    <row r="1066" spans="2:3">
      <c r="B1066" s="744"/>
      <c r="C1066" s="746"/>
    </row>
    <row r="1067" spans="2:3">
      <c r="B1067" s="744"/>
      <c r="C1067" s="746"/>
    </row>
    <row r="1068" spans="2:3">
      <c r="B1068" s="744"/>
      <c r="C1068" s="746"/>
    </row>
    <row r="1069" spans="2:3">
      <c r="B1069" s="744"/>
      <c r="C1069" s="746"/>
    </row>
    <row r="1070" spans="2:3">
      <c r="B1070" s="744"/>
      <c r="C1070" s="746"/>
    </row>
    <row r="1071" spans="2:3">
      <c r="B1071" s="744"/>
      <c r="C1071" s="746"/>
    </row>
    <row r="1072" spans="2:3">
      <c r="B1072" s="744"/>
      <c r="C1072" s="746"/>
    </row>
    <row r="1073" spans="2:3">
      <c r="B1073" s="744"/>
      <c r="C1073" s="746"/>
    </row>
    <row r="1074" spans="2:3">
      <c r="B1074" s="744"/>
      <c r="C1074" s="746"/>
    </row>
    <row r="1075" spans="2:3">
      <c r="B1075" s="744"/>
      <c r="C1075" s="746"/>
    </row>
    <row r="1076" spans="2:3">
      <c r="B1076" s="744"/>
      <c r="C1076" s="746"/>
    </row>
    <row r="1077" spans="2:3">
      <c r="B1077" s="744"/>
      <c r="C1077" s="746"/>
    </row>
    <row r="1078" spans="2:3">
      <c r="B1078" s="744"/>
      <c r="C1078" s="746"/>
    </row>
    <row r="1079" spans="2:3">
      <c r="B1079" s="744"/>
      <c r="C1079" s="746"/>
    </row>
    <row r="1080" spans="2:3">
      <c r="B1080" s="744"/>
      <c r="C1080" s="746"/>
    </row>
    <row r="1081" spans="2:3">
      <c r="B1081" s="744"/>
      <c r="C1081" s="746"/>
    </row>
    <row r="1082" spans="2:3">
      <c r="B1082" s="744"/>
      <c r="C1082" s="746"/>
    </row>
    <row r="1083" spans="2:3">
      <c r="B1083" s="744"/>
      <c r="C1083" s="746"/>
    </row>
    <row r="1084" spans="2:3">
      <c r="B1084" s="744"/>
      <c r="C1084" s="746"/>
    </row>
    <row r="1085" spans="2:3">
      <c r="B1085" s="744"/>
      <c r="C1085" s="746"/>
    </row>
    <row r="1086" spans="2:3">
      <c r="B1086" s="744"/>
      <c r="C1086" s="746"/>
    </row>
    <row r="1087" spans="2:3">
      <c r="B1087" s="744"/>
      <c r="C1087" s="746"/>
    </row>
    <row r="1088" spans="2:3">
      <c r="B1088" s="744"/>
      <c r="C1088" s="746"/>
    </row>
    <row r="1089" spans="2:3">
      <c r="B1089" s="744"/>
      <c r="C1089" s="746"/>
    </row>
    <row r="1090" spans="2:3">
      <c r="B1090" s="744"/>
      <c r="C1090" s="746"/>
    </row>
    <row r="1091" spans="2:3">
      <c r="B1091" s="744"/>
      <c r="C1091" s="746"/>
    </row>
    <row r="1092" spans="2:3">
      <c r="B1092" s="744"/>
      <c r="C1092" s="746"/>
    </row>
    <row r="1093" spans="2:3">
      <c r="B1093" s="744"/>
      <c r="C1093" s="746"/>
    </row>
    <row r="1094" spans="2:3">
      <c r="B1094" s="744"/>
      <c r="C1094" s="746"/>
    </row>
    <row r="1095" spans="2:3">
      <c r="B1095" s="744"/>
      <c r="C1095" s="746"/>
    </row>
    <row r="1096" spans="2:3">
      <c r="B1096" s="744"/>
      <c r="C1096" s="746"/>
    </row>
    <row r="1097" spans="2:3">
      <c r="B1097" s="744"/>
      <c r="C1097" s="746"/>
    </row>
    <row r="1098" spans="2:3">
      <c r="B1098" s="744"/>
      <c r="C1098" s="746"/>
    </row>
    <row r="1099" spans="2:3">
      <c r="B1099" s="744"/>
      <c r="C1099" s="746"/>
    </row>
    <row r="1100" spans="2:3">
      <c r="B1100" s="744"/>
      <c r="C1100" s="746"/>
    </row>
    <row r="1101" spans="2:3">
      <c r="B1101" s="744"/>
      <c r="C1101" s="746"/>
    </row>
    <row r="1102" spans="2:3">
      <c r="B1102" s="744"/>
      <c r="C1102" s="746"/>
    </row>
    <row r="1103" spans="2:3">
      <c r="B1103" s="744"/>
      <c r="C1103" s="746"/>
    </row>
    <row r="1104" spans="2:3">
      <c r="B1104" s="744"/>
      <c r="C1104" s="746"/>
    </row>
    <row r="1105" spans="2:3">
      <c r="B1105" s="744"/>
      <c r="C1105" s="746"/>
    </row>
    <row r="1106" spans="2:3">
      <c r="B1106" s="744"/>
      <c r="C1106" s="746"/>
    </row>
    <row r="1107" spans="2:3">
      <c r="B1107" s="744"/>
      <c r="C1107" s="746"/>
    </row>
    <row r="1108" spans="2:3">
      <c r="B1108" s="744"/>
      <c r="C1108" s="746"/>
    </row>
    <row r="1109" spans="2:3">
      <c r="B1109" s="744"/>
      <c r="C1109" s="746"/>
    </row>
    <row r="1110" spans="2:3">
      <c r="B1110" s="744"/>
      <c r="C1110" s="746"/>
    </row>
    <row r="1111" spans="2:3">
      <c r="B1111" s="744"/>
      <c r="C1111" s="746"/>
    </row>
    <row r="1112" spans="2:3">
      <c r="B1112" s="744"/>
      <c r="C1112" s="746"/>
    </row>
    <row r="1113" spans="2:3">
      <c r="B1113" s="744"/>
      <c r="C1113" s="746"/>
    </row>
    <row r="1114" spans="2:3">
      <c r="B1114" s="744"/>
      <c r="C1114" s="746"/>
    </row>
    <row r="1115" spans="2:3">
      <c r="B1115" s="744"/>
      <c r="C1115" s="746"/>
    </row>
    <row r="1116" spans="2:3">
      <c r="B1116" s="744"/>
      <c r="C1116" s="746"/>
    </row>
    <row r="1117" spans="2:3">
      <c r="B1117" s="744"/>
      <c r="C1117" s="746"/>
    </row>
    <row r="1118" spans="2:3">
      <c r="B1118" s="744"/>
      <c r="C1118" s="746"/>
    </row>
    <row r="1119" spans="2:3">
      <c r="B1119" s="744"/>
      <c r="C1119" s="746"/>
    </row>
    <row r="1120" spans="2:3">
      <c r="B1120" s="744"/>
      <c r="C1120" s="746"/>
    </row>
    <row r="1121" spans="2:3">
      <c r="B1121" s="744"/>
      <c r="C1121" s="746"/>
    </row>
    <row r="1122" spans="2:3">
      <c r="B1122" s="744"/>
      <c r="C1122" s="746"/>
    </row>
    <row r="1123" spans="2:3">
      <c r="B1123" s="744"/>
      <c r="C1123" s="746"/>
    </row>
    <row r="1124" spans="2:3">
      <c r="B1124" s="744"/>
      <c r="C1124" s="746"/>
    </row>
    <row r="1125" spans="2:3">
      <c r="B1125" s="744"/>
      <c r="C1125" s="746"/>
    </row>
    <row r="1126" spans="2:3">
      <c r="B1126" s="744"/>
      <c r="C1126" s="746"/>
    </row>
    <row r="1127" spans="2:3">
      <c r="B1127" s="744"/>
      <c r="C1127" s="746"/>
    </row>
    <row r="1128" spans="2:3">
      <c r="B1128" s="744"/>
      <c r="C1128" s="746"/>
    </row>
    <row r="1129" spans="2:3">
      <c r="B1129" s="744"/>
      <c r="C1129" s="746"/>
    </row>
    <row r="1130" spans="2:3">
      <c r="B1130" s="744"/>
      <c r="C1130" s="746"/>
    </row>
    <row r="1131" spans="2:3">
      <c r="B1131" s="744"/>
      <c r="C1131" s="746"/>
    </row>
    <row r="1132" spans="2:3">
      <c r="B1132" s="744"/>
      <c r="C1132" s="746"/>
    </row>
    <row r="1133" spans="2:3">
      <c r="B1133" s="744"/>
      <c r="C1133" s="746"/>
    </row>
    <row r="1134" spans="2:3">
      <c r="B1134" s="744"/>
      <c r="C1134" s="746"/>
    </row>
    <row r="1135" spans="2:3">
      <c r="B1135" s="744"/>
      <c r="C1135" s="746"/>
    </row>
    <row r="1136" spans="2:3">
      <c r="B1136" s="744"/>
      <c r="C1136" s="746"/>
    </row>
    <row r="1137" spans="2:3">
      <c r="B1137" s="744"/>
      <c r="C1137" s="746"/>
    </row>
    <row r="1138" spans="2:3">
      <c r="B1138" s="744"/>
      <c r="C1138" s="746"/>
    </row>
    <row r="1139" spans="2:3">
      <c r="B1139" s="744"/>
      <c r="C1139" s="746"/>
    </row>
    <row r="1140" spans="2:3">
      <c r="B1140" s="744"/>
      <c r="C1140" s="746"/>
    </row>
    <row r="1141" spans="2:3">
      <c r="B1141" s="744"/>
      <c r="C1141" s="746"/>
    </row>
    <row r="1142" spans="2:3">
      <c r="B1142" s="744"/>
      <c r="C1142" s="746"/>
    </row>
    <row r="1143" spans="2:3">
      <c r="B1143" s="744"/>
      <c r="C1143" s="746"/>
    </row>
    <row r="1144" spans="2:3">
      <c r="B1144" s="744"/>
      <c r="C1144" s="746"/>
    </row>
    <row r="1145" spans="2:3">
      <c r="B1145" s="744"/>
      <c r="C1145" s="746"/>
    </row>
    <row r="1146" spans="2:3">
      <c r="B1146" s="744"/>
      <c r="C1146" s="746"/>
    </row>
    <row r="1147" spans="2:3">
      <c r="B1147" s="744"/>
      <c r="C1147" s="746"/>
    </row>
    <row r="1148" spans="2:3">
      <c r="B1148" s="744"/>
      <c r="C1148" s="746"/>
    </row>
    <row r="1149" spans="2:3">
      <c r="B1149" s="744"/>
      <c r="C1149" s="746"/>
    </row>
    <row r="1150" spans="2:3">
      <c r="B1150" s="744"/>
      <c r="C1150" s="746"/>
    </row>
    <row r="1151" spans="2:3">
      <c r="B1151" s="744"/>
      <c r="C1151" s="746"/>
    </row>
    <row r="1152" spans="2:3">
      <c r="B1152" s="744"/>
      <c r="C1152" s="746"/>
    </row>
    <row r="1153" spans="2:3">
      <c r="B1153" s="744"/>
      <c r="C1153" s="746"/>
    </row>
    <row r="1154" spans="2:3">
      <c r="B1154" s="744"/>
      <c r="C1154" s="746"/>
    </row>
    <row r="1155" spans="2:3">
      <c r="B1155" s="744"/>
      <c r="C1155" s="746"/>
    </row>
    <row r="1156" spans="2:3">
      <c r="B1156" s="744"/>
      <c r="C1156" s="746"/>
    </row>
    <row r="1157" spans="2:3">
      <c r="B1157" s="744"/>
      <c r="C1157" s="746"/>
    </row>
    <row r="1158" spans="2:3">
      <c r="B1158" s="744"/>
      <c r="C1158" s="746"/>
    </row>
    <row r="1159" spans="2:3">
      <c r="B1159" s="744"/>
      <c r="C1159" s="746"/>
    </row>
    <row r="1160" spans="2:3">
      <c r="B1160" s="744"/>
      <c r="C1160" s="746"/>
    </row>
    <row r="1161" spans="2:3">
      <c r="B1161" s="744"/>
      <c r="C1161" s="746"/>
    </row>
    <row r="1162" spans="2:3">
      <c r="B1162" s="744"/>
      <c r="C1162" s="746"/>
    </row>
    <row r="1163" spans="2:3">
      <c r="B1163" s="744"/>
      <c r="C1163" s="746"/>
    </row>
    <row r="1164" spans="2:3">
      <c r="B1164" s="744"/>
      <c r="C1164" s="746"/>
    </row>
    <row r="1165" spans="2:3">
      <c r="B1165" s="744"/>
      <c r="C1165" s="746"/>
    </row>
    <row r="1166" spans="2:3">
      <c r="B1166" s="744"/>
      <c r="C1166" s="746"/>
    </row>
    <row r="1167" spans="2:3">
      <c r="B1167" s="744"/>
      <c r="C1167" s="746"/>
    </row>
    <row r="1168" spans="2:3">
      <c r="B1168" s="744"/>
      <c r="C1168" s="746"/>
    </row>
    <row r="1169" spans="2:3">
      <c r="B1169" s="744"/>
      <c r="C1169" s="746"/>
    </row>
    <row r="1170" spans="2:3">
      <c r="B1170" s="744"/>
      <c r="C1170" s="746"/>
    </row>
    <row r="1171" spans="2:3">
      <c r="B1171" s="744"/>
      <c r="C1171" s="746"/>
    </row>
    <row r="1172" spans="2:3">
      <c r="B1172" s="744"/>
      <c r="C1172" s="746"/>
    </row>
    <row r="1173" spans="2:3">
      <c r="B1173" s="744"/>
      <c r="C1173" s="746"/>
    </row>
    <row r="1174" spans="2:3">
      <c r="B1174" s="744"/>
      <c r="C1174" s="746"/>
    </row>
    <row r="1175" spans="2:3">
      <c r="B1175" s="744"/>
      <c r="C1175" s="746"/>
    </row>
    <row r="1176" spans="2:3">
      <c r="B1176" s="744"/>
      <c r="C1176" s="746"/>
    </row>
    <row r="1177" spans="2:3">
      <c r="B1177" s="744"/>
      <c r="C1177" s="746"/>
    </row>
    <row r="1178" spans="2:3">
      <c r="B1178" s="744"/>
      <c r="C1178" s="746"/>
    </row>
    <row r="1179" spans="2:3">
      <c r="B1179" s="744"/>
      <c r="C1179" s="746"/>
    </row>
    <row r="1180" spans="2:3">
      <c r="B1180" s="744"/>
      <c r="C1180" s="746"/>
    </row>
    <row r="1181" spans="2:3">
      <c r="B1181" s="744"/>
      <c r="C1181" s="746"/>
    </row>
    <row r="1182" spans="2:3">
      <c r="B1182" s="744"/>
      <c r="C1182" s="746"/>
    </row>
    <row r="1183" spans="2:3">
      <c r="B1183" s="744"/>
      <c r="C1183" s="746"/>
    </row>
    <row r="1184" spans="2:3">
      <c r="B1184" s="744"/>
      <c r="C1184" s="746"/>
    </row>
    <row r="1185" spans="2:3">
      <c r="B1185" s="744"/>
      <c r="C1185" s="746"/>
    </row>
    <row r="1186" spans="2:3">
      <c r="B1186" s="744"/>
      <c r="C1186" s="746"/>
    </row>
    <row r="1187" spans="2:3">
      <c r="B1187" s="744"/>
      <c r="C1187" s="746"/>
    </row>
    <row r="1188" spans="2:3">
      <c r="B1188" s="744"/>
      <c r="C1188" s="746"/>
    </row>
    <row r="1189" spans="2:3">
      <c r="B1189" s="744"/>
      <c r="C1189" s="746"/>
    </row>
    <row r="1190" spans="2:3">
      <c r="B1190" s="744"/>
      <c r="C1190" s="746"/>
    </row>
    <row r="1191" spans="2:3">
      <c r="B1191" s="744"/>
      <c r="C1191" s="746"/>
    </row>
    <row r="1192" spans="2:3">
      <c r="B1192" s="744"/>
      <c r="C1192" s="746"/>
    </row>
    <row r="1193" spans="2:3">
      <c r="B1193" s="744"/>
      <c r="C1193" s="746"/>
    </row>
    <row r="1194" spans="2:3">
      <c r="B1194" s="744"/>
      <c r="C1194" s="746"/>
    </row>
    <row r="1195" spans="2:3">
      <c r="B1195" s="744"/>
      <c r="C1195" s="746"/>
    </row>
    <row r="1196" spans="2:3">
      <c r="B1196" s="744"/>
      <c r="C1196" s="746"/>
    </row>
    <row r="1197" spans="2:3">
      <c r="B1197" s="744"/>
      <c r="C1197" s="746"/>
    </row>
    <row r="1198" spans="2:3">
      <c r="B1198" s="744"/>
      <c r="C1198" s="746"/>
    </row>
    <row r="1199" spans="2:3">
      <c r="B1199" s="744"/>
      <c r="C1199" s="746"/>
    </row>
    <row r="1200" spans="2:3">
      <c r="B1200" s="744"/>
      <c r="C1200" s="746"/>
    </row>
    <row r="1201" spans="2:3">
      <c r="B1201" s="744"/>
      <c r="C1201" s="746"/>
    </row>
    <row r="1202" spans="2:3">
      <c r="B1202" s="744"/>
      <c r="C1202" s="746"/>
    </row>
    <row r="1203" spans="2:3">
      <c r="B1203" s="744"/>
      <c r="C1203" s="746"/>
    </row>
    <row r="1204" spans="2:3">
      <c r="B1204" s="744"/>
      <c r="C1204" s="746"/>
    </row>
    <row r="1205" spans="2:3">
      <c r="B1205" s="744"/>
      <c r="C1205" s="746"/>
    </row>
    <row r="1206" spans="2:3">
      <c r="B1206" s="744"/>
      <c r="C1206" s="746"/>
    </row>
    <row r="1207" spans="2:3">
      <c r="B1207" s="744"/>
      <c r="C1207" s="746"/>
    </row>
    <row r="1208" spans="2:3">
      <c r="B1208" s="744"/>
      <c r="C1208" s="746"/>
    </row>
    <row r="1209" spans="2:3">
      <c r="B1209" s="744"/>
      <c r="C1209" s="746"/>
    </row>
    <row r="1210" spans="2:3">
      <c r="B1210" s="744"/>
      <c r="C1210" s="746"/>
    </row>
    <row r="1211" spans="2:3">
      <c r="B1211" s="744"/>
      <c r="C1211" s="746"/>
    </row>
    <row r="1212" spans="2:3">
      <c r="B1212" s="744"/>
      <c r="C1212" s="746"/>
    </row>
    <row r="1213" spans="2:3">
      <c r="B1213" s="744"/>
      <c r="C1213" s="746"/>
    </row>
    <row r="1214" spans="2:3">
      <c r="B1214" s="744"/>
      <c r="C1214" s="746"/>
    </row>
    <row r="1215" spans="2:3">
      <c r="B1215" s="744"/>
      <c r="C1215" s="746"/>
    </row>
    <row r="1216" spans="2:3">
      <c r="B1216" s="744"/>
      <c r="C1216" s="746"/>
    </row>
    <row r="1217" spans="2:3">
      <c r="B1217" s="744"/>
      <c r="C1217" s="746"/>
    </row>
    <row r="1218" spans="2:3">
      <c r="B1218" s="744"/>
      <c r="C1218" s="746"/>
    </row>
    <row r="1219" spans="2:3">
      <c r="B1219" s="744"/>
      <c r="C1219" s="746"/>
    </row>
    <row r="1220" spans="2:3">
      <c r="B1220" s="744"/>
      <c r="C1220" s="746"/>
    </row>
    <row r="1221" spans="2:3">
      <c r="B1221" s="744"/>
      <c r="C1221" s="746"/>
    </row>
    <row r="1222" spans="2:3">
      <c r="B1222" s="744"/>
      <c r="C1222" s="746"/>
    </row>
    <row r="1223" spans="2:3">
      <c r="B1223" s="744"/>
      <c r="C1223" s="746"/>
    </row>
    <row r="1224" spans="2:3">
      <c r="B1224" s="744"/>
      <c r="C1224" s="746"/>
    </row>
    <row r="1225" spans="2:3">
      <c r="B1225" s="744"/>
      <c r="C1225" s="746"/>
    </row>
    <row r="1226" spans="2:3">
      <c r="B1226" s="744"/>
      <c r="C1226" s="746"/>
    </row>
    <row r="1227" spans="2:3">
      <c r="B1227" s="744"/>
      <c r="C1227" s="746"/>
    </row>
    <row r="1228" spans="2:3">
      <c r="B1228" s="744"/>
      <c r="C1228" s="746"/>
    </row>
    <row r="1229" spans="2:3">
      <c r="B1229" s="744"/>
      <c r="C1229" s="746"/>
    </row>
    <row r="1230" spans="2:3">
      <c r="B1230" s="744"/>
      <c r="C1230" s="746"/>
    </row>
    <row r="1231" spans="2:3">
      <c r="B1231" s="744"/>
      <c r="C1231" s="746"/>
    </row>
    <row r="1232" spans="2:3">
      <c r="B1232" s="744"/>
      <c r="C1232" s="746"/>
    </row>
    <row r="1233" spans="2:3">
      <c r="B1233" s="744"/>
      <c r="C1233" s="746"/>
    </row>
    <row r="1234" spans="2:3">
      <c r="B1234" s="744"/>
      <c r="C1234" s="746"/>
    </row>
    <row r="1235" spans="2:3">
      <c r="B1235" s="744"/>
      <c r="C1235" s="746"/>
    </row>
    <row r="1236" spans="2:3">
      <c r="B1236" s="744"/>
      <c r="C1236" s="746"/>
    </row>
    <row r="1237" spans="2:3">
      <c r="B1237" s="744"/>
      <c r="C1237" s="746"/>
    </row>
    <row r="1238" spans="2:3">
      <c r="B1238" s="744"/>
      <c r="C1238" s="746"/>
    </row>
    <row r="1239" spans="2:3">
      <c r="B1239" s="744"/>
      <c r="C1239" s="746"/>
    </row>
    <row r="1240" spans="2:3">
      <c r="B1240" s="744"/>
      <c r="C1240" s="746"/>
    </row>
    <row r="1241" spans="2:3">
      <c r="B1241" s="744"/>
      <c r="C1241" s="746"/>
    </row>
    <row r="1242" spans="2:3">
      <c r="B1242" s="744"/>
      <c r="C1242" s="746"/>
    </row>
    <row r="1243" spans="2:3">
      <c r="B1243" s="744"/>
      <c r="C1243" s="746"/>
    </row>
    <row r="1244" spans="2:3">
      <c r="B1244" s="744"/>
      <c r="C1244" s="746"/>
    </row>
    <row r="1245" spans="2:3">
      <c r="B1245" s="744"/>
      <c r="C1245" s="746"/>
    </row>
    <row r="1246" spans="2:3">
      <c r="B1246" s="744"/>
      <c r="C1246" s="746"/>
    </row>
    <row r="1247" spans="2:3">
      <c r="B1247" s="744"/>
      <c r="C1247" s="746"/>
    </row>
    <row r="1248" spans="2:3">
      <c r="B1248" s="744"/>
      <c r="C1248" s="746"/>
    </row>
    <row r="1249" spans="2:3">
      <c r="B1249" s="744"/>
      <c r="C1249" s="746"/>
    </row>
    <row r="1250" spans="2:3">
      <c r="B1250" s="744"/>
      <c r="C1250" s="746"/>
    </row>
    <row r="1251" spans="2:3">
      <c r="B1251" s="744"/>
      <c r="C1251" s="746"/>
    </row>
    <row r="1252" spans="2:3">
      <c r="B1252" s="744"/>
      <c r="C1252" s="746"/>
    </row>
    <row r="1253" spans="2:3">
      <c r="B1253" s="744"/>
      <c r="C1253" s="746"/>
    </row>
    <row r="1254" spans="2:3">
      <c r="B1254" s="744"/>
      <c r="C1254" s="746"/>
    </row>
    <row r="1255" spans="2:3">
      <c r="B1255" s="744"/>
      <c r="C1255" s="746"/>
    </row>
    <row r="1256" spans="2:3">
      <c r="B1256" s="744"/>
      <c r="C1256" s="746"/>
    </row>
    <row r="1257" spans="2:3">
      <c r="B1257" s="744"/>
      <c r="C1257" s="746"/>
    </row>
    <row r="1258" spans="2:3">
      <c r="B1258" s="744"/>
      <c r="C1258" s="746"/>
    </row>
    <row r="1259" spans="2:3">
      <c r="B1259" s="744"/>
      <c r="C1259" s="746"/>
    </row>
    <row r="1260" spans="2:3">
      <c r="B1260" s="744"/>
      <c r="C1260" s="746"/>
    </row>
    <row r="1261" spans="2:3">
      <c r="B1261" s="744"/>
      <c r="C1261" s="746"/>
    </row>
    <row r="1262" spans="2:3">
      <c r="B1262" s="744"/>
      <c r="C1262" s="746"/>
    </row>
    <row r="1263" spans="2:3">
      <c r="B1263" s="744"/>
      <c r="C1263" s="746"/>
    </row>
    <row r="1264" spans="2:3">
      <c r="B1264" s="744"/>
      <c r="C1264" s="746"/>
    </row>
    <row r="1265" spans="2:3">
      <c r="B1265" s="744"/>
      <c r="C1265" s="746"/>
    </row>
    <row r="1266" spans="2:3">
      <c r="B1266" s="744"/>
      <c r="C1266" s="746"/>
    </row>
    <row r="1267" spans="2:3">
      <c r="B1267" s="744"/>
      <c r="C1267" s="746"/>
    </row>
    <row r="1268" spans="2:3">
      <c r="B1268" s="744"/>
      <c r="C1268" s="746"/>
    </row>
    <row r="1269" spans="2:3">
      <c r="B1269" s="744"/>
      <c r="C1269" s="746"/>
    </row>
    <row r="1270" spans="2:3">
      <c r="B1270" s="744"/>
      <c r="C1270" s="746"/>
    </row>
    <row r="1271" spans="2:3">
      <c r="B1271" s="744"/>
      <c r="C1271" s="746"/>
    </row>
    <row r="1272" spans="2:3">
      <c r="B1272" s="744"/>
      <c r="C1272" s="746"/>
    </row>
    <row r="1273" spans="2:3">
      <c r="B1273" s="744"/>
      <c r="C1273" s="746"/>
    </row>
    <row r="1274" spans="2:3">
      <c r="B1274" s="744"/>
      <c r="C1274" s="746"/>
    </row>
    <row r="1275" spans="2:3">
      <c r="B1275" s="744"/>
      <c r="C1275" s="746"/>
    </row>
    <row r="1276" spans="2:3">
      <c r="B1276" s="744"/>
      <c r="C1276" s="746"/>
    </row>
    <row r="1277" spans="2:3">
      <c r="B1277" s="744"/>
      <c r="C1277" s="746"/>
    </row>
    <row r="1278" spans="2:3">
      <c r="B1278" s="744"/>
      <c r="C1278" s="746"/>
    </row>
    <row r="1279" spans="2:3">
      <c r="B1279" s="744"/>
      <c r="C1279" s="746"/>
    </row>
    <row r="1280" spans="2:3">
      <c r="B1280" s="744"/>
      <c r="C1280" s="746"/>
    </row>
    <row r="1281" spans="2:3">
      <c r="B1281" s="744"/>
      <c r="C1281" s="746"/>
    </row>
    <row r="1282" spans="2:3">
      <c r="B1282" s="744"/>
      <c r="C1282" s="746"/>
    </row>
    <row r="1283" spans="2:3">
      <c r="B1283" s="744"/>
      <c r="C1283" s="746"/>
    </row>
    <row r="1284" spans="2:3">
      <c r="B1284" s="744"/>
      <c r="C1284" s="746"/>
    </row>
    <row r="1285" spans="2:3">
      <c r="B1285" s="744"/>
      <c r="C1285" s="746"/>
    </row>
    <row r="1286" spans="2:3">
      <c r="B1286" s="744"/>
      <c r="C1286" s="746"/>
    </row>
    <row r="1287" spans="2:3">
      <c r="B1287" s="744"/>
      <c r="C1287" s="746"/>
    </row>
    <row r="1288" spans="2:3">
      <c r="B1288" s="744"/>
      <c r="C1288" s="746"/>
    </row>
    <row r="1289" spans="2:3">
      <c r="B1289" s="744"/>
      <c r="C1289" s="746"/>
    </row>
    <row r="1290" spans="2:3">
      <c r="B1290" s="744"/>
      <c r="C1290" s="746"/>
    </row>
    <row r="1291" spans="2:3">
      <c r="B1291" s="744"/>
      <c r="C1291" s="746"/>
    </row>
    <row r="1292" spans="2:3">
      <c r="B1292" s="744"/>
      <c r="C1292" s="746"/>
    </row>
    <row r="1293" spans="2:3">
      <c r="B1293" s="744"/>
      <c r="C1293" s="746"/>
    </row>
    <row r="1294" spans="2:3">
      <c r="B1294" s="744"/>
      <c r="C1294" s="746"/>
    </row>
    <row r="1295" spans="2:3">
      <c r="B1295" s="744"/>
      <c r="C1295" s="746"/>
    </row>
    <row r="1296" spans="2:3">
      <c r="B1296" s="744"/>
      <c r="C1296" s="746"/>
    </row>
    <row r="1297" spans="2:3">
      <c r="B1297" s="744"/>
      <c r="C1297" s="746"/>
    </row>
    <row r="1298" spans="2:3">
      <c r="B1298" s="744"/>
      <c r="C1298" s="746"/>
    </row>
    <row r="1299" spans="2:3">
      <c r="B1299" s="744"/>
      <c r="C1299" s="746"/>
    </row>
    <row r="1300" spans="2:3">
      <c r="B1300" s="744"/>
      <c r="C1300" s="746"/>
    </row>
    <row r="1301" spans="2:3">
      <c r="B1301" s="744"/>
      <c r="C1301" s="746"/>
    </row>
    <row r="1302" spans="2:3">
      <c r="B1302" s="744"/>
      <c r="C1302" s="746"/>
    </row>
    <row r="1303" spans="2:3">
      <c r="B1303" s="744"/>
      <c r="C1303" s="746"/>
    </row>
    <row r="1304" spans="2:3">
      <c r="B1304" s="744"/>
      <c r="C1304" s="746"/>
    </row>
    <row r="1305" spans="2:3">
      <c r="B1305" s="744"/>
      <c r="C1305" s="746"/>
    </row>
    <row r="1306" spans="2:3">
      <c r="B1306" s="744"/>
      <c r="C1306" s="746"/>
    </row>
    <row r="1307" spans="2:3">
      <c r="B1307" s="744"/>
      <c r="C1307" s="746"/>
    </row>
    <row r="1308" spans="2:3">
      <c r="B1308" s="744"/>
      <c r="C1308" s="746"/>
    </row>
    <row r="1309" spans="2:3">
      <c r="B1309" s="744"/>
      <c r="C1309" s="746"/>
    </row>
    <row r="1310" spans="2:3">
      <c r="B1310" s="744"/>
      <c r="C1310" s="746"/>
    </row>
    <row r="1311" spans="2:3">
      <c r="B1311" s="744"/>
      <c r="C1311" s="746"/>
    </row>
    <row r="1312" spans="2:3">
      <c r="B1312" s="744"/>
      <c r="C1312" s="746"/>
    </row>
    <row r="1313" spans="2:3">
      <c r="B1313" s="744"/>
      <c r="C1313" s="746"/>
    </row>
    <row r="1314" spans="2:3">
      <c r="B1314" s="744"/>
      <c r="C1314" s="746"/>
    </row>
    <row r="1315" spans="2:3">
      <c r="B1315" s="744"/>
      <c r="C1315" s="746"/>
    </row>
    <row r="1316" spans="2:3">
      <c r="B1316" s="744"/>
      <c r="C1316" s="746"/>
    </row>
    <row r="1317" spans="2:3">
      <c r="B1317" s="744"/>
      <c r="C1317" s="746"/>
    </row>
    <row r="1318" spans="2:3">
      <c r="B1318" s="744"/>
      <c r="C1318" s="746"/>
    </row>
    <row r="1319" spans="2:3">
      <c r="B1319" s="744"/>
      <c r="C1319" s="746"/>
    </row>
    <row r="1320" spans="2:3">
      <c r="B1320" s="744"/>
      <c r="C1320" s="746"/>
    </row>
    <row r="1321" spans="2:3">
      <c r="B1321" s="744"/>
      <c r="C1321" s="746"/>
    </row>
    <row r="1322" spans="2:3">
      <c r="B1322" s="744"/>
      <c r="C1322" s="746"/>
    </row>
    <row r="1323" spans="2:3">
      <c r="B1323" s="744"/>
      <c r="C1323" s="746"/>
    </row>
    <row r="1324" spans="2:3">
      <c r="B1324" s="744"/>
      <c r="C1324" s="746"/>
    </row>
    <row r="1325" spans="2:3">
      <c r="B1325" s="744"/>
      <c r="C1325" s="746"/>
    </row>
    <row r="1326" spans="2:3">
      <c r="B1326" s="744"/>
      <c r="C1326" s="746"/>
    </row>
    <row r="1327" spans="2:3">
      <c r="B1327" s="744"/>
      <c r="C1327" s="746"/>
    </row>
    <row r="1328" spans="2:3">
      <c r="B1328" s="744"/>
      <c r="C1328" s="746"/>
    </row>
    <row r="1329" spans="2:3">
      <c r="B1329" s="744"/>
      <c r="C1329" s="746"/>
    </row>
    <row r="1330" spans="2:3">
      <c r="B1330" s="744"/>
      <c r="C1330" s="746"/>
    </row>
    <row r="1331" spans="2:3">
      <c r="B1331" s="744"/>
      <c r="C1331" s="746"/>
    </row>
    <row r="1332" spans="2:3">
      <c r="B1332" s="744"/>
      <c r="C1332" s="746"/>
    </row>
    <row r="1333" spans="2:3">
      <c r="B1333" s="744"/>
      <c r="C1333" s="746"/>
    </row>
    <row r="1334" spans="2:3">
      <c r="B1334" s="744"/>
      <c r="C1334" s="746"/>
    </row>
    <row r="1335" spans="2:3">
      <c r="B1335" s="744"/>
      <c r="C1335" s="746"/>
    </row>
    <row r="1336" spans="2:3">
      <c r="B1336" s="744"/>
      <c r="C1336" s="746"/>
    </row>
    <row r="1337" spans="2:3">
      <c r="B1337" s="744"/>
      <c r="C1337" s="746"/>
    </row>
    <row r="1338" spans="2:3">
      <c r="B1338" s="744"/>
      <c r="C1338" s="746"/>
    </row>
    <row r="1339" spans="2:3">
      <c r="B1339" s="744"/>
      <c r="C1339" s="746"/>
    </row>
    <row r="1340" spans="2:3">
      <c r="B1340" s="744"/>
      <c r="C1340" s="746"/>
    </row>
    <row r="1341" spans="2:3">
      <c r="B1341" s="744"/>
      <c r="C1341" s="746"/>
    </row>
    <row r="1342" spans="2:3">
      <c r="B1342" s="744"/>
      <c r="C1342" s="746"/>
    </row>
    <row r="1343" spans="2:3">
      <c r="B1343" s="744"/>
      <c r="C1343" s="746"/>
    </row>
    <row r="1344" spans="2:3">
      <c r="B1344" s="744"/>
      <c r="C1344" s="746"/>
    </row>
    <row r="1345" spans="2:3">
      <c r="B1345" s="744"/>
      <c r="C1345" s="746"/>
    </row>
    <row r="1346" spans="2:3">
      <c r="B1346" s="744"/>
      <c r="C1346" s="746"/>
    </row>
    <row r="1347" spans="2:3">
      <c r="B1347" s="744"/>
      <c r="C1347" s="746"/>
    </row>
    <row r="1348" spans="2:3">
      <c r="B1348" s="744"/>
      <c r="C1348" s="746"/>
    </row>
    <row r="1349" spans="2:3">
      <c r="B1349" s="744"/>
      <c r="C1349" s="746"/>
    </row>
    <row r="1350" spans="2:3">
      <c r="B1350" s="744"/>
      <c r="C1350" s="746"/>
    </row>
    <row r="1351" spans="2:3">
      <c r="B1351" s="744"/>
      <c r="C1351" s="746"/>
    </row>
    <row r="1352" spans="2:3">
      <c r="B1352" s="744"/>
      <c r="C1352" s="746"/>
    </row>
    <row r="1353" spans="2:3">
      <c r="B1353" s="744"/>
      <c r="C1353" s="746"/>
    </row>
    <row r="1354" spans="2:3">
      <c r="B1354" s="744"/>
      <c r="C1354" s="746"/>
    </row>
    <row r="1355" spans="2:3">
      <c r="B1355" s="744"/>
      <c r="C1355" s="746"/>
    </row>
    <row r="1356" spans="2:3">
      <c r="B1356" s="744"/>
      <c r="C1356" s="746"/>
    </row>
    <row r="1357" spans="2:3">
      <c r="B1357" s="744"/>
      <c r="C1357" s="746"/>
    </row>
    <row r="1358" spans="2:3">
      <c r="B1358" s="744"/>
      <c r="C1358" s="746"/>
    </row>
    <row r="1359" spans="2:3">
      <c r="B1359" s="744"/>
      <c r="C1359" s="746"/>
    </row>
    <row r="1360" spans="2:3">
      <c r="B1360" s="744"/>
      <c r="C1360" s="746"/>
    </row>
    <row r="1361" spans="2:3">
      <c r="B1361" s="744"/>
      <c r="C1361" s="746"/>
    </row>
    <row r="1362" spans="2:3">
      <c r="B1362" s="744"/>
      <c r="C1362" s="746"/>
    </row>
    <row r="1363" spans="2:3">
      <c r="B1363" s="744"/>
      <c r="C1363" s="746"/>
    </row>
    <row r="1364" spans="2:3">
      <c r="B1364" s="744"/>
      <c r="C1364" s="746"/>
    </row>
    <row r="1365" spans="2:3">
      <c r="B1365" s="744"/>
      <c r="C1365" s="746"/>
    </row>
    <row r="1366" spans="2:3">
      <c r="B1366" s="744"/>
      <c r="C1366" s="746"/>
    </row>
    <row r="1367" spans="2:3">
      <c r="B1367" s="744"/>
      <c r="C1367" s="746"/>
    </row>
    <row r="1368" spans="2:3">
      <c r="B1368" s="744"/>
      <c r="C1368" s="746"/>
    </row>
    <row r="1369" spans="2:3">
      <c r="B1369" s="744"/>
      <c r="C1369" s="746"/>
    </row>
    <row r="1370" spans="2:3">
      <c r="B1370" s="744"/>
      <c r="C1370" s="746"/>
    </row>
    <row r="1371" spans="2:3">
      <c r="B1371" s="744"/>
      <c r="C1371" s="746"/>
    </row>
    <row r="1372" spans="2:3">
      <c r="B1372" s="744"/>
      <c r="C1372" s="746"/>
    </row>
    <row r="1373" spans="2:3">
      <c r="B1373" s="744"/>
      <c r="C1373" s="746"/>
    </row>
    <row r="1374" spans="2:3">
      <c r="B1374" s="744"/>
      <c r="C1374" s="746"/>
    </row>
    <row r="1375" spans="2:3">
      <c r="B1375" s="744"/>
      <c r="C1375" s="746"/>
    </row>
    <row r="1376" spans="2:3">
      <c r="B1376" s="744"/>
      <c r="C1376" s="746"/>
    </row>
    <row r="1377" spans="2:3">
      <c r="B1377" s="744"/>
      <c r="C1377" s="746"/>
    </row>
    <row r="1378" spans="2:3">
      <c r="B1378" s="744"/>
      <c r="C1378" s="746"/>
    </row>
    <row r="1379" spans="2:3">
      <c r="B1379" s="744"/>
      <c r="C1379" s="746"/>
    </row>
    <row r="1380" spans="2:3">
      <c r="B1380" s="744"/>
      <c r="C1380" s="746"/>
    </row>
    <row r="1381" spans="2:3">
      <c r="B1381" s="744"/>
      <c r="C1381" s="746"/>
    </row>
    <row r="1382" spans="2:3">
      <c r="B1382" s="744"/>
      <c r="C1382" s="746"/>
    </row>
    <row r="1383" spans="2:3">
      <c r="B1383" s="744"/>
      <c r="C1383" s="746"/>
    </row>
    <row r="1384" spans="2:3">
      <c r="B1384" s="744"/>
      <c r="C1384" s="746"/>
    </row>
    <row r="1385" spans="2:3">
      <c r="B1385" s="744"/>
      <c r="C1385" s="746"/>
    </row>
    <row r="1386" spans="2:3">
      <c r="B1386" s="744"/>
      <c r="C1386" s="746"/>
    </row>
    <row r="1387" spans="2:3">
      <c r="B1387" s="744"/>
      <c r="C1387" s="746"/>
    </row>
    <row r="1388" spans="2:3">
      <c r="B1388" s="744"/>
      <c r="C1388" s="746"/>
    </row>
    <row r="1389" spans="2:3">
      <c r="B1389" s="744"/>
      <c r="C1389" s="746"/>
    </row>
    <row r="1390" spans="2:3">
      <c r="B1390" s="744"/>
      <c r="C1390" s="746"/>
    </row>
    <row r="1391" spans="2:3">
      <c r="B1391" s="744"/>
      <c r="C1391" s="746"/>
    </row>
    <row r="1392" spans="2:3">
      <c r="B1392" s="744"/>
      <c r="C1392" s="746"/>
    </row>
    <row r="1393" spans="2:3">
      <c r="B1393" s="744"/>
      <c r="C1393" s="746"/>
    </row>
    <row r="1394" spans="2:3">
      <c r="B1394" s="744"/>
      <c r="C1394" s="746"/>
    </row>
    <row r="1395" spans="2:3">
      <c r="B1395" s="744"/>
      <c r="C1395" s="746"/>
    </row>
    <row r="1396" spans="2:3">
      <c r="B1396" s="744"/>
      <c r="C1396" s="746"/>
    </row>
    <row r="1397" spans="2:3">
      <c r="B1397" s="744"/>
      <c r="C1397" s="746"/>
    </row>
    <row r="1398" spans="2:3">
      <c r="B1398" s="744"/>
      <c r="C1398" s="746"/>
    </row>
    <row r="1399" spans="2:3">
      <c r="B1399" s="744"/>
      <c r="C1399" s="746"/>
    </row>
    <row r="1400" spans="2:3">
      <c r="B1400" s="744"/>
      <c r="C1400" s="746"/>
    </row>
    <row r="1401" spans="2:3">
      <c r="B1401" s="744"/>
      <c r="C1401" s="746"/>
    </row>
    <row r="1402" spans="2:3">
      <c r="B1402" s="744"/>
      <c r="C1402" s="746"/>
    </row>
    <row r="1403" spans="2:3">
      <c r="B1403" s="744"/>
      <c r="C1403" s="746"/>
    </row>
    <row r="1404" spans="2:3">
      <c r="B1404" s="744"/>
      <c r="C1404" s="746"/>
    </row>
    <row r="1405" spans="2:3">
      <c r="B1405" s="744"/>
      <c r="C1405" s="746"/>
    </row>
    <row r="1406" spans="2:3">
      <c r="B1406" s="744"/>
      <c r="C1406" s="746"/>
    </row>
    <row r="1407" spans="2:3">
      <c r="B1407" s="744"/>
      <c r="C1407" s="746"/>
    </row>
    <row r="1408" spans="2:3">
      <c r="B1408" s="744"/>
      <c r="C1408" s="746"/>
    </row>
    <row r="1409" spans="2:3">
      <c r="B1409" s="744"/>
      <c r="C1409" s="746"/>
    </row>
    <row r="1410" spans="2:3">
      <c r="B1410" s="744"/>
      <c r="C1410" s="746"/>
    </row>
    <row r="1411" spans="2:3">
      <c r="B1411" s="744"/>
      <c r="C1411" s="746"/>
    </row>
    <row r="1412" spans="2:3">
      <c r="B1412" s="744"/>
      <c r="C1412" s="746"/>
    </row>
    <row r="1413" spans="2:3">
      <c r="B1413" s="744"/>
      <c r="C1413" s="746"/>
    </row>
    <row r="1414" spans="2:3">
      <c r="B1414" s="744"/>
      <c r="C1414" s="746"/>
    </row>
    <row r="1415" spans="2:3">
      <c r="B1415" s="744"/>
      <c r="C1415" s="746"/>
    </row>
    <row r="1416" spans="2:3">
      <c r="B1416" s="744"/>
      <c r="C1416" s="746"/>
    </row>
    <row r="1417" spans="2:3">
      <c r="B1417" s="744"/>
      <c r="C1417" s="746"/>
    </row>
    <row r="1418" spans="2:3">
      <c r="B1418" s="744"/>
      <c r="C1418" s="746"/>
    </row>
    <row r="1419" spans="2:3">
      <c r="B1419" s="744"/>
      <c r="C1419" s="746"/>
    </row>
    <row r="1420" spans="2:3">
      <c r="B1420" s="744"/>
      <c r="C1420" s="746"/>
    </row>
    <row r="1421" spans="2:3">
      <c r="B1421" s="744"/>
      <c r="C1421" s="746"/>
    </row>
    <row r="1422" spans="2:3">
      <c r="B1422" s="744"/>
      <c r="C1422" s="746"/>
    </row>
    <row r="1423" spans="2:3">
      <c r="B1423" s="744"/>
      <c r="C1423" s="746"/>
    </row>
    <row r="1424" spans="2:3">
      <c r="B1424" s="744"/>
      <c r="C1424" s="746"/>
    </row>
    <row r="1425" spans="2:3">
      <c r="B1425" s="744"/>
      <c r="C1425" s="746"/>
    </row>
    <row r="1426" spans="2:3">
      <c r="B1426" s="744"/>
      <c r="C1426" s="746"/>
    </row>
    <row r="1427" spans="2:3">
      <c r="B1427" s="744"/>
      <c r="C1427" s="746"/>
    </row>
    <row r="1428" spans="2:3">
      <c r="B1428" s="744"/>
      <c r="C1428" s="746"/>
    </row>
    <row r="1429" spans="2:3">
      <c r="B1429" s="744"/>
      <c r="C1429" s="746"/>
    </row>
    <row r="1430" spans="2:3">
      <c r="B1430" s="744"/>
      <c r="C1430" s="746"/>
    </row>
    <row r="1431" spans="2:3">
      <c r="B1431" s="744"/>
      <c r="C1431" s="746"/>
    </row>
    <row r="1432" spans="2:3">
      <c r="B1432" s="744"/>
      <c r="C1432" s="746"/>
    </row>
    <row r="1433" spans="2:3">
      <c r="B1433" s="744"/>
      <c r="C1433" s="746"/>
    </row>
    <row r="1434" spans="2:3">
      <c r="B1434" s="744"/>
      <c r="C1434" s="746"/>
    </row>
    <row r="1435" spans="2:3">
      <c r="B1435" s="744"/>
      <c r="C1435" s="746"/>
    </row>
    <row r="1436" spans="2:3">
      <c r="B1436" s="744"/>
      <c r="C1436" s="746"/>
    </row>
    <row r="1437" spans="2:3">
      <c r="B1437" s="744"/>
      <c r="C1437" s="746"/>
    </row>
    <row r="1438" spans="2:3">
      <c r="B1438" s="744"/>
      <c r="C1438" s="746"/>
    </row>
    <row r="1439" spans="2:3">
      <c r="B1439" s="744"/>
      <c r="C1439" s="746"/>
    </row>
    <row r="1440" spans="2:3">
      <c r="B1440" s="744"/>
      <c r="C1440" s="746"/>
    </row>
    <row r="1441" spans="2:3">
      <c r="B1441" s="744"/>
      <c r="C1441" s="746"/>
    </row>
    <row r="1442" spans="2:3">
      <c r="B1442" s="744"/>
      <c r="C1442" s="746"/>
    </row>
    <row r="1443" spans="2:3">
      <c r="B1443" s="744"/>
      <c r="C1443" s="746"/>
    </row>
    <row r="1444" spans="2:3">
      <c r="B1444" s="744"/>
      <c r="C1444" s="746"/>
    </row>
    <row r="1445" spans="2:3">
      <c r="B1445" s="744"/>
      <c r="C1445" s="746"/>
    </row>
    <row r="1446" spans="2:3">
      <c r="B1446" s="744"/>
      <c r="C1446" s="746"/>
    </row>
    <row r="1447" spans="2:3">
      <c r="B1447" s="744"/>
      <c r="C1447" s="746"/>
    </row>
    <row r="1448" spans="2:3">
      <c r="B1448" s="744"/>
      <c r="C1448" s="746"/>
    </row>
    <row r="1449" spans="2:3">
      <c r="B1449" s="744"/>
      <c r="C1449" s="746"/>
    </row>
    <row r="1450" spans="2:3">
      <c r="B1450" s="744"/>
      <c r="C1450" s="746"/>
    </row>
    <row r="1451" spans="2:3">
      <c r="B1451" s="744"/>
      <c r="C1451" s="746"/>
    </row>
    <row r="1452" spans="2:3">
      <c r="B1452" s="744"/>
      <c r="C1452" s="746"/>
    </row>
    <row r="1453" spans="2:3">
      <c r="B1453" s="744"/>
      <c r="C1453" s="746"/>
    </row>
    <row r="1454" spans="2:3">
      <c r="B1454" s="744"/>
      <c r="C1454" s="746"/>
    </row>
    <row r="1455" spans="2:3">
      <c r="B1455" s="744"/>
      <c r="C1455" s="746"/>
    </row>
    <row r="1456" spans="2:3">
      <c r="B1456" s="744"/>
      <c r="C1456" s="746"/>
    </row>
    <row r="1457" spans="2:3">
      <c r="B1457" s="744"/>
      <c r="C1457" s="746"/>
    </row>
    <row r="1458" spans="2:3">
      <c r="B1458" s="744"/>
      <c r="C1458" s="746"/>
    </row>
    <row r="1459" spans="2:3">
      <c r="B1459" s="744"/>
      <c r="C1459" s="746"/>
    </row>
    <row r="1460" spans="2:3">
      <c r="B1460" s="744"/>
      <c r="C1460" s="746"/>
    </row>
    <row r="1461" spans="2:3">
      <c r="B1461" s="744"/>
      <c r="C1461" s="746"/>
    </row>
    <row r="1462" spans="2:3">
      <c r="B1462" s="744"/>
      <c r="C1462" s="746"/>
    </row>
    <row r="1463" spans="2:3">
      <c r="B1463" s="744"/>
      <c r="C1463" s="746"/>
    </row>
    <row r="1464" spans="2:3">
      <c r="B1464" s="744"/>
      <c r="C1464" s="746"/>
    </row>
    <row r="1465" spans="2:3">
      <c r="B1465" s="744"/>
      <c r="C1465" s="746"/>
    </row>
    <row r="1466" spans="2:3">
      <c r="B1466" s="744"/>
      <c r="C1466" s="746"/>
    </row>
    <row r="1467" spans="2:3">
      <c r="B1467" s="744"/>
      <c r="C1467" s="746"/>
    </row>
    <row r="1468" spans="2:3">
      <c r="B1468" s="744"/>
      <c r="C1468" s="746"/>
    </row>
    <row r="1469" spans="2:3">
      <c r="B1469" s="744"/>
      <c r="C1469" s="746"/>
    </row>
    <row r="1470" spans="2:3">
      <c r="B1470" s="744"/>
      <c r="C1470" s="746"/>
    </row>
    <row r="1471" spans="2:3">
      <c r="B1471" s="744"/>
      <c r="C1471" s="746"/>
    </row>
    <row r="1472" spans="2:3">
      <c r="B1472" s="744"/>
      <c r="C1472" s="746"/>
    </row>
    <row r="1473" spans="2:3">
      <c r="B1473" s="744"/>
      <c r="C1473" s="746"/>
    </row>
    <row r="1474" spans="2:3">
      <c r="B1474" s="744"/>
      <c r="C1474" s="746"/>
    </row>
    <row r="1475" spans="2:3">
      <c r="B1475" s="744"/>
      <c r="C1475" s="746"/>
    </row>
    <row r="1476" spans="2:3">
      <c r="B1476" s="744"/>
      <c r="C1476" s="746"/>
    </row>
    <row r="1477" spans="2:3">
      <c r="B1477" s="744"/>
      <c r="C1477" s="746"/>
    </row>
    <row r="1478" spans="2:3">
      <c r="B1478" s="744"/>
      <c r="C1478" s="746"/>
    </row>
    <row r="1479" spans="2:3">
      <c r="B1479" s="744"/>
      <c r="C1479" s="746"/>
    </row>
    <row r="1480" spans="2:3">
      <c r="B1480" s="744"/>
      <c r="C1480" s="746"/>
    </row>
    <row r="1481" spans="2:3">
      <c r="B1481" s="744"/>
      <c r="C1481" s="746"/>
    </row>
    <row r="1482" spans="2:3">
      <c r="B1482" s="744"/>
      <c r="C1482" s="746"/>
    </row>
    <row r="1483" spans="2:3">
      <c r="B1483" s="744"/>
      <c r="C1483" s="746"/>
    </row>
    <row r="1484" spans="2:3">
      <c r="B1484" s="744"/>
      <c r="C1484" s="746"/>
    </row>
    <row r="1485" spans="2:3">
      <c r="B1485" s="744"/>
      <c r="C1485" s="746"/>
    </row>
    <row r="1486" spans="2:3">
      <c r="B1486" s="744"/>
      <c r="C1486" s="746"/>
    </row>
    <row r="1487" spans="2:3">
      <c r="B1487" s="744"/>
      <c r="C1487" s="746"/>
    </row>
    <row r="1488" spans="2:3">
      <c r="B1488" s="744"/>
      <c r="C1488" s="746"/>
    </row>
    <row r="1489" spans="2:3">
      <c r="B1489" s="744"/>
      <c r="C1489" s="746"/>
    </row>
    <row r="1490" spans="2:3">
      <c r="B1490" s="744"/>
      <c r="C1490" s="746"/>
    </row>
    <row r="1491" spans="2:3">
      <c r="B1491" s="744"/>
      <c r="C1491" s="746"/>
    </row>
    <row r="1492" spans="2:3">
      <c r="B1492" s="744"/>
      <c r="C1492" s="746"/>
    </row>
    <row r="1493" spans="2:3">
      <c r="B1493" s="744"/>
      <c r="C1493" s="746"/>
    </row>
    <row r="1494" spans="2:3">
      <c r="B1494" s="744"/>
      <c r="C1494" s="746"/>
    </row>
    <row r="1495" spans="2:3">
      <c r="B1495" s="744"/>
      <c r="C1495" s="746"/>
    </row>
    <row r="1496" spans="2:3">
      <c r="B1496" s="744"/>
      <c r="C1496" s="746"/>
    </row>
    <row r="1497" spans="2:3">
      <c r="B1497" s="744"/>
      <c r="C1497" s="746"/>
    </row>
    <row r="1498" spans="2:3">
      <c r="B1498" s="744"/>
      <c r="C1498" s="746"/>
    </row>
    <row r="1499" spans="2:3">
      <c r="B1499" s="744"/>
      <c r="C1499" s="746"/>
    </row>
    <row r="1500" spans="2:3">
      <c r="B1500" s="744"/>
      <c r="C1500" s="746"/>
    </row>
    <row r="1501" spans="2:3">
      <c r="B1501" s="744"/>
      <c r="C1501" s="746"/>
    </row>
    <row r="1502" spans="2:3">
      <c r="B1502" s="744"/>
      <c r="C1502" s="746"/>
    </row>
    <row r="1503" spans="2:3">
      <c r="B1503" s="744"/>
      <c r="C1503" s="746"/>
    </row>
    <row r="1504" spans="2:3">
      <c r="B1504" s="744"/>
      <c r="C1504" s="746"/>
    </row>
    <row r="1505" spans="2:3">
      <c r="B1505" s="744"/>
      <c r="C1505" s="746"/>
    </row>
    <row r="1506" spans="2:3">
      <c r="B1506" s="744"/>
      <c r="C1506" s="746"/>
    </row>
    <row r="1507" spans="2:3">
      <c r="B1507" s="744"/>
      <c r="C1507" s="746"/>
    </row>
    <row r="1508" spans="2:3">
      <c r="B1508" s="744"/>
      <c r="C1508" s="746"/>
    </row>
    <row r="1509" spans="2:3">
      <c r="B1509" s="744"/>
      <c r="C1509" s="746"/>
    </row>
    <row r="1510" spans="2:3">
      <c r="B1510" s="744"/>
      <c r="C1510" s="746"/>
    </row>
    <row r="1511" spans="2:3">
      <c r="B1511" s="744"/>
      <c r="C1511" s="746"/>
    </row>
    <row r="1512" spans="2:3">
      <c r="B1512" s="744"/>
      <c r="C1512" s="746"/>
    </row>
    <row r="1513" spans="2:3">
      <c r="B1513" s="744"/>
      <c r="C1513" s="746"/>
    </row>
    <row r="1514" spans="2:3">
      <c r="B1514" s="744"/>
      <c r="C1514" s="746"/>
    </row>
    <row r="1515" spans="2:3">
      <c r="B1515" s="744"/>
      <c r="C1515" s="746"/>
    </row>
    <row r="1516" spans="2:3">
      <c r="B1516" s="744"/>
      <c r="C1516" s="746"/>
    </row>
    <row r="1517" spans="2:3">
      <c r="B1517" s="744"/>
      <c r="C1517" s="746"/>
    </row>
    <row r="1518" spans="2:3">
      <c r="B1518" s="744"/>
      <c r="C1518" s="746"/>
    </row>
    <row r="1519" spans="2:3">
      <c r="B1519" s="744"/>
      <c r="C1519" s="746"/>
    </row>
    <row r="1520" spans="2:3">
      <c r="B1520" s="744"/>
      <c r="C1520" s="746"/>
    </row>
    <row r="1521" spans="2:3">
      <c r="B1521" s="744"/>
      <c r="C1521" s="746"/>
    </row>
    <row r="1522" spans="2:3">
      <c r="B1522" s="744"/>
      <c r="C1522" s="746"/>
    </row>
    <row r="1523" spans="2:3">
      <c r="B1523" s="744"/>
      <c r="C1523" s="746"/>
    </row>
    <row r="1524" spans="2:3">
      <c r="B1524" s="744"/>
      <c r="C1524" s="746"/>
    </row>
    <row r="1525" spans="2:3">
      <c r="B1525" s="744"/>
      <c r="C1525" s="746"/>
    </row>
    <row r="1526" spans="2:3">
      <c r="B1526" s="744"/>
      <c r="C1526" s="746"/>
    </row>
    <row r="1527" spans="2:3">
      <c r="B1527" s="744"/>
      <c r="C1527" s="746"/>
    </row>
    <row r="1528" spans="2:3">
      <c r="B1528" s="744"/>
      <c r="C1528" s="746"/>
    </row>
    <row r="1529" spans="2:3">
      <c r="B1529" s="744"/>
      <c r="C1529" s="746"/>
    </row>
    <row r="1530" spans="2:3">
      <c r="B1530" s="744"/>
      <c r="C1530" s="746"/>
    </row>
    <row r="1531" spans="2:3">
      <c r="B1531" s="744"/>
      <c r="C1531" s="746"/>
    </row>
    <row r="1532" spans="2:3">
      <c r="B1532" s="744"/>
      <c r="C1532" s="746"/>
    </row>
    <row r="1533" spans="2:3">
      <c r="B1533" s="744"/>
      <c r="C1533" s="746"/>
    </row>
    <row r="1534" spans="2:3">
      <c r="B1534" s="744"/>
      <c r="C1534" s="746"/>
    </row>
    <row r="1535" spans="2:3">
      <c r="B1535" s="744"/>
      <c r="C1535" s="746"/>
    </row>
    <row r="1536" spans="2:3">
      <c r="B1536" s="744"/>
      <c r="C1536" s="746"/>
    </row>
    <row r="1537" spans="2:3">
      <c r="B1537" s="744"/>
      <c r="C1537" s="746"/>
    </row>
    <row r="1538" spans="2:3">
      <c r="B1538" s="744"/>
      <c r="C1538" s="746"/>
    </row>
    <row r="1539" spans="2:3">
      <c r="B1539" s="744"/>
      <c r="C1539" s="746"/>
    </row>
    <row r="1540" spans="2:3">
      <c r="B1540" s="744"/>
      <c r="C1540" s="746"/>
    </row>
    <row r="1541" spans="2:3">
      <c r="B1541" s="744"/>
      <c r="C1541" s="746"/>
    </row>
    <row r="1542" spans="2:3">
      <c r="B1542" s="744"/>
      <c r="C1542" s="746"/>
    </row>
    <row r="1543" spans="2:3">
      <c r="B1543" s="744"/>
      <c r="C1543" s="746"/>
    </row>
    <row r="1544" spans="2:3">
      <c r="B1544" s="744"/>
      <c r="C1544" s="746"/>
    </row>
    <row r="1545" spans="2:3">
      <c r="B1545" s="744"/>
      <c r="C1545" s="746"/>
    </row>
    <row r="1546" spans="2:3">
      <c r="B1546" s="744"/>
      <c r="C1546" s="746"/>
    </row>
    <row r="1547" spans="2:3">
      <c r="B1547" s="744"/>
      <c r="C1547" s="746"/>
    </row>
    <row r="1548" spans="2:3">
      <c r="B1548" s="744"/>
      <c r="C1548" s="746"/>
    </row>
    <row r="1549" spans="2:3">
      <c r="B1549" s="744"/>
      <c r="C1549" s="746"/>
    </row>
    <row r="1550" spans="2:3">
      <c r="B1550" s="744"/>
      <c r="C1550" s="746"/>
    </row>
    <row r="1551" spans="2:3">
      <c r="B1551" s="744"/>
      <c r="C1551" s="746"/>
    </row>
    <row r="1552" spans="2:3">
      <c r="B1552" s="744"/>
      <c r="C1552" s="746"/>
    </row>
    <row r="1553" spans="2:3">
      <c r="B1553" s="744"/>
      <c r="C1553" s="746"/>
    </row>
    <row r="1554" spans="2:3">
      <c r="B1554" s="744"/>
      <c r="C1554" s="746"/>
    </row>
    <row r="1555" spans="2:3">
      <c r="B1555" s="744"/>
      <c r="C1555" s="746"/>
    </row>
    <row r="1556" spans="2:3">
      <c r="B1556" s="744"/>
      <c r="C1556" s="746"/>
    </row>
    <row r="1557" spans="2:3">
      <c r="B1557" s="744"/>
      <c r="C1557" s="746"/>
    </row>
    <row r="1558" spans="2:3">
      <c r="B1558" s="744"/>
      <c r="C1558" s="746"/>
    </row>
    <row r="1559" spans="2:3">
      <c r="B1559" s="744"/>
      <c r="C1559" s="746"/>
    </row>
    <row r="1560" spans="2:3">
      <c r="B1560" s="744"/>
      <c r="C1560" s="746"/>
    </row>
    <row r="1561" spans="2:3">
      <c r="B1561" s="744"/>
      <c r="C1561" s="746"/>
    </row>
    <row r="1562" spans="2:3">
      <c r="B1562" s="744"/>
      <c r="C1562" s="746"/>
    </row>
    <row r="1563" spans="2:3">
      <c r="B1563" s="744"/>
      <c r="C1563" s="746"/>
    </row>
    <row r="1564" spans="2:3">
      <c r="B1564" s="744"/>
      <c r="C1564" s="746"/>
    </row>
    <row r="1565" spans="2:3">
      <c r="B1565" s="744"/>
      <c r="C1565" s="746"/>
    </row>
    <row r="1566" spans="2:3">
      <c r="B1566" s="744"/>
      <c r="C1566" s="746"/>
    </row>
    <row r="1567" spans="2:3">
      <c r="B1567" s="744"/>
      <c r="C1567" s="746"/>
    </row>
    <row r="1568" spans="2:3">
      <c r="B1568" s="744"/>
      <c r="C1568" s="746"/>
    </row>
    <row r="1569" spans="2:3">
      <c r="B1569" s="744"/>
      <c r="C1569" s="746"/>
    </row>
    <row r="1570" spans="2:3">
      <c r="B1570" s="744"/>
      <c r="C1570" s="746"/>
    </row>
    <row r="1571" spans="2:3">
      <c r="B1571" s="744"/>
      <c r="C1571" s="746"/>
    </row>
    <row r="1572" spans="2:3">
      <c r="B1572" s="744"/>
      <c r="C1572" s="746"/>
    </row>
    <row r="1573" spans="2:3">
      <c r="B1573" s="744"/>
      <c r="C1573" s="746"/>
    </row>
    <row r="1574" spans="2:3">
      <c r="B1574" s="744"/>
      <c r="C1574" s="746"/>
    </row>
    <row r="1575" spans="2:3">
      <c r="B1575" s="744"/>
      <c r="C1575" s="746"/>
    </row>
    <row r="1576" spans="2:3">
      <c r="B1576" s="744"/>
      <c r="C1576" s="746"/>
    </row>
    <row r="1577" spans="2:3">
      <c r="B1577" s="744"/>
      <c r="C1577" s="746"/>
    </row>
    <row r="1578" spans="2:3">
      <c r="B1578" s="744"/>
      <c r="C1578" s="746"/>
    </row>
    <row r="1579" spans="2:3">
      <c r="B1579" s="744"/>
      <c r="C1579" s="746"/>
    </row>
    <row r="1580" spans="2:3">
      <c r="B1580" s="744"/>
      <c r="C1580" s="746"/>
    </row>
    <row r="1581" spans="2:3">
      <c r="B1581" s="744"/>
      <c r="C1581" s="746"/>
    </row>
    <row r="1582" spans="2:3">
      <c r="B1582" s="744"/>
      <c r="C1582" s="746"/>
    </row>
    <row r="1583" spans="2:3">
      <c r="B1583" s="744"/>
      <c r="C1583" s="746"/>
    </row>
    <row r="1584" spans="2:3">
      <c r="B1584" s="744"/>
      <c r="C1584" s="746"/>
    </row>
    <row r="1585" spans="2:3">
      <c r="B1585" s="744"/>
      <c r="C1585" s="746"/>
    </row>
    <row r="1586" spans="2:3">
      <c r="B1586" s="744"/>
      <c r="C1586" s="746"/>
    </row>
    <row r="1587" spans="2:3">
      <c r="B1587" s="744"/>
      <c r="C1587" s="746"/>
    </row>
    <row r="1588" spans="2:3">
      <c r="B1588" s="744"/>
      <c r="C1588" s="746"/>
    </row>
    <row r="1589" spans="2:3">
      <c r="B1589" s="744"/>
      <c r="C1589" s="746"/>
    </row>
    <row r="1590" spans="2:3">
      <c r="B1590" s="744"/>
      <c r="C1590" s="746"/>
    </row>
    <row r="1591" spans="2:3">
      <c r="B1591" s="744"/>
      <c r="C1591" s="746"/>
    </row>
    <row r="1592" spans="2:3">
      <c r="B1592" s="744"/>
      <c r="C1592" s="746"/>
    </row>
    <row r="1593" spans="2:3">
      <c r="B1593" s="744"/>
      <c r="C1593" s="746"/>
    </row>
    <row r="1594" spans="2:3">
      <c r="B1594" s="744"/>
      <c r="C1594" s="746"/>
    </row>
    <row r="1595" spans="2:3">
      <c r="B1595" s="744"/>
      <c r="C1595" s="746"/>
    </row>
    <row r="1596" spans="2:3">
      <c r="B1596" s="744"/>
      <c r="C1596" s="746"/>
    </row>
    <row r="1597" spans="2:3">
      <c r="B1597" s="744"/>
      <c r="C1597" s="746"/>
    </row>
    <row r="1598" spans="2:3">
      <c r="B1598" s="744"/>
      <c r="C1598" s="746"/>
    </row>
    <row r="1599" spans="2:3">
      <c r="B1599" s="744"/>
      <c r="C1599" s="746"/>
    </row>
    <row r="1600" spans="2:3">
      <c r="B1600" s="744"/>
      <c r="C1600" s="746"/>
    </row>
    <row r="1601" spans="2:3">
      <c r="B1601" s="744"/>
      <c r="C1601" s="746"/>
    </row>
    <row r="1602" spans="2:3">
      <c r="B1602" s="744"/>
      <c r="C1602" s="746"/>
    </row>
    <row r="1603" spans="2:3">
      <c r="B1603" s="744"/>
      <c r="C1603" s="746"/>
    </row>
    <row r="1604" spans="2:3">
      <c r="B1604" s="744"/>
      <c r="C1604" s="746"/>
    </row>
    <row r="1605" spans="2:3">
      <c r="B1605" s="744"/>
      <c r="C1605" s="746"/>
    </row>
    <row r="1606" spans="2:3">
      <c r="B1606" s="744"/>
      <c r="C1606" s="746"/>
    </row>
    <row r="1607" spans="2:3">
      <c r="B1607" s="744"/>
      <c r="C1607" s="746"/>
    </row>
    <row r="1608" spans="2:3">
      <c r="B1608" s="744"/>
      <c r="C1608" s="746"/>
    </row>
    <row r="1609" spans="2:3">
      <c r="B1609" s="744"/>
      <c r="C1609" s="746"/>
    </row>
    <row r="1610" spans="2:3">
      <c r="B1610" s="744"/>
      <c r="C1610" s="746"/>
    </row>
    <row r="1611" spans="2:3">
      <c r="B1611" s="744"/>
      <c r="C1611" s="746"/>
    </row>
    <row r="1612" spans="2:3">
      <c r="B1612" s="744"/>
      <c r="C1612" s="746"/>
    </row>
    <row r="1613" spans="2:3">
      <c r="B1613" s="744"/>
      <c r="C1613" s="746"/>
    </row>
    <row r="1614" spans="2:3">
      <c r="B1614" s="744"/>
      <c r="C1614" s="746"/>
    </row>
    <row r="1615" spans="2:3">
      <c r="B1615" s="744"/>
      <c r="C1615" s="746"/>
    </row>
    <row r="1616" spans="2:3">
      <c r="B1616" s="744"/>
      <c r="C1616" s="746"/>
    </row>
    <row r="1617" spans="2:3">
      <c r="B1617" s="744"/>
      <c r="C1617" s="746"/>
    </row>
    <row r="1618" spans="2:3">
      <c r="B1618" s="744"/>
      <c r="C1618" s="746"/>
    </row>
    <row r="1619" spans="2:3">
      <c r="B1619" s="744"/>
      <c r="C1619" s="746"/>
    </row>
    <row r="1620" spans="2:3">
      <c r="B1620" s="744"/>
      <c r="C1620" s="746"/>
    </row>
    <row r="1621" spans="2:3">
      <c r="B1621" s="744"/>
      <c r="C1621" s="746"/>
    </row>
    <row r="1622" spans="2:3">
      <c r="B1622" s="744"/>
      <c r="C1622" s="746"/>
    </row>
    <row r="1623" spans="2:3">
      <c r="B1623" s="744"/>
      <c r="C1623" s="746"/>
    </row>
    <row r="1624" spans="2:3">
      <c r="B1624" s="744"/>
      <c r="C1624" s="746"/>
    </row>
    <row r="1625" spans="2:3">
      <c r="B1625" s="744"/>
      <c r="C1625" s="746"/>
    </row>
    <row r="1626" spans="2:3">
      <c r="B1626" s="744"/>
      <c r="C1626" s="746"/>
    </row>
    <row r="1627" spans="2:3">
      <c r="B1627" s="744"/>
      <c r="C1627" s="746"/>
    </row>
    <row r="1628" spans="2:3">
      <c r="B1628" s="744"/>
      <c r="C1628" s="746"/>
    </row>
    <row r="1629" spans="2:3">
      <c r="B1629" s="744"/>
      <c r="C1629" s="746"/>
    </row>
    <row r="1630" spans="2:3">
      <c r="B1630" s="744"/>
      <c r="C1630" s="746"/>
    </row>
    <row r="1631" spans="2:3">
      <c r="B1631" s="744"/>
      <c r="C1631" s="746"/>
    </row>
    <row r="1632" spans="2:3">
      <c r="B1632" s="744"/>
      <c r="C1632" s="746"/>
    </row>
    <row r="1633" spans="2:3">
      <c r="B1633" s="744"/>
      <c r="C1633" s="746"/>
    </row>
    <row r="1634" spans="2:3">
      <c r="B1634" s="744"/>
      <c r="C1634" s="746"/>
    </row>
    <row r="1635" spans="2:3">
      <c r="B1635" s="744"/>
      <c r="C1635" s="746"/>
    </row>
    <row r="1636" spans="2:3">
      <c r="B1636" s="744"/>
      <c r="C1636" s="746"/>
    </row>
    <row r="1637" spans="2:3">
      <c r="B1637" s="744"/>
      <c r="C1637" s="746"/>
    </row>
    <row r="1638" spans="2:3">
      <c r="B1638" s="744"/>
      <c r="C1638" s="746"/>
    </row>
    <row r="1639" spans="2:3">
      <c r="B1639" s="744"/>
      <c r="C1639" s="746"/>
    </row>
    <row r="1640" spans="2:3">
      <c r="B1640" s="744"/>
      <c r="C1640" s="746"/>
    </row>
    <row r="1641" spans="2:3">
      <c r="B1641" s="744"/>
      <c r="C1641" s="746"/>
    </row>
    <row r="1642" spans="2:3">
      <c r="B1642" s="744"/>
      <c r="C1642" s="746"/>
    </row>
    <row r="1643" spans="2:3">
      <c r="B1643" s="744"/>
      <c r="C1643" s="746"/>
    </row>
    <row r="1644" spans="2:3">
      <c r="B1644" s="744"/>
      <c r="C1644" s="746"/>
    </row>
    <row r="1645" spans="2:3">
      <c r="B1645" s="744"/>
      <c r="C1645" s="746"/>
    </row>
    <row r="1646" spans="2:3">
      <c r="B1646" s="744"/>
      <c r="C1646" s="746"/>
    </row>
    <row r="1647" spans="2:3">
      <c r="B1647" s="744"/>
      <c r="C1647" s="746"/>
    </row>
    <row r="1648" spans="2:3">
      <c r="B1648" s="744"/>
      <c r="C1648" s="746"/>
    </row>
    <row r="1649" spans="2:3">
      <c r="B1649" s="744"/>
      <c r="C1649" s="746"/>
    </row>
    <row r="1650" spans="2:3">
      <c r="B1650" s="744"/>
      <c r="C1650" s="746"/>
    </row>
    <row r="1651" spans="2:3">
      <c r="B1651" s="744"/>
      <c r="C1651" s="746"/>
    </row>
    <row r="1652" spans="2:3">
      <c r="B1652" s="744"/>
      <c r="C1652" s="746"/>
    </row>
    <row r="1653" spans="2:3">
      <c r="B1653" s="744"/>
      <c r="C1653" s="746"/>
    </row>
    <row r="1654" spans="2:3">
      <c r="B1654" s="744"/>
      <c r="C1654" s="746"/>
    </row>
    <row r="1655" spans="2:3">
      <c r="B1655" s="744"/>
      <c r="C1655" s="746"/>
    </row>
    <row r="1656" spans="2:3">
      <c r="B1656" s="744"/>
      <c r="C1656" s="746"/>
    </row>
    <row r="1657" spans="2:3">
      <c r="B1657" s="744"/>
      <c r="C1657" s="746"/>
    </row>
    <row r="1658" spans="2:3">
      <c r="B1658" s="744"/>
      <c r="C1658" s="746"/>
    </row>
    <row r="1659" spans="2:3">
      <c r="B1659" s="744"/>
      <c r="C1659" s="746"/>
    </row>
    <row r="1660" spans="2:3">
      <c r="B1660" s="744"/>
      <c r="C1660" s="746"/>
    </row>
    <row r="1661" spans="2:3">
      <c r="B1661" s="744"/>
      <c r="C1661" s="746"/>
    </row>
    <row r="1662" spans="2:3">
      <c r="B1662" s="744"/>
      <c r="C1662" s="746"/>
    </row>
    <row r="1663" spans="2:3">
      <c r="B1663" s="744"/>
      <c r="C1663" s="746"/>
    </row>
    <row r="1664" spans="2:3">
      <c r="B1664" s="744"/>
      <c r="C1664" s="746"/>
    </row>
    <row r="1665" spans="2:3">
      <c r="B1665" s="744"/>
      <c r="C1665" s="746"/>
    </row>
    <row r="1666" spans="2:3">
      <c r="B1666" s="744"/>
      <c r="C1666" s="746"/>
    </row>
    <row r="1667" spans="2:3">
      <c r="B1667" s="744"/>
      <c r="C1667" s="746"/>
    </row>
    <row r="1668" spans="2:3">
      <c r="B1668" s="744"/>
      <c r="C1668" s="746"/>
    </row>
    <row r="1669" spans="2:3">
      <c r="B1669" s="744"/>
      <c r="C1669" s="746"/>
    </row>
    <row r="1670" spans="2:3">
      <c r="B1670" s="744"/>
      <c r="C1670" s="746"/>
    </row>
    <row r="1671" spans="2:3">
      <c r="B1671" s="744"/>
      <c r="C1671" s="746"/>
    </row>
    <row r="1672" spans="2:3">
      <c r="B1672" s="744"/>
      <c r="C1672" s="746"/>
    </row>
    <row r="1673" spans="2:3">
      <c r="B1673" s="744"/>
      <c r="C1673" s="746"/>
    </row>
    <row r="1674" spans="2:3">
      <c r="B1674" s="744"/>
      <c r="C1674" s="744"/>
    </row>
  </sheetData>
  <sortState xmlns:xlrd2="http://schemas.microsoft.com/office/spreadsheetml/2017/richdata2" ref="B36:C1674">
    <sortCondition ref="B36:B1674" customList="January,February,March,April,May,June,July,August,September,October,November,December"/>
  </sortState>
  <mergeCells count="3">
    <mergeCell ref="C14:L14"/>
    <mergeCell ref="F155:I156"/>
    <mergeCell ref="E159:F160"/>
  </mergeCells>
  <phoneticPr fontId="88" type="noConversion"/>
  <conditionalFormatting sqref="C159:D160">
    <cfRule type="cellIs" dxfId="498" priority="6" operator="greaterThan">
      <formula>0.75</formula>
    </cfRule>
  </conditionalFormatting>
  <conditionalFormatting sqref="C110:F116">
    <cfRule type="cellIs" dxfId="497" priority="15" operator="between">
      <formula>0.001</formula>
      <formula>0.5</formula>
    </cfRule>
    <cfRule type="cellIs" dxfId="496" priority="16" operator="lessThan">
      <formula>0</formula>
    </cfRule>
    <cfRule type="cellIs" dxfId="495" priority="17" operator="greaterThan">
      <formula>0.5</formula>
    </cfRule>
  </conditionalFormatting>
  <conditionalFormatting sqref="C147:G151 C154:E156">
    <cfRule type="cellIs" dxfId="494" priority="19" operator="lessThan">
      <formula>-0.75</formula>
    </cfRule>
    <cfRule type="cellIs" dxfId="493" priority="20" operator="greaterThanOrEqual">
      <formula>0.75</formula>
    </cfRule>
    <cfRule type="cellIs" dxfId="492" priority="21" operator="between">
      <formula>-0.74</formula>
      <formula>0.74</formula>
    </cfRule>
  </conditionalFormatting>
  <conditionalFormatting sqref="C142:DR142">
    <cfRule type="containsText" dxfId="491" priority="13" operator="containsText" text="Demand">
      <formula>NOT(ISERROR(SEARCH("Demand",C142)))</formula>
    </cfRule>
    <cfRule type="containsText" dxfId="490" priority="14" operator="containsText" text="Supply">
      <formula>NOT(ISERROR(SEARCH("Supply",C142)))</formula>
    </cfRule>
  </conditionalFormatting>
  <conditionalFormatting sqref="D84:AF84">
    <cfRule type="colorScale" priority="18">
      <colorScale>
        <cfvo type="min"/>
        <cfvo type="percentile" val="50"/>
        <cfvo type="max"/>
        <color rgb="FFF8696B"/>
        <color rgb="FFFFEB84"/>
        <color rgb="FF63BE7B"/>
      </colorScale>
    </cfRule>
  </conditionalFormatting>
  <conditionalFormatting sqref="D76:AH76">
    <cfRule type="colorScale" priority="7">
      <colorScale>
        <cfvo type="min"/>
        <cfvo type="percentile" val="50"/>
        <cfvo type="max"/>
        <color rgb="FFF8696B"/>
        <color rgb="FFFFEB84"/>
        <color rgb="FF63BE7B"/>
      </colorScale>
    </cfRule>
  </conditionalFormatting>
  <conditionalFormatting sqref="D78:AH78">
    <cfRule type="colorScale" priority="8">
      <colorScale>
        <cfvo type="min"/>
        <cfvo type="percentile" val="50"/>
        <cfvo type="max"/>
        <color rgb="FFF8696B"/>
        <color rgb="FFFFEB84"/>
        <color rgb="FF63BE7B"/>
      </colorScale>
    </cfRule>
  </conditionalFormatting>
  <conditionalFormatting sqref="D80:AH80">
    <cfRule type="colorScale" priority="9">
      <colorScale>
        <cfvo type="min"/>
        <cfvo type="percentile" val="50"/>
        <cfvo type="max"/>
        <color rgb="FFF8696B"/>
        <color rgb="FFFFEB84"/>
        <color rgb="FF63BE7B"/>
      </colorScale>
    </cfRule>
  </conditionalFormatting>
  <conditionalFormatting sqref="D82:AH82 F83:AH83">
    <cfRule type="colorScale" priority="303">
      <colorScale>
        <cfvo type="min"/>
        <cfvo type="percentile" val="50"/>
        <cfvo type="max"/>
        <color rgb="FFF8696B"/>
        <color rgb="FFFFEB84"/>
        <color rgb="FF63BE7B"/>
      </colorScale>
    </cfRule>
  </conditionalFormatting>
  <conditionalFormatting sqref="N82:AH82">
    <cfRule type="colorScale" priority="1">
      <colorScale>
        <cfvo type="min"/>
        <cfvo type="percentile" val="50"/>
        <cfvo type="max"/>
        <color rgb="FFF8696B"/>
        <color rgb="FFFFEB84"/>
        <color rgb="FF63BE7B"/>
      </colorScale>
    </cfRule>
    <cfRule type="cellIs" dxfId="489" priority="2" operator="greaterThan">
      <formula>0</formula>
    </cfRule>
  </conditionalFormatting>
  <pageMargins left="0.7" right="0.7" top="0.75" bottom="0.75" header="0.3" footer="0.3"/>
  <pageSetup paperSize="9" orientation="portrait" r:id="rId1"/>
  <ignoredErrors>
    <ignoredError sqref="F94" calculatedColumn="1"/>
    <ignoredError sqref="AA135" formula="1"/>
  </ignoredErrors>
  <drawing r:id="rId2"/>
  <legacyDrawing r:id="rId3"/>
  <tableParts count="9">
    <tablePart r:id="rId4"/>
    <tablePart r:id="rId5"/>
    <tablePart r:id="rId6"/>
    <tablePart r:id="rId7"/>
    <tablePart r:id="rId8"/>
    <tablePart r:id="rId9"/>
    <tablePart r:id="rId10"/>
    <tablePart r:id="rId11"/>
    <tablePart r:id="rId12"/>
  </tableParts>
  <extLst>
    <ext xmlns:x14="http://schemas.microsoft.com/office/spreadsheetml/2009/9/main" uri="{05C60535-1F16-4fd2-B633-F4F36F0B64E0}">
      <x14:sparklineGroups xmlns:xm="http://schemas.microsoft.com/office/excel/2006/main">
        <x14:sparklineGroup displayEmptyCellsAs="gap" high="1" low="1" displayXAxis="1" xr2:uid="{E487022A-F13E-444D-9797-E12D8B68422E}">
          <x14:colorSeries rgb="FF376092"/>
          <x14:colorNegative rgb="FFD00000"/>
          <x14:colorAxis rgb="FF000000"/>
          <x14:colorMarkers rgb="FFD00000"/>
          <x14:colorFirst rgb="FFD00000"/>
          <x14:colorLast rgb="FFD00000"/>
          <x14:colorHigh rgb="FFD00000"/>
          <x14:colorLow rgb="FFD00000"/>
          <x14:sparklines>
            <x14:sparkline>
              <xm:f>Assumptions!J88:AH88</xm:f>
              <xm:sqref>D88</xm:sqref>
            </x14:sparkline>
            <x14:sparkline>
              <xm:f>Assumptions!M89:AH89</xm:f>
              <xm:sqref>D89</xm:sqref>
            </x14:sparkline>
            <x14:sparkline>
              <xm:f>Assumptions!M90:AH90</xm:f>
              <xm:sqref>D90</xm:sqref>
            </x14:sparkline>
          </x14:sparklines>
        </x14:sparklineGroup>
        <x14:sparklineGroup type="column" displayEmptyCellsAs="gap" high="1" low="1" xr2:uid="{07DDFBCF-2550-8F45-80E1-B47619DC8C24}">
          <x14:colorSeries rgb="FF376092"/>
          <x14:colorNegative rgb="FFD00000"/>
          <x14:colorAxis rgb="FF000000"/>
          <x14:colorMarkers rgb="FFD00000"/>
          <x14:colorFirst rgb="FFD00000"/>
          <x14:colorLast rgb="FFD00000"/>
          <x14:colorHigh rgb="FFD00000"/>
          <x14:colorLow rgb="FFD00000"/>
          <x14:sparklines>
            <x14:sparkline>
              <xm:f>Assumptions!E75:AH75</xm:f>
              <xm:sqref>D75</xm:sqref>
            </x14:sparkline>
            <x14:sparkline>
              <xm:f>Assumptions!E77:AH77</xm:f>
              <xm:sqref>D77</xm:sqref>
            </x14:sparkline>
            <x14:sparkline>
              <xm:f>Assumptions!E79:AH79</xm:f>
              <xm:sqref>D79</xm:sqref>
            </x14:sparkline>
            <x14:sparkline>
              <xm:f>Assumptions!E81:AH81</xm:f>
              <xm:sqref>D81</xm:sqref>
            </x14:sparkline>
          </x14:sparklines>
        </x14:sparklineGroup>
        <x14:sparklineGroup type="column" displayEmptyCellsAs="gap" high="1" low="1" xr2:uid="{C3F26F50-841D-FD40-B93E-2863E7B92BA4}">
          <x14:colorSeries rgb="FF376092"/>
          <x14:colorNegative rgb="FFD00000"/>
          <x14:colorAxis rgb="FF000000"/>
          <x14:colorMarkers rgb="FFD00000"/>
          <x14:colorFirst rgb="FFD00000"/>
          <x14:colorLast rgb="FFD00000"/>
          <x14:colorHigh rgb="FFD00000"/>
          <x14:colorLow rgb="FFD00000"/>
          <x14:sparklines>
            <x14:sparkline>
              <xm:f>Assumptions!E93:K93</xm:f>
              <xm:sqref>D93</xm:sqref>
            </x14:sparkline>
          </x14:sparklines>
        </x14:sparklineGroup>
        <x14:sparklineGroup type="column" displayEmptyCellsAs="gap" high="1" low="1" xr2:uid="{B09D5D28-05E4-6341-B814-D34D7C15A1A5}">
          <x14:colorSeries rgb="FF376092"/>
          <x14:colorNegative rgb="FFD00000"/>
          <x14:colorAxis rgb="FF000000"/>
          <x14:colorMarkers rgb="FFD00000"/>
          <x14:colorFirst rgb="FFD00000"/>
          <x14:colorLast rgb="FFD00000"/>
          <x14:colorHigh rgb="FFD00000"/>
          <x14:colorLow rgb="FFD00000"/>
          <x14:sparklines>
            <x14:sparkline>
              <xm:f>Assumptions!E95:L95</xm:f>
              <xm:sqref>D95</xm:sqref>
            </x14:sparkline>
          </x14:sparklines>
        </x14:sparklineGroup>
        <x14:sparklineGroup type="column" displayEmptyCellsAs="gap" high="1" low="1" xr2:uid="{E5CFC028-A923-DA40-9583-9D85CBB943D6}">
          <x14:colorSeries rgb="FF376092"/>
          <x14:colorNegative rgb="FFD00000"/>
          <x14:colorAxis rgb="FF000000"/>
          <x14:colorMarkers rgb="FFD00000"/>
          <x14:colorFirst rgb="FFD00000"/>
          <x14:colorLast rgb="FFD00000"/>
          <x14:colorHigh rgb="FFD00000"/>
          <x14:colorLow rgb="FFD00000"/>
          <x14:sparklines>
            <x14:sparkline>
              <xm:f>Assumptions!E97:L97</xm:f>
              <xm:sqref>D97</xm:sqref>
            </x14:sparkline>
          </x14:sparklines>
        </x14:sparklineGroup>
        <x14:sparklineGroup type="column" displayEmptyCellsAs="gap" high="1" low="1" xr2:uid="{8263CFD7-CB2D-AE4C-A743-D7531D1A9997}">
          <x14:colorSeries rgb="FF376092"/>
          <x14:colorNegative rgb="FFD00000"/>
          <x14:colorAxis rgb="FF000000"/>
          <x14:colorMarkers rgb="FFD00000"/>
          <x14:colorFirst rgb="FFD00000"/>
          <x14:colorLast rgb="FFD00000"/>
          <x14:colorHigh rgb="FFD00000"/>
          <x14:colorLow rgb="FFD00000"/>
          <x14:sparklines>
            <x14:sparkline>
              <xm:f>Assumptions!E99:L99</xm:f>
              <xm:sqref>D99</xm:sqref>
            </x14:sparkline>
          </x14:sparklines>
        </x14:sparklineGroup>
        <x14:sparklineGroup displayEmptyCellsAs="gap" high="1" low="1" displayXAxis="1" xr2:uid="{E1333146-E767-784A-B62A-33FE83558F7E}">
          <x14:colorSeries rgb="FF376092"/>
          <x14:colorNegative rgb="FFD00000"/>
          <x14:colorAxis rgb="FF000000"/>
          <x14:colorMarkers rgb="FFD00000"/>
          <x14:colorFirst rgb="FFD00000"/>
          <x14:colorLast rgb="FFD00000"/>
          <x14:colorHigh rgb="FFD00000"/>
          <x14:colorLow rgb="FFD00000"/>
          <x14:sparklines>
            <x14:sparkline>
              <xm:f>Assumptions!E104:L104</xm:f>
              <xm:sqref>D104</xm:sqref>
            </x14:sparkline>
            <x14:sparkline>
              <xm:f>Assumptions!E105:L105</xm:f>
              <xm:sqref>D105</xm:sqref>
            </x14:sparkline>
            <x14:sparkline>
              <xm:f>Assumptions!E106:L106</xm:f>
              <xm:sqref>D106</xm:sqref>
            </x14:sparkline>
          </x14:sparklines>
        </x14:sparklineGroup>
        <x14:sparklineGroup type="column" displayEmptyCellsAs="gap" high="1" low="1" xr2:uid="{9AA200AA-4172-F445-948C-8C104BB64779}">
          <x14:colorSeries rgb="FF376092"/>
          <x14:colorNegative rgb="FFD00000"/>
          <x14:colorAxis rgb="FF000000"/>
          <x14:colorMarkers rgb="FFD00000"/>
          <x14:colorFirst rgb="FFD00000"/>
          <x14:colorLast rgb="FFD00000"/>
          <x14:colorHigh rgb="FFD00000"/>
          <x14:colorLow rgb="FFD00000"/>
          <x14:sparklines>
            <x14:sparkline>
              <xm:f>Assumptions!E83:AH83</xm:f>
              <xm:sqref>D83</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A40" workbookViewId="0">
      <selection activeCell="A8" sqref="A8"/>
    </sheetView>
  </sheetViews>
  <sheetFormatPr defaultColWidth="11.42578125" defaultRowHeight="13.15"/>
  <cols>
    <col min="1" max="1" width="36.140625" style="10" customWidth="1"/>
    <col min="2" max="10" width="12.42578125" style="40" customWidth="1"/>
    <col min="11" max="11" width="12.42578125" style="46" customWidth="1"/>
    <col min="12" max="12" width="12.42578125" style="46" hidden="1" customWidth="1"/>
    <col min="13" max="13" width="12.140625" style="46" hidden="1" customWidth="1"/>
    <col min="14" max="16384" width="11.42578125" style="39"/>
  </cols>
  <sheetData>
    <row r="1" spans="1:25" ht="15.6">
      <c r="A1" s="1504" t="e" vm="1">
        <f>'Inputs (AUD)'!H3</f>
        <v>#VALUE!</v>
      </c>
      <c r="B1" s="1504"/>
      <c r="C1" s="1504"/>
      <c r="D1" s="1504"/>
      <c r="E1" s="1504"/>
      <c r="F1" s="1504"/>
      <c r="G1" s="1504"/>
      <c r="H1" s="1504"/>
      <c r="I1" s="1504"/>
      <c r="J1" s="1504"/>
      <c r="K1" s="1504"/>
      <c r="L1" s="1504"/>
      <c r="M1" s="1504"/>
    </row>
    <row r="2" spans="1:25" ht="11.45">
      <c r="A2" s="1505" t="str">
        <f>'Inputs (AUD)'!G2</f>
        <v>Figures in Millions of AUD</v>
      </c>
      <c r="B2" s="1505"/>
      <c r="C2" s="1505"/>
      <c r="D2" s="1505"/>
      <c r="E2" s="1505"/>
      <c r="F2" s="1505"/>
      <c r="G2" s="1505"/>
      <c r="H2" s="1505"/>
      <c r="I2" s="1505"/>
      <c r="J2" s="1505"/>
      <c r="K2" s="1505"/>
      <c r="L2" s="1505"/>
      <c r="M2" s="1505"/>
    </row>
    <row r="3" spans="1:25" ht="21">
      <c r="A3" s="1503" t="s">
        <v>382</v>
      </c>
      <c r="B3" s="1503"/>
      <c r="C3" s="1503"/>
      <c r="D3" s="1503"/>
      <c r="E3" s="1503"/>
      <c r="F3" s="1503"/>
      <c r="G3" s="1503"/>
      <c r="H3" s="1503"/>
      <c r="I3" s="1503"/>
      <c r="J3" s="1503"/>
      <c r="K3" s="1503"/>
      <c r="L3" s="1503"/>
      <c r="M3" s="1503"/>
    </row>
    <row r="4" spans="1:25">
      <c r="A4" s="104"/>
      <c r="B4" s="49">
        <f>OP!J21</f>
        <v>2023</v>
      </c>
      <c r="C4" s="41">
        <f>B4-1</f>
        <v>2022</v>
      </c>
      <c r="D4" s="41">
        <f t="shared" ref="D4:M4" si="0">C4-1</f>
        <v>2021</v>
      </c>
      <c r="E4" s="41">
        <f t="shared" si="0"/>
        <v>2020</v>
      </c>
      <c r="F4" s="41">
        <f t="shared" si="0"/>
        <v>2019</v>
      </c>
      <c r="G4" s="41">
        <f t="shared" si="0"/>
        <v>2018</v>
      </c>
      <c r="H4" s="41">
        <f t="shared" si="0"/>
        <v>2017</v>
      </c>
      <c r="I4" s="41">
        <f t="shared" si="0"/>
        <v>2016</v>
      </c>
      <c r="J4" s="41">
        <f>I4-1</f>
        <v>2015</v>
      </c>
      <c r="K4" s="41">
        <f t="shared" si="0"/>
        <v>2014</v>
      </c>
      <c r="L4" s="41">
        <f t="shared" si="0"/>
        <v>2013</v>
      </c>
      <c r="M4" s="41">
        <f t="shared" si="0"/>
        <v>2012</v>
      </c>
    </row>
    <row r="5" spans="1:25">
      <c r="A5" s="105" t="s">
        <v>135</v>
      </c>
      <c r="B5" s="787">
        <f>_xlfn.XLOOKUP($A5,'Inputs (AUD)'!$A:$A,'Inputs (AUD)'!B:B,,0)</f>
        <v>4064</v>
      </c>
      <c r="C5" s="787">
        <f>_xlfn.XLOOKUP($A5,'Inputs (AUD)'!$A:$A,'Inputs (AUD)'!C:C,,0)</f>
        <v>1189.5999999999999</v>
      </c>
      <c r="D5" s="787">
        <f>_xlfn.XLOOKUP($A5,'Inputs (AUD)'!$A:$A,'Inputs (AUD)'!D:D,,0)</f>
        <v>175.8</v>
      </c>
      <c r="E5" s="787">
        <f>_xlfn.XLOOKUP($A5,'Inputs (AUD)'!$A:$A,'Inputs (AUD)'!E:E,,0)</f>
        <v>84.1</v>
      </c>
      <c r="F5" s="787">
        <f>_xlfn.XLOOKUP($A5,'Inputs (AUD)'!$A:$A,'Inputs (AUD)'!F:F,,0)</f>
        <v>42.8</v>
      </c>
      <c r="G5" s="787">
        <f>_xlfn.XLOOKUP($A5,'Inputs (AUD)'!$A:$A,'Inputs (AUD)'!G:G,,0)</f>
        <v>10.199999999999999</v>
      </c>
      <c r="H5" s="787">
        <f>_xlfn.XLOOKUP($A5,'Inputs (AUD)'!$A:$A,'Inputs (AUD)'!H:H,,0)</f>
        <v>0</v>
      </c>
      <c r="I5" s="787">
        <f>_xlfn.XLOOKUP($A5,'Inputs (AUD)'!$A:$A,'Inputs (AUD)'!I:I,,0)</f>
        <v>0</v>
      </c>
      <c r="J5" s="787">
        <f>_xlfn.XLOOKUP($A5,'Inputs (AUD)'!$A:$A,'Inputs (AUD)'!J:J,,0)</f>
        <v>0.1</v>
      </c>
      <c r="K5" s="787">
        <f>_xlfn.XLOOKUP($A5,'Inputs (AUD)'!$A:$A,'Inputs (AUD)'!K:K,,0)</f>
        <v>0.3</v>
      </c>
      <c r="L5" s="50">
        <f>_xlfn.XLOOKUP($A5,'Inputs (AUD)'!$A:$A,'Inputs (AUD)'!L:L,,0)</f>
        <v>4884</v>
      </c>
      <c r="M5" s="51">
        <f>_xlfn.XLOOKUP($A5,'Inputs (AUD)'!$A:$A,'Inputs (AUD)'!M:M,,0)</f>
        <v>0</v>
      </c>
    </row>
    <row r="6" spans="1:25">
      <c r="A6" s="106" t="s">
        <v>1125</v>
      </c>
      <c r="B6" s="52">
        <f t="shared" ref="B6:L6" si="1">IFERROR(B5/C5-1,"-")</f>
        <v>2.4162743779421656</v>
      </c>
      <c r="C6" s="52">
        <f t="shared" si="1"/>
        <v>5.7667804323094414</v>
      </c>
      <c r="D6" s="52">
        <f t="shared" si="1"/>
        <v>1.0903686087990492</v>
      </c>
      <c r="E6" s="52">
        <f t="shared" si="1"/>
        <v>0.9649532710280373</v>
      </c>
      <c r="F6" s="52">
        <f t="shared" si="1"/>
        <v>3.1960784313725492</v>
      </c>
      <c r="G6" s="52" t="str">
        <f t="shared" si="1"/>
        <v>-</v>
      </c>
      <c r="H6" s="52" t="str">
        <f t="shared" si="1"/>
        <v>-</v>
      </c>
      <c r="I6" s="52">
        <f t="shared" si="1"/>
        <v>-1</v>
      </c>
      <c r="J6" s="52">
        <f t="shared" si="1"/>
        <v>-0.66666666666666663</v>
      </c>
      <c r="K6" s="52" t="s">
        <v>78</v>
      </c>
      <c r="L6" s="52" t="str">
        <f t="shared" si="1"/>
        <v>-</v>
      </c>
      <c r="M6" s="53" t="str">
        <f>IFERROR(M5/#REF!-1,"-")</f>
        <v>-</v>
      </c>
      <c r="N6" s="333"/>
      <c r="O6" s="333"/>
    </row>
    <row r="7" spans="1:25">
      <c r="A7" s="105" t="s">
        <v>1126</v>
      </c>
      <c r="B7" s="50">
        <f>_xlfn.XLOOKUP($A7,'Inputs (AUD)'!$A:$A,'Inputs (AUD)'!B:B,,0)</f>
        <v>3287.8</v>
      </c>
      <c r="C7" s="50">
        <f>_xlfn.XLOOKUP($A7,'Inputs (AUD)'!$A:$A,'Inputs (AUD)'!C:C,,0)</f>
        <v>811.2</v>
      </c>
      <c r="D7" s="50">
        <f>_xlfn.XLOOKUP($A7,'Inputs (AUD)'!$A:$A,'Inputs (AUD)'!D:D,,0)</f>
        <v>20.100000000000001</v>
      </c>
      <c r="E7" s="50">
        <f>_xlfn.XLOOKUP($A7,'Inputs (AUD)'!$A:$A,'Inputs (AUD)'!E:E,,0)</f>
        <v>-27.9</v>
      </c>
      <c r="F7" s="50">
        <f>_xlfn.XLOOKUP($A7,'Inputs (AUD)'!$A:$A,'Inputs (AUD)'!F:F,,0)</f>
        <v>6.2</v>
      </c>
      <c r="G7" s="50">
        <f>_xlfn.XLOOKUP($A7,'Inputs (AUD)'!$A:$A,'Inputs (AUD)'!G:G,,0)</f>
        <v>4</v>
      </c>
      <c r="H7" s="50">
        <f>_xlfn.XLOOKUP($A7,'Inputs (AUD)'!$A:$A,'Inputs (AUD)'!H:H,,0)</f>
        <v>0</v>
      </c>
      <c r="I7" s="50">
        <f>_xlfn.XLOOKUP($A7,'Inputs (AUD)'!$A:$A,'Inputs (AUD)'!I:I,,0)</f>
        <v>0</v>
      </c>
      <c r="J7" s="50">
        <f>_xlfn.XLOOKUP($A7,'Inputs (AUD)'!$A:$A,'Inputs (AUD)'!J:J,,0)</f>
        <v>0</v>
      </c>
      <c r="K7" s="50">
        <f>_xlfn.XLOOKUP($A7,'Inputs (AUD)'!$A:$A,'Inputs (AUD)'!K:K,,0)</f>
        <v>0</v>
      </c>
      <c r="L7" s="50">
        <f>_xlfn.XLOOKUP($A7,'Inputs (AUD)'!$A:$A,'Inputs (AUD)'!L:L,,0)</f>
        <v>1681</v>
      </c>
      <c r="M7" s="51">
        <f>_xlfn.XLOOKUP($A7,'Inputs (AUD)'!$A:$A,'Inputs (AUD)'!M:M,,0)</f>
        <v>0</v>
      </c>
    </row>
    <row r="8" spans="1:25">
      <c r="A8" s="106" t="s">
        <v>1127</v>
      </c>
      <c r="B8" s="52">
        <f>IFERROR(B7/B$5,"-")</f>
        <v>0.80900590551181106</v>
      </c>
      <c r="C8" s="52">
        <f t="shared" ref="C8:M8" si="2">IFERROR(C7/C$5,"-")</f>
        <v>0.68190988567585753</v>
      </c>
      <c r="D8" s="52">
        <f t="shared" si="2"/>
        <v>0.11433447098976109</v>
      </c>
      <c r="E8" s="52">
        <f t="shared" si="2"/>
        <v>-0.33174791914387636</v>
      </c>
      <c r="F8" s="52">
        <f t="shared" si="2"/>
        <v>0.14485981308411217</v>
      </c>
      <c r="G8" s="52">
        <f t="shared" si="2"/>
        <v>0.39215686274509809</v>
      </c>
      <c r="H8" s="52" t="str">
        <f t="shared" si="2"/>
        <v>-</v>
      </c>
      <c r="I8" s="52" t="str">
        <f t="shared" si="2"/>
        <v>-</v>
      </c>
      <c r="J8" s="52">
        <f t="shared" si="2"/>
        <v>0</v>
      </c>
      <c r="K8" s="52">
        <f t="shared" si="2"/>
        <v>0</v>
      </c>
      <c r="L8" s="52">
        <f t="shared" si="2"/>
        <v>0.34418509418509419</v>
      </c>
      <c r="M8" s="53" t="str">
        <f t="shared" si="2"/>
        <v>-</v>
      </c>
    </row>
    <row r="9" spans="1:25">
      <c r="A9" s="105" t="s">
        <v>1128</v>
      </c>
      <c r="B9" s="50">
        <f t="shared" ref="B9:M9" si="3">B5-B11</f>
        <v>852.09999999999991</v>
      </c>
      <c r="C9" s="50">
        <f t="shared" si="3"/>
        <v>457.69999999999993</v>
      </c>
      <c r="D9" s="50">
        <f t="shared" si="3"/>
        <v>210.8</v>
      </c>
      <c r="E9" s="50">
        <f t="shared" si="3"/>
        <v>155.69999999999999</v>
      </c>
      <c r="F9" s="50">
        <f t="shared" si="3"/>
        <v>61.3</v>
      </c>
      <c r="G9" s="50">
        <f t="shared" si="3"/>
        <v>27.099999999999998</v>
      </c>
      <c r="H9" s="50">
        <f t="shared" si="3"/>
        <v>28</v>
      </c>
      <c r="I9" s="50">
        <f t="shared" si="3"/>
        <v>53.2</v>
      </c>
      <c r="J9" s="50">
        <f t="shared" si="3"/>
        <v>5.3</v>
      </c>
      <c r="K9" s="50">
        <f t="shared" si="3"/>
        <v>3.3</v>
      </c>
      <c r="L9" s="50">
        <f t="shared" si="3"/>
        <v>4166</v>
      </c>
      <c r="M9" s="51">
        <f t="shared" si="3"/>
        <v>0</v>
      </c>
    </row>
    <row r="10" spans="1:25">
      <c r="A10" s="106" t="s">
        <v>1127</v>
      </c>
      <c r="B10" s="52">
        <f>IFERROR(B9/B$5,"-")</f>
        <v>0.20967027559055115</v>
      </c>
      <c r="C10" s="52">
        <f t="shared" ref="C10:M10" si="4">IFERROR(C9/C$5,"-")</f>
        <v>0.38475117686617349</v>
      </c>
      <c r="D10" s="52">
        <f t="shared" si="4"/>
        <v>1.1990898748577929</v>
      </c>
      <c r="E10" s="52">
        <f t="shared" si="4"/>
        <v>1.8513674197384067</v>
      </c>
      <c r="F10" s="52">
        <f t="shared" si="4"/>
        <v>1.4322429906542056</v>
      </c>
      <c r="G10" s="52">
        <f t="shared" si="4"/>
        <v>2.6568627450980391</v>
      </c>
      <c r="H10" s="52" t="str">
        <f t="shared" si="4"/>
        <v>-</v>
      </c>
      <c r="I10" s="52" t="str">
        <f t="shared" si="4"/>
        <v>-</v>
      </c>
      <c r="J10" s="52">
        <f t="shared" si="4"/>
        <v>52.999999999999993</v>
      </c>
      <c r="K10" s="52">
        <f t="shared" si="4"/>
        <v>11</v>
      </c>
      <c r="L10" s="52">
        <f t="shared" si="4"/>
        <v>0.85298935298935297</v>
      </c>
      <c r="M10" s="53" t="str">
        <f t="shared" si="4"/>
        <v>-</v>
      </c>
    </row>
    <row r="11" spans="1:25">
      <c r="A11" s="105" t="s">
        <v>315</v>
      </c>
      <c r="B11" s="50">
        <f>_xlfn.XLOOKUP($A11,'Inputs (AUD)'!$A:$A,'Inputs (AUD)'!B:B,,0)</f>
        <v>3211.9</v>
      </c>
      <c r="C11" s="50">
        <f>_xlfn.XLOOKUP($A11,'Inputs (AUD)'!$A:$A,'Inputs (AUD)'!C:C,,0)</f>
        <v>731.9</v>
      </c>
      <c r="D11" s="50">
        <f>_xlfn.XLOOKUP($A11,'Inputs (AUD)'!$A:$A,'Inputs (AUD)'!D:D,,0)</f>
        <v>-35</v>
      </c>
      <c r="E11" s="50">
        <f>_xlfn.XLOOKUP($A11,'Inputs (AUD)'!$A:$A,'Inputs (AUD)'!E:E,,0)</f>
        <v>-71.599999999999994</v>
      </c>
      <c r="F11" s="50">
        <f>_xlfn.XLOOKUP($A11,'Inputs (AUD)'!$A:$A,'Inputs (AUD)'!F:F,,0)</f>
        <v>-18.5</v>
      </c>
      <c r="G11" s="50">
        <f>_xlfn.XLOOKUP($A11,'Inputs (AUD)'!$A:$A,'Inputs (AUD)'!G:G,,0)</f>
        <v>-16.899999999999999</v>
      </c>
      <c r="H11" s="50">
        <f>_xlfn.XLOOKUP($A11,'Inputs (AUD)'!$A:$A,'Inputs (AUD)'!H:H,,0)</f>
        <v>-28</v>
      </c>
      <c r="I11" s="50">
        <f>_xlfn.XLOOKUP($A11,'Inputs (AUD)'!$A:$A,'Inputs (AUD)'!I:I,,0)</f>
        <v>-53.2</v>
      </c>
      <c r="J11" s="50">
        <f>_xlfn.XLOOKUP($A11,'Inputs (AUD)'!$A:$A,'Inputs (AUD)'!J:J,,0)</f>
        <v>-5.2</v>
      </c>
      <c r="K11" s="50">
        <f>_xlfn.XLOOKUP($A11,'Inputs (AUD)'!$A:$A,'Inputs (AUD)'!K:K,,0)</f>
        <v>-3</v>
      </c>
      <c r="L11" s="50">
        <f>_xlfn.XLOOKUP($A11,'Inputs (AUD)'!$A:$A,'Inputs (AUD)'!L:L,,0)</f>
        <v>718</v>
      </c>
      <c r="M11" s="51">
        <f>_xlfn.XLOOKUP($A11,'Inputs (AUD)'!$A:$A,'Inputs (AUD)'!M:M,,0)</f>
        <v>0</v>
      </c>
    </row>
    <row r="12" spans="1:25">
      <c r="A12" s="106" t="s">
        <v>136</v>
      </c>
      <c r="B12" s="52">
        <f t="shared" ref="B12:M12" si="5">IFERROR(B11/B$5,"-")</f>
        <v>0.79032972440944882</v>
      </c>
      <c r="C12" s="52">
        <f t="shared" si="5"/>
        <v>0.61524882313382656</v>
      </c>
      <c r="D12" s="52">
        <f t="shared" si="5"/>
        <v>-0.19908987485779292</v>
      </c>
      <c r="E12" s="52">
        <f t="shared" si="5"/>
        <v>-0.85136741973840668</v>
      </c>
      <c r="F12" s="52">
        <f t="shared" si="5"/>
        <v>-0.43224299065420563</v>
      </c>
      <c r="G12" s="52">
        <f t="shared" si="5"/>
        <v>-1.6568627450980391</v>
      </c>
      <c r="H12" s="52" t="str">
        <f t="shared" si="5"/>
        <v>-</v>
      </c>
      <c r="I12" s="52" t="str">
        <f t="shared" si="5"/>
        <v>-</v>
      </c>
      <c r="J12" s="52">
        <f t="shared" si="5"/>
        <v>-52</v>
      </c>
      <c r="K12" s="52">
        <f>IFERROR(K11/K$5,"-")</f>
        <v>-10</v>
      </c>
      <c r="L12" s="52">
        <f t="shared" si="5"/>
        <v>0.14701064701064701</v>
      </c>
      <c r="M12" s="53" t="str">
        <f t="shared" si="5"/>
        <v>-</v>
      </c>
    </row>
    <row r="13" spans="1:25">
      <c r="A13" s="105" t="s">
        <v>1129</v>
      </c>
      <c r="B13" s="52">
        <f>IFERROR(B12/C12-1,"-")</f>
        <v>0.28456925831053459</v>
      </c>
      <c r="C13" s="52">
        <f t="shared" ref="C13" si="6">IFERROR(C12/D12-1,"-")</f>
        <v>-4.0903069459121921</v>
      </c>
      <c r="D13" s="52">
        <f t="shared" ref="D13" si="7">IFERROR(D12/E12-1,"-")</f>
        <v>-0.76615281458742479</v>
      </c>
      <c r="E13" s="52">
        <f t="shared" ref="E13" si="8">IFERROR(E12/F12-1,"-")</f>
        <v>0.96965003052993537</v>
      </c>
      <c r="F13" s="52">
        <f t="shared" ref="F13" si="9">IFERROR(F12/G12-1,"-")</f>
        <v>-0.73911961510811253</v>
      </c>
      <c r="G13" s="52" t="str">
        <f t="shared" ref="G13" si="10">IFERROR(G12/H12-1,"-")</f>
        <v>-</v>
      </c>
      <c r="H13" s="52" t="str">
        <f t="shared" ref="H13" si="11">IFERROR(H12/I12-1,"-")</f>
        <v>-</v>
      </c>
      <c r="I13" s="52" t="str">
        <f t="shared" ref="I13" si="12">IFERROR(I12/J12-1,"-")</f>
        <v>-</v>
      </c>
      <c r="J13" s="52">
        <f t="shared" ref="J13" si="13">IFERROR(J12/K12-1,"-")</f>
        <v>4.2</v>
      </c>
      <c r="K13" s="52">
        <f t="shared" ref="K13" si="14">IFERROR(K12/L12-1,"-")</f>
        <v>-69.022284122562681</v>
      </c>
      <c r="L13" s="52" t="str">
        <f t="shared" ref="L13" si="15">IFERROR(L12/M12-1,"-")</f>
        <v>-</v>
      </c>
      <c r="M13" s="53" t="str">
        <f>IFERROR(M12/#REF!-1,"-")</f>
        <v>-</v>
      </c>
      <c r="O13" s="333"/>
    </row>
    <row r="14" spans="1:25">
      <c r="A14" s="107" t="s">
        <v>316</v>
      </c>
      <c r="B14" s="50">
        <f>_xlfn.XLOOKUP($A14,'Inputs (AUD)'!$A:$A,'Inputs (AUD)'!B:B,,0)</f>
        <v>44.900000000000006</v>
      </c>
      <c r="C14" s="50">
        <f>_xlfn.XLOOKUP($A14,'Inputs (AUD)'!$A:$A,'Inputs (AUD)'!C:C,,0)</f>
        <v>-12.5</v>
      </c>
      <c r="D14" s="50">
        <f>_xlfn.XLOOKUP($A14,'Inputs (AUD)'!$A:$A,'Inputs (AUD)'!D:D,,0)</f>
        <v>-15.100000000000001</v>
      </c>
      <c r="E14" s="50">
        <f>_xlfn.XLOOKUP($A14,'Inputs (AUD)'!$A:$A,'Inputs (AUD)'!E:E,,0)</f>
        <v>-22.5</v>
      </c>
      <c r="F14" s="50">
        <f>_xlfn.XLOOKUP($A14,'Inputs (AUD)'!$A:$A,'Inputs (AUD)'!F:F,,0)</f>
        <v>-3.9</v>
      </c>
      <c r="G14" s="50">
        <f>_xlfn.XLOOKUP($A14,'Inputs (AUD)'!$A:$A,'Inputs (AUD)'!G:G,,0)</f>
        <v>1.5000000000000002</v>
      </c>
      <c r="H14" s="50">
        <f>_xlfn.XLOOKUP($A14,'Inputs (AUD)'!$A:$A,'Inputs (AUD)'!H:H,,0)</f>
        <v>2.1</v>
      </c>
      <c r="I14" s="50">
        <f>_xlfn.XLOOKUP($A14,'Inputs (AUD)'!$A:$A,'Inputs (AUD)'!I:I,,0)</f>
        <v>-2.1999999999999997</v>
      </c>
      <c r="J14" s="50">
        <f>_xlfn.XLOOKUP($A14,'Inputs (AUD)'!$A:$A,'Inputs (AUD)'!J:J,,0)</f>
        <v>-0.2</v>
      </c>
      <c r="K14" s="50">
        <f>_xlfn.XLOOKUP($A14,'Inputs (AUD)'!$A:$A,'Inputs (AUD)'!K:K,,0)</f>
        <v>-0.2</v>
      </c>
      <c r="L14" s="50">
        <f>_xlfn.XLOOKUP($A14,'Inputs (AUD)'!$A:$A,'Inputs (AUD)'!L:L,,0)</f>
        <v>-67</v>
      </c>
      <c r="M14" s="51">
        <f>_xlfn.XLOOKUP($A14,'Inputs (AUD)'!$A:$A,'Inputs (AUD)'!M:M,,0)</f>
        <v>0</v>
      </c>
    </row>
    <row r="15" spans="1:25">
      <c r="A15" s="105" t="s">
        <v>1130</v>
      </c>
      <c r="B15" s="50">
        <f>_xlfn.XLOOKUP($A15,'Inputs (AUD)'!$A:$A,'Inputs (AUD)'!B:B,,0)</f>
        <v>114.69999999999963</v>
      </c>
      <c r="C15" s="50">
        <f>_xlfn.XLOOKUP($A15,'Inputs (AUD)'!$A:$A,'Inputs (AUD)'!C:C,,0)</f>
        <v>5.5999999999998629</v>
      </c>
      <c r="D15" s="50">
        <f>_xlfn.XLOOKUP($A15,'Inputs (AUD)'!$A:$A,'Inputs (AUD)'!D:D,,0)</f>
        <v>-1.2999999999999989</v>
      </c>
      <c r="E15" s="50">
        <f>_xlfn.XLOOKUP($A15,'Inputs (AUD)'!$A:$A,'Inputs (AUD)'!E:E,,0)</f>
        <v>-5.2000000000000082</v>
      </c>
      <c r="F15" s="50">
        <f>_xlfn.XLOOKUP($A15,'Inputs (AUD)'!$A:$A,'Inputs (AUD)'!F:F,,0)</f>
        <v>-6.5</v>
      </c>
      <c r="G15" s="50">
        <f>_xlfn.XLOOKUP($A15,'Inputs (AUD)'!$A:$A,'Inputs (AUD)'!G:G,,0)</f>
        <v>-4</v>
      </c>
      <c r="H15" s="50">
        <f>_xlfn.XLOOKUP($A15,'Inputs (AUD)'!$A:$A,'Inputs (AUD)'!H:H,,0)</f>
        <v>-0.10000000000000142</v>
      </c>
      <c r="I15" s="50">
        <f>_xlfn.XLOOKUP($A15,'Inputs (AUD)'!$A:$A,'Inputs (AUD)'!I:I,,0)</f>
        <v>0</v>
      </c>
      <c r="J15" s="50">
        <f>_xlfn.XLOOKUP($A15,'Inputs (AUD)'!$A:$A,'Inputs (AUD)'!J:J,,0)</f>
        <v>-0.19999999999999965</v>
      </c>
      <c r="K15" s="50">
        <f>_xlfn.XLOOKUP($A15,'Inputs (AUD)'!$A:$A,'Inputs (AUD)'!K:K,,0)</f>
        <v>0</v>
      </c>
      <c r="L15" s="50">
        <f>_xlfn.XLOOKUP($A15,'Inputs (AUD)'!$A:$A,'Inputs (AUD)'!L:L,,0)</f>
        <v>0</v>
      </c>
      <c r="M15" s="51">
        <f>_xlfn.XLOOKUP($A15,'Inputs (AUD)'!$A:$A,'Inputs (AUD)'!M:M,,0)</f>
        <v>0</v>
      </c>
    </row>
    <row r="16" spans="1:25">
      <c r="A16" s="107" t="s">
        <v>71</v>
      </c>
      <c r="B16" s="50">
        <f>B11-B15</f>
        <v>3097.2000000000003</v>
      </c>
      <c r="C16" s="50">
        <f t="shared" ref="C16:M16" si="16">C11-C15</f>
        <v>726.30000000000007</v>
      </c>
      <c r="D16" s="50">
        <f t="shared" si="16"/>
        <v>-33.700000000000003</v>
      </c>
      <c r="E16" s="50">
        <f t="shared" si="16"/>
        <v>-66.399999999999991</v>
      </c>
      <c r="F16" s="50">
        <f t="shared" si="16"/>
        <v>-12</v>
      </c>
      <c r="G16" s="50">
        <f t="shared" si="16"/>
        <v>-12.899999999999999</v>
      </c>
      <c r="H16" s="50">
        <f t="shared" si="16"/>
        <v>-27.9</v>
      </c>
      <c r="I16" s="50">
        <f t="shared" si="16"/>
        <v>-53.2</v>
      </c>
      <c r="J16" s="50">
        <f t="shared" si="16"/>
        <v>-5.0000000000000009</v>
      </c>
      <c r="K16" s="50">
        <f t="shared" si="16"/>
        <v>-3</v>
      </c>
      <c r="L16" s="50">
        <f t="shared" si="16"/>
        <v>718</v>
      </c>
      <c r="M16" s="51">
        <f t="shared" si="16"/>
        <v>0</v>
      </c>
      <c r="N16" s="48"/>
      <c r="O16" s="48"/>
      <c r="P16" s="48"/>
      <c r="Q16" s="48"/>
      <c r="R16" s="48"/>
      <c r="S16" s="48"/>
      <c r="T16" s="48"/>
      <c r="U16" s="48"/>
      <c r="V16" s="48"/>
      <c r="W16" s="48"/>
      <c r="X16" s="48"/>
      <c r="Y16" s="48"/>
    </row>
    <row r="17" spans="1:18">
      <c r="A17" s="105" t="s">
        <v>67</v>
      </c>
      <c r="B17" s="50">
        <f>_xlfn.XLOOKUP($A17,'Inputs (AUD)'!$A:$A,'Inputs (AUD)'!B:B,,0)</f>
        <v>1.5</v>
      </c>
      <c r="C17" s="50">
        <f>_xlfn.XLOOKUP($A17,'Inputs (AUD)'!$A:$A,'Inputs (AUD)'!C:C,,0)</f>
        <v>0.7</v>
      </c>
      <c r="D17" s="50">
        <f>_xlfn.XLOOKUP($A17,'Inputs (AUD)'!$A:$A,'Inputs (AUD)'!D:D,,0)</f>
        <v>0.5</v>
      </c>
      <c r="E17" s="50">
        <f>_xlfn.XLOOKUP($A17,'Inputs (AUD)'!$A:$A,'Inputs (AUD)'!E:E,,0)</f>
        <v>0.6</v>
      </c>
      <c r="F17" s="50">
        <f>_xlfn.XLOOKUP($A17,'Inputs (AUD)'!$A:$A,'Inputs (AUD)'!F:F,,0)</f>
        <v>0.2</v>
      </c>
      <c r="G17" s="50">
        <f>_xlfn.XLOOKUP($A17,'Inputs (AUD)'!$A:$A,'Inputs (AUD)'!G:G,,0)</f>
        <v>0.2</v>
      </c>
      <c r="H17" s="50">
        <f>_xlfn.XLOOKUP($A17,'Inputs (AUD)'!$A:$A,'Inputs (AUD)'!H:H,,0)</f>
        <v>0.1</v>
      </c>
      <c r="I17" s="50">
        <f>_xlfn.XLOOKUP($A17,'Inputs (AUD)'!$A:$A,'Inputs (AUD)'!I:I,,0)</f>
        <v>0.1</v>
      </c>
      <c r="J17" s="50">
        <f>_xlfn.XLOOKUP($A17,'Inputs (AUD)'!$A:$A,'Inputs (AUD)'!J:J,,0)</f>
        <v>0</v>
      </c>
      <c r="K17" s="50">
        <f>_xlfn.XLOOKUP($A17,'Inputs (AUD)'!$A:$A,'Inputs (AUD)'!K:K,,0)</f>
        <v>0</v>
      </c>
      <c r="L17" s="50">
        <f>_xlfn.XLOOKUP($A17,'Inputs (AUD)'!$A:$A,'Inputs (AUD)'!L:L,,0)</f>
        <v>329.6</v>
      </c>
      <c r="M17" s="51">
        <f>_xlfn.XLOOKUP($A17,'Inputs (AUD)'!$A:$A,'Inputs (AUD)'!M:M,,0)</f>
        <v>0</v>
      </c>
      <c r="N17" s="252"/>
    </row>
    <row r="18" spans="1:18">
      <c r="A18" s="107" t="s">
        <v>1131</v>
      </c>
      <c r="B18" s="50">
        <f>_xlfn.XLOOKUP($A18,'Inputs (AUD)'!$A:$A,'Inputs (AUD)'!B:B,,0)</f>
        <v>-1095.9999999999998</v>
      </c>
      <c r="C18" s="50">
        <f>_xlfn.XLOOKUP($A18,'Inputs (AUD)'!$A:$A,'Inputs (AUD)'!C:C,,0)</f>
        <v>136.90000000000003</v>
      </c>
      <c r="D18" s="50">
        <f>_xlfn.XLOOKUP($A18,'Inputs (AUD)'!$A:$A,'Inputs (AUD)'!D:D,,0)</f>
        <v>-57.599999999999994</v>
      </c>
      <c r="E18" s="50">
        <f>_xlfn.XLOOKUP($A18,'Inputs (AUD)'!$A:$A,'Inputs (AUD)'!E:E,,0)</f>
        <v>-51.400000000000013</v>
      </c>
      <c r="F18" s="50">
        <f>_xlfn.XLOOKUP($A18,'Inputs (AUD)'!$A:$A,'Inputs (AUD)'!F:F,,0)</f>
        <v>21.500000000000007</v>
      </c>
      <c r="G18" s="50">
        <f>_xlfn.XLOOKUP($A18,'Inputs (AUD)'!$A:$A,'Inputs (AUD)'!G:G,,0)</f>
        <v>-145.10000000000002</v>
      </c>
      <c r="H18" s="50">
        <f>_xlfn.XLOOKUP($A18,'Inputs (AUD)'!$A:$A,'Inputs (AUD)'!H:H,,0)</f>
        <v>129.40000000000003</v>
      </c>
      <c r="I18" s="50">
        <f>_xlfn.XLOOKUP($A18,'Inputs (AUD)'!$A:$A,'Inputs (AUD)'!I:I,,0)</f>
        <v>-1.6999999999999997</v>
      </c>
      <c r="J18" s="50">
        <f>_xlfn.XLOOKUP($A18,'Inputs (AUD)'!$A:$A,'Inputs (AUD)'!J:J,,0)</f>
        <v>1.1999999999999997</v>
      </c>
      <c r="K18" s="50">
        <f>_xlfn.XLOOKUP($A18,'Inputs (AUD)'!$A:$A,'Inputs (AUD)'!K:K,,0)</f>
        <v>-9.9999999999999867E-2</v>
      </c>
      <c r="L18" s="50" t="e">
        <f>_xlfn.XLOOKUP($A18,'Inputs (AUD)'!$A:$A,'Inputs (AUD)'!L:L,,0)</f>
        <v>#REF!</v>
      </c>
      <c r="M18" s="51">
        <f>_xlfn.XLOOKUP($A18,'Inputs (AUD)'!$A:$A,'Inputs (AUD)'!M:M,,0)</f>
        <v>0</v>
      </c>
    </row>
    <row r="19" spans="1:18">
      <c r="A19" s="105" t="s">
        <v>63</v>
      </c>
      <c r="B19" s="50">
        <f>B11-B15+B17</f>
        <v>3098.7000000000003</v>
      </c>
      <c r="C19" s="50">
        <f t="shared" ref="C19:M19" si="17">C11-C15+C17</f>
        <v>727.00000000000011</v>
      </c>
      <c r="D19" s="50">
        <f t="shared" si="17"/>
        <v>-33.200000000000003</v>
      </c>
      <c r="E19" s="50">
        <f t="shared" si="17"/>
        <v>-65.8</v>
      </c>
      <c r="F19" s="50">
        <f t="shared" si="17"/>
        <v>-11.8</v>
      </c>
      <c r="G19" s="50">
        <f t="shared" si="17"/>
        <v>-12.7</v>
      </c>
      <c r="H19" s="50">
        <f t="shared" si="17"/>
        <v>-27.799999999999997</v>
      </c>
      <c r="I19" s="50">
        <f t="shared" si="17"/>
        <v>-53.1</v>
      </c>
      <c r="J19" s="50">
        <f t="shared" si="17"/>
        <v>-5.0000000000000009</v>
      </c>
      <c r="K19" s="50">
        <f t="shared" si="17"/>
        <v>-3</v>
      </c>
      <c r="L19" s="50">
        <f t="shared" si="17"/>
        <v>1047.5999999999999</v>
      </c>
      <c r="M19" s="51">
        <f t="shared" si="17"/>
        <v>0</v>
      </c>
    </row>
    <row r="20" spans="1:18">
      <c r="A20" s="106" t="s">
        <v>273</v>
      </c>
      <c r="B20" s="52">
        <f t="shared" ref="B20" si="18">IFERROR(B19/B$5,"-")</f>
        <v>0.76247539370078743</v>
      </c>
      <c r="C20" s="52">
        <f t="shared" ref="C20" si="19">IFERROR(C19/C$5,"-")</f>
        <v>0.61112979152656366</v>
      </c>
      <c r="D20" s="52">
        <f t="shared" ref="D20" si="20">IFERROR(D19/D$5,"-")</f>
        <v>-0.18885096700796361</v>
      </c>
      <c r="E20" s="52">
        <f t="shared" ref="E20" si="21">IFERROR(E19/E$5,"-")</f>
        <v>-0.78240190249702735</v>
      </c>
      <c r="F20" s="52">
        <f t="shared" ref="F20" si="22">IFERROR(F19/F$5,"-")</f>
        <v>-0.27570093457943928</v>
      </c>
      <c r="G20" s="52">
        <f t="shared" ref="G20" si="23">IFERROR(G19/G$5,"-")</f>
        <v>-1.2450980392156863</v>
      </c>
      <c r="H20" s="52" t="str">
        <f t="shared" ref="H20" si="24">IFERROR(H19/H$5,"-")</f>
        <v>-</v>
      </c>
      <c r="I20" s="52" t="str">
        <f t="shared" ref="I20" si="25">IFERROR(I19/I$5,"-")</f>
        <v>-</v>
      </c>
      <c r="J20" s="52">
        <f t="shared" ref="J20" si="26">IFERROR(J19/J$5,"-")</f>
        <v>-50.000000000000007</v>
      </c>
      <c r="K20" s="52">
        <f t="shared" ref="K20" si="27">IFERROR(K19/K$5,"-")</f>
        <v>-10</v>
      </c>
      <c r="L20" s="52">
        <f t="shared" ref="L20" si="28">IFERROR(L19/L$5,"-")</f>
        <v>0.21449631449631448</v>
      </c>
      <c r="M20" s="53" t="str">
        <f t="shared" ref="M20" si="29">IFERROR(M19/M$5,"-")</f>
        <v>-</v>
      </c>
      <c r="N20" s="333"/>
      <c r="P20" s="252"/>
      <c r="Q20" s="252"/>
      <c r="R20" s="252"/>
    </row>
    <row r="21" spans="1:18">
      <c r="A21" s="105" t="s">
        <v>317</v>
      </c>
      <c r="B21" s="50">
        <f>_xlfn.XLOOKUP($A21,'Inputs (AUD)'!$A:$A,'Inputs (AUD)'!B:B,,0)</f>
        <v>-980.4</v>
      </c>
      <c r="C21" s="50">
        <f>_xlfn.XLOOKUP($A21,'Inputs (AUD)'!$A:$A,'Inputs (AUD)'!C:C,,0)</f>
        <v>-163.19999999999999</v>
      </c>
      <c r="D21" s="50">
        <f>_xlfn.XLOOKUP($A21,'Inputs (AUD)'!$A:$A,'Inputs (AUD)'!D:D,,0)</f>
        <v>0</v>
      </c>
      <c r="E21" s="50">
        <f>_xlfn.XLOOKUP($A21,'Inputs (AUD)'!$A:$A,'Inputs (AUD)'!E:E,,0)</f>
        <v>0</v>
      </c>
      <c r="F21" s="50">
        <f>_xlfn.XLOOKUP($A21,'Inputs (AUD)'!$A:$A,'Inputs (AUD)'!F:F,,0)</f>
        <v>0</v>
      </c>
      <c r="G21" s="50">
        <f>_xlfn.XLOOKUP($A21,'Inputs (AUD)'!$A:$A,'Inputs (AUD)'!G:G,,0)</f>
        <v>0</v>
      </c>
      <c r="H21" s="50">
        <f>_xlfn.XLOOKUP($A21,'Inputs (AUD)'!$A:$A,'Inputs (AUD)'!H:H,,0)</f>
        <v>0</v>
      </c>
      <c r="I21" s="50">
        <f>_xlfn.XLOOKUP($A21,'Inputs (AUD)'!$A:$A,'Inputs (AUD)'!I:I,,0)</f>
        <v>-0.2</v>
      </c>
      <c r="J21" s="50">
        <f>_xlfn.XLOOKUP($A21,'Inputs (AUD)'!$A:$A,'Inputs (AUD)'!J:J,,0)</f>
        <v>0.1</v>
      </c>
      <c r="K21" s="50">
        <f>_xlfn.XLOOKUP($A21,'Inputs (AUD)'!$A:$A,'Inputs (AUD)'!K:K,,0)</f>
        <v>0</v>
      </c>
      <c r="L21" s="50">
        <f>_xlfn.XLOOKUP($A21,'Inputs (AUD)'!$A:$A,'Inputs (AUD)'!L:L,,0)</f>
        <v>82</v>
      </c>
      <c r="M21" s="51">
        <f>_xlfn.XLOOKUP($A21,'Inputs (AUD)'!$A:$A,'Inputs (AUD)'!M:M,,0)</f>
        <v>0</v>
      </c>
    </row>
    <row r="22" spans="1:18">
      <c r="A22" s="106" t="s">
        <v>1132</v>
      </c>
      <c r="B22" s="52">
        <f t="shared" ref="B22" si="30">IFERROR(B21/B$5,"-")</f>
        <v>-0.24124015748031497</v>
      </c>
      <c r="C22" s="52">
        <f t="shared" ref="C22" si="31">IFERROR(C21/C$5,"-")</f>
        <v>-0.13718897108271688</v>
      </c>
      <c r="D22" s="52">
        <f t="shared" ref="D22" si="32">IFERROR(D21/D$5,"-")</f>
        <v>0</v>
      </c>
      <c r="E22" s="52">
        <f t="shared" ref="E22" si="33">IFERROR(E21/E$5,"-")</f>
        <v>0</v>
      </c>
      <c r="F22" s="52">
        <f t="shared" ref="F22" si="34">IFERROR(F21/F$5,"-")</f>
        <v>0</v>
      </c>
      <c r="G22" s="52">
        <f t="shared" ref="G22" si="35">IFERROR(G21/G$5,"-")</f>
        <v>0</v>
      </c>
      <c r="H22" s="52" t="str">
        <f t="shared" ref="H22" si="36">IFERROR(H21/H$5,"-")</f>
        <v>-</v>
      </c>
      <c r="I22" s="52" t="str">
        <f t="shared" ref="I22" si="37">IFERROR(I21/I$5,"-")</f>
        <v>-</v>
      </c>
      <c r="J22" s="52">
        <f t="shared" ref="J22" si="38">IFERROR(J21/J$5,"-")</f>
        <v>1</v>
      </c>
      <c r="K22" s="52">
        <f t="shared" ref="K22" si="39">IFERROR(K21/K$5,"-")</f>
        <v>0</v>
      </c>
      <c r="L22" s="52">
        <f t="shared" ref="L22" si="40">IFERROR(L21/L$5,"-")</f>
        <v>1.678951678951679E-2</v>
      </c>
      <c r="M22" s="53" t="str">
        <f t="shared" ref="M22" si="41">IFERROR(M21/M$5,"-")</f>
        <v>-</v>
      </c>
    </row>
    <row r="23" spans="1:18">
      <c r="A23" s="105" t="s">
        <v>75</v>
      </c>
      <c r="B23" s="50">
        <f>_xlfn.XLOOKUP($A23,'Inputs (AUD)'!$A:$A,'Inputs (AUD)'!B:B,,0)</f>
        <v>2391.1</v>
      </c>
      <c r="C23" s="50">
        <f>_xlfn.XLOOKUP($A23,'Inputs (AUD)'!$A:$A,'Inputs (AUD)'!C:C,,0)</f>
        <v>561.79999999999995</v>
      </c>
      <c r="D23" s="50">
        <f>_xlfn.XLOOKUP($A23,'Inputs (AUD)'!$A:$A,'Inputs (AUD)'!D:D,,0)</f>
        <v>-51.4</v>
      </c>
      <c r="E23" s="50">
        <f>_xlfn.XLOOKUP($A23,'Inputs (AUD)'!$A:$A,'Inputs (AUD)'!E:E,,0)</f>
        <v>-99.3</v>
      </c>
      <c r="F23" s="50">
        <f>_xlfn.XLOOKUP($A23,'Inputs (AUD)'!$A:$A,'Inputs (AUD)'!F:F,,0)</f>
        <v>-28.9</v>
      </c>
      <c r="G23" s="50">
        <f>_xlfn.XLOOKUP($A23,'Inputs (AUD)'!$A:$A,'Inputs (AUD)'!G:G,,0)</f>
        <v>-19.399999999999999</v>
      </c>
      <c r="H23" s="50">
        <f>_xlfn.XLOOKUP($A23,'Inputs (AUD)'!$A:$A,'Inputs (AUD)'!H:H,,0)</f>
        <v>-26</v>
      </c>
      <c r="I23" s="50">
        <f>_xlfn.XLOOKUP($A23,'Inputs (AUD)'!$A:$A,'Inputs (AUD)'!I:I,,0)</f>
        <v>-55.6</v>
      </c>
      <c r="J23" s="50">
        <f>_xlfn.XLOOKUP($A23,'Inputs (AUD)'!$A:$A,'Inputs (AUD)'!J:J,,0)</f>
        <v>-5.5</v>
      </c>
      <c r="K23" s="50">
        <f>_xlfn.XLOOKUP($A23,'Inputs (AUD)'!$A:$A,'Inputs (AUD)'!K:K,,0)</f>
        <v>-3.2</v>
      </c>
      <c r="L23" s="50">
        <f>_xlfn.XLOOKUP($A23,'Inputs (AUD)'!$A:$A,'Inputs (AUD)'!L:L,,0)</f>
        <v>569</v>
      </c>
      <c r="M23" s="51">
        <f>_xlfn.XLOOKUP($A23,'Inputs (AUD)'!$A:$A,'Inputs (AUD)'!M:M,,0)</f>
        <v>0</v>
      </c>
    </row>
    <row r="24" spans="1:18">
      <c r="A24" s="106" t="s">
        <v>274</v>
      </c>
      <c r="B24" s="52">
        <f t="shared" ref="B24" si="42">IFERROR(B23/B$5,"-")</f>
        <v>0.58836122047244088</v>
      </c>
      <c r="C24" s="52">
        <f t="shared" ref="C24" si="43">IFERROR(C23/C$5,"-")</f>
        <v>0.4722595830531271</v>
      </c>
      <c r="D24" s="52">
        <f t="shared" ref="D24" si="44">IFERROR(D23/D$5,"-")</f>
        <v>-0.29237770193401591</v>
      </c>
      <c r="E24" s="52">
        <f t="shared" ref="E24" si="45">IFERROR(E23/E$5,"-")</f>
        <v>-1.1807372175980975</v>
      </c>
      <c r="F24" s="52">
        <f t="shared" ref="F24" si="46">IFERROR(F23/F$5,"-")</f>
        <v>-0.67523364485981308</v>
      </c>
      <c r="G24" s="52">
        <f t="shared" ref="G24" si="47">IFERROR(G23/G$5,"-")</f>
        <v>-1.9019607843137254</v>
      </c>
      <c r="H24" s="52" t="str">
        <f t="shared" ref="H24" si="48">IFERROR(H23/H$5,"-")</f>
        <v>-</v>
      </c>
      <c r="I24" s="52" t="str">
        <f t="shared" ref="I24" si="49">IFERROR(I23/I$5,"-")</f>
        <v>-</v>
      </c>
      <c r="J24" s="52">
        <f t="shared" ref="J24" si="50">IFERROR(J23/J$5,"-")</f>
        <v>-55</v>
      </c>
      <c r="K24" s="52">
        <f t="shared" ref="K24" si="51">IFERROR(K23/K$5,"-")</f>
        <v>-10.666666666666668</v>
      </c>
      <c r="L24" s="52">
        <f t="shared" ref="L24" si="52">IFERROR(L23/L$5,"-")</f>
        <v>0.11650286650286651</v>
      </c>
      <c r="M24" s="53" t="str">
        <f t="shared" ref="M24" si="53">IFERROR(M23/M$5,"-")</f>
        <v>-</v>
      </c>
    </row>
    <row r="25" spans="1:18">
      <c r="A25" s="105" t="s">
        <v>1125</v>
      </c>
      <c r="B25" s="52">
        <f t="shared" ref="B25" si="54">IFERROR(B24/C24-1,"-")</f>
        <v>0.24584284064438533</v>
      </c>
      <c r="C25" s="52">
        <f t="shared" ref="C25" si="55">IFERROR(C24/D24-1,"-")</f>
        <v>-2.6152380291972714</v>
      </c>
      <c r="D25" s="52">
        <f t="shared" ref="D25" si="56">IFERROR(D24/E24-1,"-")</f>
        <v>-0.75237699161479621</v>
      </c>
      <c r="E25" s="52">
        <f t="shared" ref="E25" si="57">IFERROR(E24/F24-1,"-")</f>
        <v>0.74863504889960453</v>
      </c>
      <c r="F25" s="52">
        <f t="shared" ref="F25" si="58">IFERROR(F24/G24-1,"-")</f>
        <v>-0.64498024857886116</v>
      </c>
      <c r="G25" s="52" t="str">
        <f t="shared" ref="G25" si="59">IFERROR(G24/H24-1,"-")</f>
        <v>-</v>
      </c>
      <c r="H25" s="52" t="str">
        <f t="shared" ref="H25" si="60">IFERROR(H24/I24-1,"-")</f>
        <v>-</v>
      </c>
      <c r="I25" s="52" t="str">
        <f t="shared" ref="I25" si="61">IFERROR(I24/J24-1,"-")</f>
        <v>-</v>
      </c>
      <c r="J25" s="52">
        <f t="shared" ref="J25" si="62">IFERROR(J24/K24-1,"-")</f>
        <v>4.1562499999999991</v>
      </c>
      <c r="K25" s="52">
        <f t="shared" ref="K25" si="63">IFERROR(K24/L24-1,"-")</f>
        <v>-92.557117750439375</v>
      </c>
      <c r="L25" s="52" t="str">
        <f t="shared" ref="L25" si="64">IFERROR(L24/M24-1,"-")</f>
        <v>-</v>
      </c>
      <c r="M25" s="53" t="str">
        <f>IFERROR(M24/#REF!-1,"-")</f>
        <v>-</v>
      </c>
    </row>
    <row r="26" spans="1:18">
      <c r="A26" s="106" t="s">
        <v>1133</v>
      </c>
      <c r="B26" s="54">
        <f>B39-C39</f>
        <v>2746.8999999999996</v>
      </c>
      <c r="C26" s="54">
        <f t="shared" ref="C26:M26" si="65">C39-D39</f>
        <v>492.00000000000006</v>
      </c>
      <c r="D26" s="54">
        <f t="shared" si="65"/>
        <v>13.400000000000006</v>
      </c>
      <c r="E26" s="54">
        <f t="shared" si="65"/>
        <v>22.699999999999996</v>
      </c>
      <c r="F26" s="54">
        <f t="shared" si="65"/>
        <v>-56.4</v>
      </c>
      <c r="G26" s="54">
        <f t="shared" si="65"/>
        <v>32.799999999999997</v>
      </c>
      <c r="H26" s="54">
        <f t="shared" si="65"/>
        <v>-12.799999999999997</v>
      </c>
      <c r="I26" s="54">
        <f t="shared" si="65"/>
        <v>96.8</v>
      </c>
      <c r="J26" s="54">
        <f t="shared" si="65"/>
        <v>2.1</v>
      </c>
      <c r="K26" s="54">
        <f t="shared" si="65"/>
        <v>0.10000000000000009</v>
      </c>
      <c r="L26" s="54">
        <f t="shared" si="65"/>
        <v>1</v>
      </c>
      <c r="M26" s="51">
        <f t="shared" si="65"/>
        <v>0</v>
      </c>
    </row>
    <row r="27" spans="1:18">
      <c r="A27" s="105" t="s">
        <v>146</v>
      </c>
      <c r="B27" s="50">
        <f>_xlfn.XLOOKUP($A27,'Inputs (AUD)'!$A:$A,'Inputs (AUD)'!B:B,,0)</f>
        <v>-329.8</v>
      </c>
      <c r="C27" s="50">
        <f>_xlfn.XLOOKUP($A27,'Inputs (AUD)'!$A:$A,'Inputs (AUD)'!C:C,,0)</f>
        <v>0</v>
      </c>
      <c r="D27" s="50">
        <f>_xlfn.XLOOKUP($A27,'Inputs (AUD)'!$A:$A,'Inputs (AUD)'!D:D,,0)</f>
        <v>0</v>
      </c>
      <c r="E27" s="50">
        <f>_xlfn.XLOOKUP($A27,'Inputs (AUD)'!$A:$A,'Inputs (AUD)'!E:E,,0)</f>
        <v>0</v>
      </c>
      <c r="F27" s="50">
        <f>_xlfn.XLOOKUP($A27,'Inputs (AUD)'!$A:$A,'Inputs (AUD)'!F:F,,0)</f>
        <v>0</v>
      </c>
      <c r="G27" s="50">
        <f>_xlfn.XLOOKUP($A27,'Inputs (AUD)'!$A:$A,'Inputs (AUD)'!G:G,,0)</f>
        <v>0</v>
      </c>
      <c r="H27" s="50">
        <f>_xlfn.XLOOKUP($A27,'Inputs (AUD)'!$A:$A,'Inputs (AUD)'!H:H,,0)</f>
        <v>0</v>
      </c>
      <c r="I27" s="50">
        <f>_xlfn.XLOOKUP($A27,'Inputs (AUD)'!$A:$A,'Inputs (AUD)'!I:I,,0)</f>
        <v>0</v>
      </c>
      <c r="J27" s="50">
        <f>_xlfn.XLOOKUP($A27,'Inputs (AUD)'!$A:$A,'Inputs (AUD)'!J:J,,0)</f>
        <v>0</v>
      </c>
      <c r="K27" s="50">
        <f>_xlfn.XLOOKUP($A27,'Inputs (AUD)'!$A:$A,'Inputs (AUD)'!K:K,,0)</f>
        <v>0</v>
      </c>
      <c r="L27" s="50" t="str">
        <f>_xlfn.XLOOKUP($A27,'Inputs (AUD)'!$A:$A,'Inputs (AUD)'!L:L,,0)</f>
        <v>--</v>
      </c>
      <c r="M27" s="51">
        <f>_xlfn.XLOOKUP($A27,'Inputs (AUD)'!$A:$A,'Inputs (AUD)'!M:M,,0)</f>
        <v>0</v>
      </c>
    </row>
    <row r="28" spans="1:18">
      <c r="A28" s="107" t="s">
        <v>1134</v>
      </c>
      <c r="B28" s="50">
        <f>_xlfn.XLOOKUP($A28,'Inputs (AUD)'!$A:$A,'Inputs (AUD)'!B:B,,0)</f>
        <v>1.2</v>
      </c>
      <c r="C28" s="50">
        <f>_xlfn.XLOOKUP($A28,'Inputs (AUD)'!$A:$A,'Inputs (AUD)'!C:C,,0)</f>
        <v>3.6</v>
      </c>
      <c r="D28" s="50">
        <f>_xlfn.XLOOKUP($A28,'Inputs (AUD)'!$A:$A,'Inputs (AUD)'!D:D,,0)</f>
        <v>239.7</v>
      </c>
      <c r="E28" s="50">
        <f>_xlfn.XLOOKUP($A28,'Inputs (AUD)'!$A:$A,'Inputs (AUD)'!E:E,,0)</f>
        <v>111.5</v>
      </c>
      <c r="F28" s="50">
        <f>_xlfn.XLOOKUP($A28,'Inputs (AUD)'!$A:$A,'Inputs (AUD)'!F:F,,0)</f>
        <v>60.7</v>
      </c>
      <c r="G28" s="50">
        <f>_xlfn.XLOOKUP($A28,'Inputs (AUD)'!$A:$A,'Inputs (AUD)'!G:G,,0)</f>
        <v>156.4</v>
      </c>
      <c r="H28" s="50">
        <f>_xlfn.XLOOKUP($A28,'Inputs (AUD)'!$A:$A,'Inputs (AUD)'!H:H,,0)</f>
        <v>68.400000000000006</v>
      </c>
      <c r="I28" s="50">
        <f>_xlfn.XLOOKUP($A28,'Inputs (AUD)'!$A:$A,'Inputs (AUD)'!I:I,,0)</f>
        <v>122.7</v>
      </c>
      <c r="J28" s="50">
        <f>_xlfn.XLOOKUP($A28,'Inputs (AUD)'!$A:$A,'Inputs (AUD)'!J:J,,0)</f>
        <v>5.2</v>
      </c>
      <c r="K28" s="50">
        <f>_xlfn.XLOOKUP($A28,'Inputs (AUD)'!$A:$A,'Inputs (AUD)'!K:K,,0)</f>
        <v>1.2</v>
      </c>
      <c r="L28" s="50">
        <f>_xlfn.XLOOKUP($A28,'Inputs (AUD)'!$A:$A,'Inputs (AUD)'!L:L,,0)</f>
        <v>1.1000000000000001</v>
      </c>
      <c r="M28" s="51">
        <f>_xlfn.XLOOKUP($A28,'Inputs (AUD)'!$A:$A,'Inputs (AUD)'!M:M,,0)</f>
        <v>0</v>
      </c>
    </row>
    <row r="29" spans="1:18">
      <c r="A29" s="105" t="s">
        <v>138</v>
      </c>
      <c r="B29" s="54">
        <f>SUM(B26:B28)</f>
        <v>2418.2999999999993</v>
      </c>
      <c r="C29" s="54">
        <f t="shared" ref="C29:M29" si="66">SUM(C26:C28)</f>
        <v>495.60000000000008</v>
      </c>
      <c r="D29" s="54">
        <f t="shared" si="66"/>
        <v>253.1</v>
      </c>
      <c r="E29" s="54">
        <f t="shared" si="66"/>
        <v>134.19999999999999</v>
      </c>
      <c r="F29" s="54">
        <f t="shared" si="66"/>
        <v>4.3000000000000043</v>
      </c>
      <c r="G29" s="54">
        <f t="shared" si="66"/>
        <v>189.2</v>
      </c>
      <c r="H29" s="54">
        <f t="shared" si="66"/>
        <v>55.600000000000009</v>
      </c>
      <c r="I29" s="54">
        <f t="shared" si="66"/>
        <v>219.5</v>
      </c>
      <c r="J29" s="54">
        <f t="shared" si="66"/>
        <v>7.3000000000000007</v>
      </c>
      <c r="K29" s="54">
        <f t="shared" si="66"/>
        <v>1.3</v>
      </c>
      <c r="L29" s="54">
        <f t="shared" si="66"/>
        <v>2.1</v>
      </c>
      <c r="M29" s="51">
        <f t="shared" si="66"/>
        <v>0</v>
      </c>
    </row>
    <row r="30" spans="1:18">
      <c r="A30" s="107" t="s">
        <v>1135</v>
      </c>
      <c r="B30" s="54">
        <f>+B29-(B58-C29)</f>
        <v>2441.8999999999992</v>
      </c>
      <c r="C30" s="54">
        <f t="shared" ref="C30:M30" si="67">+C29-(C58-D29)</f>
        <v>456.70000000000005</v>
      </c>
      <c r="D30" s="54">
        <f t="shared" si="67"/>
        <v>220.39999999999998</v>
      </c>
      <c r="E30" s="54">
        <f t="shared" si="67"/>
        <v>-37.900000000000006</v>
      </c>
      <c r="F30" s="54">
        <f t="shared" si="67"/>
        <v>54.499999999999993</v>
      </c>
      <c r="G30" s="54">
        <f t="shared" si="67"/>
        <v>113.60000000000001</v>
      </c>
      <c r="H30" s="54">
        <f t="shared" si="67"/>
        <v>150.70000000000002</v>
      </c>
      <c r="I30" s="54" t="e">
        <f t="shared" si="67"/>
        <v>#VALUE!</v>
      </c>
      <c r="J30" s="54" t="e">
        <f t="shared" si="67"/>
        <v>#VALUE!</v>
      </c>
      <c r="K30" s="54" t="e">
        <f t="shared" si="67"/>
        <v>#VALUE!</v>
      </c>
      <c r="L30" s="54" t="e">
        <f t="shared" si="67"/>
        <v>#VALUE!</v>
      </c>
      <c r="M30" s="51">
        <f t="shared" si="67"/>
        <v>0</v>
      </c>
    </row>
    <row r="31" spans="1:18">
      <c r="A31" s="105" t="s">
        <v>1136</v>
      </c>
      <c r="B31" s="54">
        <f>+B30+B33</f>
        <v>2419.4999999999991</v>
      </c>
      <c r="C31" s="54">
        <f t="shared" ref="C31:L31" si="68">+C30+C33</f>
        <v>380.50000000000006</v>
      </c>
      <c r="D31" s="54">
        <f t="shared" si="68"/>
        <v>10.099999999999966</v>
      </c>
      <c r="E31" s="54">
        <f t="shared" si="68"/>
        <v>-37.900000000000006</v>
      </c>
      <c r="F31" s="54">
        <f t="shared" si="68"/>
        <v>54.499999999999993</v>
      </c>
      <c r="G31" s="54">
        <f t="shared" si="68"/>
        <v>117.9</v>
      </c>
      <c r="H31" s="54">
        <f t="shared" si="68"/>
        <v>150.70000000000002</v>
      </c>
      <c r="I31" s="54" t="e">
        <f t="shared" si="68"/>
        <v>#VALUE!</v>
      </c>
      <c r="J31" s="54" t="e">
        <f t="shared" si="68"/>
        <v>#VALUE!</v>
      </c>
      <c r="K31" s="54" t="e">
        <f t="shared" si="68"/>
        <v>#VALUE!</v>
      </c>
      <c r="L31" s="54" t="e">
        <f t="shared" si="68"/>
        <v>#VALUE!</v>
      </c>
      <c r="M31" s="51">
        <f t="shared" ref="M31" si="69">+M30+M33</f>
        <v>0</v>
      </c>
    </row>
    <row r="32" spans="1:18">
      <c r="A32" s="107" t="s">
        <v>143</v>
      </c>
      <c r="B32" s="50">
        <f>_xlfn.XLOOKUP($A32,'Inputs (AUD)'!$A:$A,'Inputs (AUD)'!B:B,,0)</f>
        <v>-385.5</v>
      </c>
      <c r="C32" s="50">
        <f>_xlfn.XLOOKUP($A32,'Inputs (AUD)'!$A:$A,'Inputs (AUD)'!C:C,,0)</f>
        <v>-128.30000000000001</v>
      </c>
      <c r="D32" s="50">
        <f>_xlfn.XLOOKUP($A32,'Inputs (AUD)'!$A:$A,'Inputs (AUD)'!D:D,,0)</f>
        <v>-20.5</v>
      </c>
      <c r="E32" s="50">
        <f>_xlfn.XLOOKUP($A32,'Inputs (AUD)'!$A:$A,'Inputs (AUD)'!E:E,,0)</f>
        <v>-22.6</v>
      </c>
      <c r="F32" s="50">
        <f>_xlfn.XLOOKUP($A32,'Inputs (AUD)'!$A:$A,'Inputs (AUD)'!F:F,,0)</f>
        <v>-178.3</v>
      </c>
      <c r="G32" s="50">
        <f>_xlfn.XLOOKUP($A32,'Inputs (AUD)'!$A:$A,'Inputs (AUD)'!G:G,,0)</f>
        <v>-219.1</v>
      </c>
      <c r="H32" s="50">
        <f>_xlfn.XLOOKUP($A32,'Inputs (AUD)'!$A:$A,'Inputs (AUD)'!H:H,,0)</f>
        <v>-52.8</v>
      </c>
      <c r="I32" s="50">
        <f>_xlfn.XLOOKUP($A32,'Inputs (AUD)'!$A:$A,'Inputs (AUD)'!I:I,,0)</f>
        <v>-4.5999999999999996</v>
      </c>
      <c r="J32" s="50">
        <f>_xlfn.XLOOKUP($A32,'Inputs (AUD)'!$A:$A,'Inputs (AUD)'!J:J,,0)</f>
        <v>-0.6</v>
      </c>
      <c r="K32" s="50">
        <f>_xlfn.XLOOKUP($A32,'Inputs (AUD)'!$A:$A,'Inputs (AUD)'!K:K,,0)</f>
        <v>-1.6</v>
      </c>
      <c r="L32" s="50">
        <f>_xlfn.XLOOKUP($A32,'Inputs (AUD)'!$A:$A,'Inputs (AUD)'!L:L,,0)</f>
        <v>-1.5</v>
      </c>
      <c r="M32" s="51">
        <f>_xlfn.XLOOKUP($A32,'Inputs (AUD)'!$A:$A,'Inputs (AUD)'!M:M,,0)</f>
        <v>0</v>
      </c>
    </row>
    <row r="33" spans="1:26">
      <c r="A33" s="105" t="s">
        <v>144</v>
      </c>
      <c r="B33" s="50">
        <f>_xlfn.XLOOKUP($A33,'Inputs (AUD)'!$A:$A,'Inputs (AUD)'!B:B,,0)</f>
        <v>-22.4</v>
      </c>
      <c r="C33" s="50">
        <f>_xlfn.XLOOKUP($A33,'Inputs (AUD)'!$A:$A,'Inputs (AUD)'!C:C,,0)</f>
        <v>-76.2</v>
      </c>
      <c r="D33" s="50">
        <f>_xlfn.XLOOKUP($A33,'Inputs (AUD)'!$A:$A,'Inputs (AUD)'!D:D,,0)</f>
        <v>-210.3</v>
      </c>
      <c r="E33" s="50">
        <f>_xlfn.XLOOKUP($A33,'Inputs (AUD)'!$A:$A,'Inputs (AUD)'!E:E,,0)</f>
        <v>0</v>
      </c>
      <c r="F33" s="50">
        <f>_xlfn.XLOOKUP($A33,'Inputs (AUD)'!$A:$A,'Inputs (AUD)'!F:F,,0)</f>
        <v>0</v>
      </c>
      <c r="G33" s="50">
        <f>_xlfn.XLOOKUP($A33,'Inputs (AUD)'!$A:$A,'Inputs (AUD)'!G:G,,0)</f>
        <v>4.3</v>
      </c>
      <c r="H33" s="50">
        <f>_xlfn.XLOOKUP($A33,'Inputs (AUD)'!$A:$A,'Inputs (AUD)'!H:H,,0)</f>
        <v>0</v>
      </c>
      <c r="I33" s="50">
        <f>_xlfn.XLOOKUP($A33,'Inputs (AUD)'!$A:$A,'Inputs (AUD)'!I:I,,0)</f>
        <v>-2</v>
      </c>
      <c r="J33" s="50">
        <f>_xlfn.XLOOKUP($A33,'Inputs (AUD)'!$A:$A,'Inputs (AUD)'!J:J,,0)</f>
        <v>-1</v>
      </c>
      <c r="K33" s="50">
        <f>_xlfn.XLOOKUP($A33,'Inputs (AUD)'!$A:$A,'Inputs (AUD)'!K:K,,0)</f>
        <v>0</v>
      </c>
      <c r="L33" s="50">
        <f>_xlfn.XLOOKUP($A33,'Inputs (AUD)'!$A:$A,'Inputs (AUD)'!L:L,,0)</f>
        <v>0</v>
      </c>
      <c r="M33" s="51">
        <f>_xlfn.XLOOKUP($A33,'Inputs (AUD)'!$A:$A,'Inputs (AUD)'!M:M,,0)</f>
        <v>0</v>
      </c>
      <c r="P33" s="39">
        <v>2023</v>
      </c>
      <c r="U33" s="39">
        <v>2018</v>
      </c>
      <c r="V33" s="39">
        <v>2017</v>
      </c>
      <c r="W33" s="39">
        <v>2016</v>
      </c>
      <c r="X33" s="39">
        <v>2017</v>
      </c>
      <c r="Y33" s="39">
        <v>2018</v>
      </c>
    </row>
    <row r="34" spans="1:26">
      <c r="A34" s="106" t="s">
        <v>139</v>
      </c>
      <c r="B34" s="54">
        <f t="shared" ref="B34:M34" si="70">+B32+B33</f>
        <v>-407.9</v>
      </c>
      <c r="C34" s="54">
        <f t="shared" si="70"/>
        <v>-204.5</v>
      </c>
      <c r="D34" s="54">
        <f t="shared" si="70"/>
        <v>-230.8</v>
      </c>
      <c r="E34" s="54">
        <f t="shared" si="70"/>
        <v>-22.6</v>
      </c>
      <c r="F34" s="54">
        <f t="shared" si="70"/>
        <v>-178.3</v>
      </c>
      <c r="G34" s="54">
        <f t="shared" si="70"/>
        <v>-214.79999999999998</v>
      </c>
      <c r="H34" s="54">
        <f t="shared" si="70"/>
        <v>-52.8</v>
      </c>
      <c r="I34" s="54">
        <f t="shared" si="70"/>
        <v>-6.6</v>
      </c>
      <c r="J34" s="54">
        <f t="shared" si="70"/>
        <v>-1.6</v>
      </c>
      <c r="K34" s="54">
        <f t="shared" si="70"/>
        <v>-1.6</v>
      </c>
      <c r="L34" s="54">
        <f t="shared" si="70"/>
        <v>-1.5</v>
      </c>
      <c r="M34" s="55">
        <f t="shared" si="70"/>
        <v>0</v>
      </c>
      <c r="O34" s="39" t="s">
        <v>1137</v>
      </c>
      <c r="P34" s="252">
        <f>B39/B5</f>
        <v>0.82150590551181102</v>
      </c>
      <c r="Q34" s="252"/>
      <c r="R34" s="252"/>
      <c r="S34" s="252"/>
      <c r="T34" s="252"/>
      <c r="U34" s="252">
        <f t="shared" ref="U34:Y34" si="71">G39/G5</f>
        <v>11.764705882352942</v>
      </c>
      <c r="V34" s="252" t="e">
        <f t="shared" si="71"/>
        <v>#DIV/0!</v>
      </c>
      <c r="W34" s="252" t="e">
        <f t="shared" si="71"/>
        <v>#DIV/0!</v>
      </c>
      <c r="X34" s="252">
        <f t="shared" si="71"/>
        <v>32</v>
      </c>
      <c r="Y34" s="252">
        <f t="shared" si="71"/>
        <v>3.666666666666667</v>
      </c>
      <c r="Z34" s="641" t="e">
        <f>AVERAGE(P34:Y34)</f>
        <v>#DIV/0!</v>
      </c>
    </row>
    <row r="35" spans="1:26">
      <c r="A35" s="105" t="s">
        <v>137</v>
      </c>
      <c r="B35" s="54">
        <f>+B27+B28</f>
        <v>-328.6</v>
      </c>
      <c r="C35" s="54">
        <f t="shared" ref="C35:M35" si="72">+C27+C28</f>
        <v>3.6</v>
      </c>
      <c r="D35" s="54">
        <f t="shared" si="72"/>
        <v>239.7</v>
      </c>
      <c r="E35" s="54">
        <f t="shared" si="72"/>
        <v>111.5</v>
      </c>
      <c r="F35" s="54">
        <f t="shared" si="72"/>
        <v>60.7</v>
      </c>
      <c r="G35" s="54">
        <f t="shared" si="72"/>
        <v>156.4</v>
      </c>
      <c r="H35" s="54">
        <f t="shared" si="72"/>
        <v>68.400000000000006</v>
      </c>
      <c r="I35" s="54">
        <f t="shared" si="72"/>
        <v>122.7</v>
      </c>
      <c r="J35" s="54">
        <f t="shared" si="72"/>
        <v>5.2</v>
      </c>
      <c r="K35" s="54">
        <f t="shared" si="72"/>
        <v>1.2</v>
      </c>
      <c r="L35" s="54" t="e">
        <f t="shared" si="72"/>
        <v>#VALUE!</v>
      </c>
      <c r="M35" s="55">
        <f t="shared" si="72"/>
        <v>0</v>
      </c>
    </row>
    <row r="36" spans="1:26">
      <c r="A36" s="107" t="s">
        <v>1138</v>
      </c>
      <c r="B36" s="52">
        <f>IFERROR(B35/B23,"-")</f>
        <v>-0.13742628915561877</v>
      </c>
      <c r="C36" s="52">
        <f t="shared" ref="C36:M36" si="73">IFERROR(C35/C23,"-")</f>
        <v>6.4079743681025279E-3</v>
      </c>
      <c r="D36" s="52">
        <f t="shared" si="73"/>
        <v>-4.663424124513619</v>
      </c>
      <c r="E36" s="52">
        <f t="shared" si="73"/>
        <v>-1.1228600201409868</v>
      </c>
      <c r="F36" s="52">
        <f t="shared" si="73"/>
        <v>-2.1003460207612457</v>
      </c>
      <c r="G36" s="52">
        <f t="shared" si="73"/>
        <v>-8.0618556701030943</v>
      </c>
      <c r="H36" s="52">
        <f t="shared" si="73"/>
        <v>-2.6307692307692312</v>
      </c>
      <c r="I36" s="52">
        <f t="shared" si="73"/>
        <v>-2.2068345323741005</v>
      </c>
      <c r="J36" s="52">
        <f t="shared" si="73"/>
        <v>-0.94545454545454544</v>
      </c>
      <c r="K36" s="52">
        <f t="shared" si="73"/>
        <v>-0.37499999999999994</v>
      </c>
      <c r="L36" s="52" t="str">
        <f t="shared" si="73"/>
        <v>-</v>
      </c>
      <c r="M36" s="53" t="str">
        <f t="shared" si="73"/>
        <v>-</v>
      </c>
    </row>
    <row r="37" spans="1:26">
      <c r="A37" s="7"/>
      <c r="B37" s="43"/>
      <c r="C37" s="43"/>
      <c r="D37" s="43"/>
      <c r="E37" s="43"/>
      <c r="F37" s="43"/>
      <c r="G37" s="43"/>
      <c r="H37" s="43"/>
      <c r="I37" s="43"/>
      <c r="J37" s="43"/>
      <c r="K37" s="43"/>
      <c r="L37" s="43"/>
      <c r="M37" s="43"/>
      <c r="O37" s="39" t="s">
        <v>328</v>
      </c>
      <c r="P37" s="642">
        <v>2023</v>
      </c>
      <c r="Q37" s="642">
        <v>2022</v>
      </c>
      <c r="R37" s="642">
        <v>2021</v>
      </c>
      <c r="S37" s="642">
        <v>2020</v>
      </c>
      <c r="T37" s="642">
        <v>2019</v>
      </c>
      <c r="U37" s="642">
        <v>2018</v>
      </c>
      <c r="V37" s="642">
        <v>2017</v>
      </c>
      <c r="W37" s="642">
        <v>2016</v>
      </c>
      <c r="X37" s="642">
        <v>2015</v>
      </c>
      <c r="Y37" s="642">
        <v>2014</v>
      </c>
    </row>
    <row r="38" spans="1:26" ht="21">
      <c r="A38" s="1503" t="s">
        <v>1139</v>
      </c>
      <c r="B38" s="1503"/>
      <c r="C38" s="1503"/>
      <c r="D38" s="1503"/>
      <c r="E38" s="1503"/>
      <c r="F38" s="1503"/>
      <c r="G38" s="1503"/>
      <c r="H38" s="1503"/>
      <c r="I38" s="1503"/>
      <c r="J38" s="1503"/>
      <c r="K38" s="1503"/>
      <c r="L38" s="1503"/>
      <c r="M38" s="1503"/>
      <c r="P38" s="643">
        <f t="shared" ref="P38:Y38" si="74">B58/B5</f>
        <v>0.11614173228346457</v>
      </c>
      <c r="Q38" s="643">
        <f t="shared" si="74"/>
        <v>0.24546065904505718</v>
      </c>
      <c r="R38" s="643">
        <f t="shared" si="74"/>
        <v>0.94937428896473264</v>
      </c>
      <c r="S38" s="643">
        <f t="shared" si="74"/>
        <v>2.0975029726516055</v>
      </c>
      <c r="T38" s="643">
        <f t="shared" si="74"/>
        <v>3.2476635514018692</v>
      </c>
      <c r="U38" s="643">
        <f t="shared" si="74"/>
        <v>12.862745098039216</v>
      </c>
      <c r="V38" s="643" t="e">
        <f t="shared" si="74"/>
        <v>#DIV/0!</v>
      </c>
      <c r="W38" s="643" t="e">
        <f t="shared" si="74"/>
        <v>#VALUE!</v>
      </c>
      <c r="X38" s="643" t="e">
        <f t="shared" si="74"/>
        <v>#VALUE!</v>
      </c>
      <c r="Y38" s="643" t="e">
        <f t="shared" si="74"/>
        <v>#VALUE!</v>
      </c>
      <c r="Z38" s="641" t="e">
        <f>AVERAGE(P38,V38,U38,W38,X38,Y38)</f>
        <v>#DIV/0!</v>
      </c>
    </row>
    <row r="39" spans="1:26">
      <c r="A39" s="108" t="s">
        <v>320</v>
      </c>
      <c r="B39" s="50">
        <f>_xlfn.XLOOKUP($A39,'Inputs (AUD)'!$A:$A,'Inputs (AUD)'!B:B,,0)</f>
        <v>3338.6</v>
      </c>
      <c r="C39" s="50">
        <f>_xlfn.XLOOKUP($A39,'Inputs (AUD)'!$A:$A,'Inputs (AUD)'!C:C,,0)</f>
        <v>591.70000000000005</v>
      </c>
      <c r="D39" s="50">
        <f>_xlfn.XLOOKUP($A39,'Inputs (AUD)'!$A:$A,'Inputs (AUD)'!D:D,,0)</f>
        <v>99.7</v>
      </c>
      <c r="E39" s="50">
        <f>_xlfn.XLOOKUP($A39,'Inputs (AUD)'!$A:$A,'Inputs (AUD)'!E:E,,0)</f>
        <v>86.3</v>
      </c>
      <c r="F39" s="50">
        <f>_xlfn.XLOOKUP($A39,'Inputs (AUD)'!$A:$A,'Inputs (AUD)'!F:F,,0)</f>
        <v>63.6</v>
      </c>
      <c r="G39" s="50">
        <f>_xlfn.XLOOKUP($A39,'Inputs (AUD)'!$A:$A,'Inputs (AUD)'!G:G,,0)</f>
        <v>120</v>
      </c>
      <c r="H39" s="50">
        <f>_xlfn.XLOOKUP($A39,'Inputs (AUD)'!$A:$A,'Inputs (AUD)'!H:H,,0)</f>
        <v>87.2</v>
      </c>
      <c r="I39" s="50">
        <f>_xlfn.XLOOKUP($A39,'Inputs (AUD)'!$A:$A,'Inputs (AUD)'!I:I,,0)</f>
        <v>100</v>
      </c>
      <c r="J39" s="50">
        <f>_xlfn.XLOOKUP($A39,'Inputs (AUD)'!$A:$A,'Inputs (AUD)'!J:J,,0)</f>
        <v>3.2</v>
      </c>
      <c r="K39" s="50">
        <f>_xlfn.XLOOKUP($A39,'Inputs (AUD)'!$A:$A,'Inputs (AUD)'!K:K,,0)</f>
        <v>1.1000000000000001</v>
      </c>
      <c r="L39" s="50">
        <f>_xlfn.XLOOKUP($A39,'Inputs (AUD)'!$A:$A,'Inputs (AUD)'!L:L,,0)</f>
        <v>1</v>
      </c>
      <c r="M39" s="51">
        <f>_xlfn.XLOOKUP($A39,'Inputs (AUD)'!$A:$A,'Inputs (AUD)'!M:M,,0)</f>
        <v>0</v>
      </c>
    </row>
    <row r="40" spans="1:26">
      <c r="A40" s="106" t="s">
        <v>1140</v>
      </c>
      <c r="B40" s="50">
        <f>_xlfn.XLOOKUP($A40,'Inputs (AUD)'!$A:$A,'Inputs (AUD)'!B:B,,0)</f>
        <v>82.1</v>
      </c>
      <c r="C40" s="50">
        <f>_xlfn.XLOOKUP($A40,'Inputs (AUD)'!$A:$A,'Inputs (AUD)'!C:C,,0)</f>
        <v>288.5</v>
      </c>
      <c r="D40" s="50">
        <f>_xlfn.XLOOKUP($A40,'Inputs (AUD)'!$A:$A,'Inputs (AUD)'!D:D,,0)</f>
        <v>20.8</v>
      </c>
      <c r="E40" s="50">
        <f>_xlfn.XLOOKUP($A40,'Inputs (AUD)'!$A:$A,'Inputs (AUD)'!E:E,,0)</f>
        <v>1.1000000000000001</v>
      </c>
      <c r="F40" s="50">
        <f>_xlfn.XLOOKUP($A40,'Inputs (AUD)'!$A:$A,'Inputs (AUD)'!F:F,,0)</f>
        <v>3.2</v>
      </c>
      <c r="G40" s="50">
        <f>_xlfn.XLOOKUP($A40,'Inputs (AUD)'!$A:$A,'Inputs (AUD)'!G:G,,0)</f>
        <v>6.2</v>
      </c>
      <c r="H40" s="50" t="str">
        <f>_xlfn.XLOOKUP($A40,'Inputs (AUD)'!$A:$A,'Inputs (AUD)'!H:H,,0)</f>
        <v>--</v>
      </c>
      <c r="I40" s="50">
        <f>_xlfn.XLOOKUP($A40,'Inputs (AUD)'!$A:$A,'Inputs (AUD)'!I:I,,0)</f>
        <v>0</v>
      </c>
      <c r="J40" s="50" t="str">
        <f>_xlfn.XLOOKUP($A40,'Inputs (AUD)'!$A:$A,'Inputs (AUD)'!J:J,,0)</f>
        <v>--</v>
      </c>
      <c r="K40" s="50" t="str">
        <f>_xlfn.XLOOKUP($A40,'Inputs (AUD)'!$A:$A,'Inputs (AUD)'!K:K,,0)</f>
        <v>--</v>
      </c>
      <c r="L40" s="50" t="str">
        <f>_xlfn.XLOOKUP($A40,'Inputs (AUD)'!$A:$A,'Inputs (AUD)'!L:L,,0)</f>
        <v>--</v>
      </c>
      <c r="M40" s="51">
        <f>_xlfn.XLOOKUP($A40,'Inputs (AUD)'!$A:$A,'Inputs (AUD)'!M:M,,0)</f>
        <v>0</v>
      </c>
    </row>
    <row r="41" spans="1:26">
      <c r="A41" s="108" t="s">
        <v>322</v>
      </c>
      <c r="B41" s="50">
        <f>_xlfn.XLOOKUP($A41,'Inputs (AUD)'!$A:$A,'Inputs (AUD)'!B:B,,0)</f>
        <v>97.3</v>
      </c>
      <c r="C41" s="50">
        <f>_xlfn.XLOOKUP($A41,'Inputs (AUD)'!$A:$A,'Inputs (AUD)'!C:C,,0)</f>
        <v>69.3</v>
      </c>
      <c r="D41" s="50">
        <f>_xlfn.XLOOKUP($A41,'Inputs (AUD)'!$A:$A,'Inputs (AUD)'!D:D,,0)</f>
        <v>38.6</v>
      </c>
      <c r="E41" s="50">
        <f>_xlfn.XLOOKUP($A41,'Inputs (AUD)'!$A:$A,'Inputs (AUD)'!E:E,,0)</f>
        <v>23.3</v>
      </c>
      <c r="F41" s="50">
        <f>_xlfn.XLOOKUP($A41,'Inputs (AUD)'!$A:$A,'Inputs (AUD)'!F:F,,0)</f>
        <v>51.2</v>
      </c>
      <c r="G41" s="50">
        <f>_xlfn.XLOOKUP($A41,'Inputs (AUD)'!$A:$A,'Inputs (AUD)'!G:G,,0)</f>
        <v>7.5</v>
      </c>
      <c r="H41" s="50">
        <f>_xlfn.XLOOKUP($A41,'Inputs (AUD)'!$A:$A,'Inputs (AUD)'!H:H,,0)</f>
        <v>0</v>
      </c>
      <c r="I41" s="50">
        <f>_xlfn.XLOOKUP($A41,'Inputs (AUD)'!$A:$A,'Inputs (AUD)'!I:I,,0)</f>
        <v>0</v>
      </c>
      <c r="J41" s="50" t="str">
        <f>_xlfn.XLOOKUP($A41,'Inputs (AUD)'!$A:$A,'Inputs (AUD)'!J:J,,0)</f>
        <v>--</v>
      </c>
      <c r="K41" s="50" t="str">
        <f>_xlfn.XLOOKUP($A41,'Inputs (AUD)'!$A:$A,'Inputs (AUD)'!K:K,,0)</f>
        <v>--</v>
      </c>
      <c r="L41" s="50" t="str">
        <f>_xlfn.XLOOKUP($A41,'Inputs (AUD)'!$A:$A,'Inputs (AUD)'!L:L,,0)</f>
        <v>--</v>
      </c>
      <c r="M41" s="51">
        <f>_xlfn.XLOOKUP($A41,'Inputs (AUD)'!$A:$A,'Inputs (AUD)'!M:M,,0)</f>
        <v>0</v>
      </c>
    </row>
    <row r="42" spans="1:26">
      <c r="A42" s="106" t="s">
        <v>1141</v>
      </c>
      <c r="B42" s="50">
        <f>_xlfn.XLOOKUP($A42,'Inputs (AUD)'!$A:$A,'Inputs (AUD)'!B:B,,0)</f>
        <v>1384.5</v>
      </c>
      <c r="C42" s="50">
        <f>_xlfn.XLOOKUP($A42,'Inputs (AUD)'!$A:$A,'Inputs (AUD)'!C:C,,0)</f>
        <v>938.7</v>
      </c>
      <c r="D42" s="50">
        <f>_xlfn.XLOOKUP($A42,'Inputs (AUD)'!$A:$A,'Inputs (AUD)'!D:D,,0)</f>
        <v>785.7</v>
      </c>
      <c r="E42" s="50">
        <f>_xlfn.XLOOKUP($A42,'Inputs (AUD)'!$A:$A,'Inputs (AUD)'!E:E,,0)</f>
        <v>488.8</v>
      </c>
      <c r="F42" s="50">
        <f>_xlfn.XLOOKUP($A42,'Inputs (AUD)'!$A:$A,'Inputs (AUD)'!F:F,,0)</f>
        <v>440.3</v>
      </c>
      <c r="G42" s="50">
        <f>_xlfn.XLOOKUP($A42,'Inputs (AUD)'!$A:$A,'Inputs (AUD)'!G:G,,0)</f>
        <v>379.3</v>
      </c>
      <c r="H42" s="50">
        <f>_xlfn.XLOOKUP($A42,'Inputs (AUD)'!$A:$A,'Inputs (AUD)'!H:H,,0)</f>
        <v>110.7</v>
      </c>
      <c r="I42" s="50">
        <f>_xlfn.XLOOKUP($A42,'Inputs (AUD)'!$A:$A,'Inputs (AUD)'!I:I,,0)</f>
        <v>1.1000000000000001</v>
      </c>
      <c r="J42" s="50">
        <f>_xlfn.XLOOKUP($A42,'Inputs (AUD)'!$A:$A,'Inputs (AUD)'!J:J,,0)</f>
        <v>1.9</v>
      </c>
      <c r="K42" s="50">
        <f>_xlfn.XLOOKUP($A42,'Inputs (AUD)'!$A:$A,'Inputs (AUD)'!K:K,,0)</f>
        <v>3.1</v>
      </c>
      <c r="L42" s="50">
        <f>_xlfn.XLOOKUP($A42,'Inputs (AUD)'!$A:$A,'Inputs (AUD)'!L:L,,0)</f>
        <v>2.9</v>
      </c>
      <c r="M42" s="51">
        <f>_xlfn.XLOOKUP($A42,'Inputs (AUD)'!$A:$A,'Inputs (AUD)'!M:M,,0)</f>
        <v>0</v>
      </c>
    </row>
    <row r="43" spans="1:26">
      <c r="A43" s="108" t="s">
        <v>1142</v>
      </c>
      <c r="B43" s="50">
        <f>_xlfn.XLOOKUP($A43,'Inputs (AUD)'!$A:$A,'Inputs (AUD)'!B:B,,0)</f>
        <v>79.100000000000136</v>
      </c>
      <c r="C43" s="50">
        <f>_xlfn.XLOOKUP($A43,'Inputs (AUD)'!$A:$A,'Inputs (AUD)'!C:C,,0)</f>
        <v>10.700000000000045</v>
      </c>
      <c r="D43" s="50">
        <f>_xlfn.XLOOKUP($A43,'Inputs (AUD)'!$A:$A,'Inputs (AUD)'!D:D,,0)</f>
        <v>4.9000000000000057</v>
      </c>
      <c r="E43" s="50">
        <f>_xlfn.XLOOKUP($A43,'Inputs (AUD)'!$A:$A,'Inputs (AUD)'!E:E,,0)</f>
        <v>2.9999999999999716</v>
      </c>
      <c r="F43" s="50">
        <f>_xlfn.XLOOKUP($A43,'Inputs (AUD)'!$A:$A,'Inputs (AUD)'!F:F,,0)</f>
        <v>23.999999999999972</v>
      </c>
      <c r="G43" s="50">
        <f>_xlfn.XLOOKUP($A43,'Inputs (AUD)'!$A:$A,'Inputs (AUD)'!G:G,,0)</f>
        <v>18.999999999999972</v>
      </c>
      <c r="H43" s="50">
        <f>_xlfn.XLOOKUP($A43,'Inputs (AUD)'!$A:$A,'Inputs (AUD)'!H:H,,0)</f>
        <v>138.60000000000002</v>
      </c>
      <c r="I43" s="50">
        <f>_xlfn.XLOOKUP($A43,'Inputs (AUD)'!$A:$A,'Inputs (AUD)'!I:I,,0)</f>
        <v>1.6000000000000028</v>
      </c>
      <c r="J43" s="50">
        <f>_xlfn.XLOOKUP($A43,'Inputs (AUD)'!$A:$A,'Inputs (AUD)'!J:J,,0)</f>
        <v>2.5999999999999996</v>
      </c>
      <c r="K43" s="50">
        <f>_xlfn.XLOOKUP($A43,'Inputs (AUD)'!$A:$A,'Inputs (AUD)'!K:K,,0)</f>
        <v>0.29999999999999982</v>
      </c>
      <c r="L43" s="50">
        <f>_xlfn.XLOOKUP($A43,'Inputs (AUD)'!$A:$A,'Inputs (AUD)'!L:L,,0)</f>
        <v>8528.8000000000011</v>
      </c>
      <c r="M43" s="51">
        <f>_xlfn.XLOOKUP($A43,'Inputs (AUD)'!$A:$A,'Inputs (AUD)'!M:M,,0)</f>
        <v>0</v>
      </c>
    </row>
    <row r="44" spans="1:26">
      <c r="A44" s="109" t="s">
        <v>52</v>
      </c>
      <c r="B44" s="56">
        <f>_xlfn.XLOOKUP($A44,'Inputs (AUD)'!$A:$A,'Inputs (AUD)'!B:B,,0)</f>
        <v>5198.8</v>
      </c>
      <c r="C44" s="56">
        <f>_xlfn.XLOOKUP($A44,'Inputs (AUD)'!$A:$A,'Inputs (AUD)'!C:C,,0)</f>
        <v>1978.4</v>
      </c>
      <c r="D44" s="56">
        <f>_xlfn.XLOOKUP($A44,'Inputs (AUD)'!$A:$A,'Inputs (AUD)'!D:D,,0)</f>
        <v>949.7</v>
      </c>
      <c r="E44" s="56">
        <f>_xlfn.XLOOKUP($A44,'Inputs (AUD)'!$A:$A,'Inputs (AUD)'!E:E,,0)</f>
        <v>602.5</v>
      </c>
      <c r="F44" s="56">
        <f>_xlfn.XLOOKUP($A44,'Inputs (AUD)'!$A:$A,'Inputs (AUD)'!F:F,,0)</f>
        <v>582.29999999999995</v>
      </c>
      <c r="G44" s="56">
        <f>_xlfn.XLOOKUP($A44,'Inputs (AUD)'!$A:$A,'Inputs (AUD)'!G:G,,0)</f>
        <v>532</v>
      </c>
      <c r="H44" s="56">
        <f>_xlfn.XLOOKUP($A44,'Inputs (AUD)'!$A:$A,'Inputs (AUD)'!H:H,,0)</f>
        <v>336.5</v>
      </c>
      <c r="I44" s="56">
        <f>_xlfn.XLOOKUP($A44,'Inputs (AUD)'!$A:$A,'Inputs (AUD)'!I:I,,0)</f>
        <v>102.7</v>
      </c>
      <c r="J44" s="56">
        <f>_xlfn.XLOOKUP($A44,'Inputs (AUD)'!$A:$A,'Inputs (AUD)'!J:J,,0)</f>
        <v>8.9</v>
      </c>
      <c r="K44" s="56">
        <f>_xlfn.XLOOKUP($A44,'Inputs (AUD)'!$A:$A,'Inputs (AUD)'!K:K,,0)</f>
        <v>4.7</v>
      </c>
      <c r="L44" s="56">
        <f>_xlfn.XLOOKUP($A44,'Inputs (AUD)'!$A:$A,'Inputs (AUD)'!L:L,,0)</f>
        <v>8943</v>
      </c>
      <c r="M44" s="56">
        <f>_xlfn.XLOOKUP($A44,'Inputs (AUD)'!$A:$A,'Inputs (AUD)'!M:M,,0)</f>
        <v>0</v>
      </c>
    </row>
    <row r="45" spans="1:26">
      <c r="B45"/>
      <c r="C45"/>
      <c r="D45"/>
      <c r="E45"/>
      <c r="F45"/>
      <c r="G45"/>
      <c r="H45"/>
      <c r="I45"/>
      <c r="J45"/>
      <c r="K45"/>
      <c r="L45"/>
      <c r="M45"/>
    </row>
    <row r="46" spans="1:26">
      <c r="B46"/>
      <c r="C46"/>
      <c r="D46"/>
      <c r="E46"/>
      <c r="F46"/>
      <c r="G46"/>
      <c r="H46"/>
      <c r="I46"/>
      <c r="J46"/>
      <c r="K46"/>
      <c r="L46"/>
      <c r="M46"/>
    </row>
    <row r="47" spans="1:26" ht="21">
      <c r="A47" s="1503" t="s">
        <v>1143</v>
      </c>
      <c r="B47" s="1503"/>
      <c r="C47" s="1503"/>
      <c r="D47" s="1503"/>
      <c r="E47" s="1503"/>
      <c r="F47" s="1503"/>
      <c r="G47" s="1503"/>
      <c r="H47" s="1503"/>
      <c r="I47" s="1503"/>
      <c r="J47" s="1503"/>
      <c r="K47" s="1503"/>
      <c r="L47" s="1503"/>
      <c r="M47" s="1503"/>
    </row>
    <row r="48" spans="1:26">
      <c r="A48" s="110" t="s">
        <v>326</v>
      </c>
      <c r="B48" s="56">
        <f>_xlfn.XLOOKUP($A48,'Inputs (AUD)'!$A:$A,'Inputs (AUD)'!B:B,,0)</f>
        <v>1294.0999999999999</v>
      </c>
      <c r="C48" s="56">
        <f>_xlfn.XLOOKUP($A48,'Inputs (AUD)'!$A:$A,'Inputs (AUD)'!C:C,,0)</f>
        <v>337.3</v>
      </c>
      <c r="D48" s="56">
        <f>_xlfn.XLOOKUP($A48,'Inputs (AUD)'!$A:$A,'Inputs (AUD)'!D:D,,0)</f>
        <v>170</v>
      </c>
      <c r="E48" s="56">
        <f>_xlfn.XLOOKUP($A48,'Inputs (AUD)'!$A:$A,'Inputs (AUD)'!E:E,,0)</f>
        <v>75.400000000000006</v>
      </c>
      <c r="F48" s="56">
        <f>_xlfn.XLOOKUP($A48,'Inputs (AUD)'!$A:$A,'Inputs (AUD)'!F:F,,0)</f>
        <v>59</v>
      </c>
      <c r="G48" s="56">
        <f>_xlfn.XLOOKUP($A48,'Inputs (AUD)'!$A:$A,'Inputs (AUD)'!G:G,,0)</f>
        <v>50.8</v>
      </c>
      <c r="H48" s="56">
        <f>_xlfn.XLOOKUP($A48,'Inputs (AUD)'!$A:$A,'Inputs (AUD)'!H:H,,0)</f>
        <v>11.7</v>
      </c>
      <c r="I48" s="56">
        <f>_xlfn.XLOOKUP($A48,'Inputs (AUD)'!$A:$A,'Inputs (AUD)'!I:I,,0)</f>
        <v>4.0999999999999996</v>
      </c>
      <c r="J48" s="56">
        <f>_xlfn.XLOOKUP($A48,'Inputs (AUD)'!$A:$A,'Inputs (AUD)'!J:J,,0)</f>
        <v>3.4</v>
      </c>
      <c r="K48" s="56">
        <f>_xlfn.XLOOKUP($A48,'Inputs (AUD)'!$A:$A,'Inputs (AUD)'!K:K,,0)</f>
        <v>2.2999999999999998</v>
      </c>
      <c r="L48" s="56">
        <f>_xlfn.XLOOKUP($A48,'Inputs (AUD)'!$A:$A,'Inputs (AUD)'!L:L,,0)</f>
        <v>2.2000000000000002</v>
      </c>
      <c r="M48" s="56">
        <f>_xlfn.XLOOKUP($A48,'Inputs (AUD)'!$A:$A,'Inputs (AUD)'!M:M,,0)</f>
        <v>0</v>
      </c>
    </row>
    <row r="49" spans="1:13">
      <c r="A49" s="111" t="s">
        <v>1144</v>
      </c>
      <c r="B49" s="50">
        <f>_xlfn.XLOOKUP($A49,'Inputs (AUD)'!$A:$A,'Inputs (AUD)'!B:B,,0)</f>
        <v>0</v>
      </c>
      <c r="C49" s="50">
        <f>_xlfn.XLOOKUP($A49,'Inputs (AUD)'!$A:$A,'Inputs (AUD)'!C:C,,0)</f>
        <v>0</v>
      </c>
      <c r="D49" s="50">
        <f>_xlfn.XLOOKUP($A49,'Inputs (AUD)'!$A:$A,'Inputs (AUD)'!D:D,,0)</f>
        <v>0</v>
      </c>
      <c r="E49" s="50">
        <f>_xlfn.XLOOKUP($A49,'Inputs (AUD)'!$A:$A,'Inputs (AUD)'!E:E,,0)</f>
        <v>0</v>
      </c>
      <c r="F49" s="50">
        <f>_xlfn.XLOOKUP($A49,'Inputs (AUD)'!$A:$A,'Inputs (AUD)'!F:F,,0)</f>
        <v>0</v>
      </c>
      <c r="G49" s="50">
        <f>_xlfn.XLOOKUP($A49,'Inputs (AUD)'!$A:$A,'Inputs (AUD)'!G:G,,0)</f>
        <v>0</v>
      </c>
      <c r="H49" s="50">
        <f>_xlfn.XLOOKUP($A49,'Inputs (AUD)'!$A:$A,'Inputs (AUD)'!H:H,,0)</f>
        <v>0</v>
      </c>
      <c r="I49" s="50">
        <f>_xlfn.XLOOKUP($A49,'Inputs (AUD)'!$A:$A,'Inputs (AUD)'!I:I,,0)</f>
        <v>0</v>
      </c>
      <c r="J49" s="50">
        <f>_xlfn.XLOOKUP($A49,'Inputs (AUD)'!$A:$A,'Inputs (AUD)'!J:J,,0)</f>
        <v>2.6</v>
      </c>
      <c r="K49" s="50">
        <f>_xlfn.XLOOKUP($A49,'Inputs (AUD)'!$A:$A,'Inputs (AUD)'!K:K,,0)</f>
        <v>1.4</v>
      </c>
      <c r="L49" s="50">
        <f>_xlfn.XLOOKUP($A49,'Inputs (AUD)'!$A:$A,'Inputs (AUD)'!L:L,,0)</f>
        <v>1.3</v>
      </c>
      <c r="M49" s="50">
        <f>_xlfn.XLOOKUP($A49,'Inputs (AUD)'!$A:$A,'Inputs (AUD)'!M:M,,0)</f>
        <v>0</v>
      </c>
    </row>
    <row r="50" spans="1:13">
      <c r="A50" s="105" t="s">
        <v>1145</v>
      </c>
      <c r="B50" s="50">
        <f>_xlfn.XLOOKUP($A50,'Inputs (AUD)'!$A:$A,'Inputs (AUD)'!B:B,,0)</f>
        <v>124.3</v>
      </c>
      <c r="C50" s="50">
        <f>_xlfn.XLOOKUP($A50,'Inputs (AUD)'!$A:$A,'Inputs (AUD)'!C:C,,0)</f>
        <v>55.8</v>
      </c>
      <c r="D50" s="50">
        <f>_xlfn.XLOOKUP($A50,'Inputs (AUD)'!$A:$A,'Inputs (AUD)'!D:D,,0)</f>
        <v>13.3</v>
      </c>
      <c r="E50" s="50">
        <f>_xlfn.XLOOKUP($A50,'Inputs (AUD)'!$A:$A,'Inputs (AUD)'!E:E,,0)</f>
        <v>53.3</v>
      </c>
      <c r="F50" s="50">
        <f>_xlfn.XLOOKUP($A50,'Inputs (AUD)'!$A:$A,'Inputs (AUD)'!F:F,,0)</f>
        <v>8.9</v>
      </c>
      <c r="G50" s="50">
        <f>_xlfn.XLOOKUP($A50,'Inputs (AUD)'!$A:$A,'Inputs (AUD)'!G:G,,0)</f>
        <v>0.2</v>
      </c>
      <c r="H50" s="50">
        <f>_xlfn.XLOOKUP($A50,'Inputs (AUD)'!$A:$A,'Inputs (AUD)'!H:H,,0)</f>
        <v>0.1</v>
      </c>
      <c r="I50" s="50">
        <f>_xlfn.XLOOKUP($A50,'Inputs (AUD)'!$A:$A,'Inputs (AUD)'!I:I,,0)</f>
        <v>0.1</v>
      </c>
      <c r="J50" s="50" t="str">
        <f>_xlfn.XLOOKUP($A50,'Inputs (AUD)'!$A:$A,'Inputs (AUD)'!J:J,,0)</f>
        <v>--</v>
      </c>
      <c r="K50" s="50" t="str">
        <f>_xlfn.XLOOKUP($A50,'Inputs (AUD)'!$A:$A,'Inputs (AUD)'!K:K,,0)</f>
        <v>--</v>
      </c>
      <c r="L50" s="50">
        <f>_xlfn.XLOOKUP($A50,'Inputs (AUD)'!$A:$A,'Inputs (AUD)'!L:L,,0)</f>
        <v>0</v>
      </c>
      <c r="M50" s="50">
        <f>_xlfn.XLOOKUP($A50,'Inputs (AUD)'!$A:$A,'Inputs (AUD)'!M:M,,0)</f>
        <v>0</v>
      </c>
    </row>
    <row r="51" spans="1:13">
      <c r="A51" s="106" t="s">
        <v>1146</v>
      </c>
      <c r="B51" s="50">
        <f>_xlfn.XLOOKUP($A51,'Inputs (AUD)'!$A:$A,'Inputs (AUD)'!B:B,,0)</f>
        <v>216</v>
      </c>
      <c r="C51" s="50">
        <f>_xlfn.XLOOKUP($A51,'Inputs (AUD)'!$A:$A,'Inputs (AUD)'!C:C,,0)</f>
        <v>146.60000000000002</v>
      </c>
      <c r="D51" s="50">
        <f>_xlfn.XLOOKUP($A51,'Inputs (AUD)'!$A:$A,'Inputs (AUD)'!D:D,,0)</f>
        <v>141.1</v>
      </c>
      <c r="E51" s="50">
        <f>_xlfn.XLOOKUP($A51,'Inputs (AUD)'!$A:$A,'Inputs (AUD)'!E:E,,0)</f>
        <v>10.100000000000009</v>
      </c>
      <c r="F51" s="50">
        <f>_xlfn.XLOOKUP($A51,'Inputs (AUD)'!$A:$A,'Inputs (AUD)'!F:F,,0)</f>
        <v>27</v>
      </c>
      <c r="G51" s="50">
        <f>_xlfn.XLOOKUP($A51,'Inputs (AUD)'!$A:$A,'Inputs (AUD)'!G:G,,0)</f>
        <v>41.3</v>
      </c>
      <c r="H51" s="50">
        <f>_xlfn.XLOOKUP($A51,'Inputs (AUD)'!$A:$A,'Inputs (AUD)'!H:H,,0)</f>
        <v>7.6999999999999993</v>
      </c>
      <c r="I51" s="50">
        <f>_xlfn.XLOOKUP($A51,'Inputs (AUD)'!$A:$A,'Inputs (AUD)'!I:I,,0)</f>
        <v>1.7999999999999994</v>
      </c>
      <c r="J51" s="50">
        <f>_xlfn.XLOOKUP($A51,'Inputs (AUD)'!$A:$A,'Inputs (AUD)'!J:J,,0)</f>
        <v>0.10000000000000009</v>
      </c>
      <c r="K51" s="50">
        <f>_xlfn.XLOOKUP($A51,'Inputs (AUD)'!$A:$A,'Inputs (AUD)'!K:K,,0)</f>
        <v>0.7</v>
      </c>
      <c r="L51" s="50">
        <f>_xlfn.XLOOKUP($A51,'Inputs (AUD)'!$A:$A,'Inputs (AUD)'!L:L,,0)</f>
        <v>0.90000000000000013</v>
      </c>
      <c r="M51" s="50">
        <f>_xlfn.XLOOKUP($A51,'Inputs (AUD)'!$A:$A,'Inputs (AUD)'!M:M,,0)</f>
        <v>0</v>
      </c>
    </row>
    <row r="52" spans="1:13">
      <c r="A52" s="110" t="s">
        <v>1147</v>
      </c>
      <c r="B52" s="56">
        <f>_xlfn.XLOOKUP($A52,'Inputs (AUD)'!$A:$A,'Inputs (AUD)'!B:B,,0)</f>
        <v>514.70000000000005</v>
      </c>
      <c r="C52" s="56">
        <f>_xlfn.XLOOKUP($A52,'Inputs (AUD)'!$A:$A,'Inputs (AUD)'!C:C,,0)</f>
        <v>349.09999999999997</v>
      </c>
      <c r="D52" s="56">
        <f>_xlfn.XLOOKUP($A52,'Inputs (AUD)'!$A:$A,'Inputs (AUD)'!D:D,,0)</f>
        <v>205.5</v>
      </c>
      <c r="E52" s="56">
        <f>_xlfn.XLOOKUP($A52,'Inputs (AUD)'!$A:$A,'Inputs (AUD)'!E:E,,0)</f>
        <v>140.1</v>
      </c>
      <c r="F52" s="56">
        <f>_xlfn.XLOOKUP($A52,'Inputs (AUD)'!$A:$A,'Inputs (AUD)'!F:F,,0)</f>
        <v>146.6</v>
      </c>
      <c r="G52" s="56">
        <f>_xlfn.XLOOKUP($A52,'Inputs (AUD)'!$A:$A,'Inputs (AUD)'!G:G,,0)</f>
        <v>137.89999999999998</v>
      </c>
      <c r="H52" s="56">
        <f>_xlfn.XLOOKUP($A52,'Inputs (AUD)'!$A:$A,'Inputs (AUD)'!H:H,,0)</f>
        <v>124.60000000000001</v>
      </c>
      <c r="I52" s="56">
        <f>_xlfn.XLOOKUP($A52,'Inputs (AUD)'!$A:$A,'Inputs (AUD)'!I:I,,0)</f>
        <v>0.20000000000000018</v>
      </c>
      <c r="J52" s="56">
        <f>_xlfn.XLOOKUP($A52,'Inputs (AUD)'!$A:$A,'Inputs (AUD)'!J:J,,0)</f>
        <v>0</v>
      </c>
      <c r="K52" s="56">
        <f>_xlfn.XLOOKUP($A52,'Inputs (AUD)'!$A:$A,'Inputs (AUD)'!K:K,,0)</f>
        <v>0</v>
      </c>
      <c r="L52" s="56">
        <f>_xlfn.XLOOKUP($A52,'Inputs (AUD)'!$A:$A,'Inputs (AUD)'!L:L,,0)</f>
        <v>0</v>
      </c>
      <c r="M52" s="56">
        <f>_xlfn.XLOOKUP($A52,'Inputs (AUD)'!$A:$A,'Inputs (AUD)'!M:M,,0)</f>
        <v>0</v>
      </c>
    </row>
    <row r="53" spans="1:13">
      <c r="A53" s="111" t="s">
        <v>1148</v>
      </c>
      <c r="B53" s="50">
        <f>_xlfn.XLOOKUP($A53,'Inputs (AUD)'!$A:$A,'Inputs (AUD)'!B:B,,0)</f>
        <v>272.5</v>
      </c>
      <c r="C53" s="50">
        <f>_xlfn.XLOOKUP($A53,'Inputs (AUD)'!$A:$A,'Inputs (AUD)'!C:C,,0)</f>
        <v>204.2</v>
      </c>
      <c r="D53" s="50">
        <f>_xlfn.XLOOKUP($A53,'Inputs (AUD)'!$A:$A,'Inputs (AUD)'!D:D,,0)</f>
        <v>141.19999999999999</v>
      </c>
      <c r="E53" s="50">
        <f>_xlfn.XLOOKUP($A53,'Inputs (AUD)'!$A:$A,'Inputs (AUD)'!E:E,,0)</f>
        <v>97.8</v>
      </c>
      <c r="F53" s="50">
        <f>_xlfn.XLOOKUP($A53,'Inputs (AUD)'!$A:$A,'Inputs (AUD)'!F:F,,0)</f>
        <v>130.1</v>
      </c>
      <c r="G53" s="50">
        <f>_xlfn.XLOOKUP($A53,'Inputs (AUD)'!$A:$A,'Inputs (AUD)'!G:G,,0)</f>
        <v>130.5</v>
      </c>
      <c r="H53" s="50">
        <f>_xlfn.XLOOKUP($A53,'Inputs (AUD)'!$A:$A,'Inputs (AUD)'!H:H,,0)</f>
        <v>124.3</v>
      </c>
      <c r="I53" s="50" t="str">
        <f>_xlfn.XLOOKUP($A53,'Inputs (AUD)'!$A:$A,'Inputs (AUD)'!I:I,,0)</f>
        <v>--</v>
      </c>
      <c r="J53" s="50" t="str">
        <f>_xlfn.XLOOKUP($A53,'Inputs (AUD)'!$A:$A,'Inputs (AUD)'!J:J,,0)</f>
        <v>--</v>
      </c>
      <c r="K53" s="50" t="str">
        <f>_xlfn.XLOOKUP($A53,'Inputs (AUD)'!$A:$A,'Inputs (AUD)'!K:K,,0)</f>
        <v>--</v>
      </c>
      <c r="L53" s="50" t="str">
        <f>_xlfn.XLOOKUP($A53,'Inputs (AUD)'!$A:$A,'Inputs (AUD)'!L:L,,0)</f>
        <v>--</v>
      </c>
      <c r="M53" s="50">
        <f>_xlfn.XLOOKUP($A53,'Inputs (AUD)'!$A:$A,'Inputs (AUD)'!M:M,,0)</f>
        <v>0</v>
      </c>
    </row>
    <row r="54" spans="1:13">
      <c r="A54" s="105" t="s">
        <v>1149</v>
      </c>
      <c r="B54" s="50">
        <f>_xlfn.XLOOKUP($A54,'Inputs (AUD)'!$A:$A,'Inputs (AUD)'!B:B,,0)</f>
        <v>75.2</v>
      </c>
      <c r="C54" s="50">
        <f>_xlfn.XLOOKUP($A54,'Inputs (AUD)'!$A:$A,'Inputs (AUD)'!C:C,,0)</f>
        <v>32</v>
      </c>
      <c r="D54" s="50">
        <f>_xlfn.XLOOKUP($A54,'Inputs (AUD)'!$A:$A,'Inputs (AUD)'!D:D,,0)</f>
        <v>12.4</v>
      </c>
      <c r="E54" s="50">
        <f>_xlfn.XLOOKUP($A54,'Inputs (AUD)'!$A:$A,'Inputs (AUD)'!E:E,,0)</f>
        <v>25.3</v>
      </c>
      <c r="F54" s="50">
        <f>_xlfn.XLOOKUP($A54,'Inputs (AUD)'!$A:$A,'Inputs (AUD)'!F:F,,0)</f>
        <v>0</v>
      </c>
      <c r="G54" s="50">
        <f>_xlfn.XLOOKUP($A54,'Inputs (AUD)'!$A:$A,'Inputs (AUD)'!G:G,,0)</f>
        <v>0.5</v>
      </c>
      <c r="H54" s="50">
        <f>_xlfn.XLOOKUP($A54,'Inputs (AUD)'!$A:$A,'Inputs (AUD)'!H:H,,0)</f>
        <v>0</v>
      </c>
      <c r="I54" s="50">
        <f>_xlfn.XLOOKUP($A54,'Inputs (AUD)'!$A:$A,'Inputs (AUD)'!I:I,,0)</f>
        <v>0.2</v>
      </c>
      <c r="J54" s="50" t="str">
        <f>_xlfn.XLOOKUP($A54,'Inputs (AUD)'!$A:$A,'Inputs (AUD)'!J:J,,0)</f>
        <v>--</v>
      </c>
      <c r="K54" s="50" t="str">
        <f>_xlfn.XLOOKUP($A54,'Inputs (AUD)'!$A:$A,'Inputs (AUD)'!K:K,,0)</f>
        <v>--</v>
      </c>
      <c r="L54" s="50">
        <f>_xlfn.XLOOKUP($A54,'Inputs (AUD)'!$A:$A,'Inputs (AUD)'!L:L,,0)</f>
        <v>0</v>
      </c>
      <c r="M54" s="50">
        <f>_xlfn.XLOOKUP($A54,'Inputs (AUD)'!$A:$A,'Inputs (AUD)'!M:M,,0)</f>
        <v>0</v>
      </c>
    </row>
    <row r="55" spans="1:13">
      <c r="A55" s="106" t="s">
        <v>1150</v>
      </c>
      <c r="B55" s="50">
        <f>_xlfn.XLOOKUP($A55,'Inputs (AUD)'!$A:$A,'Inputs (AUD)'!B:B,,0)</f>
        <v>167.00000000000006</v>
      </c>
      <c r="C55" s="50">
        <f>_xlfn.XLOOKUP($A55,'Inputs (AUD)'!$A:$A,'Inputs (AUD)'!C:C,,0)</f>
        <v>112.89999999999998</v>
      </c>
      <c r="D55" s="50">
        <f>_xlfn.XLOOKUP($A55,'Inputs (AUD)'!$A:$A,'Inputs (AUD)'!D:D,,0)</f>
        <v>51.900000000000006</v>
      </c>
      <c r="E55" s="50">
        <f>_xlfn.XLOOKUP($A55,'Inputs (AUD)'!$A:$A,'Inputs (AUD)'!E:E,,0)</f>
        <v>17</v>
      </c>
      <c r="F55" s="50">
        <f>_xlfn.XLOOKUP($A55,'Inputs (AUD)'!$A:$A,'Inputs (AUD)'!F:F,,0)</f>
        <v>16.5</v>
      </c>
      <c r="G55" s="50">
        <f>_xlfn.XLOOKUP($A55,'Inputs (AUD)'!$A:$A,'Inputs (AUD)'!G:G,,0)</f>
        <v>6.8999999999999773</v>
      </c>
      <c r="H55" s="50">
        <f>_xlfn.XLOOKUP($A55,'Inputs (AUD)'!$A:$A,'Inputs (AUD)'!H:H,,0)</f>
        <v>0.30000000000001137</v>
      </c>
      <c r="I55" s="50">
        <f>_xlfn.XLOOKUP($A55,'Inputs (AUD)'!$A:$A,'Inputs (AUD)'!I:I,,0)</f>
        <v>0</v>
      </c>
      <c r="J55" s="50">
        <f>_xlfn.XLOOKUP($A55,'Inputs (AUD)'!$A:$A,'Inputs (AUD)'!J:J,,0)</f>
        <v>0</v>
      </c>
      <c r="K55" s="50">
        <f>_xlfn.XLOOKUP($A55,'Inputs (AUD)'!$A:$A,'Inputs (AUD)'!K:K,,0)</f>
        <v>0</v>
      </c>
      <c r="L55" s="50">
        <f>_xlfn.XLOOKUP($A55,'Inputs (AUD)'!$A:$A,'Inputs (AUD)'!L:L,,0)</f>
        <v>0</v>
      </c>
      <c r="M55" s="50">
        <f>_xlfn.XLOOKUP($A55,'Inputs (AUD)'!$A:$A,'Inputs (AUD)'!M:M,,0)</f>
        <v>0</v>
      </c>
    </row>
    <row r="56" spans="1:13">
      <c r="A56" s="110" t="s">
        <v>58</v>
      </c>
      <c r="B56" s="56">
        <f>_xlfn.XLOOKUP($A56,'Inputs (AUD)'!$A:$A,'Inputs (AUD)'!B:B,,0)</f>
        <v>1808.8</v>
      </c>
      <c r="C56" s="56">
        <f>_xlfn.XLOOKUP($A56,'Inputs (AUD)'!$A:$A,'Inputs (AUD)'!C:C,,0)</f>
        <v>686.4</v>
      </c>
      <c r="D56" s="56">
        <f>_xlfn.XLOOKUP($A56,'Inputs (AUD)'!$A:$A,'Inputs (AUD)'!D:D,,0)</f>
        <v>375.5</v>
      </c>
      <c r="E56" s="56">
        <f>_xlfn.XLOOKUP($A56,'Inputs (AUD)'!$A:$A,'Inputs (AUD)'!E:E,,0)</f>
        <v>215.5</v>
      </c>
      <c r="F56" s="56">
        <f>_xlfn.XLOOKUP($A56,'Inputs (AUD)'!$A:$A,'Inputs (AUD)'!F:F,,0)</f>
        <v>205.6</v>
      </c>
      <c r="G56" s="56">
        <f>_xlfn.XLOOKUP($A56,'Inputs (AUD)'!$A:$A,'Inputs (AUD)'!G:G,,0)</f>
        <v>188.7</v>
      </c>
      <c r="H56" s="56">
        <f>_xlfn.XLOOKUP($A56,'Inputs (AUD)'!$A:$A,'Inputs (AUD)'!H:H,,0)</f>
        <v>136.30000000000001</v>
      </c>
      <c r="I56" s="56">
        <f>_xlfn.XLOOKUP($A56,'Inputs (AUD)'!$A:$A,'Inputs (AUD)'!I:I,,0)</f>
        <v>4.3</v>
      </c>
      <c r="J56" s="56">
        <f>_xlfn.XLOOKUP($A56,'Inputs (AUD)'!$A:$A,'Inputs (AUD)'!J:J,,0)</f>
        <v>3.4</v>
      </c>
      <c r="K56" s="56">
        <f>_xlfn.XLOOKUP($A56,'Inputs (AUD)'!$A:$A,'Inputs (AUD)'!K:K,,0)</f>
        <v>2.2999999999999998</v>
      </c>
      <c r="L56" s="56">
        <f>_xlfn.XLOOKUP($A56,'Inputs (AUD)'!$A:$A,'Inputs (AUD)'!L:L,,0)</f>
        <v>2.2000000000000002</v>
      </c>
      <c r="M56" s="56">
        <f>_xlfn.XLOOKUP($A56,'Inputs (AUD)'!$A:$A,'Inputs (AUD)'!M:M,,0)</f>
        <v>0</v>
      </c>
    </row>
    <row r="57" spans="1:13">
      <c r="B57"/>
      <c r="C57"/>
      <c r="D57"/>
      <c r="E57"/>
      <c r="F57"/>
      <c r="G57"/>
      <c r="H57"/>
      <c r="I57"/>
      <c r="J57"/>
      <c r="K57"/>
      <c r="L57"/>
      <c r="M57"/>
    </row>
    <row r="58" spans="1:13">
      <c r="A58" s="110" t="s">
        <v>328</v>
      </c>
      <c r="B58" s="56">
        <f>B49+B53+B50+B54</f>
        <v>472</v>
      </c>
      <c r="C58" s="56">
        <f t="shared" ref="C58:M58" si="75">C49+C53+C50+C54</f>
        <v>292</v>
      </c>
      <c r="D58" s="56">
        <f t="shared" si="75"/>
        <v>166.9</v>
      </c>
      <c r="E58" s="56">
        <f t="shared" si="75"/>
        <v>176.4</v>
      </c>
      <c r="F58" s="56">
        <f t="shared" si="75"/>
        <v>139</v>
      </c>
      <c r="G58" s="56">
        <f t="shared" si="75"/>
        <v>131.19999999999999</v>
      </c>
      <c r="H58" s="56">
        <f t="shared" si="75"/>
        <v>124.39999999999999</v>
      </c>
      <c r="I58" s="56" t="e">
        <f t="shared" si="75"/>
        <v>#VALUE!</v>
      </c>
      <c r="J58" s="56" t="e">
        <f t="shared" si="75"/>
        <v>#VALUE!</v>
      </c>
      <c r="K58" s="56" t="e">
        <f t="shared" si="75"/>
        <v>#VALUE!</v>
      </c>
      <c r="L58" s="56" t="e">
        <f t="shared" si="75"/>
        <v>#VALUE!</v>
      </c>
      <c r="M58" s="56">
        <f t="shared" si="75"/>
        <v>0</v>
      </c>
    </row>
    <row r="59" spans="1:13">
      <c r="A59" s="111" t="s">
        <v>79</v>
      </c>
      <c r="B59" s="52">
        <f>IFERROR(B58/B44,"-")</f>
        <v>9.0790182349773027E-2</v>
      </c>
      <c r="C59" s="52">
        <f t="shared" ref="C59:M59" si="76">IFERROR(C58/C44,"-")</f>
        <v>0.14759401536595229</v>
      </c>
      <c r="D59" s="52">
        <f t="shared" si="76"/>
        <v>0.1757397072759819</v>
      </c>
      <c r="E59" s="52">
        <f t="shared" si="76"/>
        <v>0.29278008298755187</v>
      </c>
      <c r="F59" s="52">
        <f t="shared" si="76"/>
        <v>0.23870856946591107</v>
      </c>
      <c r="G59" s="52">
        <f t="shared" si="76"/>
        <v>0.24661654135338343</v>
      </c>
      <c r="H59" s="52">
        <f t="shared" si="76"/>
        <v>0.36968796433878154</v>
      </c>
      <c r="I59" s="52" t="str">
        <f t="shared" si="76"/>
        <v>-</v>
      </c>
      <c r="J59" s="52" t="str">
        <f t="shared" si="76"/>
        <v>-</v>
      </c>
      <c r="K59" s="52" t="str">
        <f t="shared" si="76"/>
        <v>-</v>
      </c>
      <c r="L59" s="52" t="str">
        <f t="shared" si="76"/>
        <v>-</v>
      </c>
      <c r="M59" s="52" t="str">
        <f t="shared" si="76"/>
        <v>-</v>
      </c>
    </row>
    <row r="60" spans="1:13">
      <c r="A60" s="110" t="s">
        <v>1151</v>
      </c>
      <c r="B60" s="56">
        <f>B58-B39</f>
        <v>-2866.6</v>
      </c>
      <c r="C60" s="56">
        <f t="shared" ref="C60:M60" si="77">C58-C39</f>
        <v>-299.70000000000005</v>
      </c>
      <c r="D60" s="56">
        <f t="shared" si="77"/>
        <v>67.2</v>
      </c>
      <c r="E60" s="56">
        <f t="shared" si="77"/>
        <v>90.100000000000009</v>
      </c>
      <c r="F60" s="56">
        <f t="shared" si="77"/>
        <v>75.400000000000006</v>
      </c>
      <c r="G60" s="56">
        <f t="shared" si="77"/>
        <v>11.199999999999989</v>
      </c>
      <c r="H60" s="56">
        <f t="shared" si="77"/>
        <v>37.199999999999989</v>
      </c>
      <c r="I60" s="56" t="e">
        <f t="shared" si="77"/>
        <v>#VALUE!</v>
      </c>
      <c r="J60" s="56" t="e">
        <f t="shared" si="77"/>
        <v>#VALUE!</v>
      </c>
      <c r="K60" s="56" t="e">
        <f t="shared" si="77"/>
        <v>#VALUE!</v>
      </c>
      <c r="L60" s="56" t="e">
        <f t="shared" si="77"/>
        <v>#VALUE!</v>
      </c>
      <c r="M60" s="56">
        <f t="shared" si="77"/>
        <v>0</v>
      </c>
    </row>
    <row r="61" spans="1:13">
      <c r="B61"/>
      <c r="C61"/>
      <c r="D61"/>
      <c r="E61"/>
      <c r="F61"/>
      <c r="G61"/>
      <c r="H61"/>
      <c r="I61"/>
      <c r="J61"/>
      <c r="K61"/>
      <c r="L61"/>
      <c r="M61"/>
    </row>
    <row r="62" spans="1:13" s="44" customFormat="1">
      <c r="A62" s="110" t="s">
        <v>1152</v>
      </c>
      <c r="B62" s="56">
        <f>_xlfn.XLOOKUP($A62,'Inputs (AUD)'!$A:$A,'Inputs (AUD)'!B:B,,0)</f>
        <v>0</v>
      </c>
      <c r="C62" s="56">
        <f>_xlfn.XLOOKUP($A62,'Inputs (AUD)'!$A:$A,'Inputs (AUD)'!C:C,,0)</f>
        <v>0</v>
      </c>
      <c r="D62" s="56">
        <f>_xlfn.XLOOKUP($A62,'Inputs (AUD)'!$A:$A,'Inputs (AUD)'!D:D,,0)</f>
        <v>0</v>
      </c>
      <c r="E62" s="56">
        <f>_xlfn.XLOOKUP($A62,'Inputs (AUD)'!$A:$A,'Inputs (AUD)'!E:E,,0)</f>
        <v>0</v>
      </c>
      <c r="F62" s="56">
        <f>_xlfn.XLOOKUP($A62,'Inputs (AUD)'!$A:$A,'Inputs (AUD)'!F:F,,0)</f>
        <v>0</v>
      </c>
      <c r="G62" s="56">
        <f>_xlfn.XLOOKUP($A62,'Inputs (AUD)'!$A:$A,'Inputs (AUD)'!G:G,,0)</f>
        <v>0</v>
      </c>
      <c r="H62" s="56">
        <f>_xlfn.XLOOKUP($A62,'Inputs (AUD)'!$A:$A,'Inputs (AUD)'!H:H,,0)</f>
        <v>0</v>
      </c>
      <c r="I62" s="56">
        <f>_xlfn.XLOOKUP($A62,'Inputs (AUD)'!$A:$A,'Inputs (AUD)'!I:I,,0)</f>
        <v>0</v>
      </c>
      <c r="J62" s="56">
        <f>_xlfn.XLOOKUP($A62,'Inputs (AUD)'!$A:$A,'Inputs (AUD)'!J:J,,0)</f>
        <v>0</v>
      </c>
      <c r="K62" s="56">
        <f>_xlfn.XLOOKUP($A62,'Inputs (AUD)'!$A:$A,'Inputs (AUD)'!K:K,,0)</f>
        <v>0</v>
      </c>
      <c r="L62" s="56">
        <f>_xlfn.XLOOKUP($A62,'Inputs (AUD)'!$A:$A,'Inputs (AUD)'!L:L,,0)</f>
        <v>0</v>
      </c>
      <c r="M62" s="56">
        <f>_xlfn.XLOOKUP($A62,'Inputs (AUD)'!$A:$A,'Inputs (AUD)'!M:M,,0)</f>
        <v>0</v>
      </c>
    </row>
    <row r="63" spans="1:13">
      <c r="B63"/>
      <c r="C63"/>
      <c r="D63"/>
      <c r="E63"/>
      <c r="F63"/>
      <c r="G63"/>
      <c r="H63"/>
      <c r="I63"/>
      <c r="J63"/>
      <c r="K63"/>
      <c r="L63"/>
      <c r="M63"/>
    </row>
    <row r="64" spans="1:13">
      <c r="A64" s="110" t="s">
        <v>1153</v>
      </c>
      <c r="B64" s="56">
        <f>_xlfn.XLOOKUP($A64,'Inputs (AUD)'!$A:$A,'Inputs (AUD)'!B:B,,0)</f>
        <v>3390</v>
      </c>
      <c r="C64" s="56">
        <f>_xlfn.XLOOKUP($A64,'Inputs (AUD)'!$A:$A,'Inputs (AUD)'!C:C,,0)</f>
        <v>1292</v>
      </c>
      <c r="D64" s="56">
        <f>_xlfn.XLOOKUP($A64,'Inputs (AUD)'!$A:$A,'Inputs (AUD)'!D:D,,0)</f>
        <v>574.20000000000005</v>
      </c>
      <c r="E64" s="56">
        <f>_xlfn.XLOOKUP($A64,'Inputs (AUD)'!$A:$A,'Inputs (AUD)'!E:E,,0)</f>
        <v>387</v>
      </c>
      <c r="F64" s="56">
        <f>_xlfn.XLOOKUP($A64,'Inputs (AUD)'!$A:$A,'Inputs (AUD)'!F:F,,0)</f>
        <v>376.69999999999993</v>
      </c>
      <c r="G64" s="56">
        <f>_xlfn.XLOOKUP($A64,'Inputs (AUD)'!$A:$A,'Inputs (AUD)'!G:G,,0)</f>
        <v>343.3</v>
      </c>
      <c r="H64" s="56">
        <f>_xlfn.XLOOKUP($A64,'Inputs (AUD)'!$A:$A,'Inputs (AUD)'!H:H,,0)</f>
        <v>200.2</v>
      </c>
      <c r="I64" s="56">
        <f>_xlfn.XLOOKUP($A64,'Inputs (AUD)'!$A:$A,'Inputs (AUD)'!I:I,,0)</f>
        <v>98.4</v>
      </c>
      <c r="J64" s="56">
        <f>_xlfn.XLOOKUP($A64,'Inputs (AUD)'!$A:$A,'Inputs (AUD)'!J:J,,0)</f>
        <v>5.5</v>
      </c>
      <c r="K64" s="56">
        <f>_xlfn.XLOOKUP($A64,'Inputs (AUD)'!$A:$A,'Inputs (AUD)'!K:K,,0)</f>
        <v>2.4000000000000004</v>
      </c>
      <c r="L64" s="56">
        <f>_xlfn.XLOOKUP($A64,'Inputs (AUD)'!$A:$A,'Inputs (AUD)'!L:L,,0)</f>
        <v>8940.7999999999993</v>
      </c>
      <c r="M64" s="56">
        <f>_xlfn.XLOOKUP($A64,'Inputs (AUD)'!$A:$A,'Inputs (AUD)'!M:M,,0)</f>
        <v>0</v>
      </c>
    </row>
    <row r="65" spans="1:235">
      <c r="K65" s="40"/>
      <c r="L65" s="40"/>
      <c r="M65" s="40"/>
    </row>
    <row r="66" spans="1:235" ht="21">
      <c r="A66" s="1503" t="s">
        <v>140</v>
      </c>
      <c r="B66" s="1503"/>
      <c r="C66" s="1503"/>
      <c r="D66" s="1503"/>
      <c r="E66" s="1503"/>
      <c r="F66" s="1503"/>
      <c r="G66" s="1503"/>
      <c r="H66" s="1503"/>
      <c r="I66" s="1503"/>
      <c r="J66" s="1503"/>
      <c r="K66" s="1503"/>
      <c r="L66" s="1503"/>
      <c r="M66" s="1503"/>
    </row>
    <row r="67" spans="1:235">
      <c r="A67" s="110" t="s">
        <v>141</v>
      </c>
      <c r="B67" s="56">
        <f>_xlfn.XLOOKUP($A67,'Inputs (AUD)'!$A:$A,'Inputs (AUD)'!B:B,,0)</f>
        <v>3456.7</v>
      </c>
      <c r="C67" s="56">
        <f>_xlfn.XLOOKUP($A67,'Inputs (AUD)'!$A:$A,'Inputs (AUD)'!C:C,,0)</f>
        <v>647.6</v>
      </c>
      <c r="D67" s="56">
        <f>_xlfn.XLOOKUP($A67,'Inputs (AUD)'!$A:$A,'Inputs (AUD)'!D:D,,0)</f>
        <v>18.8</v>
      </c>
      <c r="E67" s="56">
        <f>_xlfn.XLOOKUP($A67,'Inputs (AUD)'!$A:$A,'Inputs (AUD)'!E:E,,0)</f>
        <v>-19</v>
      </c>
      <c r="F67" s="56">
        <f>_xlfn.XLOOKUP($A67,'Inputs (AUD)'!$A:$A,'Inputs (AUD)'!F:F,,0)</f>
        <v>-10.4</v>
      </c>
      <c r="G67" s="56">
        <f>_xlfn.XLOOKUP($A67,'Inputs (AUD)'!$A:$A,'Inputs (AUD)'!G:G,,0)</f>
        <v>-9</v>
      </c>
      <c r="H67" s="56">
        <f>_xlfn.XLOOKUP($A67,'Inputs (AUD)'!$A:$A,'Inputs (AUD)'!H:H,,0)</f>
        <v>-16.3</v>
      </c>
      <c r="I67" s="56">
        <f>_xlfn.XLOOKUP($A67,'Inputs (AUD)'!$A:$A,'Inputs (AUD)'!I:I,,0)</f>
        <v>-14.6</v>
      </c>
      <c r="J67" s="56">
        <f>_xlfn.XLOOKUP($A67,'Inputs (AUD)'!$A:$A,'Inputs (AUD)'!J:J,,0)</f>
        <v>-1.5</v>
      </c>
      <c r="K67" s="56">
        <f>_xlfn.XLOOKUP($A67,'Inputs (AUD)'!$A:$A,'Inputs (AUD)'!K:K,,0)</f>
        <v>-0.9</v>
      </c>
      <c r="L67" s="56">
        <f>_xlfn.XLOOKUP($A67,'Inputs (AUD)'!$A:$A,'Inputs (AUD)'!L:L,,0)</f>
        <v>-0.8</v>
      </c>
      <c r="M67" s="56">
        <f>_xlfn.XLOOKUP($A67,'Inputs (AUD)'!$A:$A,'Inputs (AUD)'!M:M,,0)</f>
        <v>0</v>
      </c>
    </row>
    <row r="68" spans="1:235">
      <c r="A68" s="110" t="s">
        <v>142</v>
      </c>
      <c r="B68" s="56">
        <f>_xlfn.XLOOKUP($A68,'Inputs (AUD)'!$A:$A,'Inputs (AUD)'!B:B,,0)</f>
        <v>-408</v>
      </c>
      <c r="C68" s="56">
        <f>_xlfn.XLOOKUP($A68,'Inputs (AUD)'!$A:$A,'Inputs (AUD)'!C:C,,0)</f>
        <v>-204.5</v>
      </c>
      <c r="D68" s="56">
        <f>_xlfn.XLOOKUP($A68,'Inputs (AUD)'!$A:$A,'Inputs (AUD)'!D:D,,0)</f>
        <v>-230.8</v>
      </c>
      <c r="E68" s="56">
        <f>_xlfn.XLOOKUP($A68,'Inputs (AUD)'!$A:$A,'Inputs (AUD)'!E:E,,0)</f>
        <v>-22.6</v>
      </c>
      <c r="F68" s="56">
        <f>_xlfn.XLOOKUP($A68,'Inputs (AUD)'!$A:$A,'Inputs (AUD)'!F:F,,0)</f>
        <v>-94.4</v>
      </c>
      <c r="G68" s="56">
        <f>_xlfn.XLOOKUP($A68,'Inputs (AUD)'!$A:$A,'Inputs (AUD)'!G:G,,0)</f>
        <v>-214.5</v>
      </c>
      <c r="H68" s="56">
        <f>_xlfn.XLOOKUP($A68,'Inputs (AUD)'!$A:$A,'Inputs (AUD)'!H:H,,0)</f>
        <v>-52.7</v>
      </c>
      <c r="I68" s="56">
        <f>_xlfn.XLOOKUP($A68,'Inputs (AUD)'!$A:$A,'Inputs (AUD)'!I:I,,0)</f>
        <v>-7.6</v>
      </c>
      <c r="J68" s="56">
        <f>_xlfn.XLOOKUP($A68,'Inputs (AUD)'!$A:$A,'Inputs (AUD)'!J:J,,0)</f>
        <v>-3.2</v>
      </c>
      <c r="K68" s="56">
        <f>_xlfn.XLOOKUP($A68,'Inputs (AUD)'!$A:$A,'Inputs (AUD)'!K:K,,0)</f>
        <v>-1.6</v>
      </c>
      <c r="L68" s="56">
        <f>_xlfn.XLOOKUP($A68,'Inputs (AUD)'!$A:$A,'Inputs (AUD)'!L:L,,0)</f>
        <v>-1.5</v>
      </c>
      <c r="M68" s="56">
        <f>_xlfn.XLOOKUP($A68,'Inputs (AUD)'!$A:$A,'Inputs (AUD)'!M:M,,0)</f>
        <v>0</v>
      </c>
    </row>
    <row r="69" spans="1:235">
      <c r="A69" s="106" t="s">
        <v>143</v>
      </c>
      <c r="B69" s="50">
        <f>_xlfn.XLOOKUP($A69,'Inputs (AUD)'!$A:$A,'Inputs (AUD)'!B:B,,0)</f>
        <v>-385.5</v>
      </c>
      <c r="C69" s="50">
        <f>_xlfn.XLOOKUP($A69,'Inputs (AUD)'!$A:$A,'Inputs (AUD)'!C:C,,0)</f>
        <v>-128.30000000000001</v>
      </c>
      <c r="D69" s="50">
        <f>_xlfn.XLOOKUP($A69,'Inputs (AUD)'!$A:$A,'Inputs (AUD)'!D:D,,0)</f>
        <v>-20.5</v>
      </c>
      <c r="E69" s="50">
        <f>_xlfn.XLOOKUP($A69,'Inputs (AUD)'!$A:$A,'Inputs (AUD)'!E:E,,0)</f>
        <v>-22.6</v>
      </c>
      <c r="F69" s="50">
        <f>_xlfn.XLOOKUP($A69,'Inputs (AUD)'!$A:$A,'Inputs (AUD)'!F:F,,0)</f>
        <v>-178.3</v>
      </c>
      <c r="G69" s="50">
        <f>_xlfn.XLOOKUP($A69,'Inputs (AUD)'!$A:$A,'Inputs (AUD)'!G:G,,0)</f>
        <v>-219.1</v>
      </c>
      <c r="H69" s="50">
        <f>_xlfn.XLOOKUP($A69,'Inputs (AUD)'!$A:$A,'Inputs (AUD)'!H:H,,0)</f>
        <v>-52.8</v>
      </c>
      <c r="I69" s="50">
        <f>_xlfn.XLOOKUP($A69,'Inputs (AUD)'!$A:$A,'Inputs (AUD)'!I:I,,0)</f>
        <v>-4.5999999999999996</v>
      </c>
      <c r="J69" s="50">
        <f>_xlfn.XLOOKUP($A69,'Inputs (AUD)'!$A:$A,'Inputs (AUD)'!J:J,,0)</f>
        <v>-0.6</v>
      </c>
      <c r="K69" s="50">
        <f>_xlfn.XLOOKUP($A69,'Inputs (AUD)'!$A:$A,'Inputs (AUD)'!K:K,,0)</f>
        <v>-1.6</v>
      </c>
      <c r="L69" s="50">
        <f>_xlfn.XLOOKUP($A69,'Inputs (AUD)'!$A:$A,'Inputs (AUD)'!L:L,,0)</f>
        <v>-1.5</v>
      </c>
      <c r="M69" s="50">
        <f>_xlfn.XLOOKUP($A69,'Inputs (AUD)'!$A:$A,'Inputs (AUD)'!M:M,,0)</f>
        <v>0</v>
      </c>
    </row>
    <row r="70" spans="1:235">
      <c r="A70" s="106" t="s">
        <v>144</v>
      </c>
      <c r="B70" s="50">
        <f>_xlfn.XLOOKUP($A70,'Inputs (AUD)'!$A:$A,'Inputs (AUD)'!B:B,,0)</f>
        <v>-22.4</v>
      </c>
      <c r="C70" s="50">
        <f>_xlfn.XLOOKUP($A70,'Inputs (AUD)'!$A:$A,'Inputs (AUD)'!C:C,,0)</f>
        <v>-76.2</v>
      </c>
      <c r="D70" s="50">
        <f>_xlfn.XLOOKUP($A70,'Inputs (AUD)'!$A:$A,'Inputs (AUD)'!D:D,,0)</f>
        <v>-210.3</v>
      </c>
      <c r="E70" s="50">
        <f>_xlfn.XLOOKUP($A70,'Inputs (AUD)'!$A:$A,'Inputs (AUD)'!E:E,,0)</f>
        <v>0</v>
      </c>
      <c r="F70" s="50">
        <f>_xlfn.XLOOKUP($A70,'Inputs (AUD)'!$A:$A,'Inputs (AUD)'!F:F,,0)</f>
        <v>0</v>
      </c>
      <c r="G70" s="50">
        <f>_xlfn.XLOOKUP($A70,'Inputs (AUD)'!$A:$A,'Inputs (AUD)'!G:G,,0)</f>
        <v>4.3</v>
      </c>
      <c r="H70" s="50">
        <f>_xlfn.XLOOKUP($A70,'Inputs (AUD)'!$A:$A,'Inputs (AUD)'!H:H,,0)</f>
        <v>0</v>
      </c>
      <c r="I70" s="50">
        <f>_xlfn.XLOOKUP($A70,'Inputs (AUD)'!$A:$A,'Inputs (AUD)'!I:I,,0)</f>
        <v>-2</v>
      </c>
      <c r="J70" s="50">
        <f>_xlfn.XLOOKUP($A70,'Inputs (AUD)'!$A:$A,'Inputs (AUD)'!J:J,,0)</f>
        <v>-1</v>
      </c>
      <c r="K70" s="50">
        <f>_xlfn.XLOOKUP($A70,'Inputs (AUD)'!$A:$A,'Inputs (AUD)'!K:K,,0)</f>
        <v>0</v>
      </c>
      <c r="L70" s="50">
        <f>_xlfn.XLOOKUP($A70,'Inputs (AUD)'!$A:$A,'Inputs (AUD)'!L:L,,0)</f>
        <v>0</v>
      </c>
      <c r="M70" s="50">
        <f>_xlfn.XLOOKUP($A70,'Inputs (AUD)'!$A:$A,'Inputs (AUD)'!M:M,,0)</f>
        <v>0</v>
      </c>
      <c r="IA70" s="40"/>
    </row>
    <row r="71" spans="1:235">
      <c r="A71" s="110" t="s">
        <v>145</v>
      </c>
      <c r="B71" s="56">
        <f>_xlfn.XLOOKUP($A71,'Inputs (AUD)'!$A:$A,'Inputs (AUD)'!B:B,,0)</f>
        <v>-315.10000000000002</v>
      </c>
      <c r="C71" s="56">
        <f>_xlfn.XLOOKUP($A71,'Inputs (AUD)'!$A:$A,'Inputs (AUD)'!C:C,,0)</f>
        <v>45.5</v>
      </c>
      <c r="D71" s="56">
        <f>_xlfn.XLOOKUP($A71,'Inputs (AUD)'!$A:$A,'Inputs (AUD)'!D:D,,0)</f>
        <v>232.7</v>
      </c>
      <c r="E71" s="56">
        <f>_xlfn.XLOOKUP($A71,'Inputs (AUD)'!$A:$A,'Inputs (AUD)'!E:E,,0)</f>
        <v>65.8</v>
      </c>
      <c r="F71" s="56">
        <f>_xlfn.XLOOKUP($A71,'Inputs (AUD)'!$A:$A,'Inputs (AUD)'!F:F,,0)</f>
        <v>49</v>
      </c>
      <c r="G71" s="56">
        <f>_xlfn.XLOOKUP($A71,'Inputs (AUD)'!$A:$A,'Inputs (AUD)'!G:G,,0)</f>
        <v>256</v>
      </c>
      <c r="H71" s="56">
        <f>_xlfn.XLOOKUP($A71,'Inputs (AUD)'!$A:$A,'Inputs (AUD)'!H:H,,0)</f>
        <v>56.1</v>
      </c>
      <c r="I71" s="56">
        <f>_xlfn.XLOOKUP($A71,'Inputs (AUD)'!$A:$A,'Inputs (AUD)'!I:I,,0)</f>
        <v>119</v>
      </c>
      <c r="J71" s="56">
        <f>_xlfn.XLOOKUP($A71,'Inputs (AUD)'!$A:$A,'Inputs (AUD)'!J:J,,0)</f>
        <v>6.8</v>
      </c>
      <c r="K71" s="56">
        <f>_xlfn.XLOOKUP($A71,'Inputs (AUD)'!$A:$A,'Inputs (AUD)'!K:K,,0)</f>
        <v>3.4</v>
      </c>
      <c r="L71" s="56">
        <f>_xlfn.XLOOKUP($A71,'Inputs (AUD)'!$A:$A,'Inputs (AUD)'!L:L,,0)</f>
        <v>3.1</v>
      </c>
      <c r="M71" s="56">
        <f>_xlfn.XLOOKUP($A71,'Inputs (AUD)'!$A:$A,'Inputs (AUD)'!M:M,,0)</f>
        <v>0</v>
      </c>
      <c r="IA71" s="40"/>
    </row>
    <row r="72" spans="1:235">
      <c r="A72" s="106" t="s">
        <v>146</v>
      </c>
      <c r="B72" s="50">
        <f>_xlfn.XLOOKUP($A72,'Inputs (AUD)'!$A:$A,'Inputs (AUD)'!B:B,,0)</f>
        <v>-329.8</v>
      </c>
      <c r="C72" s="50">
        <f>_xlfn.XLOOKUP($A72,'Inputs (AUD)'!$A:$A,'Inputs (AUD)'!C:C,,0)</f>
        <v>0</v>
      </c>
      <c r="D72" s="50">
        <f>_xlfn.XLOOKUP($A72,'Inputs (AUD)'!$A:$A,'Inputs (AUD)'!D:D,,0)</f>
        <v>0</v>
      </c>
      <c r="E72" s="50">
        <f>_xlfn.XLOOKUP($A72,'Inputs (AUD)'!$A:$A,'Inputs (AUD)'!E:E,,0)</f>
        <v>0</v>
      </c>
      <c r="F72" s="50">
        <f>_xlfn.XLOOKUP($A72,'Inputs (AUD)'!$A:$A,'Inputs (AUD)'!F:F,,0)</f>
        <v>0</v>
      </c>
      <c r="G72" s="50">
        <f>_xlfn.XLOOKUP($A72,'Inputs (AUD)'!$A:$A,'Inputs (AUD)'!G:G,,0)</f>
        <v>0</v>
      </c>
      <c r="H72" s="50">
        <f>_xlfn.XLOOKUP($A72,'Inputs (AUD)'!$A:$A,'Inputs (AUD)'!H:H,,0)</f>
        <v>0</v>
      </c>
      <c r="I72" s="50">
        <f>_xlfn.XLOOKUP($A72,'Inputs (AUD)'!$A:$A,'Inputs (AUD)'!I:I,,0)</f>
        <v>0</v>
      </c>
      <c r="J72" s="50">
        <f>_xlfn.XLOOKUP($A72,'Inputs (AUD)'!$A:$A,'Inputs (AUD)'!J:J,,0)</f>
        <v>0</v>
      </c>
      <c r="K72" s="50">
        <f>_xlfn.XLOOKUP($A72,'Inputs (AUD)'!$A:$A,'Inputs (AUD)'!K:K,,0)</f>
        <v>0</v>
      </c>
      <c r="L72" s="50" t="str">
        <f>_xlfn.XLOOKUP($A72,'Inputs (AUD)'!$A:$A,'Inputs (AUD)'!L:L,,0)</f>
        <v>--</v>
      </c>
      <c r="M72" s="50">
        <f>_xlfn.XLOOKUP($A72,'Inputs (AUD)'!$A:$A,'Inputs (AUD)'!M:M,,0)</f>
        <v>0</v>
      </c>
      <c r="IA72" s="40"/>
    </row>
    <row r="73" spans="1:235">
      <c r="A73" s="106" t="s">
        <v>1134</v>
      </c>
      <c r="B73" s="50">
        <f>_xlfn.XLOOKUP($A73,'Inputs (AUD)'!$A:$A,'Inputs (AUD)'!B:B,,0)</f>
        <v>1.2</v>
      </c>
      <c r="C73" s="50">
        <f>_xlfn.XLOOKUP($A73,'Inputs (AUD)'!$A:$A,'Inputs (AUD)'!C:C,,0)</f>
        <v>3.6</v>
      </c>
      <c r="D73" s="50">
        <f>_xlfn.XLOOKUP($A73,'Inputs (AUD)'!$A:$A,'Inputs (AUD)'!D:D,,0)</f>
        <v>239.7</v>
      </c>
      <c r="E73" s="50">
        <f>_xlfn.XLOOKUP($A73,'Inputs (AUD)'!$A:$A,'Inputs (AUD)'!E:E,,0)</f>
        <v>111.5</v>
      </c>
      <c r="F73" s="50">
        <f>_xlfn.XLOOKUP($A73,'Inputs (AUD)'!$A:$A,'Inputs (AUD)'!F:F,,0)</f>
        <v>60.7</v>
      </c>
      <c r="G73" s="50">
        <f>_xlfn.XLOOKUP($A73,'Inputs (AUD)'!$A:$A,'Inputs (AUD)'!G:G,,0)</f>
        <v>156.4</v>
      </c>
      <c r="H73" s="50">
        <f>_xlfn.XLOOKUP($A73,'Inputs (AUD)'!$A:$A,'Inputs (AUD)'!H:H,,0)</f>
        <v>68.400000000000006</v>
      </c>
      <c r="I73" s="50">
        <f>_xlfn.XLOOKUP($A73,'Inputs (AUD)'!$A:$A,'Inputs (AUD)'!I:I,,0)</f>
        <v>122.7</v>
      </c>
      <c r="J73" s="50">
        <f>_xlfn.XLOOKUP($A73,'Inputs (AUD)'!$A:$A,'Inputs (AUD)'!J:J,,0)</f>
        <v>5.2</v>
      </c>
      <c r="K73" s="50">
        <f>_xlfn.XLOOKUP($A73,'Inputs (AUD)'!$A:$A,'Inputs (AUD)'!K:K,,0)</f>
        <v>1.2</v>
      </c>
      <c r="L73" s="50">
        <f>_xlfn.XLOOKUP($A73,'Inputs (AUD)'!$A:$A,'Inputs (AUD)'!L:L,,0)</f>
        <v>1.1000000000000001</v>
      </c>
      <c r="M73" s="50">
        <f>_xlfn.XLOOKUP($A73,'Inputs (AUD)'!$A:$A,'Inputs (AUD)'!M:M,,0)</f>
        <v>0</v>
      </c>
    </row>
    <row r="74" spans="1:235">
      <c r="A74" s="110" t="s">
        <v>149</v>
      </c>
      <c r="B74" s="56">
        <f>_xlfn.XLOOKUP($A74,'Inputs (AUD)'!$A:$A,'Inputs (AUD)'!B:B,,0)</f>
        <v>13.2</v>
      </c>
      <c r="C74" s="56">
        <f>_xlfn.XLOOKUP($A74,'Inputs (AUD)'!$A:$A,'Inputs (AUD)'!C:C,,0)</f>
        <v>3.4</v>
      </c>
      <c r="D74" s="56">
        <f>_xlfn.XLOOKUP($A74,'Inputs (AUD)'!$A:$A,'Inputs (AUD)'!D:D,,0)</f>
        <v>-7.2</v>
      </c>
      <c r="E74" s="56">
        <f>_xlfn.XLOOKUP($A74,'Inputs (AUD)'!$A:$A,'Inputs (AUD)'!E:E,,0)</f>
        <v>-1.6</v>
      </c>
      <c r="F74" s="56">
        <f>_xlfn.XLOOKUP($A74,'Inputs (AUD)'!$A:$A,'Inputs (AUD)'!F:F,,0)</f>
        <v>-0.5</v>
      </c>
      <c r="G74" s="56">
        <f>_xlfn.XLOOKUP($A74,'Inputs (AUD)'!$A:$A,'Inputs (AUD)'!G:G,,0)</f>
        <v>0.2</v>
      </c>
      <c r="H74" s="56">
        <f>_xlfn.XLOOKUP($A74,'Inputs (AUD)'!$A:$A,'Inputs (AUD)'!H:H,,0)</f>
        <v>0</v>
      </c>
      <c r="I74" s="56">
        <f>_xlfn.XLOOKUP($A74,'Inputs (AUD)'!$A:$A,'Inputs (AUD)'!I:I,,0)</f>
        <v>0</v>
      </c>
      <c r="J74" s="56">
        <f>_xlfn.XLOOKUP($A74,'Inputs (AUD)'!$A:$A,'Inputs (AUD)'!J:J,,0)</f>
        <v>0</v>
      </c>
      <c r="K74" s="56">
        <f>_xlfn.XLOOKUP($A74,'Inputs (AUD)'!$A:$A,'Inputs (AUD)'!K:K,,0)</f>
        <v>0</v>
      </c>
      <c r="L74" s="56" t="str">
        <f>_xlfn.XLOOKUP($A74,'Inputs (AUD)'!$A:$A,'Inputs (AUD)'!L:L,,0)</f>
        <v>--</v>
      </c>
      <c r="M74" s="56">
        <f>_xlfn.XLOOKUP($A74,'Inputs (AUD)'!$A:$A,'Inputs (AUD)'!M:M,,0)</f>
        <v>0</v>
      </c>
    </row>
    <row r="75" spans="1:235">
      <c r="A75" s="110" t="s">
        <v>1154</v>
      </c>
      <c r="B75" s="56">
        <f>_xlfn.XLOOKUP($A75,'Inputs (AUD)'!$A:$A,'Inputs (AUD)'!B:B,,0)</f>
        <v>2746.7999999999997</v>
      </c>
      <c r="C75" s="56">
        <f>_xlfn.XLOOKUP($A75,'Inputs (AUD)'!$A:$A,'Inputs (AUD)'!C:C,,0)</f>
        <v>492</v>
      </c>
      <c r="D75" s="56">
        <f>_xlfn.XLOOKUP($A75,'Inputs (AUD)'!$A:$A,'Inputs (AUD)'!D:D,,0)</f>
        <v>13.499999999999989</v>
      </c>
      <c r="E75" s="56">
        <f>_xlfn.XLOOKUP($A75,'Inputs (AUD)'!$A:$A,'Inputs (AUD)'!E:E,,0)</f>
        <v>22.599999999999994</v>
      </c>
      <c r="F75" s="56">
        <f>_xlfn.XLOOKUP($A75,'Inputs (AUD)'!$A:$A,'Inputs (AUD)'!F:F,,0)</f>
        <v>-56.300000000000011</v>
      </c>
      <c r="G75" s="56">
        <f>_xlfn.XLOOKUP($A75,'Inputs (AUD)'!$A:$A,'Inputs (AUD)'!G:G,,0)</f>
        <v>32.700000000000003</v>
      </c>
      <c r="H75" s="56">
        <f>_xlfn.XLOOKUP($A75,'Inputs (AUD)'!$A:$A,'Inputs (AUD)'!H:H,,0)</f>
        <v>-12.899999999999999</v>
      </c>
      <c r="I75" s="56">
        <f>_xlfn.XLOOKUP($A75,'Inputs (AUD)'!$A:$A,'Inputs (AUD)'!I:I,,0)</f>
        <v>96.8</v>
      </c>
      <c r="J75" s="56">
        <f>_xlfn.XLOOKUP($A75,'Inputs (AUD)'!$A:$A,'Inputs (AUD)'!J:J,,0)</f>
        <v>2.0999999999999996</v>
      </c>
      <c r="K75" s="56">
        <f>_xlfn.XLOOKUP($A75,'Inputs (AUD)'!$A:$A,'Inputs (AUD)'!K:K,,0)</f>
        <v>0.89999999999999991</v>
      </c>
      <c r="L75" s="56" t="e">
        <f>_xlfn.XLOOKUP($A75,'Inputs (AUD)'!$A:$A,'Inputs (AUD)'!L:L,,0)</f>
        <v>#VALUE!</v>
      </c>
      <c r="M75" s="56">
        <f>_xlfn.XLOOKUP($A75,'Inputs (AUD)'!$A:$A,'Inputs (AUD)'!M:M,,0)</f>
        <v>0</v>
      </c>
    </row>
    <row r="76" spans="1:235">
      <c r="K76" s="40"/>
      <c r="L76" s="40"/>
      <c r="M76" s="40"/>
    </row>
    <row r="77" spans="1:235" ht="21">
      <c r="A77" s="1503" t="s">
        <v>1155</v>
      </c>
      <c r="B77" s="1503"/>
      <c r="C77" s="1503"/>
      <c r="D77" s="1503"/>
      <c r="E77" s="1503"/>
      <c r="F77" s="1503"/>
      <c r="G77" s="1503"/>
      <c r="H77" s="1503"/>
      <c r="I77" s="1503"/>
      <c r="J77" s="1503"/>
      <c r="K77" s="1503"/>
      <c r="L77" s="1503"/>
      <c r="M77" s="1503"/>
    </row>
    <row r="78" spans="1:235">
      <c r="A78" s="105" t="s">
        <v>1156</v>
      </c>
      <c r="B78" s="50" t="e">
        <f>_xlfn.XLOOKUP($A78,'Inputs (AUD)'!$A:$A,'Inputs (AUD)'!B:B,,0)</f>
        <v>#N/A</v>
      </c>
      <c r="C78" s="50" t="e">
        <f>_xlfn.XLOOKUP($A78,'Inputs (AUD)'!$A:$A,'Inputs (AUD)'!C:C,,0)</f>
        <v>#N/A</v>
      </c>
      <c r="D78" s="50" t="e">
        <f>_xlfn.XLOOKUP($A78,'Inputs (AUD)'!$A:$A,'Inputs (AUD)'!D:D,,0)</f>
        <v>#N/A</v>
      </c>
      <c r="E78" s="50" t="e">
        <f>_xlfn.XLOOKUP($A78,'Inputs (AUD)'!$A:$A,'Inputs (AUD)'!E:E,,0)</f>
        <v>#N/A</v>
      </c>
      <c r="F78" s="50" t="e">
        <f>_xlfn.XLOOKUP($A78,'Inputs (AUD)'!$A:$A,'Inputs (AUD)'!F:F,,0)</f>
        <v>#N/A</v>
      </c>
      <c r="G78" s="50" t="e">
        <f>_xlfn.XLOOKUP($A78,'Inputs (AUD)'!$A:$A,'Inputs (AUD)'!G:G,,0)</f>
        <v>#N/A</v>
      </c>
      <c r="H78" s="50" t="e">
        <f>_xlfn.XLOOKUP($A78,'Inputs (AUD)'!$A:$A,'Inputs (AUD)'!H:H,,0)</f>
        <v>#N/A</v>
      </c>
      <c r="I78" s="50" t="e">
        <f>_xlfn.XLOOKUP($A78,'Inputs (AUD)'!$A:$A,'Inputs (AUD)'!I:I,,0)</f>
        <v>#N/A</v>
      </c>
      <c r="J78" s="50" t="e">
        <f>_xlfn.XLOOKUP($A78,'Inputs (AUD)'!$A:$A,'Inputs (AUD)'!J:J,,0)</f>
        <v>#N/A</v>
      </c>
      <c r="K78" s="50" t="e">
        <f>_xlfn.XLOOKUP($A78,'Inputs (AUD)'!$A:$A,'Inputs (AUD)'!K:K,,0)</f>
        <v>#N/A</v>
      </c>
      <c r="L78" s="50" t="e">
        <f>_xlfn.XLOOKUP($A78,'Inputs (AUD)'!$A:$A,'Inputs (AUD)'!L:L,,0)</f>
        <v>#N/A</v>
      </c>
      <c r="M78" s="50" t="e">
        <f>_xlfn.XLOOKUP($A78,'Inputs (AUD)'!$A:$A,'Inputs (AUD)'!M:M,,0)</f>
        <v>#N/A</v>
      </c>
    </row>
    <row r="79" spans="1:235">
      <c r="A79" s="111" t="s">
        <v>1157</v>
      </c>
      <c r="B79" s="50" t="e">
        <f>_xlfn.XLOOKUP($A79,'Inputs (AUD)'!$A:$A,'Inputs (AUD)'!B:B,,0)</f>
        <v>#N/A</v>
      </c>
      <c r="C79" s="50" t="e">
        <f>_xlfn.XLOOKUP($A79,'Inputs (AUD)'!$A:$A,'Inputs (AUD)'!C:C,,0)</f>
        <v>#N/A</v>
      </c>
      <c r="D79" s="50" t="e">
        <f>_xlfn.XLOOKUP($A79,'Inputs (AUD)'!$A:$A,'Inputs (AUD)'!D:D,,0)</f>
        <v>#N/A</v>
      </c>
      <c r="E79" s="50" t="e">
        <f>_xlfn.XLOOKUP($A79,'Inputs (AUD)'!$A:$A,'Inputs (AUD)'!E:E,,0)</f>
        <v>#N/A</v>
      </c>
      <c r="F79" s="50" t="e">
        <f>_xlfn.XLOOKUP($A79,'Inputs (AUD)'!$A:$A,'Inputs (AUD)'!F:F,,0)</f>
        <v>#N/A</v>
      </c>
      <c r="G79" s="50" t="e">
        <f>_xlfn.XLOOKUP($A79,'Inputs (AUD)'!$A:$A,'Inputs (AUD)'!G:G,,0)</f>
        <v>#N/A</v>
      </c>
      <c r="H79" s="50" t="e">
        <f>_xlfn.XLOOKUP($A79,'Inputs (AUD)'!$A:$A,'Inputs (AUD)'!H:H,,0)</f>
        <v>#N/A</v>
      </c>
      <c r="I79" s="50" t="e">
        <f>_xlfn.XLOOKUP($A79,'Inputs (AUD)'!$A:$A,'Inputs (AUD)'!I:I,,0)</f>
        <v>#N/A</v>
      </c>
      <c r="J79" s="50" t="e">
        <f>_xlfn.XLOOKUP($A79,'Inputs (AUD)'!$A:$A,'Inputs (AUD)'!J:J,,0)</f>
        <v>#N/A</v>
      </c>
      <c r="K79" s="50" t="e">
        <f>_xlfn.XLOOKUP($A79,'Inputs (AUD)'!$A:$A,'Inputs (AUD)'!K:K,,0)</f>
        <v>#N/A</v>
      </c>
      <c r="L79" s="50" t="e">
        <f>_xlfn.XLOOKUP($A79,'Inputs (AUD)'!$A:$A,'Inputs (AUD)'!L:L,,0)</f>
        <v>#N/A</v>
      </c>
      <c r="M79" s="50" t="e">
        <f>_xlfn.XLOOKUP($A79,'Inputs (AUD)'!$A:$A,'Inputs (AUD)'!M:M,,0)</f>
        <v>#N/A</v>
      </c>
    </row>
    <row r="80" spans="1:235">
      <c r="A80" s="105" t="s">
        <v>56</v>
      </c>
      <c r="B80" s="50">
        <f>_xlfn.XLOOKUP($A80,'Inputs (AUD)'!$A:$A,'Inputs (AUD)'!B:B,,0)</f>
        <v>0.90369999999999995</v>
      </c>
      <c r="C80" s="50" t="str">
        <f>_xlfn.XLOOKUP($A80,'Inputs (AUD)'!$A:$A,'Inputs (AUD)'!C:C,,0)</f>
        <v>Yahoo finance</v>
      </c>
      <c r="D80" s="50">
        <f>_xlfn.XLOOKUP($A80,'Inputs (AUD)'!$A:$A,'Inputs (AUD)'!D:D,,0)</f>
        <v>0</v>
      </c>
      <c r="E80" s="50">
        <f>_xlfn.XLOOKUP($A80,'Inputs (AUD)'!$A:$A,'Inputs (AUD)'!E:E,,0)</f>
        <v>0</v>
      </c>
      <c r="F80" s="50">
        <f>_xlfn.XLOOKUP($A80,'Inputs (AUD)'!$A:$A,'Inputs (AUD)'!F:F,,0)</f>
        <v>0</v>
      </c>
      <c r="G80" s="50">
        <f>_xlfn.XLOOKUP($A80,'Inputs (AUD)'!$A:$A,'Inputs (AUD)'!G:G,,0)</f>
        <v>0</v>
      </c>
      <c r="H80" s="50">
        <f>_xlfn.XLOOKUP($A80,'Inputs (AUD)'!$A:$A,'Inputs (AUD)'!H:H,,0)</f>
        <v>0</v>
      </c>
      <c r="I80" s="50">
        <f>_xlfn.XLOOKUP($A80,'Inputs (AUD)'!$A:$A,'Inputs (AUD)'!I:I,,0)</f>
        <v>0</v>
      </c>
      <c r="J80" s="50">
        <f>_xlfn.XLOOKUP($A80,'Inputs (AUD)'!$A:$A,'Inputs (AUD)'!J:J,,0)</f>
        <v>0</v>
      </c>
      <c r="K80" s="50">
        <f>_xlfn.XLOOKUP($A80,'Inputs (AUD)'!$A:$A,'Inputs (AUD)'!K:K,,0)</f>
        <v>0</v>
      </c>
      <c r="L80" s="50">
        <f>_xlfn.XLOOKUP($A80,'Inputs (AUD)'!$A:$A,'Inputs (AUD)'!L:L,,0)</f>
        <v>0</v>
      </c>
      <c r="M80" s="50">
        <f>_xlfn.XLOOKUP($A80,'Inputs (AUD)'!$A:$A,'Inputs (AUD)'!M:M,,0)</f>
        <v>0</v>
      </c>
    </row>
    <row r="81" spans="1:15">
      <c r="A81" s="111" t="s">
        <v>60</v>
      </c>
      <c r="B81" s="50">
        <f>_xlfn.XLOOKUP($A81,'Inputs (AUD)'!$A:$A,'Inputs (AUD)'!B:B,,0)</f>
        <v>9.6299999999999997E-2</v>
      </c>
      <c r="C81" s="50" t="str">
        <f>_xlfn.XLOOKUP($A81,'Inputs (AUD)'!$A:$A,'Inputs (AUD)'!C:C,,0)</f>
        <v>Yahoo finance</v>
      </c>
      <c r="D81" s="50">
        <f>_xlfn.XLOOKUP($A81,'Inputs (AUD)'!$A:$A,'Inputs (AUD)'!D:D,,0)</f>
        <v>0</v>
      </c>
      <c r="E81" s="50">
        <f>_xlfn.XLOOKUP($A81,'Inputs (AUD)'!$A:$A,'Inputs (AUD)'!E:E,,0)</f>
        <v>0</v>
      </c>
      <c r="F81" s="50">
        <f>_xlfn.XLOOKUP($A81,'Inputs (AUD)'!$A:$A,'Inputs (AUD)'!F:F,,0)</f>
        <v>0</v>
      </c>
      <c r="G81" s="50">
        <f>_xlfn.XLOOKUP($A81,'Inputs (AUD)'!$A:$A,'Inputs (AUD)'!G:G,,0)</f>
        <v>0</v>
      </c>
      <c r="H81" s="50">
        <f>_xlfn.XLOOKUP($A81,'Inputs (AUD)'!$A:$A,'Inputs (AUD)'!H:H,,0)</f>
        <v>0</v>
      </c>
      <c r="I81" s="50">
        <f>_xlfn.XLOOKUP($A81,'Inputs (AUD)'!$A:$A,'Inputs (AUD)'!I:I,,0)</f>
        <v>0</v>
      </c>
      <c r="J81" s="50">
        <f>_xlfn.XLOOKUP($A81,'Inputs (AUD)'!$A:$A,'Inputs (AUD)'!J:J,,0)</f>
        <v>0</v>
      </c>
      <c r="K81" s="50">
        <f>_xlfn.XLOOKUP($A81,'Inputs (AUD)'!$A:$A,'Inputs (AUD)'!K:K,,0)</f>
        <v>0</v>
      </c>
      <c r="L81" s="50">
        <f>_xlfn.XLOOKUP($A81,'Inputs (AUD)'!$A:$A,'Inputs (AUD)'!L:L,,0)</f>
        <v>0</v>
      </c>
      <c r="M81" s="50">
        <f>_xlfn.XLOOKUP($A81,'Inputs (AUD)'!$A:$A,'Inputs (AUD)'!M:M,,0)</f>
        <v>0</v>
      </c>
    </row>
    <row r="82" spans="1:15">
      <c r="A82" s="105" t="s">
        <v>1158</v>
      </c>
      <c r="B82" s="50" t="str">
        <f>_xlfn.XLOOKUP($A82,'Inputs (AUD)'!$A:$A,'Inputs (AUD)'!B:B,,0)</f>
        <v>None</v>
      </c>
      <c r="C82" s="50" t="str">
        <f>_xlfn.XLOOKUP($A82,'Inputs (AUD)'!$A:$A,'Inputs (AUD)'!C:C,,0)</f>
        <v>10-K</v>
      </c>
      <c r="D82" s="50">
        <f>_xlfn.XLOOKUP($A82,'Inputs (AUD)'!$A:$A,'Inputs (AUD)'!D:D,,0)</f>
        <v>0</v>
      </c>
      <c r="E82" s="50">
        <f>_xlfn.XLOOKUP($A82,'Inputs (AUD)'!$A:$A,'Inputs (AUD)'!E:E,,0)</f>
        <v>0</v>
      </c>
      <c r="F82" s="50">
        <f>_xlfn.XLOOKUP($A82,'Inputs (AUD)'!$A:$A,'Inputs (AUD)'!F:F,,0)</f>
        <v>0</v>
      </c>
      <c r="G82" s="50">
        <f>_xlfn.XLOOKUP($A82,'Inputs (AUD)'!$A:$A,'Inputs (AUD)'!G:G,,0)</f>
        <v>0</v>
      </c>
      <c r="H82" s="50">
        <f>_xlfn.XLOOKUP($A82,'Inputs (AUD)'!$A:$A,'Inputs (AUD)'!H:H,,0)</f>
        <v>0</v>
      </c>
      <c r="I82" s="50">
        <f>_xlfn.XLOOKUP($A82,'Inputs (AUD)'!$A:$A,'Inputs (AUD)'!I:I,,0)</f>
        <v>0</v>
      </c>
      <c r="J82" s="50">
        <f>_xlfn.XLOOKUP($A82,'Inputs (AUD)'!$A:$A,'Inputs (AUD)'!J:J,,0)</f>
        <v>0</v>
      </c>
      <c r="K82" s="50">
        <f>_xlfn.XLOOKUP($A82,'Inputs (AUD)'!$A:$A,'Inputs (AUD)'!K:K,,0)</f>
        <v>0</v>
      </c>
      <c r="L82" s="50">
        <f>_xlfn.XLOOKUP($A82,'Inputs (AUD)'!$A:$A,'Inputs (AUD)'!L:L,,0)</f>
        <v>0</v>
      </c>
      <c r="M82" s="50">
        <f>_xlfn.XLOOKUP($A82,'Inputs (AUD)'!$A:$A,'Inputs (AUD)'!M:M,,0)</f>
        <v>0</v>
      </c>
    </row>
    <row r="83" spans="1:15">
      <c r="A83" s="105" t="s">
        <v>1159</v>
      </c>
      <c r="B83" s="50" t="e">
        <f>_xlfn.XLOOKUP($A83,'Inputs (AUD)'!$A:$A,'Inputs (AUD)'!B:B,,0)</f>
        <v>#N/A</v>
      </c>
      <c r="C83" s="50" t="e">
        <f>_xlfn.XLOOKUP($A83,'Inputs (AUD)'!$A:$A,'Inputs (AUD)'!C:C,,0)</f>
        <v>#N/A</v>
      </c>
      <c r="D83" s="50" t="e">
        <f>_xlfn.XLOOKUP($A83,'Inputs (AUD)'!$A:$A,'Inputs (AUD)'!D:D,,0)</f>
        <v>#N/A</v>
      </c>
      <c r="E83" s="50" t="e">
        <f>_xlfn.XLOOKUP($A83,'Inputs (AUD)'!$A:$A,'Inputs (AUD)'!E:E,,0)</f>
        <v>#N/A</v>
      </c>
      <c r="F83" s="50" t="e">
        <f>_xlfn.XLOOKUP($A83,'Inputs (AUD)'!$A:$A,'Inputs (AUD)'!F:F,,0)</f>
        <v>#N/A</v>
      </c>
      <c r="G83" s="50" t="e">
        <f>_xlfn.XLOOKUP($A83,'Inputs (AUD)'!$A:$A,'Inputs (AUD)'!G:G,,0)</f>
        <v>#N/A</v>
      </c>
      <c r="H83" s="50" t="e">
        <f>_xlfn.XLOOKUP($A83,'Inputs (AUD)'!$A:$A,'Inputs (AUD)'!H:H,,0)</f>
        <v>#N/A</v>
      </c>
      <c r="I83" s="50" t="e">
        <f>_xlfn.XLOOKUP($A83,'Inputs (AUD)'!$A:$A,'Inputs (AUD)'!I:I,,0)</f>
        <v>#N/A</v>
      </c>
      <c r="J83" s="50" t="e">
        <f>_xlfn.XLOOKUP($A83,'Inputs (AUD)'!$A:$A,'Inputs (AUD)'!J:J,,0)</f>
        <v>#N/A</v>
      </c>
      <c r="K83" s="50" t="e">
        <f>_xlfn.XLOOKUP($A83,'Inputs (AUD)'!$A:$A,'Inputs (AUD)'!K:K,,0)</f>
        <v>#N/A</v>
      </c>
      <c r="L83" s="50" t="e">
        <f>_xlfn.XLOOKUP($A83,'Inputs (AUD)'!$A:$A,'Inputs (AUD)'!L:L,,0)</f>
        <v>#N/A</v>
      </c>
      <c r="M83" s="50" t="e">
        <f>_xlfn.XLOOKUP($A83,'Inputs (AUD)'!$A:$A,'Inputs (AUD)'!M:M,,0)</f>
        <v>#N/A</v>
      </c>
    </row>
    <row r="84" spans="1:15">
      <c r="A84" s="111" t="s">
        <v>1160</v>
      </c>
      <c r="B84" s="50">
        <f ca="1">_xlfn.XLOOKUP($A84,'Inputs (AUD)'!$A:$A,'Inputs (AUD)'!B:B,,0)</f>
        <v>26134006</v>
      </c>
      <c r="C84" s="50" t="str">
        <f>_xlfn.XLOOKUP($A84,'Inputs (AUD)'!$A:$A,'Inputs (AUD)'!C:C,,0)</f>
        <v>Yahoo Finance</v>
      </c>
      <c r="D84" s="50">
        <f>_xlfn.XLOOKUP($A84,'Inputs (AUD)'!$A:$A,'Inputs (AUD)'!D:D,,0)</f>
        <v>0</v>
      </c>
      <c r="E84" s="50">
        <f>_xlfn.XLOOKUP($A84,'Inputs (AUD)'!$A:$A,'Inputs (AUD)'!E:E,,0)</f>
        <v>0</v>
      </c>
      <c r="F84" s="50">
        <f>_xlfn.XLOOKUP($A84,'Inputs (AUD)'!$A:$A,'Inputs (AUD)'!F:F,,0)</f>
        <v>0</v>
      </c>
      <c r="G84" s="50">
        <f>_xlfn.XLOOKUP($A84,'Inputs (AUD)'!$A:$A,'Inputs (AUD)'!G:G,,0)</f>
        <v>0</v>
      </c>
      <c r="H84" s="50">
        <f>_xlfn.XLOOKUP($A84,'Inputs (AUD)'!$A:$A,'Inputs (AUD)'!H:H,,0)</f>
        <v>0</v>
      </c>
      <c r="I84" s="50">
        <f>_xlfn.XLOOKUP($A84,'Inputs (AUD)'!$A:$A,'Inputs (AUD)'!I:I,,0)</f>
        <v>0</v>
      </c>
      <c r="J84" s="50">
        <f>_xlfn.XLOOKUP($A84,'Inputs (AUD)'!$A:$A,'Inputs (AUD)'!J:J,,0)</f>
        <v>0</v>
      </c>
      <c r="K84" s="50">
        <f>_xlfn.XLOOKUP($A84,'Inputs (AUD)'!$A:$A,'Inputs (AUD)'!K:K,,0)</f>
        <v>0</v>
      </c>
      <c r="L84" s="50">
        <f>_xlfn.XLOOKUP($A84,'Inputs (AUD)'!$A:$A,'Inputs (AUD)'!L:L,,0)</f>
        <v>0</v>
      </c>
      <c r="M84" s="50">
        <f>_xlfn.XLOOKUP($A84,'Inputs (AUD)'!$A:$A,'Inputs (AUD)'!M:M,,0)</f>
        <v>0</v>
      </c>
    </row>
    <row r="85" spans="1:15">
      <c r="B85" s="42"/>
      <c r="C85" s="42"/>
      <c r="D85" s="42"/>
      <c r="E85" s="42"/>
      <c r="F85" s="42"/>
      <c r="G85" s="42"/>
      <c r="H85" s="42"/>
      <c r="I85" s="42"/>
      <c r="J85" s="42"/>
      <c r="K85" s="42"/>
      <c r="L85" s="42"/>
      <c r="M85" s="42"/>
    </row>
    <row r="86" spans="1:15">
      <c r="B86" s="41">
        <v>2023</v>
      </c>
      <c r="C86" s="41">
        <v>2022</v>
      </c>
      <c r="D86" s="41">
        <v>2021</v>
      </c>
      <c r="G86" s="41"/>
      <c r="H86" s="42"/>
      <c r="I86" s="42"/>
      <c r="J86" s="42"/>
      <c r="K86" s="42"/>
      <c r="L86" s="42"/>
      <c r="M86" s="42"/>
    </row>
    <row r="87" spans="1:15">
      <c r="A87" s="105" t="s">
        <v>1161</v>
      </c>
      <c r="B87" s="738" t="str">
        <f>'Inputs (AUD)'!B88</f>
        <v>N/A</v>
      </c>
      <c r="C87" s="738" t="str">
        <f>'Inputs (AUD)'!C88</f>
        <v>N/A</v>
      </c>
      <c r="D87" s="739" t="str">
        <f>'Inputs (AUD)'!D88</f>
        <v>N/A</v>
      </c>
      <c r="G87" s="42"/>
      <c r="H87" s="42"/>
      <c r="I87" s="42"/>
      <c r="J87" s="42"/>
      <c r="K87" s="42"/>
      <c r="L87" s="42"/>
      <c r="M87" s="42"/>
    </row>
    <row r="88" spans="1:15">
      <c r="A88" s="111" t="s">
        <v>81</v>
      </c>
      <c r="B88" s="738">
        <f>'Inputs (AUD)'!B89</f>
        <v>0.8</v>
      </c>
      <c r="C88" s="738">
        <f>'Inputs (AUD)'!C89</f>
        <v>0.19</v>
      </c>
      <c r="D88" s="739">
        <f>'Inputs (AUD)'!D89</f>
        <v>-0.02</v>
      </c>
    </row>
    <row r="90" spans="1:15">
      <c r="A90" s="13" t="s">
        <v>1162</v>
      </c>
      <c r="B90" s="41" t="s">
        <v>1108</v>
      </c>
      <c r="C90" s="41" t="s">
        <v>1163</v>
      </c>
      <c r="D90" s="41" t="s">
        <v>1164</v>
      </c>
      <c r="E90" s="41" t="s">
        <v>1165</v>
      </c>
      <c r="G90" s="41"/>
    </row>
    <row r="91" spans="1:15">
      <c r="B91" s="57" t="e">
        <f>VLOOKUP($A91,'Inputs (AUD)'!$A$5:$M$90,MATCH(B$4,'Inputs (AUD)'!$B$5:$M$5,0)+1,FALSE)</f>
        <v>#N/A</v>
      </c>
      <c r="C91" s="57" t="e">
        <f>VLOOKUP($A91,'Inputs (AUD)'!$A$5:$M$90,MATCH(C$4,'Inputs (AUD)'!$B$5:$M$5,0)+1,FALSE)</f>
        <v>#N/A</v>
      </c>
      <c r="D91" s="57" t="e">
        <f>VLOOKUP($A91,'Inputs (AUD)'!$A$5:$M$90,MATCH(D$4,'Inputs (AUD)'!$B$5:$M$5,0)+1,FALSE)</f>
        <v>#N/A</v>
      </c>
      <c r="E91" s="57" t="e">
        <f>VLOOKUP($A91,'Inputs (AUD)'!$A$5:$M$90,MATCH(E$4,'Inputs (AUD)'!$B$5:$M$5,0)+1,FALSE)</f>
        <v>#N/A</v>
      </c>
    </row>
    <row r="92" spans="1:15">
      <c r="B92" s="58"/>
      <c r="C92" s="58"/>
      <c r="D92" s="2"/>
      <c r="E92" s="58"/>
      <c r="F92" s="2"/>
    </row>
    <row r="93" spans="1:15">
      <c r="A93" s="10" t="s">
        <v>1166</v>
      </c>
      <c r="B93" s="4">
        <f>B28/B23</f>
        <v>5.0186106812763996E-4</v>
      </c>
      <c r="C93" s="4">
        <f t="shared" ref="C93:K93" si="78">C28/C23</f>
        <v>6.4079743681025279E-3</v>
      </c>
      <c r="D93" s="4">
        <f t="shared" si="78"/>
        <v>-4.663424124513619</v>
      </c>
      <c r="E93" s="4">
        <f t="shared" si="78"/>
        <v>-1.1228600201409868</v>
      </c>
      <c r="F93" s="4">
        <f t="shared" si="78"/>
        <v>-2.1003460207612457</v>
      </c>
      <c r="G93" s="4">
        <f t="shared" si="78"/>
        <v>-8.0618556701030943</v>
      </c>
      <c r="H93" s="4">
        <f t="shared" si="78"/>
        <v>-2.6307692307692312</v>
      </c>
      <c r="I93" s="4">
        <f t="shared" si="78"/>
        <v>-2.2068345323741005</v>
      </c>
      <c r="J93" s="4">
        <f t="shared" si="78"/>
        <v>-0.94545454545454544</v>
      </c>
      <c r="K93" s="4">
        <f t="shared" si="78"/>
        <v>-0.37499999999999994</v>
      </c>
      <c r="L93" s="572"/>
      <c r="M93" s="572"/>
      <c r="N93" s="573"/>
      <c r="O93" s="573">
        <f>AVERAGE(E93:K93)</f>
        <v>-2.4918742885147434</v>
      </c>
    </row>
    <row r="94" spans="1:15">
      <c r="B94" s="58"/>
      <c r="C94" s="58"/>
      <c r="D94" s="2"/>
      <c r="E94" s="58"/>
      <c r="F94" s="2"/>
    </row>
    <row r="95" spans="1:15">
      <c r="A95" s="10" t="s">
        <v>70</v>
      </c>
      <c r="B95" s="1">
        <f t="shared" ref="B95:K95" si="79">B58/B19</f>
        <v>0.15232194145932162</v>
      </c>
      <c r="C95" s="1">
        <f t="shared" si="79"/>
        <v>0.40165061898211823</v>
      </c>
      <c r="D95" s="1">
        <f t="shared" si="79"/>
        <v>-5.0271084337349397</v>
      </c>
      <c r="E95" s="1">
        <f t="shared" si="79"/>
        <v>-2.6808510638297873</v>
      </c>
      <c r="F95" s="1">
        <f t="shared" si="79"/>
        <v>-11.779661016949152</v>
      </c>
      <c r="G95" s="1">
        <f t="shared" si="79"/>
        <v>-10.330708661417322</v>
      </c>
      <c r="H95" s="1">
        <f t="shared" si="79"/>
        <v>-4.4748201438848918</v>
      </c>
      <c r="I95" s="1" t="e">
        <f t="shared" si="79"/>
        <v>#VALUE!</v>
      </c>
      <c r="J95" s="1" t="e">
        <f t="shared" si="79"/>
        <v>#VALUE!</v>
      </c>
      <c r="K95" s="1" t="e">
        <f t="shared" si="79"/>
        <v>#VALUE!</v>
      </c>
    </row>
    <row r="96" spans="1:15">
      <c r="B96" s="58"/>
      <c r="C96" s="58"/>
      <c r="D96" s="2"/>
      <c r="E96" s="58"/>
      <c r="F96" s="2"/>
    </row>
    <row r="97" spans="1:15">
      <c r="A97" s="10" t="s">
        <v>1167</v>
      </c>
      <c r="B97" s="58">
        <f>B5/(B67-B68)</f>
        <v>1.0515693326778275</v>
      </c>
      <c r="C97" s="58">
        <f t="shared" ref="C97:M97" si="80">C5/(C67-C68)</f>
        <v>1.3960802722685128</v>
      </c>
      <c r="D97" s="58">
        <f t="shared" si="80"/>
        <v>0.70432692307692302</v>
      </c>
      <c r="E97" s="58">
        <f t="shared" si="80"/>
        <v>23.3611111111111</v>
      </c>
      <c r="F97" s="58">
        <f t="shared" si="80"/>
        <v>0.50952380952380949</v>
      </c>
      <c r="G97" s="58">
        <f t="shared" si="80"/>
        <v>4.9635036496350364E-2</v>
      </c>
      <c r="H97" s="58">
        <f t="shared" si="80"/>
        <v>0</v>
      </c>
      <c r="I97" s="58">
        <f t="shared" si="80"/>
        <v>0</v>
      </c>
      <c r="J97" s="58">
        <f t="shared" si="80"/>
        <v>5.8823529411764705E-2</v>
      </c>
      <c r="K97" s="58">
        <f t="shared" si="80"/>
        <v>0.42857142857142849</v>
      </c>
      <c r="L97" s="58">
        <f t="shared" si="80"/>
        <v>6977.1428571428578</v>
      </c>
      <c r="M97" s="58" t="e">
        <f t="shared" si="80"/>
        <v>#DIV/0!</v>
      </c>
      <c r="O97" s="1125">
        <f>AVERAGE(B97:K97)</f>
        <v>2.7559641443137712</v>
      </c>
    </row>
    <row r="98" spans="1:15">
      <c r="B98" s="58"/>
      <c r="C98" s="58"/>
      <c r="D98" s="2"/>
      <c r="E98" s="58"/>
      <c r="F98" s="2"/>
      <c r="O98" s="39" t="s">
        <v>1168</v>
      </c>
    </row>
    <row r="99" spans="1:15">
      <c r="B99" s="58"/>
      <c r="C99" s="58"/>
      <c r="D99" s="2"/>
      <c r="E99" s="58"/>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7109375" defaultRowHeight="13.15"/>
  <cols>
    <col min="1" max="9" width="0" hidden="1" customWidth="1"/>
    <col min="11" max="11" width="21.7109375" bestFit="1" customWidth="1"/>
  </cols>
  <sheetData>
    <row r="2" spans="2:27">
      <c r="E2" s="10" t="s">
        <v>1169</v>
      </c>
      <c r="F2" s="10" t="s">
        <v>1170</v>
      </c>
      <c r="H2" s="10" t="s">
        <v>649</v>
      </c>
      <c r="K2" s="1506" t="s">
        <v>1169</v>
      </c>
      <c r="L2" s="1508" t="s">
        <v>1171</v>
      </c>
      <c r="M2" s="1509"/>
      <c r="N2" s="1509"/>
      <c r="O2" s="1509"/>
      <c r="P2" s="1510"/>
      <c r="Q2" s="1509" t="s">
        <v>599</v>
      </c>
      <c r="R2" s="1509"/>
      <c r="S2" s="1509"/>
      <c r="T2" s="1509"/>
      <c r="U2" s="1509"/>
      <c r="V2" s="1509"/>
      <c r="W2" s="1509"/>
      <c r="X2" s="1509"/>
      <c r="Y2" s="1509"/>
      <c r="Z2" s="1509"/>
      <c r="AA2" s="1510"/>
    </row>
    <row r="3" spans="2:27">
      <c r="E3" t="s">
        <v>1172</v>
      </c>
      <c r="F3" t="s">
        <v>1173</v>
      </c>
      <c r="H3" s="10" t="s">
        <v>603</v>
      </c>
      <c r="K3" s="1507"/>
      <c r="L3" s="62" t="s">
        <v>1174</v>
      </c>
      <c r="M3" s="78" t="s">
        <v>1175</v>
      </c>
      <c r="N3" s="78" t="s">
        <v>1176</v>
      </c>
      <c r="O3" s="78" t="s">
        <v>1177</v>
      </c>
      <c r="P3" s="79" t="s">
        <v>1178</v>
      </c>
      <c r="Q3" s="78" t="s">
        <v>1179</v>
      </c>
      <c r="R3" s="78" t="s">
        <v>1180</v>
      </c>
      <c r="S3" s="78" t="s">
        <v>607</v>
      </c>
      <c r="T3" s="78" t="s">
        <v>1181</v>
      </c>
      <c r="U3" s="78" t="s">
        <v>1182</v>
      </c>
      <c r="V3" s="78" t="s">
        <v>1183</v>
      </c>
      <c r="W3" s="78" t="s">
        <v>1184</v>
      </c>
      <c r="X3" s="78" t="s">
        <v>1185</v>
      </c>
      <c r="Y3" s="78" t="s">
        <v>1186</v>
      </c>
      <c r="Z3" s="78" t="s">
        <v>1187</v>
      </c>
      <c r="AA3" s="79" t="s">
        <v>638</v>
      </c>
    </row>
    <row r="4" spans="2:27">
      <c r="B4" s="63"/>
      <c r="E4" t="s">
        <v>1172</v>
      </c>
      <c r="F4" t="s">
        <v>1188</v>
      </c>
      <c r="H4" s="10" t="s">
        <v>654</v>
      </c>
      <c r="K4" s="80" t="s">
        <v>1172</v>
      </c>
      <c r="L4" s="81" t="s">
        <v>649</v>
      </c>
      <c r="M4" t="s">
        <v>649</v>
      </c>
      <c r="N4" t="s">
        <v>603</v>
      </c>
      <c r="O4" t="s">
        <v>649</v>
      </c>
      <c r="P4" s="82" t="s">
        <v>649</v>
      </c>
      <c r="Q4" t="s">
        <v>603</v>
      </c>
      <c r="R4" t="s">
        <v>603</v>
      </c>
      <c r="S4" t="s">
        <v>649</v>
      </c>
      <c r="T4" t="s">
        <v>649</v>
      </c>
      <c r="U4" t="s">
        <v>654</v>
      </c>
      <c r="V4" t="s">
        <v>649</v>
      </c>
      <c r="W4" t="s">
        <v>649</v>
      </c>
      <c r="X4" t="s">
        <v>649</v>
      </c>
      <c r="Y4" t="s">
        <v>649</v>
      </c>
      <c r="Z4" t="s">
        <v>649</v>
      </c>
      <c r="AA4" s="82" t="s">
        <v>603</v>
      </c>
    </row>
    <row r="5" spans="2:27" ht="13.9">
      <c r="B5" s="75" t="s">
        <v>575</v>
      </c>
      <c r="E5" t="s">
        <v>1172</v>
      </c>
      <c r="F5" t="s">
        <v>1189</v>
      </c>
      <c r="H5" s="10" t="s">
        <v>1190</v>
      </c>
      <c r="K5" s="80" t="s">
        <v>1191</v>
      </c>
      <c r="L5" s="81" t="s">
        <v>649</v>
      </c>
      <c r="M5" t="s">
        <v>649</v>
      </c>
      <c r="N5" t="s">
        <v>603</v>
      </c>
      <c r="O5" t="s">
        <v>603</v>
      </c>
      <c r="P5" s="82" t="s">
        <v>649</v>
      </c>
      <c r="Q5" t="s">
        <v>603</v>
      </c>
      <c r="R5" t="s">
        <v>603</v>
      </c>
      <c r="S5" t="s">
        <v>649</v>
      </c>
      <c r="T5" t="s">
        <v>649</v>
      </c>
      <c r="U5" t="s">
        <v>603</v>
      </c>
      <c r="V5" t="s">
        <v>603</v>
      </c>
      <c r="W5" t="s">
        <v>603</v>
      </c>
      <c r="X5" t="s">
        <v>654</v>
      </c>
      <c r="Y5" t="s">
        <v>649</v>
      </c>
      <c r="Z5" t="s">
        <v>654</v>
      </c>
      <c r="AA5" s="82" t="s">
        <v>649</v>
      </c>
    </row>
    <row r="6" spans="2:27">
      <c r="B6" s="77" t="s">
        <v>1192</v>
      </c>
      <c r="E6" t="s">
        <v>1172</v>
      </c>
      <c r="F6" t="s">
        <v>1193</v>
      </c>
      <c r="K6" s="80" t="s">
        <v>1194</v>
      </c>
      <c r="L6" s="81" t="s">
        <v>654</v>
      </c>
      <c r="M6" t="s">
        <v>1190</v>
      </c>
      <c r="N6" t="s">
        <v>654</v>
      </c>
      <c r="O6" t="s">
        <v>654</v>
      </c>
      <c r="P6" s="82" t="s">
        <v>654</v>
      </c>
      <c r="Q6" t="s">
        <v>603</v>
      </c>
      <c r="R6" t="s">
        <v>654</v>
      </c>
      <c r="S6" t="s">
        <v>654</v>
      </c>
      <c r="T6" t="s">
        <v>649</v>
      </c>
      <c r="U6" t="s">
        <v>603</v>
      </c>
      <c r="V6" t="s">
        <v>603</v>
      </c>
      <c r="W6" t="s">
        <v>649</v>
      </c>
      <c r="X6" t="s">
        <v>654</v>
      </c>
      <c r="Y6" t="s">
        <v>649</v>
      </c>
      <c r="Z6" t="s">
        <v>1190</v>
      </c>
      <c r="AA6" s="82" t="s">
        <v>649</v>
      </c>
    </row>
    <row r="7" spans="2:27">
      <c r="B7" s="77" t="s">
        <v>1195</v>
      </c>
      <c r="E7" t="s">
        <v>1172</v>
      </c>
      <c r="F7" t="s">
        <v>1196</v>
      </c>
      <c r="K7" s="80" t="s">
        <v>1176</v>
      </c>
      <c r="L7" s="81" t="s">
        <v>1190</v>
      </c>
      <c r="M7" t="s">
        <v>1190</v>
      </c>
      <c r="N7" t="s">
        <v>603</v>
      </c>
      <c r="O7" t="s">
        <v>1190</v>
      </c>
      <c r="P7" s="82" t="s">
        <v>654</v>
      </c>
      <c r="Q7" t="s">
        <v>654</v>
      </c>
      <c r="R7" t="s">
        <v>603</v>
      </c>
      <c r="S7" t="s">
        <v>603</v>
      </c>
      <c r="T7" t="s">
        <v>603</v>
      </c>
      <c r="U7" t="s">
        <v>603</v>
      </c>
      <c r="V7" t="s">
        <v>654</v>
      </c>
      <c r="W7" t="s">
        <v>603</v>
      </c>
      <c r="X7" t="s">
        <v>603</v>
      </c>
      <c r="Y7" t="s">
        <v>654</v>
      </c>
      <c r="Z7" t="s">
        <v>654</v>
      </c>
      <c r="AA7" s="82" t="s">
        <v>649</v>
      </c>
    </row>
    <row r="8" spans="2:27">
      <c r="B8" s="77"/>
      <c r="K8" s="80" t="s">
        <v>1197</v>
      </c>
      <c r="L8" s="81" t="s">
        <v>649</v>
      </c>
      <c r="M8" t="s">
        <v>649</v>
      </c>
      <c r="N8" t="s">
        <v>649</v>
      </c>
      <c r="O8" t="s">
        <v>603</v>
      </c>
      <c r="P8" s="82" t="s">
        <v>603</v>
      </c>
      <c r="Q8" t="s">
        <v>649</v>
      </c>
      <c r="R8" t="s">
        <v>603</v>
      </c>
      <c r="S8" t="s">
        <v>603</v>
      </c>
      <c r="T8" t="s">
        <v>654</v>
      </c>
      <c r="U8" t="s">
        <v>603</v>
      </c>
      <c r="V8" t="s">
        <v>649</v>
      </c>
      <c r="W8" t="s">
        <v>649</v>
      </c>
      <c r="X8" t="s">
        <v>603</v>
      </c>
      <c r="Y8" t="s">
        <v>603</v>
      </c>
      <c r="Z8" t="s">
        <v>654</v>
      </c>
      <c r="AA8" s="82" t="s">
        <v>649</v>
      </c>
    </row>
    <row r="9" spans="2:27">
      <c r="B9" s="77" t="s">
        <v>587</v>
      </c>
      <c r="E9" t="s">
        <v>1172</v>
      </c>
      <c r="F9" t="s">
        <v>1198</v>
      </c>
      <c r="K9" s="80" t="s">
        <v>1199</v>
      </c>
      <c r="L9" s="81" t="s">
        <v>649</v>
      </c>
      <c r="M9" t="s">
        <v>649</v>
      </c>
      <c r="N9" t="s">
        <v>649</v>
      </c>
      <c r="O9" t="s">
        <v>649</v>
      </c>
      <c r="P9" s="82" t="s">
        <v>649</v>
      </c>
      <c r="Q9" t="s">
        <v>649</v>
      </c>
      <c r="R9" t="s">
        <v>649</v>
      </c>
      <c r="S9" t="s">
        <v>603</v>
      </c>
      <c r="T9" t="s">
        <v>654</v>
      </c>
      <c r="U9" t="s">
        <v>603</v>
      </c>
      <c r="V9" t="s">
        <v>649</v>
      </c>
      <c r="W9" t="s">
        <v>649</v>
      </c>
      <c r="X9" t="s">
        <v>649</v>
      </c>
      <c r="Y9" t="s">
        <v>649</v>
      </c>
      <c r="Z9" t="s">
        <v>603</v>
      </c>
      <c r="AA9" s="82" t="s">
        <v>649</v>
      </c>
    </row>
    <row r="10" spans="2:27">
      <c r="B10" s="77"/>
      <c r="K10" s="80" t="s">
        <v>1200</v>
      </c>
      <c r="L10" s="81" t="s">
        <v>649</v>
      </c>
      <c r="M10" t="s">
        <v>603</v>
      </c>
      <c r="N10" t="s">
        <v>649</v>
      </c>
      <c r="O10" t="s">
        <v>603</v>
      </c>
      <c r="P10" s="82" t="s">
        <v>654</v>
      </c>
      <c r="Q10" t="s">
        <v>649</v>
      </c>
      <c r="R10" t="s">
        <v>649</v>
      </c>
      <c r="S10" t="s">
        <v>649</v>
      </c>
      <c r="T10" t="s">
        <v>649</v>
      </c>
      <c r="U10" t="s">
        <v>649</v>
      </c>
      <c r="V10" t="s">
        <v>649</v>
      </c>
      <c r="W10" t="s">
        <v>649</v>
      </c>
      <c r="X10" t="s">
        <v>649</v>
      </c>
      <c r="Y10" t="s">
        <v>603</v>
      </c>
      <c r="Z10" t="s">
        <v>649</v>
      </c>
      <c r="AA10" s="82" t="s">
        <v>649</v>
      </c>
    </row>
    <row r="11" spans="2:27">
      <c r="B11" s="77" t="s">
        <v>591</v>
      </c>
      <c r="E11" t="s">
        <v>1172</v>
      </c>
      <c r="F11" t="s">
        <v>1201</v>
      </c>
      <c r="K11" s="80" t="s">
        <v>1202</v>
      </c>
      <c r="L11" s="81" t="s">
        <v>649</v>
      </c>
      <c r="M11" t="s">
        <v>603</v>
      </c>
      <c r="N11" t="s">
        <v>649</v>
      </c>
      <c r="O11" t="s">
        <v>649</v>
      </c>
      <c r="P11" s="82" t="s">
        <v>649</v>
      </c>
      <c r="Q11" t="s">
        <v>649</v>
      </c>
      <c r="R11" t="s">
        <v>649</v>
      </c>
      <c r="S11" t="s">
        <v>603</v>
      </c>
      <c r="T11" t="s">
        <v>649</v>
      </c>
      <c r="U11" t="s">
        <v>654</v>
      </c>
      <c r="V11" t="s">
        <v>649</v>
      </c>
      <c r="W11" t="s">
        <v>649</v>
      </c>
      <c r="X11" t="s">
        <v>649</v>
      </c>
      <c r="Y11" t="s">
        <v>649</v>
      </c>
      <c r="Z11" t="s">
        <v>649</v>
      </c>
      <c r="AA11" s="82" t="s">
        <v>649</v>
      </c>
    </row>
    <row r="12" spans="2:27">
      <c r="B12" s="76" t="s">
        <v>1203</v>
      </c>
      <c r="E12" t="s">
        <v>1172</v>
      </c>
      <c r="F12" t="s">
        <v>1204</v>
      </c>
      <c r="K12" s="80" t="s">
        <v>1205</v>
      </c>
      <c r="L12" s="81" t="s">
        <v>1190</v>
      </c>
      <c r="M12" t="s">
        <v>1190</v>
      </c>
      <c r="N12" t="s">
        <v>1190</v>
      </c>
      <c r="O12" t="s">
        <v>654</v>
      </c>
      <c r="P12" s="82" t="s">
        <v>654</v>
      </c>
      <c r="Q12" t="s">
        <v>649</v>
      </c>
      <c r="R12" t="s">
        <v>603</v>
      </c>
      <c r="S12" t="s">
        <v>654</v>
      </c>
      <c r="T12" t="s">
        <v>1190</v>
      </c>
      <c r="U12" t="s">
        <v>603</v>
      </c>
      <c r="V12" t="s">
        <v>1190</v>
      </c>
      <c r="W12" t="s">
        <v>603</v>
      </c>
      <c r="X12" t="s">
        <v>1190</v>
      </c>
      <c r="Y12" t="s">
        <v>1190</v>
      </c>
      <c r="Z12" t="s">
        <v>1190</v>
      </c>
      <c r="AA12" s="82" t="s">
        <v>654</v>
      </c>
    </row>
    <row r="13" spans="2:27" ht="13.9">
      <c r="B13" s="75" t="s">
        <v>599</v>
      </c>
      <c r="E13" t="s">
        <v>1172</v>
      </c>
      <c r="F13" t="s">
        <v>1206</v>
      </c>
      <c r="K13" s="80" t="s">
        <v>1207</v>
      </c>
      <c r="L13" s="81" t="s">
        <v>603</v>
      </c>
      <c r="M13" t="s">
        <v>649</v>
      </c>
      <c r="N13" t="s">
        <v>654</v>
      </c>
      <c r="O13" t="s">
        <v>649</v>
      </c>
      <c r="P13" s="82" t="s">
        <v>649</v>
      </c>
      <c r="Q13" t="s">
        <v>649</v>
      </c>
      <c r="R13" t="s">
        <v>649</v>
      </c>
      <c r="S13" t="s">
        <v>649</v>
      </c>
      <c r="T13" t="s">
        <v>649</v>
      </c>
      <c r="U13" t="s">
        <v>654</v>
      </c>
      <c r="V13" t="s">
        <v>649</v>
      </c>
      <c r="W13" t="s">
        <v>649</v>
      </c>
      <c r="X13" t="s">
        <v>649</v>
      </c>
      <c r="Y13" t="s">
        <v>649</v>
      </c>
      <c r="Z13" t="s">
        <v>603</v>
      </c>
      <c r="AA13" s="82" t="s">
        <v>1190</v>
      </c>
    </row>
    <row r="14" spans="2:27">
      <c r="B14" s="67" t="s">
        <v>1208</v>
      </c>
      <c r="E14" t="s">
        <v>1172</v>
      </c>
      <c r="F14" t="s">
        <v>1209</v>
      </c>
      <c r="K14" s="80" t="s">
        <v>562</v>
      </c>
      <c r="L14" s="81" t="s">
        <v>1190</v>
      </c>
      <c r="M14" t="s">
        <v>1190</v>
      </c>
      <c r="N14" t="s">
        <v>1190</v>
      </c>
      <c r="O14" t="s">
        <v>1190</v>
      </c>
      <c r="P14" s="82" t="s">
        <v>654</v>
      </c>
      <c r="Q14" t="s">
        <v>654</v>
      </c>
      <c r="R14" t="s">
        <v>654</v>
      </c>
      <c r="S14" t="s">
        <v>603</v>
      </c>
      <c r="T14" t="s">
        <v>654</v>
      </c>
      <c r="U14" t="s">
        <v>649</v>
      </c>
      <c r="V14" t="s">
        <v>1190</v>
      </c>
      <c r="W14" t="s">
        <v>603</v>
      </c>
      <c r="X14" t="s">
        <v>603</v>
      </c>
      <c r="Y14" t="s">
        <v>1190</v>
      </c>
      <c r="Z14" t="s">
        <v>654</v>
      </c>
      <c r="AA14" s="82" t="s">
        <v>603</v>
      </c>
    </row>
    <row r="15" spans="2:27">
      <c r="B15" s="67" t="s">
        <v>1210</v>
      </c>
      <c r="E15" t="s">
        <v>1191</v>
      </c>
      <c r="F15" t="s">
        <v>1211</v>
      </c>
      <c r="K15" s="80" t="s">
        <v>1212</v>
      </c>
      <c r="L15" s="81" t="s">
        <v>649</v>
      </c>
      <c r="M15" t="s">
        <v>649</v>
      </c>
      <c r="N15" t="s">
        <v>603</v>
      </c>
      <c r="O15" t="s">
        <v>649</v>
      </c>
      <c r="P15" s="82" t="s">
        <v>649</v>
      </c>
      <c r="Q15" t="s">
        <v>603</v>
      </c>
      <c r="R15" t="s">
        <v>649</v>
      </c>
      <c r="S15" t="s">
        <v>649</v>
      </c>
      <c r="T15" t="s">
        <v>649</v>
      </c>
      <c r="U15" t="s">
        <v>654</v>
      </c>
      <c r="V15" t="s">
        <v>649</v>
      </c>
      <c r="W15" t="s">
        <v>603</v>
      </c>
      <c r="X15" t="s">
        <v>649</v>
      </c>
      <c r="Y15" t="s">
        <v>603</v>
      </c>
      <c r="Z15" t="s">
        <v>649</v>
      </c>
      <c r="AA15" s="82" t="s">
        <v>649</v>
      </c>
    </row>
    <row r="16" spans="2:27">
      <c r="B16" s="70" t="s">
        <v>1213</v>
      </c>
      <c r="E16" t="s">
        <v>1191</v>
      </c>
      <c r="F16" t="s">
        <v>1214</v>
      </c>
      <c r="K16" s="83" t="s">
        <v>1215</v>
      </c>
      <c r="L16" s="84" t="s">
        <v>1190</v>
      </c>
      <c r="M16" s="85" t="s">
        <v>654</v>
      </c>
      <c r="N16" s="85" t="s">
        <v>654</v>
      </c>
      <c r="O16" s="85" t="s">
        <v>603</v>
      </c>
      <c r="P16" s="86" t="s">
        <v>654</v>
      </c>
      <c r="Q16" s="85" t="s">
        <v>649</v>
      </c>
      <c r="R16" s="85" t="s">
        <v>603</v>
      </c>
      <c r="S16" s="85" t="s">
        <v>603</v>
      </c>
      <c r="T16" s="85" t="s">
        <v>649</v>
      </c>
      <c r="U16" s="85" t="s">
        <v>603</v>
      </c>
      <c r="V16" s="85" t="s">
        <v>603</v>
      </c>
      <c r="W16" s="85" t="s">
        <v>603</v>
      </c>
      <c r="X16" s="85" t="s">
        <v>603</v>
      </c>
      <c r="Y16" s="85" t="s">
        <v>649</v>
      </c>
      <c r="Z16" s="85" t="s">
        <v>603</v>
      </c>
      <c r="AA16" s="86" t="s">
        <v>649</v>
      </c>
    </row>
    <row r="17" spans="2:22">
      <c r="B17" s="70" t="s">
        <v>1216</v>
      </c>
      <c r="E17" t="s">
        <v>1191</v>
      </c>
      <c r="F17" t="s">
        <v>1217</v>
      </c>
    </row>
    <row r="18" spans="2:22" hidden="1">
      <c r="B18" s="67" t="s">
        <v>1218</v>
      </c>
      <c r="E18" t="s">
        <v>1191</v>
      </c>
      <c r="F18" t="s">
        <v>1219</v>
      </c>
    </row>
    <row r="19" spans="2:22" hidden="1">
      <c r="B19" s="67" t="s">
        <v>1220</v>
      </c>
      <c r="E19" t="s">
        <v>1191</v>
      </c>
      <c r="F19" t="s">
        <v>1221</v>
      </c>
      <c r="L19" s="87" t="s">
        <v>1172</v>
      </c>
      <c r="M19" s="88" t="s">
        <v>1191</v>
      </c>
      <c r="N19" s="88" t="s">
        <v>1194</v>
      </c>
      <c r="O19" s="88" t="s">
        <v>1176</v>
      </c>
      <c r="P19" s="88" t="s">
        <v>1199</v>
      </c>
      <c r="Q19" s="88" t="s">
        <v>1202</v>
      </c>
      <c r="R19" s="88" t="s">
        <v>1205</v>
      </c>
      <c r="S19" s="88" t="s">
        <v>1207</v>
      </c>
      <c r="T19" s="88" t="s">
        <v>562</v>
      </c>
      <c r="U19" s="88" t="s">
        <v>1212</v>
      </c>
      <c r="V19" s="89" t="s">
        <v>1215</v>
      </c>
    </row>
    <row r="20" spans="2:22" hidden="1">
      <c r="B20" s="67" t="s">
        <v>618</v>
      </c>
      <c r="E20" t="s">
        <v>1191</v>
      </c>
      <c r="F20" t="s">
        <v>1222</v>
      </c>
      <c r="L20" s="81" t="s">
        <v>1173</v>
      </c>
      <c r="M20" t="s">
        <v>1211</v>
      </c>
      <c r="N20" t="s">
        <v>1223</v>
      </c>
      <c r="O20" t="s">
        <v>1224</v>
      </c>
      <c r="P20" t="s">
        <v>1225</v>
      </c>
      <c r="Q20" t="s">
        <v>1226</v>
      </c>
      <c r="R20" t="s">
        <v>1227</v>
      </c>
      <c r="S20" t="s">
        <v>1228</v>
      </c>
      <c r="T20" t="s">
        <v>1229</v>
      </c>
      <c r="U20" t="s">
        <v>1230</v>
      </c>
      <c r="V20" s="82" t="s">
        <v>1231</v>
      </c>
    </row>
    <row r="21" spans="2:22" hidden="1">
      <c r="B21" s="67" t="s">
        <v>626</v>
      </c>
      <c r="E21" t="s">
        <v>1191</v>
      </c>
      <c r="F21" t="s">
        <v>1232</v>
      </c>
      <c r="L21" s="81" t="s">
        <v>1188</v>
      </c>
      <c r="M21" t="s">
        <v>1214</v>
      </c>
      <c r="N21" t="s">
        <v>1233</v>
      </c>
      <c r="O21" t="s">
        <v>1234</v>
      </c>
      <c r="P21" t="s">
        <v>1235</v>
      </c>
      <c r="Q21" t="s">
        <v>1236</v>
      </c>
      <c r="R21" t="s">
        <v>1237</v>
      </c>
      <c r="S21" t="s">
        <v>1238</v>
      </c>
      <c r="T21" t="s">
        <v>1239</v>
      </c>
      <c r="U21" t="s">
        <v>1240</v>
      </c>
      <c r="V21" s="82" t="s">
        <v>1241</v>
      </c>
    </row>
    <row r="22" spans="2:22" hidden="1">
      <c r="B22" s="67" t="s">
        <v>631</v>
      </c>
      <c r="E22" t="s">
        <v>1191</v>
      </c>
      <c r="F22" t="s">
        <v>1242</v>
      </c>
      <c r="L22" s="81" t="s">
        <v>1189</v>
      </c>
      <c r="M22" t="s">
        <v>1217</v>
      </c>
      <c r="N22" t="s">
        <v>1243</v>
      </c>
      <c r="O22" t="s">
        <v>1244</v>
      </c>
      <c r="P22" t="s">
        <v>1245</v>
      </c>
      <c r="Q22" t="s">
        <v>1246</v>
      </c>
      <c r="R22" t="s">
        <v>1247</v>
      </c>
      <c r="S22" t="s">
        <v>1248</v>
      </c>
      <c r="T22" t="s">
        <v>1249</v>
      </c>
      <c r="U22" t="s">
        <v>1250</v>
      </c>
      <c r="V22" s="82" t="s">
        <v>1251</v>
      </c>
    </row>
    <row r="23" spans="2:22" hidden="1">
      <c r="B23" s="67" t="s">
        <v>637</v>
      </c>
      <c r="E23" t="s">
        <v>1191</v>
      </c>
      <c r="F23" t="s">
        <v>1252</v>
      </c>
      <c r="L23" s="81" t="s">
        <v>1193</v>
      </c>
      <c r="M23" t="s">
        <v>1219</v>
      </c>
      <c r="N23" t="s">
        <v>1253</v>
      </c>
      <c r="O23" t="s">
        <v>1254</v>
      </c>
      <c r="P23" t="s">
        <v>1255</v>
      </c>
      <c r="Q23" t="s">
        <v>1256</v>
      </c>
      <c r="R23" t="s">
        <v>1257</v>
      </c>
      <c r="S23" t="s">
        <v>1258</v>
      </c>
      <c r="T23" t="s">
        <v>1259</v>
      </c>
      <c r="U23" t="s">
        <v>1260</v>
      </c>
      <c r="V23" s="82" t="s">
        <v>1261</v>
      </c>
    </row>
    <row r="24" spans="2:22" hidden="1">
      <c r="B24" s="69" t="s">
        <v>638</v>
      </c>
      <c r="E24" t="s">
        <v>1191</v>
      </c>
      <c r="F24" t="s">
        <v>1262</v>
      </c>
      <c r="L24" s="81" t="s">
        <v>1196</v>
      </c>
      <c r="M24" t="s">
        <v>1221</v>
      </c>
      <c r="N24" t="s">
        <v>1263</v>
      </c>
      <c r="O24" t="s">
        <v>1264</v>
      </c>
      <c r="P24" t="s">
        <v>1265</v>
      </c>
      <c r="Q24" t="s">
        <v>1266</v>
      </c>
      <c r="R24" t="s">
        <v>1267</v>
      </c>
      <c r="S24" t="s">
        <v>1268</v>
      </c>
      <c r="T24" t="s">
        <v>1269</v>
      </c>
      <c r="U24" t="s">
        <v>1270</v>
      </c>
      <c r="V24" s="82" t="s">
        <v>1271</v>
      </c>
    </row>
    <row r="25" spans="2:22" hidden="1">
      <c r="E25" t="s">
        <v>1191</v>
      </c>
      <c r="F25" t="s">
        <v>1272</v>
      </c>
      <c r="L25" s="81" t="s">
        <v>1198</v>
      </c>
      <c r="M25" t="s">
        <v>1222</v>
      </c>
      <c r="N25" t="s">
        <v>1273</v>
      </c>
      <c r="P25" t="s">
        <v>1274</v>
      </c>
      <c r="Q25" t="s">
        <v>1275</v>
      </c>
      <c r="R25" t="s">
        <v>1276</v>
      </c>
      <c r="S25" t="s">
        <v>1277</v>
      </c>
      <c r="T25" t="s">
        <v>1278</v>
      </c>
      <c r="U25" t="s">
        <v>1279</v>
      </c>
      <c r="V25" s="82"/>
    </row>
    <row r="26" spans="2:22" hidden="1">
      <c r="E26" t="s">
        <v>1191</v>
      </c>
      <c r="F26" t="s">
        <v>222</v>
      </c>
      <c r="L26" s="81" t="s">
        <v>1201</v>
      </c>
      <c r="M26" t="s">
        <v>1232</v>
      </c>
      <c r="N26" t="s">
        <v>1280</v>
      </c>
      <c r="P26" t="s">
        <v>1281</v>
      </c>
      <c r="Q26" t="s">
        <v>1282</v>
      </c>
      <c r="R26" t="s">
        <v>1283</v>
      </c>
      <c r="S26" t="s">
        <v>1284</v>
      </c>
      <c r="T26" t="s">
        <v>1285</v>
      </c>
      <c r="U26" t="s">
        <v>1286</v>
      </c>
      <c r="V26" s="82"/>
    </row>
    <row r="27" spans="2:22" hidden="1">
      <c r="E27" t="s">
        <v>1191</v>
      </c>
      <c r="F27" t="s">
        <v>1287</v>
      </c>
      <c r="L27" s="81" t="s">
        <v>1204</v>
      </c>
      <c r="M27" t="s">
        <v>1242</v>
      </c>
      <c r="N27" t="s">
        <v>1288</v>
      </c>
      <c r="P27" t="s">
        <v>1289</v>
      </c>
      <c r="Q27" t="s">
        <v>1290</v>
      </c>
      <c r="R27" t="s">
        <v>1291</v>
      </c>
      <c r="S27" t="s">
        <v>1292</v>
      </c>
      <c r="T27" t="s">
        <v>1293</v>
      </c>
      <c r="U27" t="s">
        <v>1294</v>
      </c>
      <c r="V27" s="82"/>
    </row>
    <row r="28" spans="2:22" hidden="1">
      <c r="E28" t="s">
        <v>1191</v>
      </c>
      <c r="F28" t="s">
        <v>1295</v>
      </c>
      <c r="L28" s="81" t="s">
        <v>1206</v>
      </c>
      <c r="M28" t="s">
        <v>1252</v>
      </c>
      <c r="N28" t="s">
        <v>1296</v>
      </c>
      <c r="P28" t="s">
        <v>1297</v>
      </c>
      <c r="Q28" t="s">
        <v>1298</v>
      </c>
      <c r="R28" t="s">
        <v>1299</v>
      </c>
      <c r="S28" t="s">
        <v>1300</v>
      </c>
      <c r="T28" t="s">
        <v>1301</v>
      </c>
      <c r="V28" s="82"/>
    </row>
    <row r="29" spans="2:22" hidden="1">
      <c r="E29" t="s">
        <v>1191</v>
      </c>
      <c r="F29" t="s">
        <v>1302</v>
      </c>
      <c r="L29" s="84" t="s">
        <v>1209</v>
      </c>
      <c r="M29" s="85" t="s">
        <v>1262</v>
      </c>
      <c r="N29" s="85" t="s">
        <v>1303</v>
      </c>
      <c r="O29" s="85"/>
      <c r="P29" s="85" t="s">
        <v>1304</v>
      </c>
      <c r="Q29" s="85" t="s">
        <v>1305</v>
      </c>
      <c r="R29" s="85" t="s">
        <v>1306</v>
      </c>
      <c r="S29" s="85" t="s">
        <v>1307</v>
      </c>
      <c r="T29" s="85" t="s">
        <v>1308</v>
      </c>
      <c r="U29" s="85"/>
      <c r="V29" s="86"/>
    </row>
    <row r="30" spans="2:22" hidden="1">
      <c r="E30" t="s">
        <v>1191</v>
      </c>
      <c r="F30" t="s">
        <v>1309</v>
      </c>
      <c r="M30" t="s">
        <v>1272</v>
      </c>
      <c r="N30" t="s">
        <v>1310</v>
      </c>
      <c r="P30" t="s">
        <v>1311</v>
      </c>
      <c r="R30" t="s">
        <v>1312</v>
      </c>
      <c r="S30" t="s">
        <v>1313</v>
      </c>
      <c r="T30" t="s">
        <v>1314</v>
      </c>
    </row>
    <row r="31" spans="2:22" hidden="1">
      <c r="E31" t="s">
        <v>1191</v>
      </c>
      <c r="F31" t="s">
        <v>1315</v>
      </c>
      <c r="M31" t="s">
        <v>222</v>
      </c>
      <c r="N31" t="s">
        <v>1316</v>
      </c>
      <c r="P31" t="s">
        <v>1317</v>
      </c>
      <c r="R31" t="s">
        <v>1318</v>
      </c>
      <c r="S31" t="s">
        <v>1319</v>
      </c>
    </row>
    <row r="32" spans="2:22" hidden="1">
      <c r="E32" t="s">
        <v>1191</v>
      </c>
      <c r="F32" t="s">
        <v>1320</v>
      </c>
      <c r="M32" t="s">
        <v>1287</v>
      </c>
      <c r="P32" t="s">
        <v>1321</v>
      </c>
      <c r="R32" t="s">
        <v>1322</v>
      </c>
      <c r="S32" t="s">
        <v>1323</v>
      </c>
    </row>
    <row r="33" spans="5:18" hidden="1">
      <c r="E33" t="s">
        <v>1191</v>
      </c>
      <c r="F33" t="s">
        <v>1324</v>
      </c>
      <c r="M33" t="s">
        <v>1295</v>
      </c>
      <c r="R33" t="s">
        <v>1325</v>
      </c>
    </row>
    <row r="34" spans="5:18" hidden="1">
      <c r="E34" t="s">
        <v>1191</v>
      </c>
      <c r="F34" t="s">
        <v>1326</v>
      </c>
      <c r="M34" t="s">
        <v>1302</v>
      </c>
      <c r="R34" t="s">
        <v>1327</v>
      </c>
    </row>
    <row r="35" spans="5:18" hidden="1">
      <c r="E35" t="s">
        <v>1194</v>
      </c>
      <c r="F35" t="s">
        <v>1223</v>
      </c>
      <c r="M35" t="s">
        <v>1309</v>
      </c>
      <c r="R35" t="s">
        <v>1328</v>
      </c>
    </row>
    <row r="36" spans="5:18" hidden="1">
      <c r="E36" t="s">
        <v>1194</v>
      </c>
      <c r="F36" t="s">
        <v>1233</v>
      </c>
      <c r="M36" t="s">
        <v>1315</v>
      </c>
      <c r="R36" t="s">
        <v>1329</v>
      </c>
    </row>
    <row r="37" spans="5:18" hidden="1">
      <c r="E37" t="s">
        <v>1194</v>
      </c>
      <c r="F37" t="s">
        <v>1243</v>
      </c>
      <c r="M37" t="s">
        <v>1320</v>
      </c>
    </row>
    <row r="38" spans="5:18" hidden="1">
      <c r="E38" t="s">
        <v>1194</v>
      </c>
      <c r="F38" t="s">
        <v>1253</v>
      </c>
      <c r="M38" t="s">
        <v>1324</v>
      </c>
    </row>
    <row r="39" spans="5:18" hidden="1">
      <c r="E39" t="s">
        <v>1194</v>
      </c>
      <c r="F39" t="s">
        <v>1263</v>
      </c>
      <c r="M39" t="s">
        <v>1326</v>
      </c>
    </row>
    <row r="40" spans="5:18" hidden="1">
      <c r="E40" t="s">
        <v>1194</v>
      </c>
      <c r="F40" t="s">
        <v>1273</v>
      </c>
    </row>
    <row r="41" spans="5:18" hidden="1">
      <c r="E41" t="s">
        <v>1194</v>
      </c>
      <c r="F41" t="s">
        <v>1280</v>
      </c>
    </row>
    <row r="42" spans="5:18">
      <c r="E42" t="s">
        <v>1194</v>
      </c>
      <c r="F42" t="s">
        <v>1288</v>
      </c>
    </row>
    <row r="43" spans="5:18">
      <c r="E43" t="s">
        <v>1194</v>
      </c>
      <c r="F43" t="s">
        <v>1296</v>
      </c>
    </row>
    <row r="44" spans="5:18">
      <c r="E44" t="s">
        <v>1194</v>
      </c>
      <c r="F44" t="s">
        <v>1303</v>
      </c>
    </row>
    <row r="45" spans="5:18">
      <c r="E45" t="s">
        <v>1194</v>
      </c>
      <c r="F45" t="s">
        <v>1310</v>
      </c>
    </row>
    <row r="46" spans="5:18">
      <c r="E46" t="s">
        <v>1194</v>
      </c>
      <c r="F46" t="s">
        <v>1316</v>
      </c>
    </row>
    <row r="47" spans="5:18">
      <c r="E47" t="s">
        <v>1176</v>
      </c>
      <c r="F47" t="s">
        <v>1224</v>
      </c>
    </row>
    <row r="48" spans="5:18">
      <c r="E48" t="s">
        <v>1176</v>
      </c>
      <c r="F48" t="s">
        <v>1234</v>
      </c>
    </row>
    <row r="49" spans="5:6">
      <c r="E49" t="s">
        <v>1176</v>
      </c>
      <c r="F49" t="s">
        <v>1244</v>
      </c>
    </row>
    <row r="50" spans="5:6">
      <c r="E50" t="s">
        <v>1176</v>
      </c>
      <c r="F50" t="s">
        <v>1254</v>
      </c>
    </row>
    <row r="51" spans="5:6">
      <c r="E51" t="s">
        <v>1176</v>
      </c>
      <c r="F51" t="s">
        <v>1264</v>
      </c>
    </row>
    <row r="52" spans="5:6">
      <c r="E52" t="s">
        <v>1199</v>
      </c>
      <c r="F52" t="s">
        <v>1225</v>
      </c>
    </row>
    <row r="53" spans="5:6">
      <c r="E53" t="s">
        <v>1199</v>
      </c>
      <c r="F53" t="s">
        <v>1235</v>
      </c>
    </row>
    <row r="54" spans="5:6">
      <c r="E54" t="s">
        <v>1199</v>
      </c>
      <c r="F54" t="s">
        <v>1245</v>
      </c>
    </row>
    <row r="55" spans="5:6">
      <c r="E55" t="s">
        <v>1199</v>
      </c>
      <c r="F55" t="s">
        <v>1255</v>
      </c>
    </row>
    <row r="56" spans="5:6">
      <c r="E56" t="s">
        <v>1199</v>
      </c>
      <c r="F56" t="s">
        <v>1265</v>
      </c>
    </row>
    <row r="57" spans="5:6">
      <c r="E57" t="s">
        <v>1199</v>
      </c>
      <c r="F57" t="s">
        <v>1274</v>
      </c>
    </row>
    <row r="58" spans="5:6">
      <c r="E58" t="s">
        <v>1199</v>
      </c>
      <c r="F58" t="s">
        <v>1281</v>
      </c>
    </row>
    <row r="59" spans="5:6">
      <c r="E59" t="s">
        <v>1199</v>
      </c>
      <c r="F59" t="s">
        <v>1289</v>
      </c>
    </row>
    <row r="60" spans="5:6">
      <c r="E60" t="s">
        <v>1199</v>
      </c>
      <c r="F60" t="s">
        <v>1297</v>
      </c>
    </row>
    <row r="61" spans="5:6">
      <c r="E61" t="s">
        <v>1199</v>
      </c>
      <c r="F61" t="s">
        <v>1304</v>
      </c>
    </row>
    <row r="62" spans="5:6">
      <c r="E62" t="s">
        <v>1199</v>
      </c>
      <c r="F62" t="s">
        <v>1311</v>
      </c>
    </row>
    <row r="63" spans="5:6">
      <c r="E63" t="s">
        <v>1199</v>
      </c>
      <c r="F63" t="s">
        <v>1317</v>
      </c>
    </row>
    <row r="64" spans="5:6">
      <c r="E64" t="s">
        <v>1199</v>
      </c>
      <c r="F64" t="s">
        <v>1321</v>
      </c>
    </row>
    <row r="65" spans="5:6">
      <c r="E65" t="s">
        <v>1202</v>
      </c>
      <c r="F65" t="s">
        <v>1226</v>
      </c>
    </row>
    <row r="66" spans="5:6">
      <c r="E66" t="s">
        <v>1202</v>
      </c>
      <c r="F66" t="s">
        <v>1236</v>
      </c>
    </row>
    <row r="67" spans="5:6">
      <c r="E67" t="s">
        <v>1202</v>
      </c>
      <c r="F67" t="s">
        <v>1246</v>
      </c>
    </row>
    <row r="68" spans="5:6">
      <c r="E68" t="s">
        <v>1202</v>
      </c>
      <c r="F68" t="s">
        <v>1256</v>
      </c>
    </row>
    <row r="69" spans="5:6">
      <c r="E69" t="s">
        <v>1202</v>
      </c>
      <c r="F69" t="s">
        <v>1266</v>
      </c>
    </row>
    <row r="70" spans="5:6">
      <c r="E70" t="s">
        <v>1202</v>
      </c>
      <c r="F70" t="s">
        <v>1275</v>
      </c>
    </row>
    <row r="71" spans="5:6">
      <c r="E71" t="s">
        <v>1202</v>
      </c>
      <c r="F71" t="s">
        <v>1282</v>
      </c>
    </row>
    <row r="72" spans="5:6">
      <c r="E72" t="s">
        <v>1202</v>
      </c>
      <c r="F72" t="s">
        <v>1290</v>
      </c>
    </row>
    <row r="73" spans="5:6">
      <c r="E73" t="s">
        <v>1202</v>
      </c>
      <c r="F73" t="s">
        <v>1298</v>
      </c>
    </row>
    <row r="74" spans="5:6">
      <c r="E74" t="s">
        <v>1202</v>
      </c>
      <c r="F74" t="s">
        <v>1305</v>
      </c>
    </row>
    <row r="75" spans="5:6">
      <c r="E75" t="s">
        <v>1205</v>
      </c>
      <c r="F75" t="s">
        <v>1227</v>
      </c>
    </row>
    <row r="76" spans="5:6">
      <c r="E76" t="s">
        <v>1205</v>
      </c>
      <c r="F76" t="s">
        <v>1237</v>
      </c>
    </row>
    <row r="77" spans="5:6">
      <c r="E77" t="s">
        <v>1205</v>
      </c>
      <c r="F77" t="s">
        <v>1247</v>
      </c>
    </row>
    <row r="78" spans="5:6">
      <c r="E78" t="s">
        <v>1205</v>
      </c>
      <c r="F78" t="s">
        <v>1257</v>
      </c>
    </row>
    <row r="79" spans="5:6">
      <c r="E79" t="s">
        <v>1205</v>
      </c>
      <c r="F79" t="s">
        <v>1267</v>
      </c>
    </row>
    <row r="80" spans="5:6">
      <c r="E80" t="s">
        <v>1205</v>
      </c>
      <c r="F80" t="s">
        <v>1276</v>
      </c>
    </row>
    <row r="81" spans="5:6">
      <c r="E81" t="s">
        <v>1205</v>
      </c>
      <c r="F81" t="s">
        <v>1283</v>
      </c>
    </row>
    <row r="82" spans="5:6">
      <c r="E82" t="s">
        <v>1205</v>
      </c>
      <c r="F82" t="s">
        <v>1291</v>
      </c>
    </row>
    <row r="83" spans="5:6">
      <c r="E83" t="s">
        <v>1205</v>
      </c>
      <c r="F83" t="s">
        <v>1299</v>
      </c>
    </row>
    <row r="84" spans="5:6">
      <c r="E84" t="s">
        <v>1205</v>
      </c>
      <c r="F84" t="s">
        <v>1306</v>
      </c>
    </row>
    <row r="85" spans="5:6">
      <c r="E85" t="s">
        <v>1205</v>
      </c>
      <c r="F85" t="s">
        <v>1312</v>
      </c>
    </row>
    <row r="86" spans="5:6">
      <c r="E86" t="s">
        <v>1205</v>
      </c>
      <c r="F86" t="s">
        <v>1318</v>
      </c>
    </row>
    <row r="87" spans="5:6">
      <c r="E87" t="s">
        <v>1205</v>
      </c>
      <c r="F87" t="s">
        <v>1322</v>
      </c>
    </row>
    <row r="88" spans="5:6">
      <c r="E88" t="s">
        <v>1205</v>
      </c>
      <c r="F88" t="s">
        <v>1325</v>
      </c>
    </row>
    <row r="89" spans="5:6">
      <c r="E89" t="s">
        <v>1205</v>
      </c>
      <c r="F89" t="s">
        <v>1327</v>
      </c>
    </row>
    <row r="90" spans="5:6">
      <c r="E90" t="s">
        <v>1205</v>
      </c>
      <c r="F90" t="s">
        <v>1328</v>
      </c>
    </row>
    <row r="91" spans="5:6">
      <c r="E91" t="s">
        <v>1205</v>
      </c>
      <c r="F91" t="s">
        <v>1329</v>
      </c>
    </row>
    <row r="92" spans="5:6">
      <c r="E92" t="s">
        <v>1207</v>
      </c>
      <c r="F92" t="s">
        <v>1228</v>
      </c>
    </row>
    <row r="93" spans="5:6">
      <c r="E93" t="s">
        <v>1207</v>
      </c>
      <c r="F93" t="s">
        <v>1238</v>
      </c>
    </row>
    <row r="94" spans="5:6">
      <c r="E94" t="s">
        <v>1207</v>
      </c>
      <c r="F94" t="s">
        <v>1248</v>
      </c>
    </row>
    <row r="95" spans="5:6">
      <c r="E95" t="s">
        <v>1207</v>
      </c>
      <c r="F95" t="s">
        <v>1258</v>
      </c>
    </row>
    <row r="96" spans="5:6">
      <c r="E96" t="s">
        <v>1207</v>
      </c>
      <c r="F96" t="s">
        <v>1268</v>
      </c>
    </row>
    <row r="97" spans="5:6">
      <c r="E97" t="s">
        <v>1207</v>
      </c>
      <c r="F97" t="s">
        <v>1277</v>
      </c>
    </row>
    <row r="98" spans="5:6">
      <c r="E98" t="s">
        <v>1207</v>
      </c>
      <c r="F98" t="s">
        <v>1284</v>
      </c>
    </row>
    <row r="99" spans="5:6">
      <c r="E99" t="s">
        <v>1207</v>
      </c>
      <c r="F99" t="s">
        <v>1292</v>
      </c>
    </row>
    <row r="100" spans="5:6">
      <c r="E100" t="s">
        <v>1207</v>
      </c>
      <c r="F100" t="s">
        <v>1300</v>
      </c>
    </row>
    <row r="101" spans="5:6">
      <c r="E101" t="s">
        <v>1207</v>
      </c>
      <c r="F101" t="s">
        <v>1307</v>
      </c>
    </row>
    <row r="102" spans="5:6">
      <c r="E102" t="s">
        <v>1207</v>
      </c>
      <c r="F102" t="s">
        <v>1313</v>
      </c>
    </row>
    <row r="103" spans="5:6">
      <c r="E103" t="s">
        <v>1207</v>
      </c>
      <c r="F103" t="s">
        <v>1319</v>
      </c>
    </row>
    <row r="104" spans="5:6">
      <c r="E104" t="s">
        <v>1207</v>
      </c>
      <c r="F104" t="s">
        <v>1323</v>
      </c>
    </row>
    <row r="105" spans="5:6">
      <c r="E105" t="s">
        <v>562</v>
      </c>
      <c r="F105" t="s">
        <v>1229</v>
      </c>
    </row>
    <row r="106" spans="5:6">
      <c r="E106" t="s">
        <v>562</v>
      </c>
      <c r="F106" t="s">
        <v>1239</v>
      </c>
    </row>
    <row r="107" spans="5:6">
      <c r="E107" t="s">
        <v>562</v>
      </c>
      <c r="F107" t="s">
        <v>1249</v>
      </c>
    </row>
    <row r="108" spans="5:6">
      <c r="E108" t="s">
        <v>562</v>
      </c>
      <c r="F108" t="s">
        <v>1259</v>
      </c>
    </row>
    <row r="109" spans="5:6">
      <c r="E109" t="s">
        <v>562</v>
      </c>
      <c r="F109" t="s">
        <v>1269</v>
      </c>
    </row>
    <row r="110" spans="5:6">
      <c r="E110" t="s">
        <v>562</v>
      </c>
      <c r="F110" t="s">
        <v>1278</v>
      </c>
    </row>
    <row r="111" spans="5:6">
      <c r="E111" t="s">
        <v>562</v>
      </c>
      <c r="F111" t="s">
        <v>1285</v>
      </c>
    </row>
    <row r="112" spans="5:6">
      <c r="E112" t="s">
        <v>562</v>
      </c>
      <c r="F112" t="s">
        <v>1293</v>
      </c>
    </row>
    <row r="113" spans="5:6">
      <c r="E113" t="s">
        <v>562</v>
      </c>
      <c r="F113" t="s">
        <v>1301</v>
      </c>
    </row>
    <row r="114" spans="5:6">
      <c r="E114" t="s">
        <v>562</v>
      </c>
      <c r="F114" t="s">
        <v>1308</v>
      </c>
    </row>
    <row r="115" spans="5:6">
      <c r="E115" t="s">
        <v>562</v>
      </c>
      <c r="F115" t="s">
        <v>1314</v>
      </c>
    </row>
    <row r="116" spans="5:6">
      <c r="E116" t="s">
        <v>1212</v>
      </c>
      <c r="F116" t="s">
        <v>1230</v>
      </c>
    </row>
    <row r="117" spans="5:6">
      <c r="E117" t="s">
        <v>1212</v>
      </c>
      <c r="F117" t="s">
        <v>1240</v>
      </c>
    </row>
    <row r="118" spans="5:6">
      <c r="E118" t="s">
        <v>1212</v>
      </c>
      <c r="F118" t="s">
        <v>1250</v>
      </c>
    </row>
    <row r="119" spans="5:6">
      <c r="E119" t="s">
        <v>1212</v>
      </c>
      <c r="F119" t="s">
        <v>1260</v>
      </c>
    </row>
    <row r="120" spans="5:6">
      <c r="E120" t="s">
        <v>1212</v>
      </c>
      <c r="F120" t="s">
        <v>1270</v>
      </c>
    </row>
    <row r="121" spans="5:6">
      <c r="E121" t="s">
        <v>1212</v>
      </c>
      <c r="F121" t="s">
        <v>1279</v>
      </c>
    </row>
    <row r="122" spans="5:6">
      <c r="E122" t="s">
        <v>1212</v>
      </c>
      <c r="F122" t="s">
        <v>1286</v>
      </c>
    </row>
    <row r="123" spans="5:6">
      <c r="E123" t="s">
        <v>1212</v>
      </c>
      <c r="F123" t="s">
        <v>1294</v>
      </c>
    </row>
    <row r="124" spans="5:6">
      <c r="E124" t="s">
        <v>1215</v>
      </c>
      <c r="F124" t="s">
        <v>1231</v>
      </c>
    </row>
    <row r="125" spans="5:6">
      <c r="E125" t="s">
        <v>1215</v>
      </c>
      <c r="F125" t="s">
        <v>1241</v>
      </c>
    </row>
    <row r="126" spans="5:6">
      <c r="E126" t="s">
        <v>1215</v>
      </c>
      <c r="F126" t="s">
        <v>1251</v>
      </c>
    </row>
    <row r="127" spans="5:6">
      <c r="E127" t="s">
        <v>1215</v>
      </c>
      <c r="F127" t="s">
        <v>1261</v>
      </c>
    </row>
    <row r="128" spans="5:6">
      <c r="E128" t="s">
        <v>1215</v>
      </c>
      <c r="F128" t="s">
        <v>1271</v>
      </c>
    </row>
  </sheetData>
  <mergeCells count="3">
    <mergeCell ref="K2:K3"/>
    <mergeCell ref="L2:P2"/>
    <mergeCell ref="Q2:AA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21"/>
  <sheetViews>
    <sheetView zoomScaleNormal="100" workbookViewId="0">
      <pane ySplit="5" topLeftCell="A54" activePane="bottomLeft" state="frozen"/>
      <selection pane="bottomLeft" activeCell="B82" sqref="B82"/>
    </sheetView>
  </sheetViews>
  <sheetFormatPr defaultColWidth="10.28515625" defaultRowHeight="13.9"/>
  <cols>
    <col min="1" max="1" width="40.28515625" style="19" bestFit="1" customWidth="1"/>
    <col min="2" max="2" width="14.140625" style="19" customWidth="1"/>
    <col min="3" max="5" width="13.42578125" style="19" customWidth="1"/>
    <col min="6" max="6" width="13.140625" style="19" customWidth="1"/>
    <col min="7" max="9" width="13.7109375" style="19" customWidth="1"/>
    <col min="10" max="10" width="14.140625" style="19" customWidth="1"/>
    <col min="11" max="11" width="15.140625" style="21" customWidth="1"/>
    <col min="12" max="12" width="17" style="21" hidden="1" customWidth="1"/>
    <col min="13" max="13" width="14.140625" style="19" hidden="1" customWidth="1"/>
    <col min="14" max="14" width="21.42578125" style="19" bestFit="1" customWidth="1"/>
    <col min="15" max="15" width="32.140625" style="19" customWidth="1"/>
    <col min="16" max="16" width="42.7109375" style="19" bestFit="1" customWidth="1"/>
    <col min="17" max="23" width="0" style="19" hidden="1" customWidth="1"/>
    <col min="24" max="24" width="15.28515625" style="19" bestFit="1" customWidth="1"/>
    <col min="25" max="25" width="17.42578125" style="19" bestFit="1" customWidth="1"/>
    <col min="26" max="33" width="0" style="19" hidden="1" customWidth="1"/>
    <col min="34" max="34" width="30.140625" style="19" customWidth="1"/>
    <col min="35" max="35" width="17.28515625" style="19" customWidth="1"/>
    <col min="36" max="36" width="17" style="19" customWidth="1"/>
    <col min="37" max="37" width="15.7109375" style="19" customWidth="1"/>
    <col min="38" max="38" width="16.28515625" style="19" customWidth="1"/>
    <col min="39" max="39" width="15.7109375" style="19" customWidth="1"/>
    <col min="40" max="40" width="17.42578125" style="19" customWidth="1"/>
    <col min="41" max="41" width="14.140625" style="19" customWidth="1"/>
    <col min="42" max="16384" width="10.28515625" style="19"/>
  </cols>
  <sheetData>
    <row r="1" spans="1:44">
      <c r="C1" s="45"/>
      <c r="D1" s="45"/>
      <c r="E1" s="45"/>
      <c r="F1" s="45"/>
      <c r="G1" s="45"/>
      <c r="H1" s="45"/>
      <c r="I1" s="45"/>
      <c r="J1" s="45"/>
      <c r="K1" s="45"/>
      <c r="L1" s="45"/>
      <c r="M1" s="45"/>
      <c r="N1"/>
      <c r="O1"/>
    </row>
    <row r="2" spans="1:44">
      <c r="G2" s="1512" t="s">
        <v>1330</v>
      </c>
      <c r="H2" s="1512"/>
      <c r="I2" s="1512"/>
      <c r="J2" s="1512"/>
      <c r="K2" s="22"/>
      <c r="L2" s="22"/>
      <c r="M2" s="22"/>
      <c r="N2" s="22"/>
      <c r="O2" s="22"/>
    </row>
    <row r="3" spans="1:44">
      <c r="G3" s="19" t="s">
        <v>1331</v>
      </c>
      <c r="H3" s="19" t="e" vm="1">
        <v>#VALUE!</v>
      </c>
      <c r="M3"/>
      <c r="N3"/>
      <c r="O3"/>
    </row>
    <row r="4" spans="1:44">
      <c r="D4" s="1512" t="s">
        <v>1332</v>
      </c>
      <c r="E4" s="1512"/>
      <c r="F4" s="1512"/>
      <c r="G4" s="1512"/>
      <c r="H4" s="1512"/>
      <c r="I4" s="1512"/>
      <c r="J4" s="1512"/>
      <c r="K4" s="1512"/>
      <c r="L4" s="1512"/>
      <c r="M4" s="1512"/>
      <c r="N4"/>
      <c r="O4"/>
    </row>
    <row r="5" spans="1:44">
      <c r="A5" s="45" t="s">
        <v>1333</v>
      </c>
      <c r="B5" s="45">
        <f>OP!J21</f>
        <v>2023</v>
      </c>
      <c r="C5" s="281">
        <f>B5-1</f>
        <v>2022</v>
      </c>
      <c r="D5" s="281">
        <f t="shared" ref="D5:M5" si="0">C5-1</f>
        <v>2021</v>
      </c>
      <c r="E5" s="281">
        <f t="shared" si="0"/>
        <v>2020</v>
      </c>
      <c r="F5" s="281">
        <f t="shared" si="0"/>
        <v>2019</v>
      </c>
      <c r="G5" s="281">
        <f t="shared" si="0"/>
        <v>2018</v>
      </c>
      <c r="H5" s="281">
        <f t="shared" si="0"/>
        <v>2017</v>
      </c>
      <c r="I5" s="281">
        <f t="shared" si="0"/>
        <v>2016</v>
      </c>
      <c r="J5" s="281">
        <f t="shared" si="0"/>
        <v>2015</v>
      </c>
      <c r="K5" s="281">
        <f t="shared" si="0"/>
        <v>2014</v>
      </c>
      <c r="L5" s="281">
        <f t="shared" si="0"/>
        <v>2013</v>
      </c>
      <c r="M5" s="281">
        <f t="shared" si="0"/>
        <v>2012</v>
      </c>
      <c r="N5"/>
      <c r="O5"/>
      <c r="Q5" s="9" t="s">
        <v>1334</v>
      </c>
      <c r="R5" s="1513" t="s">
        <v>1335</v>
      </c>
      <c r="S5" s="1513"/>
      <c r="T5" s="19" t="s">
        <v>1336</v>
      </c>
      <c r="Z5" s="45">
        <v>2016</v>
      </c>
      <c r="AA5" s="45">
        <v>2015</v>
      </c>
      <c r="AB5" s="45">
        <v>2014</v>
      </c>
      <c r="AC5" s="45">
        <v>2013</v>
      </c>
      <c r="AD5" s="45">
        <v>2012</v>
      </c>
      <c r="AE5" s="45">
        <v>2011</v>
      </c>
      <c r="AF5" s="45">
        <v>2010</v>
      </c>
      <c r="AG5" s="45">
        <v>2009</v>
      </c>
    </row>
    <row r="6" spans="1:44">
      <c r="A6" s="23" t="s">
        <v>135</v>
      </c>
      <c r="B6" s="664">
        <v>4064</v>
      </c>
      <c r="C6" s="664">
        <v>1189.5999999999999</v>
      </c>
      <c r="D6" s="664">
        <v>175.8</v>
      </c>
      <c r="E6" s="664">
        <v>84.1</v>
      </c>
      <c r="F6" s="664">
        <v>42.8</v>
      </c>
      <c r="G6" s="664">
        <v>10.199999999999999</v>
      </c>
      <c r="H6" s="664">
        <v>0</v>
      </c>
      <c r="I6" s="664">
        <v>0</v>
      </c>
      <c r="J6" s="664">
        <v>0.1</v>
      </c>
      <c r="K6" s="664">
        <v>0.3</v>
      </c>
      <c r="L6" s="248">
        <v>4884</v>
      </c>
      <c r="M6" s="248"/>
      <c r="N6" s="25" t="s">
        <v>1337</v>
      </c>
      <c r="O6" t="s">
        <v>888</v>
      </c>
      <c r="P6"/>
      <c r="Q6" s="19" t="s">
        <v>1338</v>
      </c>
      <c r="R6" s="19" t="s">
        <v>1338</v>
      </c>
      <c r="X6" s="26"/>
      <c r="Y6" s="26"/>
      <c r="Z6" s="24">
        <v>38537</v>
      </c>
      <c r="AA6" s="24">
        <v>47011</v>
      </c>
      <c r="AB6" s="24">
        <v>55184</v>
      </c>
      <c r="AC6" s="24">
        <v>55656</v>
      </c>
      <c r="AD6" s="24">
        <v>65875</v>
      </c>
      <c r="AE6" s="24">
        <v>60138</v>
      </c>
      <c r="AF6" s="24">
        <v>42588</v>
      </c>
      <c r="AG6" s="24">
        <v>32396</v>
      </c>
    </row>
    <row r="7" spans="1:44">
      <c r="A7" s="23" t="s">
        <v>1126</v>
      </c>
      <c r="B7" s="664">
        <v>3287.8</v>
      </c>
      <c r="C7" s="664">
        <v>811.2</v>
      </c>
      <c r="D7" s="664">
        <v>20.100000000000001</v>
      </c>
      <c r="E7" s="664">
        <v>-27.9</v>
      </c>
      <c r="F7" s="664">
        <v>6.2</v>
      </c>
      <c r="G7" s="664">
        <v>4</v>
      </c>
      <c r="H7" s="664">
        <v>0</v>
      </c>
      <c r="I7" s="664">
        <v>0</v>
      </c>
      <c r="J7" s="664">
        <v>0</v>
      </c>
      <c r="K7" s="664">
        <v>0</v>
      </c>
      <c r="L7" s="248">
        <v>1681</v>
      </c>
      <c r="M7" s="248"/>
      <c r="N7" s="25" t="s">
        <v>1337</v>
      </c>
      <c r="O7" t="str">
        <f>+A7</f>
        <v>Gross Profit</v>
      </c>
      <c r="P7"/>
      <c r="Q7" s="19" t="s">
        <v>1338</v>
      </c>
      <c r="R7" s="19" t="s">
        <v>1339</v>
      </c>
      <c r="Z7" s="28">
        <f>Z6-28044</f>
        <v>10493</v>
      </c>
      <c r="AA7" s="28">
        <f>AA6-33546</f>
        <v>13465</v>
      </c>
      <c r="AB7" s="28">
        <f>AB6-40718</f>
        <v>14466</v>
      </c>
      <c r="AC7" s="28">
        <f>AC6-40727</f>
        <v>14929</v>
      </c>
      <c r="AD7" s="29">
        <f>+AD6-47055</f>
        <v>18820</v>
      </c>
      <c r="AE7" s="29">
        <f>+AE6-43578</f>
        <v>16560</v>
      </c>
      <c r="AF7" s="29">
        <f>+AF6-30367</f>
        <v>12221</v>
      </c>
      <c r="AG7" s="29">
        <f>+AG6-23886</f>
        <v>8510</v>
      </c>
    </row>
    <row r="8" spans="1:44">
      <c r="A8" s="23" t="s">
        <v>315</v>
      </c>
      <c r="B8" s="664">
        <v>3211.9</v>
      </c>
      <c r="C8" s="664">
        <v>731.9</v>
      </c>
      <c r="D8" s="664">
        <v>-35</v>
      </c>
      <c r="E8" s="664">
        <v>-71.599999999999994</v>
      </c>
      <c r="F8" s="664">
        <v>-18.5</v>
      </c>
      <c r="G8" s="664">
        <v>-16.899999999999999</v>
      </c>
      <c r="H8" s="664">
        <v>-28</v>
      </c>
      <c r="I8" s="664">
        <v>-53.2</v>
      </c>
      <c r="J8" s="664">
        <v>-5.2</v>
      </c>
      <c r="K8" s="664">
        <v>-3</v>
      </c>
      <c r="L8" s="282">
        <v>718</v>
      </c>
      <c r="M8" s="282"/>
      <c r="N8" s="25" t="s">
        <v>1337</v>
      </c>
      <c r="O8" t="s">
        <v>315</v>
      </c>
      <c r="P8"/>
      <c r="Q8" s="19" t="s">
        <v>1338</v>
      </c>
      <c r="R8" s="30" t="s">
        <v>1340</v>
      </c>
      <c r="Z8" s="28">
        <f>Z7-4383</f>
        <v>6110</v>
      </c>
      <c r="AA8" s="28">
        <f>AA7-4951</f>
        <v>8514</v>
      </c>
      <c r="AB8" s="28">
        <f>AB7-6529</f>
        <v>7937</v>
      </c>
      <c r="AC8" s="28">
        <f>AC7-5547</f>
        <v>9382</v>
      </c>
      <c r="AD8" s="29">
        <f>AD7-5919-2466-797-580-485</f>
        <v>8573</v>
      </c>
      <c r="AE8" s="29">
        <f>+AE7-5203-2297-826-1081</f>
        <v>7153</v>
      </c>
      <c r="AF8" s="29">
        <f>+AF7-4248-1905-914-1191</f>
        <v>3963</v>
      </c>
      <c r="AG8" s="29">
        <f>+AG7-3645-1421-1045-1822</f>
        <v>577</v>
      </c>
    </row>
    <row r="9" spans="1:44">
      <c r="A9" s="23" t="s">
        <v>1130</v>
      </c>
      <c r="B9" s="664">
        <f t="shared" ref="B9:K9" si="1">B105+B106+B107</f>
        <v>114.69999999999963</v>
      </c>
      <c r="C9" s="664">
        <f t="shared" si="1"/>
        <v>5.5999999999998629</v>
      </c>
      <c r="D9" s="664">
        <f t="shared" si="1"/>
        <v>-1.2999999999999989</v>
      </c>
      <c r="E9" s="664">
        <f t="shared" si="1"/>
        <v>-5.2000000000000082</v>
      </c>
      <c r="F9" s="664">
        <f t="shared" si="1"/>
        <v>-6.5</v>
      </c>
      <c r="G9" s="664">
        <f t="shared" si="1"/>
        <v>-4</v>
      </c>
      <c r="H9" s="664">
        <f t="shared" si="1"/>
        <v>-0.10000000000000142</v>
      </c>
      <c r="I9" s="664">
        <f t="shared" si="1"/>
        <v>0</v>
      </c>
      <c r="J9" s="664">
        <f t="shared" si="1"/>
        <v>-0.19999999999999965</v>
      </c>
      <c r="K9" s="664">
        <f t="shared" si="1"/>
        <v>0</v>
      </c>
      <c r="L9" s="248">
        <v>0</v>
      </c>
      <c r="M9" s="248"/>
      <c r="N9" s="25" t="s">
        <v>1337</v>
      </c>
      <c r="O9" t="s">
        <v>1341</v>
      </c>
      <c r="P9"/>
      <c r="Q9" s="19" t="s">
        <v>1338</v>
      </c>
      <c r="R9" s="19" t="s">
        <v>1342</v>
      </c>
      <c r="S9" s="19" t="s">
        <v>1343</v>
      </c>
      <c r="T9" s="19" t="s">
        <v>1344</v>
      </c>
      <c r="U9" s="19" t="s">
        <v>1345</v>
      </c>
      <c r="V9" s="19" t="s">
        <v>1346</v>
      </c>
      <c r="Z9" s="28">
        <f>1853+596+595+1904+6+8</f>
        <v>4962</v>
      </c>
      <c r="AA9" s="28">
        <f>2119+587+2023+11</f>
        <v>4740</v>
      </c>
      <c r="AB9" s="28">
        <f>2380+624+1619-8+16</f>
        <v>4631</v>
      </c>
      <c r="AC9" s="28">
        <f>2046+727+981+6+14</f>
        <v>3774</v>
      </c>
      <c r="AD9" s="29">
        <f>-14+41</f>
        <v>27</v>
      </c>
      <c r="AE9" s="28">
        <v>53</v>
      </c>
      <c r="AF9" s="28">
        <f>58+24</f>
        <v>82</v>
      </c>
      <c r="AG9" s="28">
        <f>12-68</f>
        <v>-56</v>
      </c>
    </row>
    <row r="10" spans="1:44">
      <c r="A10" s="23" t="s">
        <v>316</v>
      </c>
      <c r="B10" s="664">
        <f t="shared" ref="B10:K10" si="2">SUM(B97:B98)</f>
        <v>44.900000000000006</v>
      </c>
      <c r="C10" s="664">
        <f t="shared" si="2"/>
        <v>-12.5</v>
      </c>
      <c r="D10" s="664">
        <f t="shared" si="2"/>
        <v>-15.100000000000001</v>
      </c>
      <c r="E10" s="664">
        <f t="shared" si="2"/>
        <v>-22.5</v>
      </c>
      <c r="F10" s="664">
        <f t="shared" si="2"/>
        <v>-3.9</v>
      </c>
      <c r="G10" s="664">
        <f t="shared" si="2"/>
        <v>1.5000000000000002</v>
      </c>
      <c r="H10" s="664">
        <f t="shared" si="2"/>
        <v>2.1</v>
      </c>
      <c r="I10" s="664">
        <f t="shared" si="2"/>
        <v>-2.1999999999999997</v>
      </c>
      <c r="J10" s="664">
        <f t="shared" si="2"/>
        <v>-0.2</v>
      </c>
      <c r="K10" s="664">
        <f t="shared" si="2"/>
        <v>-0.2</v>
      </c>
      <c r="L10" s="248">
        <v>-67</v>
      </c>
      <c r="M10" s="248"/>
      <c r="N10" s="25" t="s">
        <v>1337</v>
      </c>
      <c r="O10" t="s">
        <v>1347</v>
      </c>
      <c r="P10"/>
      <c r="Q10" s="19" t="s">
        <v>1338</v>
      </c>
      <c r="R10" s="19" t="s">
        <v>1348</v>
      </c>
      <c r="Z10" s="28">
        <f>505+518</f>
        <v>1023</v>
      </c>
      <c r="AA10" s="28">
        <f>507-161</f>
        <v>346</v>
      </c>
      <c r="AB10" s="28">
        <f>484-322</f>
        <v>162</v>
      </c>
      <c r="AC10" s="28">
        <f>465+35</f>
        <v>500</v>
      </c>
      <c r="AD10" s="29">
        <f>467-130</f>
        <v>337</v>
      </c>
      <c r="AE10" s="28">
        <f>396+32</f>
        <v>428</v>
      </c>
      <c r="AF10" s="28">
        <f>343-130</f>
        <v>213</v>
      </c>
      <c r="AG10" s="28">
        <f>389-381</f>
        <v>8</v>
      </c>
    </row>
    <row r="11" spans="1:44">
      <c r="A11" s="23" t="s">
        <v>317</v>
      </c>
      <c r="B11" s="664">
        <v>-980.4</v>
      </c>
      <c r="C11" s="664">
        <v>-163.19999999999999</v>
      </c>
      <c r="D11" s="664">
        <v>0</v>
      </c>
      <c r="E11" s="664">
        <v>0</v>
      </c>
      <c r="F11" s="664">
        <v>0</v>
      </c>
      <c r="G11" s="664">
        <v>0</v>
      </c>
      <c r="H11" s="664">
        <v>0</v>
      </c>
      <c r="I11" s="664">
        <v>-0.2</v>
      </c>
      <c r="J11" s="664">
        <v>0.1</v>
      </c>
      <c r="K11" s="664">
        <v>0</v>
      </c>
      <c r="L11" s="248">
        <v>82</v>
      </c>
      <c r="M11" s="248"/>
      <c r="N11" s="25" t="s">
        <v>1337</v>
      </c>
      <c r="O11" t="s">
        <v>317</v>
      </c>
      <c r="P11" s="686"/>
      <c r="Q11" s="19" t="s">
        <v>1338</v>
      </c>
      <c r="R11" s="19" t="s">
        <v>1349</v>
      </c>
      <c r="Z11" s="24">
        <v>192</v>
      </c>
      <c r="AA11" s="24">
        <v>916</v>
      </c>
      <c r="AB11" s="24">
        <v>692</v>
      </c>
      <c r="AC11" s="24">
        <v>1319</v>
      </c>
      <c r="AD11" s="27">
        <f>2528</f>
        <v>2528</v>
      </c>
      <c r="AE11" s="24">
        <f>1720</f>
        <v>1720</v>
      </c>
      <c r="AF11" s="24">
        <f>968</f>
        <v>968</v>
      </c>
      <c r="AG11" s="24">
        <f>-270</f>
        <v>-270</v>
      </c>
    </row>
    <row r="12" spans="1:44">
      <c r="A12" s="23" t="s">
        <v>75</v>
      </c>
      <c r="B12" s="664">
        <v>2391.1</v>
      </c>
      <c r="C12" s="664">
        <v>561.79999999999995</v>
      </c>
      <c r="D12" s="664">
        <v>-51.4</v>
      </c>
      <c r="E12" s="664">
        <v>-99.3</v>
      </c>
      <c r="F12" s="664">
        <v>-28.9</v>
      </c>
      <c r="G12" s="664">
        <v>-19.399999999999999</v>
      </c>
      <c r="H12" s="664">
        <v>-26</v>
      </c>
      <c r="I12" s="664">
        <v>-55.6</v>
      </c>
      <c r="J12" s="664">
        <v>-5.5</v>
      </c>
      <c r="K12" s="664">
        <v>-3.2</v>
      </c>
      <c r="L12" s="248">
        <v>569</v>
      </c>
      <c r="M12" s="248"/>
      <c r="N12" s="25" t="s">
        <v>1337</v>
      </c>
      <c r="O12" t="s">
        <v>75</v>
      </c>
      <c r="P12"/>
      <c r="Q12" s="19" t="s">
        <v>1350</v>
      </c>
      <c r="R12" s="19" t="s">
        <v>1351</v>
      </c>
      <c r="Z12" s="24">
        <v>-67</v>
      </c>
      <c r="AA12" s="24">
        <v>2512</v>
      </c>
      <c r="AB12" s="24">
        <v>2452</v>
      </c>
      <c r="AC12" s="24">
        <v>3789</v>
      </c>
      <c r="AD12" s="24">
        <v>5681</v>
      </c>
      <c r="AE12" s="24">
        <f>4928+24</f>
        <v>4952</v>
      </c>
      <c r="AF12" s="24">
        <v>2700</v>
      </c>
      <c r="AG12" s="24">
        <v>895</v>
      </c>
    </row>
    <row r="13" spans="1:44">
      <c r="B13" s="283">
        <f t="shared" ref="B13:L13" si="3">SUM(B8:B11)</f>
        <v>2391.1</v>
      </c>
      <c r="C13" s="283">
        <f t="shared" si="3"/>
        <v>561.79999999999995</v>
      </c>
      <c r="D13" s="283">
        <f t="shared" si="3"/>
        <v>-51.4</v>
      </c>
      <c r="E13" s="283">
        <f t="shared" si="3"/>
        <v>-99.3</v>
      </c>
      <c r="F13" s="283">
        <f t="shared" si="3"/>
        <v>-28.9</v>
      </c>
      <c r="G13" s="283">
        <f t="shared" si="3"/>
        <v>-19.399999999999999</v>
      </c>
      <c r="H13" s="283">
        <f t="shared" si="3"/>
        <v>-26</v>
      </c>
      <c r="I13" s="283">
        <f t="shared" si="3"/>
        <v>-55.600000000000009</v>
      </c>
      <c r="J13" s="283">
        <f t="shared" si="3"/>
        <v>-5.5</v>
      </c>
      <c r="K13" s="283">
        <f t="shared" si="3"/>
        <v>-3.2</v>
      </c>
      <c r="L13" s="283">
        <f t="shared" si="3"/>
        <v>733</v>
      </c>
      <c r="M13" s="283">
        <f t="shared" ref="M13" si="4">SUM(M8:M11)</f>
        <v>0</v>
      </c>
      <c r="N13"/>
      <c r="O13"/>
      <c r="P13"/>
      <c r="Z13" s="21">
        <f t="shared" ref="Z13:AG13" si="5">Z8-Z10-Z9-Z11</f>
        <v>-67</v>
      </c>
      <c r="AA13" s="21">
        <f t="shared" si="5"/>
        <v>2512</v>
      </c>
      <c r="AB13" s="21">
        <f t="shared" si="5"/>
        <v>2452</v>
      </c>
      <c r="AC13" s="21">
        <f t="shared" si="5"/>
        <v>3789</v>
      </c>
      <c r="AD13" s="21">
        <f t="shared" si="5"/>
        <v>5681</v>
      </c>
      <c r="AE13" s="21">
        <f t="shared" si="5"/>
        <v>4952</v>
      </c>
      <c r="AF13" s="21">
        <f t="shared" si="5"/>
        <v>2700</v>
      </c>
      <c r="AG13" s="21">
        <f t="shared" si="5"/>
        <v>895</v>
      </c>
    </row>
    <row r="14" spans="1:44">
      <c r="A14" s="45" t="s">
        <v>1352</v>
      </c>
      <c r="B14" s="284">
        <f t="shared" ref="B14:L14" si="6">B12-B13</f>
        <v>0</v>
      </c>
      <c r="C14" s="284">
        <f t="shared" si="6"/>
        <v>0</v>
      </c>
      <c r="D14" s="284">
        <f t="shared" si="6"/>
        <v>0</v>
      </c>
      <c r="E14" s="284">
        <f t="shared" si="6"/>
        <v>0</v>
      </c>
      <c r="F14" s="284">
        <f t="shared" si="6"/>
        <v>0</v>
      </c>
      <c r="G14" s="284">
        <f t="shared" si="6"/>
        <v>0</v>
      </c>
      <c r="H14" s="284">
        <f t="shared" si="6"/>
        <v>0</v>
      </c>
      <c r="I14" s="284">
        <f t="shared" si="6"/>
        <v>0</v>
      </c>
      <c r="J14" s="284">
        <f t="shared" si="6"/>
        <v>0</v>
      </c>
      <c r="K14" s="284">
        <f t="shared" si="6"/>
        <v>0</v>
      </c>
      <c r="L14" s="284">
        <f t="shared" si="6"/>
        <v>-164</v>
      </c>
      <c r="M14" s="284">
        <f t="shared" ref="M14" si="7">M12-M13</f>
        <v>0</v>
      </c>
      <c r="N14"/>
      <c r="O14"/>
      <c r="P14"/>
      <c r="Q14"/>
      <c r="R14"/>
      <c r="S14"/>
      <c r="T14"/>
      <c r="U14"/>
      <c r="V14"/>
      <c r="W14"/>
      <c r="X14"/>
      <c r="Y14"/>
      <c r="Z14"/>
      <c r="AA14"/>
      <c r="AB14"/>
      <c r="AC14"/>
      <c r="AD14"/>
      <c r="AE14"/>
      <c r="AF14"/>
      <c r="AG14"/>
      <c r="AH14"/>
      <c r="AI14"/>
      <c r="AJ14"/>
      <c r="AK14"/>
      <c r="AL14"/>
      <c r="AM14"/>
      <c r="AN14"/>
      <c r="AO14"/>
      <c r="AP14"/>
      <c r="AQ14"/>
      <c r="AR14"/>
    </row>
    <row r="15" spans="1:44">
      <c r="A15"/>
      <c r="B15" s="287"/>
      <c r="C15" s="287"/>
      <c r="D15" s="287"/>
      <c r="E15" s="287"/>
      <c r="F15" s="287"/>
      <c r="G15" s="287"/>
      <c r="H15" s="287"/>
      <c r="I15" s="287"/>
      <c r="J15" s="287"/>
      <c r="K15" s="287"/>
      <c r="L15" s="287"/>
      <c r="M15" s="287"/>
      <c r="N15"/>
      <c r="O15"/>
      <c r="P15"/>
      <c r="Q15"/>
      <c r="R15"/>
      <c r="S15"/>
      <c r="T15"/>
      <c r="U15"/>
      <c r="V15"/>
      <c r="W15"/>
      <c r="X15"/>
      <c r="Y15"/>
      <c r="Z15"/>
      <c r="AA15"/>
      <c r="AB15"/>
      <c r="AC15"/>
      <c r="AD15"/>
      <c r="AE15"/>
      <c r="AF15"/>
      <c r="AG15"/>
      <c r="AH15"/>
      <c r="AI15"/>
      <c r="AJ15"/>
      <c r="AK15"/>
      <c r="AL15"/>
      <c r="AM15"/>
      <c r="AN15"/>
      <c r="AO15"/>
      <c r="AP15"/>
      <c r="AQ15"/>
      <c r="AR15"/>
    </row>
    <row r="16" spans="1:44">
      <c r="A16" s="23" t="s">
        <v>1353</v>
      </c>
      <c r="B16" s="664">
        <v>2992.2</v>
      </c>
      <c r="C16" s="664">
        <v>2960</v>
      </c>
      <c r="D16" s="664">
        <v>2760.4</v>
      </c>
      <c r="E16" s="664">
        <v>2280.3000000000002</v>
      </c>
      <c r="F16" s="664">
        <v>1901.9</v>
      </c>
      <c r="G16" s="664">
        <v>1747.8</v>
      </c>
      <c r="H16" s="664">
        <v>1319.8</v>
      </c>
      <c r="I16" s="664">
        <v>883.4</v>
      </c>
      <c r="J16" s="664">
        <v>632.5</v>
      </c>
      <c r="K16" s="664">
        <v>298.7</v>
      </c>
      <c r="L16" s="285">
        <v>1443</v>
      </c>
      <c r="M16" s="285"/>
      <c r="N16"/>
      <c r="O16"/>
      <c r="P16"/>
      <c r="Q16"/>
      <c r="R16"/>
      <c r="S16"/>
      <c r="T16"/>
      <c r="U16"/>
      <c r="V16"/>
      <c r="W16"/>
      <c r="X16"/>
      <c r="Y16"/>
      <c r="Z16"/>
      <c r="AA16"/>
      <c r="AB16"/>
      <c r="AC16"/>
      <c r="AD16"/>
      <c r="AE16"/>
      <c r="AF16"/>
      <c r="AG16"/>
      <c r="AH16"/>
      <c r="AI16"/>
      <c r="AJ16"/>
      <c r="AK16"/>
      <c r="AL16"/>
      <c r="AM16"/>
      <c r="AN16"/>
      <c r="AO16"/>
      <c r="AP16"/>
      <c r="AQ16"/>
      <c r="AR16"/>
    </row>
    <row r="17" spans="1:152">
      <c r="A17" s="23" t="s">
        <v>1354</v>
      </c>
      <c r="B17" s="664">
        <v>3029.5</v>
      </c>
      <c r="C17" s="664">
        <v>3041.1</v>
      </c>
      <c r="D17" s="664">
        <v>2760.4</v>
      </c>
      <c r="E17" s="664">
        <v>2280.3000000000002</v>
      </c>
      <c r="F17" s="664">
        <v>1901.9</v>
      </c>
      <c r="G17" s="664">
        <v>1747.8</v>
      </c>
      <c r="H17" s="664">
        <v>1319.8</v>
      </c>
      <c r="I17" s="664">
        <v>883.4</v>
      </c>
      <c r="J17" s="664">
        <v>632.5</v>
      </c>
      <c r="K17" s="664">
        <v>298.7</v>
      </c>
      <c r="L17" s="285">
        <v>1447</v>
      </c>
      <c r="M17" s="285"/>
      <c r="N17"/>
      <c r="O17"/>
      <c r="P17"/>
      <c r="Q17"/>
      <c r="R17"/>
      <c r="S17"/>
      <c r="T17"/>
      <c r="U17"/>
      <c r="V17"/>
      <c r="W17"/>
      <c r="X17"/>
      <c r="Y17"/>
      <c r="Z17"/>
      <c r="AA17"/>
      <c r="AB17"/>
      <c r="AC17"/>
      <c r="AD17"/>
      <c r="AE17"/>
      <c r="AF17"/>
      <c r="AG17"/>
      <c r="AH17"/>
      <c r="AI17"/>
      <c r="AJ17"/>
      <c r="AK17"/>
      <c r="AL17"/>
      <c r="AM17"/>
      <c r="AN17"/>
      <c r="AO17"/>
      <c r="AP17"/>
      <c r="AQ17"/>
      <c r="AR17"/>
    </row>
    <row r="18" spans="1:152" customFormat="1" ht="13.15">
      <c r="B18" s="287"/>
      <c r="C18" s="287"/>
      <c r="D18" s="287"/>
      <c r="E18" s="287"/>
      <c r="F18" s="287"/>
      <c r="G18" s="287"/>
      <c r="H18" s="287"/>
      <c r="I18" s="287"/>
      <c r="J18" s="287"/>
      <c r="K18" s="287"/>
      <c r="L18" s="287"/>
      <c r="M18" s="287"/>
    </row>
    <row r="19" spans="1:152">
      <c r="A19" s="23" t="s">
        <v>1355</v>
      </c>
      <c r="B19" s="285">
        <v>1.865</v>
      </c>
      <c r="C19" s="285">
        <v>1.1879999999999999</v>
      </c>
      <c r="D19" s="285">
        <v>0</v>
      </c>
      <c r="E19" s="285">
        <v>0</v>
      </c>
      <c r="F19" s="285">
        <v>0</v>
      </c>
      <c r="G19" s="285">
        <v>0</v>
      </c>
      <c r="H19" s="285">
        <v>0</v>
      </c>
      <c r="I19" s="285">
        <v>0</v>
      </c>
      <c r="J19" s="285">
        <v>0</v>
      </c>
      <c r="K19" s="285">
        <v>-6.8072999999999995E-2</v>
      </c>
      <c r="L19" s="248" t="str">
        <f t="shared" ref="L19" si="8">L76</f>
        <v>--</v>
      </c>
      <c r="M19" s="248"/>
      <c r="N19"/>
      <c r="O19"/>
      <c r="P19"/>
      <c r="Q19"/>
      <c r="R19"/>
      <c r="S19"/>
      <c r="T19"/>
      <c r="U19"/>
      <c r="V19"/>
      <c r="W19"/>
      <c r="X19"/>
      <c r="Y19"/>
      <c r="Z19"/>
      <c r="AA19"/>
      <c r="AB19"/>
      <c r="AC19"/>
      <c r="AD19"/>
      <c r="AE19"/>
      <c r="AF19"/>
      <c r="AG19"/>
      <c r="AH19"/>
      <c r="AI19"/>
      <c r="AJ19"/>
      <c r="AK19"/>
      <c r="AL19"/>
      <c r="AM19"/>
      <c r="AN19"/>
      <c r="AO19"/>
      <c r="AP19"/>
      <c r="AQ19"/>
      <c r="AR19"/>
    </row>
    <row r="20" spans="1:152">
      <c r="A20" s="742" t="s">
        <v>1356</v>
      </c>
      <c r="B20" s="285">
        <v>2387.3710000000001</v>
      </c>
      <c r="C20" s="285">
        <v>563.01300000000003</v>
      </c>
      <c r="D20" s="285">
        <v>-51.448</v>
      </c>
      <c r="E20" s="285">
        <v>-99.262</v>
      </c>
      <c r="F20" s="285">
        <v>-28.916</v>
      </c>
      <c r="G20" s="285">
        <v>-19.414999999999999</v>
      </c>
      <c r="H20" s="285">
        <v>-25.954000000000001</v>
      </c>
      <c r="I20" s="741">
        <v>-55.606999999999999</v>
      </c>
      <c r="J20" s="285">
        <v>-6.62</v>
      </c>
      <c r="K20" s="285">
        <v>-3.2553809999999999</v>
      </c>
      <c r="L20" s="248"/>
      <c r="M20" s="248"/>
      <c r="N20"/>
      <c r="O20" t="s">
        <v>1357</v>
      </c>
      <c r="P20"/>
      <c r="Q20"/>
      <c r="R20"/>
      <c r="S20"/>
      <c r="T20"/>
      <c r="U20"/>
      <c r="V20"/>
      <c r="W20"/>
      <c r="X20"/>
      <c r="Y20"/>
      <c r="Z20"/>
      <c r="AA20"/>
      <c r="AB20"/>
      <c r="AC20"/>
      <c r="AD20"/>
      <c r="AE20"/>
      <c r="AF20"/>
      <c r="AG20"/>
      <c r="AH20"/>
      <c r="AI20"/>
      <c r="AJ20"/>
      <c r="AK20"/>
      <c r="AL20"/>
      <c r="AM20"/>
      <c r="AN20"/>
      <c r="AO20"/>
      <c r="AP20"/>
      <c r="AQ20"/>
      <c r="AR20"/>
    </row>
    <row r="21" spans="1:152" customFormat="1" ht="13.15">
      <c r="B21" s="287"/>
      <c r="C21" s="287"/>
      <c r="D21" s="287"/>
      <c r="E21" s="287"/>
      <c r="F21" s="287"/>
      <c r="G21" s="287"/>
      <c r="H21" s="287"/>
      <c r="I21" s="287"/>
      <c r="J21" s="287"/>
      <c r="K21" s="287"/>
      <c r="L21" s="287"/>
      <c r="M21" s="287"/>
    </row>
    <row r="22" spans="1:152">
      <c r="A22" s="19" t="s">
        <v>1131</v>
      </c>
      <c r="B22" s="283">
        <f>B23-C23</f>
        <v>-1095.9999999999998</v>
      </c>
      <c r="C22" s="283">
        <f t="shared" ref="C22:K22" si="9">C23-D23</f>
        <v>136.90000000000003</v>
      </c>
      <c r="D22" s="283">
        <f t="shared" si="9"/>
        <v>-57.599999999999994</v>
      </c>
      <c r="E22" s="283">
        <f>E23-F23</f>
        <v>-51.400000000000013</v>
      </c>
      <c r="F22" s="283">
        <f t="shared" si="9"/>
        <v>21.500000000000007</v>
      </c>
      <c r="G22" s="283">
        <f t="shared" si="9"/>
        <v>-145.10000000000002</v>
      </c>
      <c r="H22" s="283">
        <f t="shared" si="9"/>
        <v>129.40000000000003</v>
      </c>
      <c r="I22" s="283">
        <f t="shared" si="9"/>
        <v>-1.6999999999999997</v>
      </c>
      <c r="J22" s="283">
        <f>J23-K23</f>
        <v>1.1999999999999997</v>
      </c>
      <c r="K22" s="283">
        <f t="shared" si="9"/>
        <v>-9.9999999999999867E-2</v>
      </c>
      <c r="L22" s="283" t="e">
        <f>L23-#REF!</f>
        <v>#REF!</v>
      </c>
      <c r="M22" s="283">
        <f>M23-N23</f>
        <v>0</v>
      </c>
      <c r="N22" s="31" t="s">
        <v>1358</v>
      </c>
      <c r="O22" t="s">
        <v>1359</v>
      </c>
      <c r="P22"/>
      <c r="Q22"/>
      <c r="R22"/>
      <c r="S22"/>
      <c r="T22"/>
      <c r="U22"/>
      <c r="V22"/>
      <c r="W22"/>
      <c r="X22"/>
      <c r="Y22"/>
      <c r="Z22"/>
      <c r="AA22"/>
      <c r="AB22"/>
      <c r="AC22"/>
      <c r="AD22"/>
      <c r="AE22"/>
      <c r="AF22"/>
      <c r="AG22"/>
      <c r="AH22"/>
      <c r="AI22"/>
      <c r="AJ22"/>
      <c r="AK22"/>
      <c r="AL22"/>
      <c r="AM22"/>
      <c r="AN22"/>
      <c r="AO22"/>
      <c r="AP22"/>
      <c r="AQ22"/>
      <c r="AR22"/>
    </row>
    <row r="23" spans="1:152">
      <c r="A23" s="23" t="s">
        <v>1360</v>
      </c>
      <c r="B23" s="248">
        <f>B27-B42-B28</f>
        <v>-1064.7999999999997</v>
      </c>
      <c r="C23" s="248">
        <f t="shared" ref="C23" si="10">C27-C42-C28</f>
        <v>31.200000000000045</v>
      </c>
      <c r="D23" s="248">
        <f t="shared" ref="D23:L23" si="11">D27-D42-D28</f>
        <v>-105.7</v>
      </c>
      <c r="E23" s="248">
        <f t="shared" si="11"/>
        <v>-48.100000000000009</v>
      </c>
      <c r="F23" s="248">
        <f t="shared" si="11"/>
        <v>3.3000000000000043</v>
      </c>
      <c r="G23" s="248">
        <f t="shared" si="11"/>
        <v>-18.200000000000003</v>
      </c>
      <c r="H23" s="248">
        <f t="shared" si="11"/>
        <v>126.90000000000002</v>
      </c>
      <c r="I23" s="248">
        <f t="shared" si="11"/>
        <v>-2.5</v>
      </c>
      <c r="J23" s="248">
        <f t="shared" si="11"/>
        <v>-0.80000000000000027</v>
      </c>
      <c r="K23" s="248">
        <f t="shared" si="11"/>
        <v>-2</v>
      </c>
      <c r="L23" s="248">
        <f t="shared" si="11"/>
        <v>-1.9000000000000001</v>
      </c>
      <c r="M23" s="248">
        <f t="shared" ref="M23" si="12">M27-M42-M28</f>
        <v>0</v>
      </c>
      <c r="N23" s="31"/>
      <c r="O23"/>
      <c r="P23"/>
      <c r="Q23"/>
      <c r="R23"/>
      <c r="S23"/>
      <c r="T23"/>
      <c r="U23"/>
      <c r="V23"/>
      <c r="W23"/>
      <c r="X23"/>
      <c r="Y23"/>
      <c r="Z23"/>
      <c r="AA23"/>
      <c r="AB23"/>
      <c r="AC23"/>
      <c r="AD23"/>
      <c r="AE23"/>
      <c r="AF23"/>
      <c r="AG23"/>
      <c r="AH23"/>
      <c r="AI23"/>
      <c r="AJ23"/>
      <c r="AK23"/>
      <c r="AL23"/>
      <c r="AM23"/>
      <c r="AN23"/>
      <c r="AO23"/>
      <c r="AP23"/>
      <c r="AQ23"/>
      <c r="AR23"/>
    </row>
    <row r="24" spans="1:152">
      <c r="A24" s="7">
        <v>2625</v>
      </c>
      <c r="B24" s="288">
        <v>2625</v>
      </c>
      <c r="C24" s="288">
        <v>2625</v>
      </c>
      <c r="D24" s="288">
        <v>2625</v>
      </c>
      <c r="E24" s="288">
        <v>2625</v>
      </c>
      <c r="F24" s="288">
        <v>2625</v>
      </c>
      <c r="G24" s="288">
        <v>2625</v>
      </c>
      <c r="H24" s="288">
        <v>2625</v>
      </c>
      <c r="I24" s="288">
        <v>2625</v>
      </c>
      <c r="J24" s="288">
        <v>2625</v>
      </c>
      <c r="K24" s="288">
        <v>2625</v>
      </c>
      <c r="L24" s="288">
        <v>2625</v>
      </c>
      <c r="M24" s="288">
        <v>2625</v>
      </c>
      <c r="N24" s="7">
        <v>2625</v>
      </c>
      <c r="O24"/>
      <c r="P24"/>
      <c r="Q24"/>
      <c r="R24"/>
      <c r="S24"/>
      <c r="T24"/>
      <c r="U24"/>
      <c r="V24"/>
      <c r="W24"/>
      <c r="X24"/>
      <c r="Y24"/>
      <c r="Z24"/>
      <c r="AA24"/>
      <c r="AB24"/>
      <c r="AC24"/>
      <c r="AD24"/>
      <c r="AE24"/>
      <c r="AF24"/>
      <c r="AG24"/>
      <c r="AH24"/>
      <c r="AI24"/>
      <c r="AJ24"/>
      <c r="AK24"/>
      <c r="AL24"/>
      <c r="AM24"/>
      <c r="AN24"/>
      <c r="AO24"/>
      <c r="AP24"/>
      <c r="AQ24"/>
      <c r="AR24"/>
    </row>
    <row r="25" spans="1:152">
      <c r="A25" s="45" t="s">
        <v>710</v>
      </c>
      <c r="B25" s="288">
        <v>2625</v>
      </c>
      <c r="C25" s="288">
        <v>2625</v>
      </c>
      <c r="D25" s="288">
        <v>2625</v>
      </c>
      <c r="E25" s="288">
        <v>2625</v>
      </c>
      <c r="F25" s="288">
        <v>2625</v>
      </c>
      <c r="G25" s="288">
        <v>2625</v>
      </c>
      <c r="H25" s="288">
        <v>2625</v>
      </c>
      <c r="I25" s="288">
        <v>2625</v>
      </c>
      <c r="J25" s="288">
        <v>2625</v>
      </c>
      <c r="K25" s="288">
        <v>2625</v>
      </c>
      <c r="L25" s="288">
        <v>2625</v>
      </c>
      <c r="M25" s="288">
        <v>2625</v>
      </c>
      <c r="N25" s="7">
        <v>2625</v>
      </c>
      <c r="O25"/>
      <c r="P25"/>
      <c r="Q25"/>
      <c r="R25"/>
      <c r="S25"/>
      <c r="T25"/>
      <c r="U25"/>
      <c r="V25"/>
      <c r="W25"/>
      <c r="X25"/>
      <c r="Y25"/>
      <c r="Z25"/>
      <c r="AA25"/>
      <c r="AB25"/>
      <c r="AC25"/>
      <c r="AD25"/>
      <c r="AE25"/>
      <c r="AF25"/>
      <c r="AG25"/>
      <c r="AH25"/>
      <c r="AI25"/>
      <c r="AJ25"/>
      <c r="AK25"/>
      <c r="AL25"/>
      <c r="AM25"/>
      <c r="AN25"/>
      <c r="AO25"/>
      <c r="AP25"/>
      <c r="AQ25"/>
      <c r="AR25"/>
    </row>
    <row r="26" spans="1:152" ht="14.45">
      <c r="A26" s="94" t="s">
        <v>1361</v>
      </c>
      <c r="B26" s="283"/>
      <c r="C26" s="283"/>
      <c r="D26" s="283"/>
      <c r="E26" s="283"/>
      <c r="F26" s="283"/>
      <c r="G26" s="283"/>
      <c r="H26" s="283"/>
      <c r="I26" s="283"/>
      <c r="J26" s="283"/>
      <c r="K26" s="283"/>
      <c r="L26" s="679">
        <v>4.4000000000000004</v>
      </c>
      <c r="M26" s="331"/>
      <c r="N26" s="7">
        <v>1922</v>
      </c>
      <c r="O26">
        <v>2625</v>
      </c>
      <c r="P26"/>
      <c r="Q26"/>
      <c r="R26"/>
      <c r="S26"/>
      <c r="T26"/>
      <c r="U26"/>
      <c r="V26"/>
      <c r="W26"/>
      <c r="X26"/>
      <c r="Y26"/>
      <c r="Z26"/>
      <c r="AA26"/>
      <c r="AB26"/>
      <c r="AC26"/>
      <c r="AD26"/>
      <c r="AE26"/>
      <c r="AF26"/>
      <c r="AG26"/>
      <c r="AH26"/>
      <c r="AI26"/>
      <c r="AJ26"/>
      <c r="AK26"/>
      <c r="AL26"/>
      <c r="AM26"/>
      <c r="AN26"/>
      <c r="AO26"/>
      <c r="AP26"/>
      <c r="AQ26"/>
      <c r="AR26"/>
    </row>
    <row r="27" spans="1:152" ht="14.45">
      <c r="A27" s="9" t="s">
        <v>1362</v>
      </c>
      <c r="B27" s="699">
        <v>3567.9</v>
      </c>
      <c r="C27" s="699">
        <v>960.2</v>
      </c>
      <c r="D27" s="699">
        <v>164</v>
      </c>
      <c r="E27" s="699">
        <v>113.6</v>
      </c>
      <c r="F27" s="699">
        <v>125.9</v>
      </c>
      <c r="G27" s="699">
        <v>152.6</v>
      </c>
      <c r="H27" s="699">
        <v>225.8</v>
      </c>
      <c r="I27" s="699">
        <v>101.6</v>
      </c>
      <c r="J27" s="699">
        <v>5.8</v>
      </c>
      <c r="K27" s="699">
        <v>1.4</v>
      </c>
      <c r="L27" s="679">
        <v>1.3</v>
      </c>
      <c r="M27" s="247"/>
      <c r="N27" s="7"/>
      <c r="O27"/>
      <c r="P27"/>
      <c r="Q27"/>
      <c r="R27"/>
      <c r="S27"/>
      <c r="T27"/>
      <c r="U27"/>
      <c r="V27"/>
      <c r="W27"/>
      <c r="X27"/>
      <c r="Y27"/>
      <c r="Z27"/>
      <c r="AA27"/>
      <c r="AB27"/>
      <c r="AC27"/>
      <c r="AD27"/>
      <c r="AE27"/>
      <c r="AF27"/>
      <c r="AG27"/>
      <c r="AH27"/>
      <c r="AI27"/>
      <c r="AJ27"/>
      <c r="AK27"/>
      <c r="AL27"/>
      <c r="AM27"/>
      <c r="AN27"/>
      <c r="AO27"/>
      <c r="AP27"/>
      <c r="AQ27"/>
      <c r="AR27"/>
    </row>
    <row r="28" spans="1:152" ht="14.45">
      <c r="A28" s="91" t="s">
        <v>320</v>
      </c>
      <c r="B28" s="664">
        <v>3338.6</v>
      </c>
      <c r="C28" s="664">
        <v>591.70000000000005</v>
      </c>
      <c r="D28" s="664">
        <v>99.7</v>
      </c>
      <c r="E28" s="664">
        <v>86.3</v>
      </c>
      <c r="F28" s="664">
        <v>63.6</v>
      </c>
      <c r="G28" s="664">
        <v>120</v>
      </c>
      <c r="H28" s="664">
        <v>87.2</v>
      </c>
      <c r="I28" s="664">
        <v>100</v>
      </c>
      <c r="J28" s="664">
        <v>3.2</v>
      </c>
      <c r="K28" s="664">
        <v>1.1000000000000001</v>
      </c>
      <c r="L28" s="677">
        <v>1</v>
      </c>
      <c r="M28" s="248"/>
      <c r="N28" s="34" t="s">
        <v>1363</v>
      </c>
      <c r="O28" t="s">
        <v>320</v>
      </c>
      <c r="P28"/>
      <c r="Q28"/>
      <c r="R28"/>
      <c r="S28"/>
      <c r="T28"/>
      <c r="U28"/>
      <c r="V28"/>
      <c r="W28"/>
      <c r="X28"/>
      <c r="Y28"/>
      <c r="Z28"/>
      <c r="AA28"/>
      <c r="AB28"/>
      <c r="AC28"/>
      <c r="AD28"/>
      <c r="AE28"/>
      <c r="AF28"/>
      <c r="AG28"/>
      <c r="AH28"/>
      <c r="AI28"/>
      <c r="AJ28"/>
      <c r="AK28"/>
      <c r="AL28"/>
      <c r="AM28"/>
      <c r="AN28"/>
      <c r="AO28"/>
      <c r="AP28"/>
      <c r="AQ28"/>
      <c r="AR28"/>
    </row>
    <row r="29" spans="1:152" ht="14.45">
      <c r="A29" s="92" t="s">
        <v>1140</v>
      </c>
      <c r="B29" s="664">
        <v>82.1</v>
      </c>
      <c r="C29" s="664">
        <v>288.5</v>
      </c>
      <c r="D29" s="664">
        <v>20.8</v>
      </c>
      <c r="E29" s="664">
        <v>1.1000000000000001</v>
      </c>
      <c r="F29" s="664">
        <v>3.2</v>
      </c>
      <c r="G29" s="664">
        <v>6.2</v>
      </c>
      <c r="H29" s="664" t="s">
        <v>304</v>
      </c>
      <c r="I29" s="664">
        <v>0</v>
      </c>
      <c r="J29" s="664" t="s">
        <v>304</v>
      </c>
      <c r="K29" s="664" t="s">
        <v>304</v>
      </c>
      <c r="L29" s="678" t="s">
        <v>304</v>
      </c>
      <c r="M29" s="248"/>
      <c r="N29" s="34" t="s">
        <v>1363</v>
      </c>
      <c r="O29" t="s">
        <v>1140</v>
      </c>
      <c r="P29"/>
      <c r="Q29"/>
      <c r="R29"/>
      <c r="S29"/>
      <c r="T29"/>
      <c r="U29"/>
      <c r="V29"/>
      <c r="W29"/>
      <c r="X29"/>
      <c r="Y29"/>
      <c r="Z29"/>
      <c r="AA29"/>
      <c r="AB29"/>
      <c r="AC29"/>
      <c r="AD29"/>
      <c r="AE29"/>
      <c r="AF29"/>
      <c r="AG29"/>
      <c r="AH29"/>
      <c r="AI29"/>
      <c r="AJ29"/>
      <c r="AK29"/>
      <c r="AL29"/>
      <c r="AM29"/>
      <c r="AN29"/>
      <c r="AO29"/>
      <c r="AP29"/>
      <c r="AQ29"/>
      <c r="AR29"/>
    </row>
    <row r="30" spans="1:152" ht="14.45">
      <c r="A30" s="91" t="s">
        <v>322</v>
      </c>
      <c r="B30" s="664">
        <v>97.3</v>
      </c>
      <c r="C30" s="664">
        <v>69.3</v>
      </c>
      <c r="D30" s="664">
        <v>38.6</v>
      </c>
      <c r="E30" s="664">
        <v>23.3</v>
      </c>
      <c r="F30" s="664">
        <v>51.2</v>
      </c>
      <c r="G30" s="664">
        <v>7.5</v>
      </c>
      <c r="H30" s="664">
        <v>0</v>
      </c>
      <c r="I30" s="664">
        <v>0</v>
      </c>
      <c r="J30" s="664" t="s">
        <v>304</v>
      </c>
      <c r="K30" s="664" t="s">
        <v>304</v>
      </c>
      <c r="L30" s="678" t="s">
        <v>304</v>
      </c>
      <c r="M30" s="248"/>
      <c r="N30" s="34" t="s">
        <v>1363</v>
      </c>
      <c r="O30" t="s">
        <v>322</v>
      </c>
      <c r="P30"/>
      <c r="Q30"/>
      <c r="R30"/>
      <c r="S30"/>
      <c r="T30"/>
      <c r="U30"/>
      <c r="V30"/>
      <c r="W30"/>
      <c r="X30"/>
      <c r="Y30"/>
      <c r="Z30"/>
      <c r="AA30"/>
      <c r="AB30"/>
      <c r="AC30"/>
      <c r="AD30"/>
      <c r="AE30"/>
      <c r="AF30"/>
      <c r="AG30"/>
      <c r="AH30"/>
      <c r="AI30"/>
      <c r="AJ30"/>
      <c r="AK30"/>
      <c r="AL30"/>
      <c r="AM30"/>
      <c r="AN30"/>
      <c r="AO30"/>
      <c r="AP30"/>
      <c r="AQ30"/>
      <c r="AR30"/>
    </row>
    <row r="31" spans="1:152" s="20" customFormat="1" ht="14.45">
      <c r="A31" s="91" t="s">
        <v>1364</v>
      </c>
      <c r="B31" s="664">
        <f>B27-SUM(B28:B30)</f>
        <v>49.900000000000091</v>
      </c>
      <c r="C31" s="664">
        <f t="shared" ref="C31:K31" si="13">C27-SUM(C28:C30)</f>
        <v>10.700000000000045</v>
      </c>
      <c r="D31" s="664">
        <f t="shared" si="13"/>
        <v>4.9000000000000057</v>
      </c>
      <c r="E31" s="664">
        <f t="shared" si="13"/>
        <v>2.9000000000000057</v>
      </c>
      <c r="F31" s="664">
        <f t="shared" si="13"/>
        <v>7.9000000000000057</v>
      </c>
      <c r="G31" s="664">
        <f t="shared" si="13"/>
        <v>18.900000000000006</v>
      </c>
      <c r="H31" s="664">
        <f t="shared" si="13"/>
        <v>138.60000000000002</v>
      </c>
      <c r="I31" s="664">
        <f t="shared" si="13"/>
        <v>1.5999999999999943</v>
      </c>
      <c r="J31" s="664">
        <f t="shared" si="13"/>
        <v>2.5999999999999996</v>
      </c>
      <c r="K31" s="664">
        <f t="shared" si="13"/>
        <v>0.29999999999999982</v>
      </c>
      <c r="L31" s="678">
        <v>0</v>
      </c>
      <c r="M31" s="248">
        <f t="shared" ref="M31" si="14">M27-SUM(M28:M30)</f>
        <v>0</v>
      </c>
      <c r="N31" s="34" t="s">
        <v>1363</v>
      </c>
      <c r="O31" t="s">
        <v>322</v>
      </c>
      <c r="P31"/>
      <c r="Q31"/>
      <c r="R31"/>
      <c r="S31"/>
      <c r="T31"/>
      <c r="U31"/>
      <c r="V31"/>
      <c r="W31"/>
      <c r="X31"/>
      <c r="Y31"/>
      <c r="Z31"/>
      <c r="AA31"/>
      <c r="AB31"/>
      <c r="AC31"/>
      <c r="AD31"/>
      <c r="AE31"/>
      <c r="AF31"/>
      <c r="AG31"/>
      <c r="AH31"/>
      <c r="AI31"/>
      <c r="AJ31"/>
      <c r="AK31"/>
      <c r="AL31"/>
      <c r="AM31"/>
      <c r="AN31"/>
      <c r="AO31"/>
      <c r="AP31"/>
      <c r="AQ31"/>
      <c r="AR31"/>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row>
    <row r="32" spans="1:152" s="20" customFormat="1">
      <c r="A32" s="9" t="s">
        <v>1365</v>
      </c>
      <c r="B32" s="284">
        <f t="shared" ref="B32:K32" si="15">B38-B27</f>
        <v>1630.9</v>
      </c>
      <c r="C32" s="284">
        <f t="shared" si="15"/>
        <v>1018.2</v>
      </c>
      <c r="D32" s="284">
        <f t="shared" si="15"/>
        <v>785.7</v>
      </c>
      <c r="E32" s="284">
        <f t="shared" si="15"/>
        <v>488.9</v>
      </c>
      <c r="F32" s="284">
        <f t="shared" si="15"/>
        <v>456.4</v>
      </c>
      <c r="G32" s="284">
        <f t="shared" si="15"/>
        <v>379.4</v>
      </c>
      <c r="H32" s="284">
        <f t="shared" si="15"/>
        <v>110.69999999999999</v>
      </c>
      <c r="I32" s="284">
        <f t="shared" si="15"/>
        <v>1.1000000000000085</v>
      </c>
      <c r="J32" s="284">
        <f t="shared" si="15"/>
        <v>3.1000000000000005</v>
      </c>
      <c r="K32" s="284">
        <f t="shared" si="15"/>
        <v>3.3000000000000003</v>
      </c>
      <c r="L32" s="247">
        <f t="shared" ref="L32" si="16">L38-L27</f>
        <v>8941.7000000000007</v>
      </c>
      <c r="M32" s="247">
        <f t="shared" ref="M32" si="17">M38-M27</f>
        <v>0</v>
      </c>
      <c r="N32" s="34"/>
      <c r="O32"/>
      <c r="P32"/>
      <c r="Q32"/>
      <c r="R32"/>
      <c r="S32"/>
      <c r="T32"/>
      <c r="U32"/>
      <c r="V32"/>
      <c r="W32"/>
      <c r="X32"/>
      <c r="Y32"/>
      <c r="Z32"/>
      <c r="AA32"/>
      <c r="AB32"/>
      <c r="AC32"/>
      <c r="AD32"/>
      <c r="AE32"/>
      <c r="AF32"/>
      <c r="AG32"/>
      <c r="AH32"/>
      <c r="AI32"/>
      <c r="AJ32"/>
      <c r="AK32"/>
      <c r="AL32"/>
      <c r="AM32"/>
      <c r="AN32"/>
      <c r="AO32"/>
      <c r="AP32"/>
      <c r="AQ32"/>
      <c r="AR32"/>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row>
    <row r="33" spans="1:44" ht="14.45">
      <c r="A33" s="93" t="s">
        <v>1141</v>
      </c>
      <c r="B33" s="664">
        <v>1384.5</v>
      </c>
      <c r="C33" s="664">
        <v>938.7</v>
      </c>
      <c r="D33" s="664">
        <v>785.7</v>
      </c>
      <c r="E33" s="664">
        <v>488.8</v>
      </c>
      <c r="F33" s="664">
        <v>440.3</v>
      </c>
      <c r="G33" s="664">
        <v>379.3</v>
      </c>
      <c r="H33" s="664">
        <v>110.7</v>
      </c>
      <c r="I33" s="664">
        <v>1.1000000000000001</v>
      </c>
      <c r="J33" s="664">
        <v>1.9</v>
      </c>
      <c r="K33" s="664">
        <v>3.1</v>
      </c>
      <c r="L33" s="682">
        <v>2.9</v>
      </c>
      <c r="M33" s="248"/>
      <c r="N33" s="34"/>
      <c r="O33"/>
      <c r="P33"/>
      <c r="Q33"/>
      <c r="R33"/>
      <c r="S33"/>
      <c r="T33"/>
      <c r="U33"/>
      <c r="V33"/>
      <c r="W33"/>
      <c r="X33"/>
      <c r="Y33"/>
      <c r="Z33"/>
      <c r="AA33"/>
      <c r="AB33"/>
      <c r="AC33"/>
      <c r="AD33"/>
      <c r="AE33"/>
      <c r="AF33"/>
      <c r="AG33"/>
      <c r="AH33"/>
      <c r="AI33"/>
      <c r="AJ33"/>
      <c r="AK33"/>
      <c r="AL33"/>
      <c r="AM33"/>
      <c r="AN33"/>
      <c r="AO33"/>
      <c r="AP33"/>
      <c r="AQ33"/>
      <c r="AR33"/>
    </row>
    <row r="34" spans="1:44">
      <c r="A34" s="93" t="s">
        <v>1366</v>
      </c>
      <c r="B34" s="664"/>
      <c r="C34" s="664"/>
      <c r="D34" s="664"/>
      <c r="E34" s="664"/>
      <c r="F34" s="664"/>
      <c r="G34" s="664"/>
      <c r="H34" s="664"/>
      <c r="I34" s="664"/>
      <c r="J34" s="664"/>
      <c r="K34" s="664"/>
      <c r="L34" s="248">
        <v>410</v>
      </c>
      <c r="M34" s="248"/>
      <c r="N34" s="34"/>
      <c r="O34"/>
      <c r="P34"/>
      <c r="Z34" s="24"/>
      <c r="AA34" s="24"/>
      <c r="AB34" s="24"/>
      <c r="AC34" s="24"/>
      <c r="AD34" s="24"/>
      <c r="AE34" s="24"/>
      <c r="AF34" s="24"/>
      <c r="AG34" s="24"/>
    </row>
    <row r="35" spans="1:44" ht="14.45">
      <c r="A35" s="93" t="s">
        <v>1367</v>
      </c>
      <c r="B35" s="664">
        <v>217.2</v>
      </c>
      <c r="C35" s="664">
        <v>79.5</v>
      </c>
      <c r="D35" s="664" t="s">
        <v>304</v>
      </c>
      <c r="E35" s="664" t="s">
        <v>304</v>
      </c>
      <c r="F35" s="664" t="s">
        <v>304</v>
      </c>
      <c r="G35" s="664">
        <v>0</v>
      </c>
      <c r="H35" s="664">
        <v>0</v>
      </c>
      <c r="I35" s="664">
        <v>0</v>
      </c>
      <c r="J35" s="664">
        <v>1.2</v>
      </c>
      <c r="K35" s="664">
        <v>0.2</v>
      </c>
      <c r="L35" s="683" t="s">
        <v>304</v>
      </c>
      <c r="M35" s="248"/>
      <c r="N35" s="34"/>
      <c r="O35"/>
      <c r="P35"/>
      <c r="Z35" s="24"/>
      <c r="AA35" s="24"/>
      <c r="AB35" s="24"/>
      <c r="AC35" s="24"/>
      <c r="AD35" s="24"/>
      <c r="AE35" s="24"/>
      <c r="AF35" s="24"/>
      <c r="AG35" s="24"/>
    </row>
    <row r="36" spans="1:44">
      <c r="A36" s="93" t="s">
        <v>1368</v>
      </c>
      <c r="B36" s="664">
        <f>B32-SUM(B33:B35)</f>
        <v>29.200000000000045</v>
      </c>
      <c r="C36" s="664">
        <f t="shared" ref="C36" si="18">C32-SUM(C33:C35)</f>
        <v>0</v>
      </c>
      <c r="D36" s="664">
        <f t="shared" ref="D36" si="19">D32-SUM(D33:D35)</f>
        <v>0</v>
      </c>
      <c r="E36" s="664">
        <f t="shared" ref="E36" si="20">E32-SUM(E33:E35)</f>
        <v>9.9999999999965894E-2</v>
      </c>
      <c r="F36" s="664">
        <f>F32-SUM(F33:F35)</f>
        <v>16.099999999999966</v>
      </c>
      <c r="G36" s="664">
        <f t="shared" ref="G36" si="21">G32-SUM(G33:G35)</f>
        <v>9.9999999999965894E-2</v>
      </c>
      <c r="H36" s="664">
        <f t="shared" ref="H36" si="22">H32-SUM(H33:H35)</f>
        <v>0</v>
      </c>
      <c r="I36" s="664">
        <f t="shared" ref="I36" si="23">I32-SUM(I33:I35)</f>
        <v>8.4376949871511897E-15</v>
      </c>
      <c r="J36" s="664">
        <f t="shared" ref="J36" si="24">J32-SUM(J33:J35)</f>
        <v>0</v>
      </c>
      <c r="K36" s="664">
        <f t="shared" ref="K36" si="25">K32-SUM(K33:K35)</f>
        <v>0</v>
      </c>
      <c r="L36" s="248">
        <f t="shared" ref="L36" si="26">L32-SUM(L33:L35)</f>
        <v>8528.8000000000011</v>
      </c>
      <c r="M36" s="248">
        <f t="shared" ref="M36" si="27">M32-SUM(M33:M35)</f>
        <v>0</v>
      </c>
      <c r="N36" s="34" t="s">
        <v>1363</v>
      </c>
      <c r="O36" t="s">
        <v>1141</v>
      </c>
      <c r="P36"/>
      <c r="Z36" s="24"/>
      <c r="AA36" s="24"/>
      <c r="AB36" s="24"/>
      <c r="AC36" s="24"/>
      <c r="AD36" s="24"/>
      <c r="AE36" s="24"/>
      <c r="AF36" s="24"/>
      <c r="AG36" s="24"/>
    </row>
    <row r="37" spans="1:44">
      <c r="A37" s="19" t="s">
        <v>1142</v>
      </c>
      <c r="B37" s="700">
        <f>B31+B36</f>
        <v>79.100000000000136</v>
      </c>
      <c r="C37" s="700">
        <f t="shared" ref="C37:L37" si="28">C31+C36</f>
        <v>10.700000000000045</v>
      </c>
      <c r="D37" s="700">
        <f t="shared" si="28"/>
        <v>4.9000000000000057</v>
      </c>
      <c r="E37" s="700">
        <f t="shared" si="28"/>
        <v>2.9999999999999716</v>
      </c>
      <c r="F37" s="700">
        <f t="shared" si="28"/>
        <v>23.999999999999972</v>
      </c>
      <c r="G37" s="700">
        <f t="shared" si="28"/>
        <v>18.999999999999972</v>
      </c>
      <c r="H37" s="700">
        <f t="shared" si="28"/>
        <v>138.60000000000002</v>
      </c>
      <c r="I37" s="700">
        <f t="shared" si="28"/>
        <v>1.6000000000000028</v>
      </c>
      <c r="J37" s="700">
        <f t="shared" si="28"/>
        <v>2.5999999999999996</v>
      </c>
      <c r="K37" s="700">
        <f t="shared" si="28"/>
        <v>0.29999999999999982</v>
      </c>
      <c r="L37" s="501">
        <f t="shared" si="28"/>
        <v>8528.8000000000011</v>
      </c>
      <c r="M37" s="283">
        <f t="shared" ref="M37" si="29">M31+M36</f>
        <v>0</v>
      </c>
      <c r="N37" s="34" t="s">
        <v>1363</v>
      </c>
      <c r="O37"/>
      <c r="P37"/>
      <c r="Z37" s="24"/>
      <c r="AA37" s="24"/>
      <c r="AB37" s="24"/>
      <c r="AC37" s="24"/>
      <c r="AD37" s="24"/>
      <c r="AE37" s="24"/>
      <c r="AF37" s="24"/>
      <c r="AG37" s="24"/>
    </row>
    <row r="38" spans="1:44">
      <c r="A38" s="9" t="s">
        <v>52</v>
      </c>
      <c r="B38" s="284">
        <v>5198.8</v>
      </c>
      <c r="C38" s="284">
        <v>1978.4</v>
      </c>
      <c r="D38" s="284">
        <v>949.7</v>
      </c>
      <c r="E38" s="284">
        <v>602.5</v>
      </c>
      <c r="F38" s="284">
        <v>582.29999999999995</v>
      </c>
      <c r="G38" s="284">
        <v>532</v>
      </c>
      <c r="H38" s="284">
        <v>336.5</v>
      </c>
      <c r="I38" s="284">
        <v>102.7</v>
      </c>
      <c r="J38" s="284">
        <v>8.9</v>
      </c>
      <c r="K38" s="284">
        <v>4.7</v>
      </c>
      <c r="L38" s="247">
        <v>8943</v>
      </c>
      <c r="M38" s="247"/>
      <c r="N38" s="34" t="s">
        <v>1363</v>
      </c>
      <c r="O38" t="s">
        <v>52</v>
      </c>
      <c r="P38"/>
      <c r="Q38" s="19" t="s">
        <v>1369</v>
      </c>
      <c r="R38" s="19" t="s">
        <v>1370</v>
      </c>
      <c r="Z38" s="24">
        <v>15322</v>
      </c>
      <c r="AA38" s="24">
        <v>16090</v>
      </c>
      <c r="AB38" s="24">
        <f>16577</f>
        <v>16577</v>
      </c>
      <c r="AC38" s="24">
        <v>17075</v>
      </c>
      <c r="AD38" s="24">
        <v>16461</v>
      </c>
      <c r="AE38" s="24">
        <v>14395</v>
      </c>
      <c r="AF38" s="24">
        <v>12539</v>
      </c>
      <c r="AG38" s="24">
        <v>12386</v>
      </c>
    </row>
    <row r="39" spans="1:44">
      <c r="B39" s="699"/>
      <c r="C39" s="699"/>
      <c r="D39" s="699"/>
      <c r="E39" s="699"/>
      <c r="F39" s="699"/>
      <c r="G39" s="699"/>
      <c r="H39" s="699"/>
      <c r="I39" s="699"/>
      <c r="J39" s="699"/>
      <c r="K39" s="699"/>
      <c r="L39" s="283"/>
      <c r="M39" s="283"/>
      <c r="N39" s="34" t="s">
        <v>1363</v>
      </c>
      <c r="O39"/>
      <c r="P39"/>
      <c r="Z39" s="21">
        <f t="shared" ref="Z39:AG39" si="30">Z40-SUM(Z30:Z38)</f>
        <v>59382</v>
      </c>
      <c r="AA39" s="21">
        <f t="shared" si="30"/>
        <v>62252</v>
      </c>
      <c r="AB39" s="21">
        <f t="shared" si="30"/>
        <v>68104</v>
      </c>
      <c r="AC39" s="21">
        <f t="shared" si="30"/>
        <v>67821</v>
      </c>
      <c r="AD39" s="21">
        <f t="shared" si="30"/>
        <v>72895</v>
      </c>
      <c r="AE39" s="21">
        <f t="shared" si="30"/>
        <v>67051</v>
      </c>
      <c r="AF39" s="21">
        <f t="shared" si="30"/>
        <v>51481</v>
      </c>
      <c r="AG39" s="21">
        <f t="shared" si="30"/>
        <v>47652</v>
      </c>
    </row>
    <row r="40" spans="1:44">
      <c r="B40" s="699"/>
      <c r="C40" s="699"/>
      <c r="D40" s="699"/>
      <c r="E40" s="699"/>
      <c r="F40" s="699"/>
      <c r="G40" s="699"/>
      <c r="H40" s="699"/>
      <c r="I40" s="699"/>
      <c r="J40" s="699"/>
      <c r="K40" s="699"/>
      <c r="L40" s="283"/>
      <c r="M40" s="283"/>
      <c r="N40" s="34" t="s">
        <v>1363</v>
      </c>
      <c r="O40"/>
      <c r="P40"/>
      <c r="Q40" s="19" t="s">
        <v>1369</v>
      </c>
      <c r="R40" s="19" t="s">
        <v>1371</v>
      </c>
      <c r="Z40" s="35">
        <v>74704</v>
      </c>
      <c r="AA40" s="35">
        <v>78342</v>
      </c>
      <c r="AB40" s="35">
        <v>84681</v>
      </c>
      <c r="AC40" s="35">
        <v>84896</v>
      </c>
      <c r="AD40" s="35">
        <v>89356</v>
      </c>
      <c r="AE40" s="35">
        <v>81446</v>
      </c>
      <c r="AF40" s="35">
        <v>64020</v>
      </c>
      <c r="AG40" s="35">
        <v>60038</v>
      </c>
    </row>
    <row r="41" spans="1:44" ht="14.45" thickBot="1">
      <c r="A41" s="94" t="s">
        <v>1372</v>
      </c>
      <c r="B41" s="701"/>
      <c r="C41" s="701"/>
      <c r="D41" s="701"/>
      <c r="E41" s="701"/>
      <c r="F41" s="701"/>
      <c r="G41" s="701"/>
      <c r="H41" s="701"/>
      <c r="I41" s="701"/>
      <c r="J41" s="701"/>
      <c r="K41" s="701"/>
      <c r="M41" s="247"/>
      <c r="N41" s="34" t="s">
        <v>1363</v>
      </c>
      <c r="O41"/>
      <c r="P41"/>
      <c r="Z41" s="26"/>
      <c r="AA41" s="26"/>
      <c r="AB41" s="26"/>
      <c r="AC41" s="26"/>
      <c r="AD41" s="26"/>
      <c r="AE41" s="26"/>
      <c r="AF41" s="26"/>
      <c r="AG41" s="26"/>
    </row>
    <row r="42" spans="1:44" ht="15" thickBot="1">
      <c r="A42" s="9" t="s">
        <v>326</v>
      </c>
      <c r="B42" s="284">
        <v>1294.0999999999999</v>
      </c>
      <c r="C42" s="284">
        <v>337.3</v>
      </c>
      <c r="D42" s="284">
        <v>170</v>
      </c>
      <c r="E42" s="284">
        <v>75.400000000000006</v>
      </c>
      <c r="F42" s="284">
        <v>59</v>
      </c>
      <c r="G42" s="284">
        <v>50.8</v>
      </c>
      <c r="H42" s="284">
        <v>11.7</v>
      </c>
      <c r="I42" s="284">
        <v>4.0999999999999996</v>
      </c>
      <c r="J42" s="284">
        <v>3.4</v>
      </c>
      <c r="K42" s="284">
        <v>2.2999999999999998</v>
      </c>
      <c r="L42" s="679">
        <v>2.2000000000000002</v>
      </c>
      <c r="M42" s="247"/>
      <c r="N42" s="34" t="s">
        <v>1363</v>
      </c>
      <c r="O42" t="s">
        <v>326</v>
      </c>
      <c r="P42"/>
      <c r="Z42" s="26"/>
      <c r="AA42" s="26"/>
      <c r="AB42" s="26"/>
      <c r="AC42" s="26"/>
      <c r="AD42" s="26"/>
      <c r="AE42" s="26"/>
      <c r="AF42" s="26"/>
      <c r="AG42" s="26"/>
    </row>
    <row r="43" spans="1:44" ht="15" thickBot="1">
      <c r="A43" s="91" t="s">
        <v>1373</v>
      </c>
      <c r="B43" s="664">
        <f t="shared" ref="B43:K43" si="31">B109+B110+B111+B112</f>
        <v>953.8</v>
      </c>
      <c r="C43" s="664">
        <f t="shared" si="31"/>
        <v>134.9</v>
      </c>
      <c r="D43" s="664">
        <f t="shared" si="31"/>
        <v>15.6</v>
      </c>
      <c r="E43" s="664">
        <f t="shared" si="31"/>
        <v>12</v>
      </c>
      <c r="F43" s="664">
        <f t="shared" si="31"/>
        <v>23.1</v>
      </c>
      <c r="G43" s="664">
        <f t="shared" si="31"/>
        <v>9.3000000000000007</v>
      </c>
      <c r="H43" s="664">
        <f t="shared" si="31"/>
        <v>3.9</v>
      </c>
      <c r="I43" s="664">
        <f t="shared" si="31"/>
        <v>2.2000000000000002</v>
      </c>
      <c r="J43" s="664">
        <f t="shared" si="31"/>
        <v>0.7</v>
      </c>
      <c r="K43" s="664">
        <f t="shared" si="31"/>
        <v>0.2</v>
      </c>
      <c r="L43" s="679" t="s">
        <v>304</v>
      </c>
      <c r="M43" s="248"/>
      <c r="N43" s="34"/>
      <c r="O43"/>
      <c r="P43"/>
      <c r="Z43" s="33"/>
      <c r="AA43" s="33"/>
      <c r="AB43" s="33"/>
      <c r="AC43" s="33"/>
      <c r="AD43" s="33"/>
      <c r="AE43" s="32"/>
      <c r="AF43" s="32"/>
      <c r="AG43" s="32"/>
    </row>
    <row r="44" spans="1:44" s="9" customFormat="1" ht="14.45">
      <c r="A44" s="23" t="s">
        <v>1144</v>
      </c>
      <c r="B44" s="664">
        <v>0</v>
      </c>
      <c r="C44" s="664">
        <v>0</v>
      </c>
      <c r="D44" s="664">
        <v>0</v>
      </c>
      <c r="E44" s="664">
        <v>0</v>
      </c>
      <c r="F44" s="664">
        <v>0</v>
      </c>
      <c r="G44" s="664">
        <v>0</v>
      </c>
      <c r="H44" s="664">
        <v>0</v>
      </c>
      <c r="I44" s="664">
        <v>0</v>
      </c>
      <c r="J44" s="664">
        <v>2.6</v>
      </c>
      <c r="K44" s="664">
        <v>1.4</v>
      </c>
      <c r="L44" s="679">
        <v>1.3</v>
      </c>
      <c r="M44" s="248"/>
      <c r="N44" s="34" t="s">
        <v>1363</v>
      </c>
      <c r="O44" t="s">
        <v>1374</v>
      </c>
      <c r="P44"/>
      <c r="Q44" s="19" t="s">
        <v>1369</v>
      </c>
      <c r="R44" s="9" t="s">
        <v>1375</v>
      </c>
      <c r="Z44" s="35">
        <v>26132</v>
      </c>
      <c r="AA44" s="35">
        <v>26242</v>
      </c>
      <c r="AB44" s="35">
        <v>27877</v>
      </c>
      <c r="AC44" s="35">
        <v>27297</v>
      </c>
      <c r="AD44" s="35">
        <v>29415</v>
      </c>
      <c r="AE44" s="35">
        <f>93+3895+8161+3386+2410+2691+298+1967+558+5102</f>
        <v>28561</v>
      </c>
      <c r="AF44" s="35">
        <f>204+3852+5856+2880+1670+1831+281+1521+495+3430</f>
        <v>22020</v>
      </c>
      <c r="AG44" s="35">
        <f>433+3650+2993+3351+797+1217+262+888+302+5399</f>
        <v>19292</v>
      </c>
      <c r="AO44" s="19"/>
    </row>
    <row r="45" spans="1:44" s="9" customFormat="1">
      <c r="A45" s="23" t="s">
        <v>1145</v>
      </c>
      <c r="B45" s="664">
        <v>124.3</v>
      </c>
      <c r="C45" s="664">
        <v>55.8</v>
      </c>
      <c r="D45" s="664">
        <v>13.3</v>
      </c>
      <c r="E45" s="664">
        <v>53.3</v>
      </c>
      <c r="F45" s="664">
        <v>8.9</v>
      </c>
      <c r="G45" s="664">
        <v>0.2</v>
      </c>
      <c r="H45" s="664">
        <v>0.1</v>
      </c>
      <c r="I45" s="664">
        <v>0.1</v>
      </c>
      <c r="J45" s="664" t="s">
        <v>304</v>
      </c>
      <c r="K45" s="664" t="s">
        <v>304</v>
      </c>
      <c r="L45" s="248"/>
      <c r="M45" s="248"/>
      <c r="N45" s="34"/>
      <c r="O45"/>
      <c r="P45"/>
      <c r="Q45" s="19"/>
      <c r="Z45" s="35"/>
      <c r="AA45" s="35"/>
      <c r="AB45" s="35"/>
      <c r="AC45" s="35"/>
      <c r="AD45" s="35"/>
      <c r="AE45" s="35"/>
      <c r="AF45" s="35"/>
      <c r="AG45" s="35"/>
      <c r="AO45" s="19"/>
    </row>
    <row r="46" spans="1:44">
      <c r="A46" s="91" t="s">
        <v>1146</v>
      </c>
      <c r="B46" s="664">
        <f>B42-SUM(B43:B45)</f>
        <v>216</v>
      </c>
      <c r="C46" s="664">
        <f t="shared" ref="C46" si="32">C42-SUM(C43:C45)</f>
        <v>146.60000000000002</v>
      </c>
      <c r="D46" s="664">
        <f t="shared" ref="D46:L46" si="33">D42-SUM(D43:D45)</f>
        <v>141.1</v>
      </c>
      <c r="E46" s="664">
        <f t="shared" si="33"/>
        <v>10.100000000000009</v>
      </c>
      <c r="F46" s="664">
        <f t="shared" si="33"/>
        <v>27</v>
      </c>
      <c r="G46" s="664">
        <f t="shared" si="33"/>
        <v>41.3</v>
      </c>
      <c r="H46" s="664">
        <f t="shared" si="33"/>
        <v>7.6999999999999993</v>
      </c>
      <c r="I46" s="664">
        <f t="shared" si="33"/>
        <v>1.7999999999999994</v>
      </c>
      <c r="J46" s="664">
        <f t="shared" si="33"/>
        <v>0.10000000000000009</v>
      </c>
      <c r="K46" s="664">
        <f t="shared" si="33"/>
        <v>0.7</v>
      </c>
      <c r="L46" s="248">
        <f t="shared" si="33"/>
        <v>0.90000000000000013</v>
      </c>
      <c r="M46" s="248">
        <f t="shared" ref="M46" si="34">M42-SUM(M43:M45)</f>
        <v>0</v>
      </c>
      <c r="N46" s="34" t="s">
        <v>1363</v>
      </c>
      <c r="O46"/>
      <c r="P46"/>
      <c r="R46" s="19" t="s">
        <v>1376</v>
      </c>
      <c r="Z46" s="28">
        <v>7303</v>
      </c>
      <c r="AA46" s="28">
        <v>6967</v>
      </c>
      <c r="AB46" s="28">
        <v>4708</v>
      </c>
      <c r="AC46" s="28">
        <v>3679</v>
      </c>
      <c r="AD46" s="28">
        <v>5287</v>
      </c>
      <c r="AE46" s="28">
        <v>5660</v>
      </c>
      <c r="AF46" s="28">
        <v>3925</v>
      </c>
      <c r="AG46" s="28">
        <v>5701</v>
      </c>
    </row>
    <row r="47" spans="1:44" ht="14.45" thickBot="1">
      <c r="A47" s="9" t="s">
        <v>1147</v>
      </c>
      <c r="B47" s="284">
        <f>B51-B42</f>
        <v>514.70000000000005</v>
      </c>
      <c r="C47" s="284">
        <f t="shared" ref="C47:L47" si="35">C51-C42</f>
        <v>349.09999999999997</v>
      </c>
      <c r="D47" s="284">
        <f t="shared" si="35"/>
        <v>205.5</v>
      </c>
      <c r="E47" s="284">
        <f t="shared" si="35"/>
        <v>140.1</v>
      </c>
      <c r="F47" s="284">
        <f t="shared" si="35"/>
        <v>146.6</v>
      </c>
      <c r="G47" s="284">
        <f t="shared" si="35"/>
        <v>137.89999999999998</v>
      </c>
      <c r="H47" s="284">
        <f t="shared" si="35"/>
        <v>124.60000000000001</v>
      </c>
      <c r="I47" s="284">
        <f t="shared" si="35"/>
        <v>0.20000000000000018</v>
      </c>
      <c r="J47" s="284">
        <f t="shared" si="35"/>
        <v>0</v>
      </c>
      <c r="K47" s="284">
        <f t="shared" si="35"/>
        <v>0</v>
      </c>
      <c r="L47" s="247">
        <f t="shared" si="35"/>
        <v>0</v>
      </c>
      <c r="M47" s="247">
        <f t="shared" ref="M47" si="36">M51-M42</f>
        <v>0</v>
      </c>
      <c r="N47" s="34" t="s">
        <v>1363</v>
      </c>
      <c r="O47" t="s">
        <v>1377</v>
      </c>
      <c r="P47"/>
      <c r="Z47" s="28"/>
      <c r="AA47" s="28"/>
      <c r="AB47" s="28"/>
      <c r="AC47" s="28"/>
      <c r="AD47" s="28"/>
      <c r="AE47" s="28"/>
      <c r="AF47" s="28"/>
      <c r="AG47" s="28"/>
    </row>
    <row r="48" spans="1:44" ht="14.45">
      <c r="A48" s="23" t="s">
        <v>1148</v>
      </c>
      <c r="B48" s="664">
        <v>272.5</v>
      </c>
      <c r="C48" s="664">
        <v>204.2</v>
      </c>
      <c r="D48" s="664">
        <v>141.19999999999999</v>
      </c>
      <c r="E48" s="664">
        <v>97.8</v>
      </c>
      <c r="F48" s="664">
        <v>130.1</v>
      </c>
      <c r="G48" s="664">
        <v>130.5</v>
      </c>
      <c r="H48" s="664">
        <v>124.3</v>
      </c>
      <c r="I48" s="664" t="s">
        <v>304</v>
      </c>
      <c r="J48" s="664" t="s">
        <v>304</v>
      </c>
      <c r="K48" s="664" t="s">
        <v>304</v>
      </c>
      <c r="L48" s="677" t="s">
        <v>304</v>
      </c>
      <c r="M48" s="248"/>
      <c r="N48" s="34" t="s">
        <v>1363</v>
      </c>
      <c r="O48" t="s">
        <v>1378</v>
      </c>
      <c r="P48"/>
      <c r="Z48" s="21">
        <f t="shared" ref="Z48:AG48" si="37">Z44-Z46</f>
        <v>18829</v>
      </c>
      <c r="AA48" s="21">
        <f t="shared" si="37"/>
        <v>19275</v>
      </c>
      <c r="AB48" s="21">
        <f t="shared" si="37"/>
        <v>23169</v>
      </c>
      <c r="AC48" s="21">
        <f t="shared" si="37"/>
        <v>23618</v>
      </c>
      <c r="AD48" s="21">
        <f t="shared" si="37"/>
        <v>24128</v>
      </c>
      <c r="AE48" s="21">
        <f t="shared" si="37"/>
        <v>22901</v>
      </c>
      <c r="AF48" s="21">
        <f t="shared" si="37"/>
        <v>18095</v>
      </c>
      <c r="AG48" s="21">
        <f t="shared" si="37"/>
        <v>13591</v>
      </c>
    </row>
    <row r="49" spans="1:41" s="9" customFormat="1">
      <c r="A49" s="23" t="s">
        <v>1149</v>
      </c>
      <c r="B49" s="664">
        <v>75.2</v>
      </c>
      <c r="C49" s="664">
        <v>32</v>
      </c>
      <c r="D49" s="664">
        <v>12.4</v>
      </c>
      <c r="E49" s="664">
        <v>25.3</v>
      </c>
      <c r="F49" s="664">
        <v>0</v>
      </c>
      <c r="G49" s="664">
        <v>0.5</v>
      </c>
      <c r="H49" s="664">
        <v>0</v>
      </c>
      <c r="I49" s="664">
        <v>0.2</v>
      </c>
      <c r="J49" s="664" t="s">
        <v>304</v>
      </c>
      <c r="K49" s="664" t="s">
        <v>304</v>
      </c>
      <c r="L49" s="248"/>
      <c r="M49" s="248"/>
      <c r="N49" s="34"/>
      <c r="O49"/>
      <c r="P49"/>
      <c r="Q49" s="19" t="s">
        <v>1369</v>
      </c>
      <c r="R49" s="9" t="s">
        <v>1379</v>
      </c>
      <c r="Z49" s="35">
        <f>61491-Z44</f>
        <v>35359</v>
      </c>
      <c r="AA49" s="35">
        <f>63457-AA44</f>
        <v>37215</v>
      </c>
      <c r="AB49" s="35">
        <f>67855-AB44</f>
        <v>39978</v>
      </c>
      <c r="AC49" s="35">
        <v>36721</v>
      </c>
      <c r="AD49" s="35">
        <v>41973</v>
      </c>
      <c r="AE49" s="35">
        <f>8415+16529+10956+3583</f>
        <v>39483</v>
      </c>
      <c r="AF49" s="35">
        <f>4505+15932+7584+2654</f>
        <v>30675</v>
      </c>
      <c r="AG49" s="35">
        <f>5652+16195+7420+2179</f>
        <v>31446</v>
      </c>
      <c r="AO49" s="19"/>
    </row>
    <row r="50" spans="1:41" ht="14.45" thickBot="1">
      <c r="A50" s="91" t="s">
        <v>1150</v>
      </c>
      <c r="B50" s="664">
        <f>B47-SUM(B48:B49)</f>
        <v>167.00000000000006</v>
      </c>
      <c r="C50" s="664">
        <f t="shared" ref="C50" si="38">C47-SUM(C48:C49)</f>
        <v>112.89999999999998</v>
      </c>
      <c r="D50" s="664">
        <f t="shared" ref="D50:L50" si="39">D47-SUM(D48:D49)</f>
        <v>51.900000000000006</v>
      </c>
      <c r="E50" s="664">
        <f t="shared" si="39"/>
        <v>17</v>
      </c>
      <c r="F50" s="664">
        <f t="shared" si="39"/>
        <v>16.5</v>
      </c>
      <c r="G50" s="664">
        <f t="shared" si="39"/>
        <v>6.8999999999999773</v>
      </c>
      <c r="H50" s="664">
        <f t="shared" si="39"/>
        <v>0.30000000000001137</v>
      </c>
      <c r="I50" s="664">
        <f t="shared" si="39"/>
        <v>0</v>
      </c>
      <c r="J50" s="664">
        <f t="shared" si="39"/>
        <v>0</v>
      </c>
      <c r="K50" s="664">
        <f t="shared" si="39"/>
        <v>0</v>
      </c>
      <c r="L50" s="248">
        <f t="shared" si="39"/>
        <v>0</v>
      </c>
      <c r="M50" s="248">
        <f t="shared" ref="M50" si="40">M47-SUM(M48:M49)</f>
        <v>0</v>
      </c>
      <c r="N50" s="34" t="s">
        <v>1363</v>
      </c>
      <c r="O50" t="s">
        <v>1380</v>
      </c>
      <c r="P50"/>
      <c r="R50" s="19" t="s">
        <v>1381</v>
      </c>
      <c r="Z50" s="24">
        <v>22818</v>
      </c>
      <c r="AA50" s="24">
        <v>25169</v>
      </c>
      <c r="AB50" s="24">
        <v>27784</v>
      </c>
      <c r="AC50" s="24">
        <v>26719</v>
      </c>
      <c r="AD50" s="24">
        <v>27752</v>
      </c>
      <c r="AE50" s="24">
        <v>24944</v>
      </c>
      <c r="AF50" s="24">
        <v>20437</v>
      </c>
      <c r="AG50" s="24">
        <v>21847</v>
      </c>
    </row>
    <row r="51" spans="1:41" ht="14.45">
      <c r="A51" s="9" t="s">
        <v>58</v>
      </c>
      <c r="B51" s="284">
        <v>1808.8</v>
      </c>
      <c r="C51" s="284">
        <v>686.4</v>
      </c>
      <c r="D51" s="284">
        <v>375.5</v>
      </c>
      <c r="E51" s="284">
        <v>215.5</v>
      </c>
      <c r="F51" s="284">
        <v>205.6</v>
      </c>
      <c r="G51" s="284">
        <v>188.7</v>
      </c>
      <c r="H51" s="284">
        <v>136.30000000000001</v>
      </c>
      <c r="I51" s="284">
        <v>4.3</v>
      </c>
      <c r="J51" s="284">
        <v>3.4</v>
      </c>
      <c r="K51" s="284">
        <v>2.2999999999999998</v>
      </c>
      <c r="L51" s="679">
        <v>2.2000000000000002</v>
      </c>
      <c r="M51" s="247"/>
      <c r="N51" s="34" t="s">
        <v>1363</v>
      </c>
      <c r="O51" t="s">
        <v>58</v>
      </c>
      <c r="P51"/>
      <c r="Z51" s="24"/>
      <c r="AA51" s="24"/>
      <c r="AB51" s="24"/>
      <c r="AC51" s="24"/>
      <c r="AD51" s="24"/>
      <c r="AE51" s="24"/>
      <c r="AF51" s="24"/>
      <c r="AG51" s="24"/>
    </row>
    <row r="52" spans="1:41">
      <c r="B52" s="284"/>
      <c r="C52" s="284"/>
      <c r="D52" s="284"/>
      <c r="E52" s="284"/>
      <c r="F52" s="284"/>
      <c r="G52" s="284"/>
      <c r="H52" s="284"/>
      <c r="I52" s="284"/>
      <c r="J52" s="284"/>
      <c r="K52" s="284"/>
      <c r="L52" s="247"/>
      <c r="M52" s="283"/>
      <c r="N52" s="34" t="s">
        <v>1363</v>
      </c>
      <c r="O52"/>
      <c r="P52"/>
      <c r="Z52" s="21">
        <f t="shared" ref="Z52:AG52" si="41">Z49-Z50</f>
        <v>12541</v>
      </c>
      <c r="AA52" s="21">
        <f t="shared" si="41"/>
        <v>12046</v>
      </c>
      <c r="AB52" s="21">
        <f t="shared" si="41"/>
        <v>12194</v>
      </c>
      <c r="AC52" s="21">
        <f t="shared" si="41"/>
        <v>10002</v>
      </c>
      <c r="AD52" s="21">
        <f t="shared" si="41"/>
        <v>14221</v>
      </c>
      <c r="AE52" s="21">
        <f t="shared" si="41"/>
        <v>14539</v>
      </c>
      <c r="AF52" s="21">
        <f t="shared" si="41"/>
        <v>10238</v>
      </c>
      <c r="AG52" s="21">
        <f t="shared" si="41"/>
        <v>9599</v>
      </c>
    </row>
    <row r="53" spans="1:41" s="9" customFormat="1">
      <c r="A53" s="19"/>
      <c r="B53" s="699"/>
      <c r="C53" s="699"/>
      <c r="D53" s="699"/>
      <c r="E53" s="699"/>
      <c r="F53" s="699"/>
      <c r="G53" s="699"/>
      <c r="H53" s="699"/>
      <c r="I53" s="699"/>
      <c r="J53" s="699"/>
      <c r="K53" s="699"/>
      <c r="L53" s="283"/>
      <c r="M53" s="283"/>
      <c r="N53" s="34" t="s">
        <v>1363</v>
      </c>
      <c r="O53"/>
      <c r="P53"/>
      <c r="Z53" s="32">
        <f>+Z49+Z44</f>
        <v>61491</v>
      </c>
      <c r="AA53" s="32">
        <f>+AA49+AA44</f>
        <v>63457</v>
      </c>
      <c r="AB53" s="32">
        <f>+AB49+AB44</f>
        <v>67855</v>
      </c>
      <c r="AC53" s="32">
        <f>AC44+AC49</f>
        <v>64018</v>
      </c>
      <c r="AD53" s="32">
        <f>AD49+AD44</f>
        <v>71388</v>
      </c>
      <c r="AE53" s="32">
        <f>AE49+AE44</f>
        <v>68044</v>
      </c>
      <c r="AF53" s="32">
        <f>AF49+AF44</f>
        <v>52695</v>
      </c>
      <c r="AG53" s="32">
        <f>AG49+AG44</f>
        <v>50738</v>
      </c>
      <c r="AO53" s="19"/>
    </row>
    <row r="54" spans="1:41">
      <c r="A54" s="36" t="s">
        <v>1152</v>
      </c>
      <c r="B54" s="702">
        <v>0</v>
      </c>
      <c r="C54" s="702">
        <v>0</v>
      </c>
      <c r="D54" s="702">
        <v>0</v>
      </c>
      <c r="E54" s="702">
        <v>0</v>
      </c>
      <c r="F54" s="702">
        <v>0</v>
      </c>
      <c r="G54" s="702">
        <v>0</v>
      </c>
      <c r="H54" s="702">
        <v>0</v>
      </c>
      <c r="I54" s="702">
        <v>0</v>
      </c>
      <c r="J54" s="702">
        <v>0</v>
      </c>
      <c r="K54" s="702">
        <v>0</v>
      </c>
      <c r="L54" s="286">
        <v>0</v>
      </c>
      <c r="M54" s="286">
        <v>0</v>
      </c>
      <c r="N54" s="34" t="s">
        <v>1363</v>
      </c>
      <c r="O54" t="s">
        <v>1152</v>
      </c>
      <c r="P54"/>
    </row>
    <row r="55" spans="1:41">
      <c r="B55" s="699"/>
      <c r="C55" s="699"/>
      <c r="D55" s="699"/>
      <c r="E55" s="699"/>
      <c r="F55" s="699"/>
      <c r="G55" s="699"/>
      <c r="H55" s="699"/>
      <c r="I55" s="699"/>
      <c r="J55" s="699"/>
      <c r="K55" s="699"/>
      <c r="L55" s="283"/>
      <c r="M55" s="283"/>
      <c r="N55" s="34" t="s">
        <v>1363</v>
      </c>
      <c r="O55"/>
      <c r="P55"/>
    </row>
    <row r="56" spans="1:41" s="9" customFormat="1">
      <c r="A56" s="9" t="s">
        <v>1153</v>
      </c>
      <c r="B56" s="284">
        <f t="shared" ref="B56:K56" si="42">B38-B51-B54</f>
        <v>3390</v>
      </c>
      <c r="C56" s="284">
        <f t="shared" si="42"/>
        <v>1292</v>
      </c>
      <c r="D56" s="284">
        <f t="shared" si="42"/>
        <v>574.20000000000005</v>
      </c>
      <c r="E56" s="284">
        <f t="shared" si="42"/>
        <v>387</v>
      </c>
      <c r="F56" s="284">
        <f t="shared" si="42"/>
        <v>376.69999999999993</v>
      </c>
      <c r="G56" s="284">
        <f t="shared" si="42"/>
        <v>343.3</v>
      </c>
      <c r="H56" s="284">
        <f t="shared" si="42"/>
        <v>200.2</v>
      </c>
      <c r="I56" s="284">
        <f t="shared" si="42"/>
        <v>98.4</v>
      </c>
      <c r="J56" s="284">
        <f t="shared" si="42"/>
        <v>5.5</v>
      </c>
      <c r="K56" s="284">
        <f t="shared" si="42"/>
        <v>2.4000000000000004</v>
      </c>
      <c r="L56" s="247">
        <f t="shared" ref="L56" si="43">L38-L51-L54</f>
        <v>8940.7999999999993</v>
      </c>
      <c r="M56" s="247">
        <f t="shared" ref="M56" si="44">M38-M51-M54</f>
        <v>0</v>
      </c>
      <c r="N56" s="34" t="s">
        <v>1363</v>
      </c>
      <c r="O56"/>
      <c r="P56"/>
      <c r="Q56" s="19" t="s">
        <v>1369</v>
      </c>
      <c r="R56" s="9" t="s">
        <v>1382</v>
      </c>
      <c r="AO56" s="19"/>
    </row>
    <row r="57" spans="1:41">
      <c r="A57" s="9"/>
      <c r="B57" s="284"/>
      <c r="C57" s="284"/>
      <c r="D57" s="284"/>
      <c r="E57" s="284"/>
      <c r="F57" s="284"/>
      <c r="G57" s="284"/>
      <c r="H57" s="284"/>
      <c r="I57" s="284"/>
      <c r="J57" s="284"/>
      <c r="K57" s="284"/>
      <c r="L57" s="247"/>
      <c r="M57" s="247"/>
      <c r="N57" s="34"/>
      <c r="O57"/>
      <c r="P57"/>
    </row>
    <row r="58" spans="1:41">
      <c r="A58" s="45" t="s">
        <v>1383</v>
      </c>
      <c r="B58" s="284"/>
      <c r="C58" s="284"/>
      <c r="D58" s="284"/>
      <c r="E58" s="284"/>
      <c r="F58" s="284"/>
      <c r="G58" s="284"/>
      <c r="H58" s="284"/>
      <c r="I58" s="284"/>
      <c r="J58" s="284"/>
      <c r="K58" s="284"/>
      <c r="L58" s="247"/>
      <c r="M58" s="247"/>
      <c r="N58" s="34"/>
      <c r="O58"/>
      <c r="P58"/>
    </row>
    <row r="59" spans="1:41" ht="14.45">
      <c r="A59" s="9" t="s">
        <v>141</v>
      </c>
      <c r="B59" s="284">
        <v>3456.7</v>
      </c>
      <c r="C59" s="284">
        <v>647.6</v>
      </c>
      <c r="D59" s="284">
        <v>18.8</v>
      </c>
      <c r="E59" s="284">
        <v>-19</v>
      </c>
      <c r="F59" s="284">
        <v>-10.4</v>
      </c>
      <c r="G59" s="284">
        <v>-9</v>
      </c>
      <c r="H59" s="284">
        <v>-16.3</v>
      </c>
      <c r="I59" s="284">
        <v>-14.6</v>
      </c>
      <c r="J59" s="284">
        <v>-1.5</v>
      </c>
      <c r="K59" s="284">
        <v>-0.9</v>
      </c>
      <c r="L59" s="681">
        <v>-0.8</v>
      </c>
      <c r="M59" s="247"/>
      <c r="N59" s="34"/>
      <c r="O59"/>
      <c r="P59"/>
    </row>
    <row r="60" spans="1:41">
      <c r="A60" s="23" t="s">
        <v>75</v>
      </c>
      <c r="B60" s="664">
        <f>B12</f>
        <v>2391.1</v>
      </c>
      <c r="C60" s="664">
        <f t="shared" ref="C60:K60" si="45">C12</f>
        <v>561.79999999999995</v>
      </c>
      <c r="D60" s="664">
        <f t="shared" si="45"/>
        <v>-51.4</v>
      </c>
      <c r="E60" s="664">
        <f t="shared" si="45"/>
        <v>-99.3</v>
      </c>
      <c r="F60" s="664">
        <f t="shared" si="45"/>
        <v>-28.9</v>
      </c>
      <c r="G60" s="664">
        <f t="shared" si="45"/>
        <v>-19.399999999999999</v>
      </c>
      <c r="H60" s="664">
        <f t="shared" si="45"/>
        <v>-26</v>
      </c>
      <c r="I60" s="664">
        <f t="shared" si="45"/>
        <v>-55.6</v>
      </c>
      <c r="J60" s="664">
        <f t="shared" si="45"/>
        <v>-5.5</v>
      </c>
      <c r="K60" s="664">
        <f t="shared" si="45"/>
        <v>-3.2</v>
      </c>
      <c r="L60" s="248">
        <f t="shared" ref="L60" si="46">L12</f>
        <v>569</v>
      </c>
      <c r="M60" s="248">
        <f t="shared" ref="M60" si="47">M12</f>
        <v>0</v>
      </c>
      <c r="N60" s="34"/>
      <c r="O60"/>
      <c r="P60"/>
    </row>
    <row r="61" spans="1:41" ht="14.45" thickBot="1">
      <c r="A61" s="91" t="s">
        <v>67</v>
      </c>
      <c r="B61" s="664">
        <v>1.5</v>
      </c>
      <c r="C61" s="664">
        <v>0.7</v>
      </c>
      <c r="D61" s="664">
        <v>0.5</v>
      </c>
      <c r="E61" s="664">
        <v>0.6</v>
      </c>
      <c r="F61" s="664">
        <v>0.2</v>
      </c>
      <c r="G61" s="664">
        <v>0.2</v>
      </c>
      <c r="H61" s="664">
        <v>0.1</v>
      </c>
      <c r="I61" s="664">
        <v>0.1</v>
      </c>
      <c r="J61" s="664">
        <v>0</v>
      </c>
      <c r="K61" s="664">
        <v>0</v>
      </c>
      <c r="L61" s="248">
        <v>329.6</v>
      </c>
      <c r="M61" s="248"/>
      <c r="N61" s="34"/>
      <c r="O61"/>
      <c r="P61"/>
    </row>
    <row r="62" spans="1:41" ht="14.45">
      <c r="A62" s="91" t="s">
        <v>1384</v>
      </c>
      <c r="B62" s="664">
        <v>41.8</v>
      </c>
      <c r="C62" s="664">
        <v>-9.6</v>
      </c>
      <c r="D62" s="664">
        <v>-5.2</v>
      </c>
      <c r="E62" s="664">
        <v>-5.8</v>
      </c>
      <c r="F62" s="664">
        <v>-4</v>
      </c>
      <c r="G62" s="664">
        <v>-2</v>
      </c>
      <c r="H62" s="664">
        <v>-8.3000000000000007</v>
      </c>
      <c r="I62" s="664">
        <v>-9.6</v>
      </c>
      <c r="J62" s="664">
        <v>0</v>
      </c>
      <c r="K62" s="664">
        <v>0</v>
      </c>
      <c r="L62" s="682">
        <v>0</v>
      </c>
      <c r="M62" s="248"/>
      <c r="N62" s="34"/>
      <c r="O62"/>
      <c r="P62"/>
    </row>
    <row r="63" spans="1:41">
      <c r="A63" s="91" t="s">
        <v>1385</v>
      </c>
      <c r="B63" s="664">
        <f>B59-B60-B61-B62</f>
        <v>1022.3</v>
      </c>
      <c r="C63" s="664">
        <f t="shared" ref="C63" si="48">C59-C60-C61-C62</f>
        <v>94.70000000000006</v>
      </c>
      <c r="D63" s="664">
        <f t="shared" ref="D63" si="49">D59-D60-D61-D62</f>
        <v>74.900000000000006</v>
      </c>
      <c r="E63" s="664">
        <f t="shared" ref="E63:L63" si="50">E59-E60-E61-E62</f>
        <v>85.5</v>
      </c>
      <c r="F63" s="664">
        <f t="shared" si="50"/>
        <v>22.3</v>
      </c>
      <c r="G63" s="664">
        <f t="shared" si="50"/>
        <v>12.2</v>
      </c>
      <c r="H63" s="664">
        <f t="shared" si="50"/>
        <v>17.899999999999999</v>
      </c>
      <c r="I63" s="664">
        <f t="shared" si="50"/>
        <v>50.5</v>
      </c>
      <c r="J63" s="664">
        <f t="shared" si="50"/>
        <v>4</v>
      </c>
      <c r="K63" s="664">
        <f>K59-K60-K61-K62</f>
        <v>2.3000000000000003</v>
      </c>
      <c r="L63" s="248">
        <f t="shared" si="50"/>
        <v>-899.4</v>
      </c>
      <c r="M63" s="248">
        <f t="shared" ref="M63" si="51">M59-M60-M61-M62</f>
        <v>0</v>
      </c>
      <c r="N63" s="34"/>
      <c r="O63"/>
      <c r="P63"/>
    </row>
    <row r="64" spans="1:41" ht="14.45">
      <c r="A64" s="9" t="s">
        <v>142</v>
      </c>
      <c r="B64" s="284">
        <v>-408</v>
      </c>
      <c r="C64" s="284">
        <v>-204.5</v>
      </c>
      <c r="D64" s="284">
        <v>-230.8</v>
      </c>
      <c r="E64" s="284">
        <v>-22.6</v>
      </c>
      <c r="F64" s="284">
        <v>-94.4</v>
      </c>
      <c r="G64" s="284">
        <v>-214.5</v>
      </c>
      <c r="H64" s="284">
        <v>-52.7</v>
      </c>
      <c r="I64" s="284">
        <v>-7.6</v>
      </c>
      <c r="J64" s="284">
        <v>-3.2</v>
      </c>
      <c r="K64" s="284">
        <v>-1.6</v>
      </c>
      <c r="L64" s="681">
        <v>-1.5</v>
      </c>
      <c r="M64" s="247"/>
      <c r="N64" s="34"/>
      <c r="O64"/>
      <c r="P64"/>
    </row>
    <row r="65" spans="1:50" ht="14.45">
      <c r="A65" s="91" t="s">
        <v>143</v>
      </c>
      <c r="B65" s="664">
        <v>-385.5</v>
      </c>
      <c r="C65" s="664">
        <v>-128.30000000000001</v>
      </c>
      <c r="D65" s="664">
        <v>-20.5</v>
      </c>
      <c r="E65" s="664">
        <v>-22.6</v>
      </c>
      <c r="F65" s="664">
        <v>-178.3</v>
      </c>
      <c r="G65" s="664">
        <v>-219.1</v>
      </c>
      <c r="H65" s="664">
        <v>-52.8</v>
      </c>
      <c r="I65" s="664">
        <v>-4.5999999999999996</v>
      </c>
      <c r="J65" s="664">
        <v>-0.6</v>
      </c>
      <c r="K65" s="664">
        <v>-1.6</v>
      </c>
      <c r="L65" s="687">
        <v>-1.5</v>
      </c>
      <c r="M65" s="248"/>
      <c r="N65" s="34"/>
      <c r="O65"/>
      <c r="P65"/>
    </row>
    <row r="66" spans="1:50" ht="14.45">
      <c r="A66" s="91" t="s">
        <v>144</v>
      </c>
      <c r="B66" s="664">
        <f t="shared" ref="B66:K66" si="52">SUM(B114:B116)</f>
        <v>-22.4</v>
      </c>
      <c r="C66" s="664">
        <f t="shared" si="52"/>
        <v>-76.2</v>
      </c>
      <c r="D66" s="664">
        <f t="shared" si="52"/>
        <v>-210.3</v>
      </c>
      <c r="E66" s="664">
        <f t="shared" si="52"/>
        <v>0</v>
      </c>
      <c r="F66" s="664">
        <f t="shared" si="52"/>
        <v>0</v>
      </c>
      <c r="G66" s="664">
        <f t="shared" si="52"/>
        <v>4.3</v>
      </c>
      <c r="H66" s="664">
        <f t="shared" si="52"/>
        <v>0</v>
      </c>
      <c r="I66" s="664">
        <f t="shared" si="52"/>
        <v>-2</v>
      </c>
      <c r="J66" s="664">
        <f t="shared" si="52"/>
        <v>-1</v>
      </c>
      <c r="K66" s="664">
        <f t="shared" si="52"/>
        <v>0</v>
      </c>
      <c r="L66" s="19">
        <f t="shared" ref="L66" si="53">L64-L65</f>
        <v>0</v>
      </c>
      <c r="M66" s="248"/>
      <c r="N66" s="34"/>
      <c r="O66"/>
      <c r="P66"/>
      <c r="Y66" s="687"/>
      <c r="Z66" s="687">
        <v>-55.2</v>
      </c>
      <c r="AA66" s="687">
        <v>-156.9</v>
      </c>
      <c r="AB66" s="682">
        <v>0</v>
      </c>
      <c r="AC66" s="682">
        <v>59.9</v>
      </c>
      <c r="AH66" s="689" t="s">
        <v>1386</v>
      </c>
      <c r="AI66" s="687">
        <v>-15.1</v>
      </c>
      <c r="AJ66" s="687">
        <v>-55.2</v>
      </c>
      <c r="AK66" s="687">
        <v>-156.9</v>
      </c>
      <c r="AL66" s="682">
        <v>0</v>
      </c>
      <c r="AM66" s="682">
        <v>59.9</v>
      </c>
      <c r="AN66" s="682">
        <v>3.6</v>
      </c>
      <c r="AO66" s="682">
        <v>0.1</v>
      </c>
      <c r="AP66" s="687">
        <v>-2.2000000000000002</v>
      </c>
      <c r="AQ66" s="687">
        <v>-2.2000000000000002</v>
      </c>
      <c r="AR66" s="687">
        <v>-2.2000000000000002</v>
      </c>
      <c r="AS66" s="682">
        <v>0</v>
      </c>
      <c r="AT66" s="682"/>
      <c r="AU66" s="682"/>
      <c r="AV66" s="683"/>
      <c r="AW66" s="683"/>
      <c r="AX66" s="682"/>
    </row>
    <row r="67" spans="1:50" ht="14.45">
      <c r="A67" s="91" t="s">
        <v>1387</v>
      </c>
      <c r="B67" s="664">
        <f>B64-B65-B66</f>
        <v>-0.10000000000000142</v>
      </c>
      <c r="C67" s="664">
        <f>C64-C65-C66</f>
        <v>0</v>
      </c>
      <c r="D67" s="664">
        <f>D64-D65-D66</f>
        <v>0</v>
      </c>
      <c r="E67" s="664">
        <f>E64-E65-E66</f>
        <v>0</v>
      </c>
      <c r="F67" s="664">
        <f t="shared" ref="F67" si="54">F64-F65-F66</f>
        <v>83.9</v>
      </c>
      <c r="G67" s="664">
        <f t="shared" ref="G67:L67" si="55">G64-G65-G66</f>
        <v>0.29999999999999449</v>
      </c>
      <c r="H67" s="664">
        <f t="shared" si="55"/>
        <v>9.9999999999994316E-2</v>
      </c>
      <c r="I67" s="664">
        <f t="shared" si="55"/>
        <v>-1</v>
      </c>
      <c r="J67" s="664">
        <f t="shared" si="55"/>
        <v>-1.6</v>
      </c>
      <c r="K67" s="664">
        <f t="shared" si="55"/>
        <v>0</v>
      </c>
      <c r="L67" s="248">
        <f t="shared" si="55"/>
        <v>0</v>
      </c>
      <c r="M67" s="248">
        <f t="shared" ref="M67" si="56">M64-M65-M66</f>
        <v>0</v>
      </c>
      <c r="N67" s="34"/>
      <c r="O67"/>
      <c r="P67"/>
      <c r="AH67" s="690" t="s">
        <v>1388</v>
      </c>
      <c r="AI67" s="685">
        <v>0</v>
      </c>
      <c r="AJ67" s="685">
        <v>0</v>
      </c>
      <c r="AK67" s="685">
        <v>0</v>
      </c>
      <c r="AL67" s="685">
        <v>0</v>
      </c>
      <c r="AM67" s="685">
        <v>0</v>
      </c>
      <c r="AN67" s="685">
        <v>0</v>
      </c>
      <c r="AO67" s="684">
        <v>0</v>
      </c>
      <c r="AP67" s="691">
        <v>-0.7</v>
      </c>
      <c r="AQ67" s="691">
        <v>-1.4</v>
      </c>
      <c r="AR67" s="691">
        <v>-1.4</v>
      </c>
      <c r="AS67" s="684">
        <v>0</v>
      </c>
      <c r="AT67" s="684"/>
      <c r="AU67" s="684"/>
      <c r="AV67" s="685"/>
      <c r="AW67" s="685"/>
      <c r="AX67" s="685" t="s">
        <v>304</v>
      </c>
    </row>
    <row r="68" spans="1:50" ht="14.45">
      <c r="A68" s="9" t="s">
        <v>145</v>
      </c>
      <c r="B68" s="284">
        <v>-315.10000000000002</v>
      </c>
      <c r="C68" s="284">
        <v>45.5</v>
      </c>
      <c r="D68" s="284">
        <v>232.7</v>
      </c>
      <c r="E68" s="284">
        <v>65.8</v>
      </c>
      <c r="F68" s="284">
        <v>49</v>
      </c>
      <c r="G68" s="284">
        <v>256</v>
      </c>
      <c r="H68" s="284">
        <v>56.1</v>
      </c>
      <c r="I68" s="284">
        <v>119</v>
      </c>
      <c r="J68" s="284">
        <v>6.8</v>
      </c>
      <c r="K68" s="284">
        <v>3.4</v>
      </c>
      <c r="L68" s="680">
        <v>3.1</v>
      </c>
      <c r="M68" s="247"/>
      <c r="N68" s="34"/>
      <c r="O68"/>
      <c r="P68"/>
      <c r="AH68" s="19" t="s">
        <v>1389</v>
      </c>
      <c r="AI68" s="19">
        <f>AI66-AI67</f>
        <v>-15.1</v>
      </c>
      <c r="AJ68" s="19">
        <f t="shared" ref="AJ68:AS68" si="57">AJ66-AJ67</f>
        <v>-55.2</v>
      </c>
      <c r="AK68" s="19">
        <f t="shared" si="57"/>
        <v>-156.9</v>
      </c>
      <c r="AL68" s="19">
        <f t="shared" si="57"/>
        <v>0</v>
      </c>
      <c r="AM68" s="19">
        <f t="shared" si="57"/>
        <v>59.9</v>
      </c>
      <c r="AN68" s="19">
        <f t="shared" si="57"/>
        <v>3.6</v>
      </c>
      <c r="AO68" s="19">
        <f t="shared" si="57"/>
        <v>0.1</v>
      </c>
      <c r="AP68" s="19">
        <f t="shared" si="57"/>
        <v>-1.5000000000000002</v>
      </c>
      <c r="AQ68" s="19">
        <f t="shared" si="57"/>
        <v>-0.80000000000000027</v>
      </c>
      <c r="AR68" s="19">
        <f t="shared" si="57"/>
        <v>-0.80000000000000027</v>
      </c>
      <c r="AS68" s="19">
        <f t="shared" si="57"/>
        <v>0</v>
      </c>
    </row>
    <row r="69" spans="1:50" ht="14.45">
      <c r="A69" s="91" t="s">
        <v>1390</v>
      </c>
      <c r="B69" s="664">
        <v>277.2</v>
      </c>
      <c r="C69" s="664">
        <v>107.3</v>
      </c>
      <c r="D69" s="664">
        <v>155.80000000000001</v>
      </c>
      <c r="E69" s="664"/>
      <c r="F69" s="664"/>
      <c r="G69" s="664">
        <v>0</v>
      </c>
      <c r="H69" s="664">
        <v>132.30000000000001</v>
      </c>
      <c r="I69" s="664">
        <v>4</v>
      </c>
      <c r="J69" s="664">
        <v>1.7</v>
      </c>
      <c r="K69" s="664">
        <v>1.5</v>
      </c>
      <c r="L69" s="684">
        <v>1.4</v>
      </c>
      <c r="M69" s="248"/>
      <c r="N69" s="34"/>
      <c r="O69"/>
      <c r="P69"/>
    </row>
    <row r="70" spans="1:50" ht="14.45">
      <c r="A70" s="91" t="s">
        <v>1391</v>
      </c>
      <c r="B70" s="664">
        <v>-225.9</v>
      </c>
      <c r="C70" s="664">
        <v>-49.8</v>
      </c>
      <c r="D70" s="664">
        <v>-149.6</v>
      </c>
      <c r="E70" s="664">
        <v>-19.100000000000001</v>
      </c>
      <c r="F70" s="664">
        <v>-4.8</v>
      </c>
      <c r="G70" s="664">
        <v>0</v>
      </c>
      <c r="H70" s="664">
        <v>0</v>
      </c>
      <c r="I70" s="664">
        <v>0</v>
      </c>
      <c r="J70" s="664">
        <v>0</v>
      </c>
      <c r="K70" s="664">
        <v>0</v>
      </c>
      <c r="L70" s="684">
        <v>0</v>
      </c>
      <c r="M70" s="248"/>
      <c r="N70" s="34"/>
      <c r="O70"/>
      <c r="P70"/>
    </row>
    <row r="71" spans="1:50">
      <c r="A71" s="91" t="s">
        <v>1392</v>
      </c>
      <c r="B71" s="664">
        <v>0</v>
      </c>
      <c r="C71" s="664">
        <v>0</v>
      </c>
      <c r="D71" s="664">
        <v>0</v>
      </c>
      <c r="E71" s="664">
        <v>0</v>
      </c>
      <c r="F71" s="664">
        <v>0</v>
      </c>
      <c r="G71" s="664">
        <v>0</v>
      </c>
      <c r="H71" s="664">
        <v>0</v>
      </c>
      <c r="I71" s="664">
        <v>0</v>
      </c>
      <c r="J71" s="664">
        <v>0</v>
      </c>
      <c r="K71" s="664">
        <v>0</v>
      </c>
      <c r="L71" s="248"/>
      <c r="M71" s="248"/>
      <c r="N71" s="34"/>
      <c r="O71"/>
      <c r="P71"/>
    </row>
    <row r="72" spans="1:50">
      <c r="A72" s="91" t="s">
        <v>1393</v>
      </c>
      <c r="B72" s="664">
        <v>-54.631</v>
      </c>
      <c r="C72" s="664">
        <v>-26.864000000000001</v>
      </c>
      <c r="D72" s="664">
        <v>-20.047999999999998</v>
      </c>
      <c r="E72" s="664">
        <v>-17.89</v>
      </c>
      <c r="F72" s="664"/>
      <c r="G72" s="664"/>
      <c r="H72" s="664"/>
      <c r="I72" s="664"/>
      <c r="J72" s="664"/>
      <c r="K72" s="664"/>
      <c r="L72" s="248"/>
      <c r="M72" s="248"/>
      <c r="N72" s="34"/>
      <c r="O72"/>
      <c r="P72"/>
    </row>
    <row r="73" spans="1:50" ht="15" thickBot="1">
      <c r="A73" s="91" t="s">
        <v>146</v>
      </c>
      <c r="B73" s="664">
        <v>-329.8</v>
      </c>
      <c r="C73" s="664">
        <v>0</v>
      </c>
      <c r="D73" s="664">
        <v>0</v>
      </c>
      <c r="E73" s="664">
        <v>0</v>
      </c>
      <c r="F73" s="664">
        <v>0</v>
      </c>
      <c r="G73" s="664">
        <v>0</v>
      </c>
      <c r="H73" s="664">
        <v>0</v>
      </c>
      <c r="I73" s="664">
        <v>0</v>
      </c>
      <c r="J73" s="664">
        <v>0</v>
      </c>
      <c r="K73" s="664">
        <v>0</v>
      </c>
      <c r="L73" s="683" t="s">
        <v>304</v>
      </c>
      <c r="M73" s="248"/>
      <c r="N73" s="31" t="s">
        <v>1394</v>
      </c>
      <c r="O73" t="s">
        <v>1395</v>
      </c>
      <c r="P73"/>
    </row>
    <row r="74" spans="1:50" ht="14.45">
      <c r="A74" s="91" t="s">
        <v>1134</v>
      </c>
      <c r="B74" s="664">
        <v>1.2</v>
      </c>
      <c r="C74" s="664">
        <v>3.6</v>
      </c>
      <c r="D74" s="664">
        <v>239.7</v>
      </c>
      <c r="E74" s="664">
        <v>111.5</v>
      </c>
      <c r="F74" s="664">
        <v>60.7</v>
      </c>
      <c r="G74" s="664">
        <v>156.4</v>
      </c>
      <c r="H74" s="664">
        <v>68.400000000000006</v>
      </c>
      <c r="I74" s="664">
        <v>122.7</v>
      </c>
      <c r="J74" s="664">
        <v>5.2</v>
      </c>
      <c r="K74" s="664">
        <v>1.2</v>
      </c>
      <c r="L74" s="682">
        <v>1.1000000000000001</v>
      </c>
      <c r="M74" s="248"/>
      <c r="N74" s="31" t="s">
        <v>1394</v>
      </c>
      <c r="O74" t="str">
        <f>+A74</f>
        <v>Share buyback</v>
      </c>
      <c r="P74"/>
    </row>
    <row r="75" spans="1:50" ht="14.45" thickBot="1">
      <c r="A75" s="91" t="s">
        <v>1387</v>
      </c>
      <c r="B75" s="664">
        <f>B68-B69-B70-B71-B72-B73-B74</f>
        <v>16.831000000000007</v>
      </c>
      <c r="C75" s="664">
        <f t="shared" ref="C75" si="58">C68-C69-C70-C71-C72-C73-C74</f>
        <v>11.264000000000001</v>
      </c>
      <c r="D75" s="664">
        <f t="shared" ref="D75:L75" si="59">D68-D69-D70-D71-D72-D73-D74</f>
        <v>6.8479999999999848</v>
      </c>
      <c r="E75" s="664">
        <f t="shared" si="59"/>
        <v>-8.7099999999999937</v>
      </c>
      <c r="F75" s="664">
        <f>F68-F69-F70-F71-F72-F73-F74</f>
        <v>-6.9000000000000057</v>
      </c>
      <c r="G75" s="664">
        <f t="shared" si="59"/>
        <v>99.6</v>
      </c>
      <c r="H75" s="664">
        <f t="shared" si="59"/>
        <v>-144.60000000000002</v>
      </c>
      <c r="I75" s="664">
        <f t="shared" si="59"/>
        <v>-7.7000000000000028</v>
      </c>
      <c r="J75" s="664">
        <f t="shared" si="59"/>
        <v>-0.10000000000000053</v>
      </c>
      <c r="K75" s="664">
        <f t="shared" si="59"/>
        <v>0.7</v>
      </c>
      <c r="L75" s="248" t="e">
        <f t="shared" si="59"/>
        <v>#VALUE!</v>
      </c>
      <c r="M75" s="248">
        <f t="shared" ref="M75" si="60">M68-M69-M70-M71-M72-M73-M74</f>
        <v>0</v>
      </c>
      <c r="N75" s="34"/>
      <c r="O75"/>
      <c r="P75"/>
    </row>
    <row r="76" spans="1:50" ht="14.45">
      <c r="A76" s="9" t="s">
        <v>149</v>
      </c>
      <c r="B76" s="284">
        <v>13.2</v>
      </c>
      <c r="C76" s="284">
        <v>3.4</v>
      </c>
      <c r="D76" s="284">
        <v>-7.2</v>
      </c>
      <c r="E76" s="284">
        <v>-1.6</v>
      </c>
      <c r="F76" s="284">
        <v>-0.5</v>
      </c>
      <c r="G76" s="284">
        <v>0.2</v>
      </c>
      <c r="H76" s="284">
        <v>0</v>
      </c>
      <c r="I76" s="284">
        <v>0</v>
      </c>
      <c r="J76" s="284">
        <v>0</v>
      </c>
      <c r="K76" s="284">
        <v>0</v>
      </c>
      <c r="L76" s="688" t="s">
        <v>304</v>
      </c>
      <c r="M76" s="247"/>
      <c r="N76" s="34"/>
      <c r="O76"/>
      <c r="P76"/>
    </row>
    <row r="77" spans="1:50">
      <c r="A77" s="9" t="s">
        <v>1154</v>
      </c>
      <c r="B77" s="284">
        <f t="shared" ref="B77:L77" si="61">B59+B64+B68+B76</f>
        <v>2746.7999999999997</v>
      </c>
      <c r="C77" s="284">
        <f t="shared" si="61"/>
        <v>492</v>
      </c>
      <c r="D77" s="284">
        <f t="shared" si="61"/>
        <v>13.499999999999989</v>
      </c>
      <c r="E77" s="284">
        <f t="shared" si="61"/>
        <v>22.599999999999994</v>
      </c>
      <c r="F77" s="284">
        <f t="shared" si="61"/>
        <v>-56.300000000000011</v>
      </c>
      <c r="G77" s="284">
        <f t="shared" si="61"/>
        <v>32.700000000000003</v>
      </c>
      <c r="H77" s="284">
        <f t="shared" si="61"/>
        <v>-12.899999999999999</v>
      </c>
      <c r="I77" s="284">
        <f t="shared" si="61"/>
        <v>96.8</v>
      </c>
      <c r="J77" s="284">
        <f t="shared" si="61"/>
        <v>2.0999999999999996</v>
      </c>
      <c r="K77" s="284">
        <f t="shared" si="61"/>
        <v>0.89999999999999991</v>
      </c>
      <c r="L77" s="247" t="e">
        <f t="shared" si="61"/>
        <v>#VALUE!</v>
      </c>
      <c r="M77" s="247">
        <f t="shared" ref="M77" si="62">M59+M64+M68+M76</f>
        <v>0</v>
      </c>
      <c r="N77" s="34"/>
      <c r="O77"/>
      <c r="P77"/>
    </row>
    <row r="78" spans="1:50">
      <c r="B78" s="701"/>
      <c r="C78" s="701"/>
      <c r="D78" s="701"/>
      <c r="E78" s="701"/>
      <c r="F78" s="701"/>
      <c r="G78" s="701"/>
      <c r="H78" s="701"/>
      <c r="I78" s="701"/>
      <c r="J78" s="701"/>
      <c r="K78" s="38"/>
      <c r="M78" s="21"/>
      <c r="N78"/>
      <c r="O78" t="s">
        <v>1396</v>
      </c>
      <c r="P78"/>
    </row>
    <row r="79" spans="1:50">
      <c r="A79" s="45" t="s">
        <v>1397</v>
      </c>
      <c r="B79" s="703"/>
      <c r="C79" s="703"/>
      <c r="E79" s="1514" t="s">
        <v>1162</v>
      </c>
      <c r="F79" s="1514"/>
      <c r="G79" s="1514"/>
      <c r="H79" s="1514" t="s">
        <v>1398</v>
      </c>
      <c r="I79" s="1514"/>
      <c r="J79" s="703" t="s">
        <v>1163</v>
      </c>
      <c r="K79" s="703" t="s">
        <v>1164</v>
      </c>
      <c r="L79" s="45" t="s">
        <v>1165</v>
      </c>
      <c r="M79" s="32"/>
      <c r="N79"/>
      <c r="O79"/>
      <c r="P79"/>
    </row>
    <row r="80" spans="1:50">
      <c r="A80" s="23" t="s">
        <v>1399</v>
      </c>
      <c r="B80" s="704" cm="1">
        <f t="array" aca="1" ref="B80" ca="1">_FV('Inputs (AUD)'!H3,"Employees")</f>
        <v>917</v>
      </c>
      <c r="C80" s="705" t="s">
        <v>1400</v>
      </c>
      <c r="E80" s="1511"/>
      <c r="F80" s="1511"/>
      <c r="G80" s="1511"/>
      <c r="H80" s="1511"/>
      <c r="I80" s="1511"/>
      <c r="J80" s="704"/>
      <c r="K80" s="704"/>
      <c r="L80" s="59"/>
      <c r="M80" s="21"/>
      <c r="N80" s="37" t="s">
        <v>1401</v>
      </c>
      <c r="O80"/>
      <c r="P80"/>
    </row>
    <row r="81" spans="1:24">
      <c r="A81" s="23" t="s">
        <v>1402</v>
      </c>
      <c r="B81" s="704" cm="1">
        <f t="array" aca="1" ref="B81" ca="1">_FV(H3,"Shares outstanding",TRUE)/1000</f>
        <v>3011485</v>
      </c>
      <c r="C81" s="705" t="s">
        <v>1403</v>
      </c>
      <c r="E81" s="1511"/>
      <c r="F81" s="1511"/>
      <c r="G81" s="1511"/>
      <c r="H81" s="1511"/>
      <c r="I81" s="1511"/>
      <c r="J81" s="704"/>
      <c r="K81" s="704"/>
      <c r="L81" s="59"/>
      <c r="M81" s="21"/>
      <c r="N81" s="37" t="s">
        <v>1401</v>
      </c>
      <c r="O81"/>
      <c r="P81"/>
    </row>
    <row r="82" spans="1:24">
      <c r="A82" s="23" t="s">
        <v>56</v>
      </c>
      <c r="B82" s="740">
        <f>1-B83</f>
        <v>0.90369999999999995</v>
      </c>
      <c r="C82" s="705" t="s">
        <v>1403</v>
      </c>
      <c r="E82" s="1511"/>
      <c r="F82" s="1511"/>
      <c r="G82" s="1511"/>
      <c r="H82" s="1511"/>
      <c r="I82" s="1511"/>
      <c r="J82" s="704"/>
      <c r="K82" s="704"/>
      <c r="L82" s="59"/>
      <c r="M82" s="60"/>
      <c r="N82" s="37" t="s">
        <v>1401</v>
      </c>
      <c r="O82"/>
      <c r="P82"/>
    </row>
    <row r="83" spans="1:24">
      <c r="A83" s="23" t="s">
        <v>60</v>
      </c>
      <c r="B83" s="740">
        <v>9.6299999999999997E-2</v>
      </c>
      <c r="C83" s="705" t="s">
        <v>1403</v>
      </c>
      <c r="E83" s="1511"/>
      <c r="F83" s="1511"/>
      <c r="G83" s="1511"/>
      <c r="H83" s="1511"/>
      <c r="I83" s="1511"/>
      <c r="J83" s="704"/>
      <c r="K83" s="704"/>
      <c r="L83" s="59"/>
      <c r="M83" s="60"/>
      <c r="N83" s="37" t="s">
        <v>1401</v>
      </c>
      <c r="O83"/>
      <c r="P83"/>
    </row>
    <row r="84" spans="1:24">
      <c r="A84" s="23" t="s">
        <v>1158</v>
      </c>
      <c r="B84" s="704" t="s">
        <v>1404</v>
      </c>
      <c r="C84" s="705" t="s">
        <v>1400</v>
      </c>
      <c r="E84" s="1511"/>
      <c r="F84" s="1511"/>
      <c r="G84" s="1511"/>
      <c r="H84" s="1511"/>
      <c r="I84" s="1511"/>
      <c r="J84" s="704"/>
      <c r="K84" s="704"/>
      <c r="L84" s="59"/>
      <c r="M84" s="21"/>
      <c r="N84" s="37" t="s">
        <v>1401</v>
      </c>
      <c r="O84"/>
      <c r="P84"/>
    </row>
    <row r="85" spans="1:24">
      <c r="A85" s="23" t="s">
        <v>1405</v>
      </c>
      <c r="B85" s="743">
        <v>6.9099999999999995E-2</v>
      </c>
      <c r="C85" s="705" t="s">
        <v>1403</v>
      </c>
      <c r="E85" s="1511"/>
      <c r="F85" s="1511"/>
      <c r="G85" s="1511"/>
      <c r="H85" s="1511"/>
      <c r="I85" s="1511"/>
      <c r="J85" s="704"/>
      <c r="K85" s="704"/>
      <c r="L85" s="59"/>
      <c r="M85" s="21"/>
      <c r="N85" s="37" t="s">
        <v>1401</v>
      </c>
      <c r="O85"/>
    </row>
    <row r="86" spans="1:24">
      <c r="A86" s="23" t="s">
        <v>1160</v>
      </c>
      <c r="B86" s="704" cm="1">
        <f t="array" aca="1" ref="B86" ca="1">_FV(H3,"Volume")</f>
        <v>26134006</v>
      </c>
      <c r="C86" s="705" t="s">
        <v>1406</v>
      </c>
      <c r="E86" s="1511"/>
      <c r="F86" s="1511"/>
      <c r="G86" s="1511"/>
      <c r="H86" s="1511"/>
      <c r="I86" s="1511"/>
      <c r="J86" s="704"/>
      <c r="K86" s="704"/>
      <c r="L86" s="59"/>
      <c r="M86" s="21"/>
      <c r="N86" s="37" t="s">
        <v>1401</v>
      </c>
    </row>
    <row r="87" spans="1:24">
      <c r="B87" s="706">
        <f>B5</f>
        <v>2023</v>
      </c>
      <c r="C87" s="706">
        <f>C5</f>
        <v>2022</v>
      </c>
      <c r="D87" s="706">
        <f>D5</f>
        <v>2021</v>
      </c>
      <c r="F87" s="701"/>
      <c r="G87" s="701"/>
      <c r="H87" s="38"/>
      <c r="I87" s="38"/>
      <c r="J87" s="38"/>
      <c r="K87" s="38"/>
      <c r="L87" s="38"/>
      <c r="M87" s="38"/>
      <c r="N87"/>
    </row>
    <row r="88" spans="1:24">
      <c r="A88" s="23" t="s">
        <v>1161</v>
      </c>
      <c r="B88" s="704" t="s">
        <v>88</v>
      </c>
      <c r="C88" s="704" t="s">
        <v>88</v>
      </c>
      <c r="D88" s="704" t="s">
        <v>88</v>
      </c>
      <c r="E88" s="705" t="s">
        <v>1406</v>
      </c>
      <c r="G88" s="701"/>
      <c r="H88" s="778"/>
      <c r="I88" s="701"/>
      <c r="J88" s="701"/>
      <c r="K88" s="701"/>
      <c r="L88" s="19"/>
      <c r="N88"/>
      <c r="O88"/>
      <c r="P88"/>
      <c r="Q88"/>
      <c r="R88"/>
      <c r="S88"/>
      <c r="T88"/>
      <c r="U88"/>
      <c r="V88"/>
      <c r="W88"/>
      <c r="X88"/>
    </row>
    <row r="89" spans="1:24">
      <c r="A89" s="23" t="s">
        <v>81</v>
      </c>
      <c r="B89" s="736">
        <v>0.8</v>
      </c>
      <c r="C89" s="737">
        <v>0.19</v>
      </c>
      <c r="D89" s="737">
        <v>-0.02</v>
      </c>
      <c r="E89" s="705" t="s">
        <v>1406</v>
      </c>
      <c r="G89" s="701"/>
      <c r="H89" s="701"/>
      <c r="I89" s="701"/>
      <c r="J89" s="701"/>
      <c r="K89" s="701"/>
      <c r="L89" s="19"/>
      <c r="N89"/>
      <c r="O89"/>
      <c r="P89"/>
      <c r="Q89"/>
      <c r="R89"/>
      <c r="S89"/>
      <c r="T89"/>
      <c r="U89"/>
      <c r="V89"/>
      <c r="W89"/>
      <c r="X89"/>
    </row>
    <row r="90" spans="1:24" ht="14.45" thickBot="1">
      <c r="B90" s="701"/>
      <c r="C90" s="701"/>
      <c r="D90" s="701"/>
      <c r="E90" s="701"/>
      <c r="F90" s="701"/>
      <c r="G90" s="701"/>
      <c r="H90" s="701"/>
      <c r="I90" s="701"/>
      <c r="J90" s="701"/>
      <c r="K90" s="38"/>
      <c r="M90"/>
      <c r="N90"/>
      <c r="O90"/>
      <c r="P90"/>
      <c r="Q90"/>
      <c r="R90"/>
      <c r="S90"/>
      <c r="T90"/>
      <c r="U90"/>
      <c r="V90"/>
      <c r="W90"/>
      <c r="X90"/>
    </row>
    <row r="91" spans="1:24" ht="14.45">
      <c r="A91" s="91" t="s">
        <v>745</v>
      </c>
      <c r="B91" s="92">
        <v>0</v>
      </c>
      <c r="C91" s="92">
        <v>0</v>
      </c>
      <c r="D91" s="92">
        <v>0</v>
      </c>
      <c r="E91" s="92">
        <v>0</v>
      </c>
      <c r="F91" s="92">
        <v>0</v>
      </c>
      <c r="G91" s="92">
        <v>0</v>
      </c>
      <c r="H91" s="92">
        <v>0</v>
      </c>
      <c r="I91" s="92">
        <v>0</v>
      </c>
      <c r="J91" s="92">
        <v>0</v>
      </c>
      <c r="K91" s="92">
        <v>0</v>
      </c>
      <c r="L91" s="547">
        <v>47</v>
      </c>
      <c r="M91" s="547">
        <v>47</v>
      </c>
      <c r="N91"/>
      <c r="O91"/>
      <c r="P91"/>
      <c r="Q91"/>
      <c r="R91"/>
      <c r="S91"/>
      <c r="T91"/>
      <c r="U91"/>
      <c r="V91"/>
      <c r="W91"/>
      <c r="X91"/>
    </row>
    <row r="92" spans="1:24" ht="14.45" thickBot="1">
      <c r="B92" s="701"/>
      <c r="C92" s="701"/>
      <c r="D92" s="701"/>
      <c r="E92" s="701"/>
      <c r="F92" s="701"/>
      <c r="G92" s="701"/>
      <c r="H92" s="701"/>
      <c r="I92" s="701"/>
      <c r="J92" s="701"/>
      <c r="K92" s="38"/>
      <c r="N92"/>
      <c r="O92"/>
      <c r="P92"/>
      <c r="Q92"/>
      <c r="R92"/>
      <c r="S92"/>
      <c r="T92"/>
      <c r="U92"/>
      <c r="V92"/>
      <c r="W92"/>
      <c r="X92"/>
    </row>
    <row r="93" spans="1:24" ht="14.45">
      <c r="A93" s="91" t="s">
        <v>1407</v>
      </c>
      <c r="B93" s="664">
        <v>-163.80000000000001</v>
      </c>
      <c r="C93" s="664">
        <v>-74.3</v>
      </c>
      <c r="D93" s="664">
        <v>0</v>
      </c>
      <c r="E93" s="664">
        <v>0</v>
      </c>
      <c r="F93" s="664">
        <v>0</v>
      </c>
      <c r="G93" s="664">
        <v>0</v>
      </c>
      <c r="H93" s="664">
        <v>0</v>
      </c>
      <c r="I93" s="664">
        <v>-12.2</v>
      </c>
      <c r="J93" s="664">
        <v>0</v>
      </c>
      <c r="K93" s="664">
        <v>0</v>
      </c>
      <c r="L93" s="685" t="s">
        <v>304</v>
      </c>
      <c r="M93" s="546">
        <v>-1334</v>
      </c>
      <c r="N93"/>
      <c r="O93"/>
      <c r="P93"/>
      <c r="Q93"/>
      <c r="R93"/>
      <c r="S93"/>
      <c r="T93"/>
      <c r="U93"/>
      <c r="V93"/>
      <c r="W93"/>
      <c r="X93"/>
    </row>
    <row r="94" spans="1:24" ht="14.45" thickBot="1">
      <c r="B94" s="701"/>
      <c r="C94" s="701"/>
      <c r="D94" s="701"/>
      <c r="E94" s="701"/>
      <c r="F94" s="701"/>
      <c r="G94" s="701"/>
      <c r="H94" s="701"/>
      <c r="I94" s="701"/>
      <c r="J94" s="701"/>
      <c r="K94" s="38"/>
      <c r="N94"/>
      <c r="O94"/>
      <c r="P94"/>
      <c r="Q94"/>
      <c r="R94"/>
      <c r="S94"/>
      <c r="T94"/>
      <c r="U94"/>
      <c r="V94"/>
      <c r="W94"/>
      <c r="X94"/>
    </row>
    <row r="95" spans="1:24" ht="14.45">
      <c r="A95" s="91" t="s">
        <v>1408</v>
      </c>
      <c r="B95" s="664">
        <v>1539.3</v>
      </c>
      <c r="C95" s="664">
        <v>1003.7</v>
      </c>
      <c r="D95" s="664">
        <v>0</v>
      </c>
      <c r="E95" s="664">
        <v>0</v>
      </c>
      <c r="F95" s="664">
        <v>0</v>
      </c>
      <c r="G95" s="664">
        <v>0</v>
      </c>
      <c r="H95" s="664">
        <v>0</v>
      </c>
      <c r="I95" s="664">
        <v>13</v>
      </c>
      <c r="J95" s="664">
        <v>0</v>
      </c>
      <c r="K95" s="664">
        <v>0</v>
      </c>
      <c r="L95" s="683" t="s">
        <v>304</v>
      </c>
      <c r="M95" s="547">
        <v>6259</v>
      </c>
      <c r="N95"/>
      <c r="O95"/>
      <c r="P95"/>
      <c r="Q95"/>
      <c r="R95"/>
      <c r="S95"/>
      <c r="T95"/>
      <c r="U95"/>
      <c r="V95"/>
      <c r="W95"/>
      <c r="X95"/>
    </row>
    <row r="96" spans="1:24">
      <c r="B96" s="701"/>
      <c r="C96" s="701"/>
      <c r="D96" s="701"/>
      <c r="E96" s="701"/>
      <c r="F96" s="701"/>
      <c r="G96" s="701"/>
      <c r="H96" s="701"/>
      <c r="I96" s="701"/>
      <c r="J96" s="701"/>
      <c r="K96" s="38"/>
      <c r="N96"/>
      <c r="O96"/>
      <c r="P96"/>
      <c r="Q96"/>
      <c r="R96"/>
      <c r="S96"/>
      <c r="T96"/>
      <c r="U96"/>
      <c r="V96"/>
      <c r="W96"/>
      <c r="X96"/>
    </row>
    <row r="97" spans="1:16">
      <c r="A97" s="91" t="s">
        <v>1409</v>
      </c>
      <c r="B97" s="664">
        <v>-29</v>
      </c>
      <c r="C97" s="664">
        <v>-13.2</v>
      </c>
      <c r="D97" s="664">
        <v>-15.3</v>
      </c>
      <c r="E97" s="664">
        <v>-23.4</v>
      </c>
      <c r="F97" s="664">
        <v>-5.5</v>
      </c>
      <c r="G97" s="664">
        <v>-1.2</v>
      </c>
      <c r="H97" s="664">
        <v>-0.1</v>
      </c>
      <c r="I97" s="664">
        <v>-2.2999999999999998</v>
      </c>
      <c r="J97" s="664">
        <v>-0.2</v>
      </c>
      <c r="K97" s="664">
        <v>-0.2</v>
      </c>
      <c r="L97" s="21">
        <v>-99</v>
      </c>
      <c r="M97" s="19">
        <v>-109</v>
      </c>
      <c r="N97"/>
      <c r="O97"/>
      <c r="P97"/>
    </row>
    <row r="98" spans="1:16">
      <c r="A98" s="91" t="s">
        <v>1410</v>
      </c>
      <c r="B98" s="664">
        <v>73.900000000000006</v>
      </c>
      <c r="C98" s="664">
        <v>0.7</v>
      </c>
      <c r="D98" s="664">
        <v>0.2</v>
      </c>
      <c r="E98" s="664">
        <v>0.9</v>
      </c>
      <c r="F98" s="664">
        <v>1.6</v>
      </c>
      <c r="G98" s="664">
        <v>2.7</v>
      </c>
      <c r="H98" s="664">
        <v>2.2000000000000002</v>
      </c>
      <c r="I98" s="664">
        <v>0.1</v>
      </c>
      <c r="J98" s="664" t="s">
        <v>304</v>
      </c>
      <c r="K98" s="664" t="s">
        <v>304</v>
      </c>
      <c r="L98" s="21">
        <v>27</v>
      </c>
      <c r="M98" s="19">
        <v>44</v>
      </c>
    </row>
    <row r="99" spans="1:16">
      <c r="B99" s="701"/>
      <c r="C99" s="701"/>
      <c r="D99" s="701"/>
      <c r="E99" s="701"/>
      <c r="F99" s="701"/>
      <c r="G99" s="701"/>
      <c r="H99" s="701"/>
      <c r="I99" s="701"/>
      <c r="J99" s="701"/>
      <c r="K99" s="38"/>
    </row>
    <row r="100" spans="1:16">
      <c r="A100" s="91" t="s">
        <v>314</v>
      </c>
      <c r="B100" s="664">
        <f t="shared" ref="B100:L100" si="63">B6-B7</f>
        <v>776.19999999999982</v>
      </c>
      <c r="C100" s="664">
        <f t="shared" si="63"/>
        <v>378.39999999999986</v>
      </c>
      <c r="D100" s="664">
        <f t="shared" si="63"/>
        <v>155.70000000000002</v>
      </c>
      <c r="E100" s="664">
        <f t="shared" si="63"/>
        <v>112</v>
      </c>
      <c r="F100" s="664">
        <f t="shared" si="63"/>
        <v>36.599999999999994</v>
      </c>
      <c r="G100" s="664">
        <f t="shared" si="63"/>
        <v>6.1999999999999993</v>
      </c>
      <c r="H100" s="664">
        <f t="shared" si="63"/>
        <v>0</v>
      </c>
      <c r="I100" s="664">
        <f t="shared" si="63"/>
        <v>0</v>
      </c>
      <c r="J100" s="664">
        <f t="shared" si="63"/>
        <v>0.1</v>
      </c>
      <c r="K100" s="664">
        <f t="shared" si="63"/>
        <v>0.3</v>
      </c>
      <c r="L100" s="26">
        <f t="shared" si="63"/>
        <v>3203</v>
      </c>
      <c r="M100" s="26">
        <f t="shared" ref="M100" si="64">M6-M7</f>
        <v>0</v>
      </c>
    </row>
    <row r="101" spans="1:16">
      <c r="A101" s="91" t="s">
        <v>1411</v>
      </c>
      <c r="B101" s="664">
        <f t="shared" ref="B101:L101" si="65">B100/B6</f>
        <v>0.19099409448818894</v>
      </c>
      <c r="C101" s="664">
        <f t="shared" si="65"/>
        <v>0.31809011432414247</v>
      </c>
      <c r="D101" s="664">
        <f t="shared" si="65"/>
        <v>0.88566552901023898</v>
      </c>
      <c r="E101" s="664">
        <f t="shared" si="65"/>
        <v>1.3317479191438764</v>
      </c>
      <c r="F101" s="664">
        <f t="shared" si="65"/>
        <v>0.85514018691588778</v>
      </c>
      <c r="G101" s="664">
        <f t="shared" si="65"/>
        <v>0.60784313725490191</v>
      </c>
      <c r="H101" s="664" t="e">
        <f t="shared" si="65"/>
        <v>#DIV/0!</v>
      </c>
      <c r="I101" s="664" t="e">
        <f t="shared" si="65"/>
        <v>#DIV/0!</v>
      </c>
      <c r="J101" s="664">
        <f t="shared" si="65"/>
        <v>1</v>
      </c>
      <c r="K101" s="664">
        <f t="shared" si="65"/>
        <v>1</v>
      </c>
      <c r="L101" s="630">
        <f t="shared" si="65"/>
        <v>0.65581490581490587</v>
      </c>
      <c r="M101" s="630" t="e">
        <f t="shared" ref="M101" si="66">M100/M6</f>
        <v>#DIV/0!</v>
      </c>
    </row>
    <row r="102" spans="1:16">
      <c r="B102" s="630"/>
      <c r="C102" s="630"/>
      <c r="D102" s="630"/>
      <c r="E102" s="630"/>
      <c r="F102" s="630"/>
      <c r="G102" s="630"/>
      <c r="H102" s="630"/>
      <c r="I102" s="630"/>
      <c r="J102" s="630"/>
      <c r="K102" s="630"/>
    </row>
    <row r="103" spans="1:16">
      <c r="A103" s="91" t="s">
        <v>1412</v>
      </c>
      <c r="B103" s="664">
        <v>12.8</v>
      </c>
      <c r="C103" s="664">
        <v>0</v>
      </c>
      <c r="D103" s="664">
        <v>0</v>
      </c>
      <c r="E103" s="664">
        <v>0</v>
      </c>
      <c r="F103" s="664">
        <v>0</v>
      </c>
      <c r="G103" s="664">
        <v>0</v>
      </c>
      <c r="H103" s="664">
        <v>0</v>
      </c>
      <c r="I103" s="664">
        <v>0</v>
      </c>
      <c r="J103" s="664">
        <v>0</v>
      </c>
      <c r="K103" s="664">
        <v>0</v>
      </c>
    </row>
    <row r="105" spans="1:16">
      <c r="A105" s="91" t="s">
        <v>1413</v>
      </c>
      <c r="B105" s="91">
        <v>116.6</v>
      </c>
      <c r="C105" s="91">
        <v>7.3</v>
      </c>
      <c r="D105" s="91">
        <v>2.8</v>
      </c>
      <c r="E105" s="91">
        <v>-4.8</v>
      </c>
      <c r="F105" s="91">
        <v>-6.5</v>
      </c>
      <c r="G105" s="91">
        <v>-8</v>
      </c>
      <c r="H105" s="91">
        <v>0</v>
      </c>
      <c r="I105" s="91">
        <v>0</v>
      </c>
      <c r="J105" s="91">
        <v>-0.1</v>
      </c>
      <c r="K105" s="91">
        <v>0</v>
      </c>
    </row>
    <row r="106" spans="1:16">
      <c r="A106" s="91" t="s">
        <v>1414</v>
      </c>
      <c r="B106" s="91">
        <v>-1.8</v>
      </c>
      <c r="C106" s="91">
        <v>-1.6</v>
      </c>
      <c r="D106" s="91">
        <v>-4.2</v>
      </c>
      <c r="E106" s="91">
        <v>-0.3</v>
      </c>
      <c r="F106" s="91">
        <v>0</v>
      </c>
      <c r="G106" s="91">
        <v>4</v>
      </c>
      <c r="H106" s="91">
        <v>0</v>
      </c>
      <c r="I106" s="91">
        <v>0</v>
      </c>
      <c r="J106" s="91">
        <v>0</v>
      </c>
      <c r="K106" s="91">
        <v>0</v>
      </c>
    </row>
    <row r="107" spans="1:16">
      <c r="A107" s="91" t="s">
        <v>1415</v>
      </c>
      <c r="B107" s="91">
        <v>-0.1000000000003638</v>
      </c>
      <c r="C107" s="91">
        <v>-0.10000000000013642</v>
      </c>
      <c r="D107" s="91">
        <v>0.10000000000000142</v>
      </c>
      <c r="E107" s="91">
        <v>-0.10000000000000853</v>
      </c>
      <c r="F107" s="91">
        <v>0</v>
      </c>
      <c r="G107" s="91">
        <v>0</v>
      </c>
      <c r="H107" s="91">
        <v>-0.10000000000000142</v>
      </c>
      <c r="I107" s="91">
        <v>0</v>
      </c>
      <c r="J107" s="91">
        <v>-9.9999999999999645E-2</v>
      </c>
      <c r="K107" s="91">
        <v>0</v>
      </c>
    </row>
    <row r="109" spans="1:16">
      <c r="A109" s="91" t="s">
        <v>1416</v>
      </c>
      <c r="B109" s="91">
        <v>29.6</v>
      </c>
      <c r="C109" s="91">
        <v>44.7</v>
      </c>
      <c r="D109" s="91">
        <v>14.7</v>
      </c>
      <c r="E109" s="91">
        <v>11.9</v>
      </c>
      <c r="F109" s="91">
        <v>23.1</v>
      </c>
      <c r="G109" s="91">
        <v>8.3000000000000007</v>
      </c>
      <c r="H109" s="91">
        <v>3.9</v>
      </c>
      <c r="I109" s="91">
        <v>2.1</v>
      </c>
      <c r="J109" s="91">
        <v>0</v>
      </c>
      <c r="K109" s="91">
        <v>0</v>
      </c>
    </row>
    <row r="110" spans="1:16">
      <c r="A110" s="91" t="s">
        <v>1417</v>
      </c>
      <c r="B110" s="91">
        <v>0</v>
      </c>
      <c r="C110" s="91">
        <v>0</v>
      </c>
      <c r="D110" s="91">
        <v>0</v>
      </c>
      <c r="E110" s="91">
        <v>0</v>
      </c>
      <c r="F110" s="91">
        <v>0</v>
      </c>
      <c r="G110" s="91">
        <v>0</v>
      </c>
      <c r="H110" s="91">
        <v>0</v>
      </c>
      <c r="I110" s="91">
        <v>0</v>
      </c>
      <c r="J110" s="91">
        <v>0.7</v>
      </c>
      <c r="K110" s="91">
        <v>0.2</v>
      </c>
    </row>
    <row r="111" spans="1:16">
      <c r="A111" s="91" t="s">
        <v>1418</v>
      </c>
      <c r="B111" s="91">
        <v>773.3</v>
      </c>
      <c r="C111" s="91">
        <v>90.1</v>
      </c>
      <c r="D111" s="91">
        <v>0</v>
      </c>
      <c r="E111" s="91">
        <v>0</v>
      </c>
      <c r="F111" s="91">
        <v>0</v>
      </c>
      <c r="G111" s="91">
        <v>0</v>
      </c>
      <c r="H111" s="91">
        <v>0</v>
      </c>
      <c r="I111" s="91">
        <v>0</v>
      </c>
      <c r="J111" s="91">
        <v>0</v>
      </c>
      <c r="K111" s="91">
        <v>0</v>
      </c>
    </row>
    <row r="112" spans="1:16">
      <c r="A112" s="91" t="s">
        <v>1419</v>
      </c>
      <c r="B112" s="91">
        <v>150.9</v>
      </c>
      <c r="C112" s="91">
        <v>0.1</v>
      </c>
      <c r="D112" s="91">
        <v>0.9</v>
      </c>
      <c r="E112" s="91">
        <v>0.1</v>
      </c>
      <c r="F112" s="91">
        <v>0</v>
      </c>
      <c r="G112" s="91">
        <v>1</v>
      </c>
      <c r="H112" s="91">
        <v>0</v>
      </c>
      <c r="I112" s="91">
        <v>0.1</v>
      </c>
      <c r="J112" s="91">
        <v>0</v>
      </c>
      <c r="K112" s="91">
        <v>0</v>
      </c>
    </row>
    <row r="114" spans="1:14">
      <c r="A114" s="91" t="s">
        <v>1420</v>
      </c>
      <c r="B114" s="91">
        <v>0</v>
      </c>
      <c r="C114" s="91">
        <v>0</v>
      </c>
      <c r="D114" s="91">
        <v>-210.3</v>
      </c>
      <c r="E114" s="91">
        <v>0</v>
      </c>
      <c r="F114" s="91">
        <v>0</v>
      </c>
      <c r="G114" s="91">
        <v>0</v>
      </c>
      <c r="H114" s="91">
        <v>0</v>
      </c>
      <c r="I114" s="91">
        <v>0</v>
      </c>
      <c r="J114" s="91">
        <v>-1</v>
      </c>
      <c r="K114" s="91">
        <v>0</v>
      </c>
    </row>
    <row r="115" spans="1:14">
      <c r="A115" s="91" t="s">
        <v>1421</v>
      </c>
      <c r="B115" s="91">
        <v>0</v>
      </c>
      <c r="C115" s="91">
        <v>0</v>
      </c>
      <c r="D115" s="91">
        <v>0</v>
      </c>
      <c r="E115" s="91">
        <v>0</v>
      </c>
      <c r="F115" s="91">
        <v>0</v>
      </c>
      <c r="G115" s="91">
        <v>4.3</v>
      </c>
      <c r="H115" s="91">
        <v>0</v>
      </c>
      <c r="I115" s="91">
        <v>0</v>
      </c>
      <c r="J115" s="91">
        <v>0</v>
      </c>
      <c r="K115" s="91">
        <v>0</v>
      </c>
    </row>
    <row r="116" spans="1:14">
      <c r="A116" s="91" t="s">
        <v>1422</v>
      </c>
      <c r="B116" s="91">
        <v>-22.4</v>
      </c>
      <c r="C116" s="91">
        <v>-76.2</v>
      </c>
      <c r="D116" s="91">
        <v>0</v>
      </c>
      <c r="E116" s="91">
        <v>0</v>
      </c>
      <c r="F116" s="91">
        <v>0</v>
      </c>
      <c r="G116" s="91">
        <v>0</v>
      </c>
      <c r="H116" s="91">
        <v>0</v>
      </c>
      <c r="I116" s="91">
        <v>-2</v>
      </c>
      <c r="J116" s="91">
        <v>0</v>
      </c>
      <c r="K116" s="91">
        <v>0</v>
      </c>
    </row>
    <row r="119" spans="1:14">
      <c r="B119" s="646"/>
      <c r="C119" s="646"/>
      <c r="D119" s="646"/>
      <c r="E119" s="646"/>
      <c r="F119" s="646"/>
      <c r="G119" s="646"/>
      <c r="H119" s="646"/>
      <c r="I119" s="646"/>
      <c r="J119" s="646"/>
      <c r="K119" s="646"/>
      <c r="L119" s="646"/>
      <c r="M119" s="646"/>
      <c r="N119" s="647"/>
    </row>
    <row r="121" spans="1:14">
      <c r="N121" s="647"/>
    </row>
  </sheetData>
  <mergeCells count="19">
    <mergeCell ref="G2:J2"/>
    <mergeCell ref="D4:M4"/>
    <mergeCell ref="R5:S5"/>
    <mergeCell ref="E79:G79"/>
    <mergeCell ref="H79:I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E4E33FEE-1117-4802-A5BB-FA073D1C6E04}"/>
</file>

<file path=customXml/itemProps3.xml><?xml version="1.0" encoding="utf-8"?>
<ds:datastoreItem xmlns:ds="http://schemas.openxmlformats.org/officeDocument/2006/customXml" ds:itemID="{70FCD043-2DB0-41A2-B4A6-15625FD77DEC}"/>
</file>

<file path=customXml/itemProps4.xml><?xml version="1.0" encoding="utf-8"?>
<ds:datastoreItem xmlns:ds="http://schemas.openxmlformats.org/officeDocument/2006/customXml" ds:itemID="{AEB0D540-97AE-4F3D-A7EA-B9910EB3DB29}"/>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2025-01-20T18:33:30Z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