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threadedComments/threadedComment4.xml" ContentType="application/vnd.ms-excel.threadedcomment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omments6.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Pre-restructuring OPs/Pharma- TL Tim Svrcek/"/>
    </mc:Choice>
  </mc:AlternateContent>
  <xr:revisionPtr revIDLastSave="3485" documentId="6_{0E89EB9D-323B-413A-86E8-BEE3C3DADF53}" xr6:coauthVersionLast="47" xr6:coauthVersionMax="47" xr10:uidLastSave="{13F381E9-8F7D-4D01-9B32-ABD7ADD4DCE8}"/>
  <bookViews>
    <workbookView xWindow="-98" yWindow="-98" windowWidth="21795" windowHeight="12975" tabRatio="644" activeTab="6" xr2:uid="{00000000-000D-0000-FFFF-FFFF00000000}"/>
  </bookViews>
  <sheets>
    <sheet name="OP" sheetId="28" r:id="rId1"/>
    <sheet name="Segments" sheetId="30" r:id="rId2"/>
    <sheet name="Acuerdo" sheetId="11" state="hidden" r:id="rId3"/>
    <sheet name="SARD" sheetId="23" r:id="rId4"/>
    <sheet name="Peers" sheetId="29" r:id="rId5"/>
    <sheet name="ESG" sheetId="19" r:id="rId6"/>
    <sheet name="DCF" sheetId="24" r:id="rId7"/>
    <sheet name="Assumptions" sheetId="25" r:id="rId8"/>
    <sheet name="Fin. Data" sheetId="26" r:id="rId9"/>
    <sheet name="Inputs" sheetId="27" r:id="rId10"/>
    <sheet name="Sector Impact" sheetId="18" state="hidden" r:id="rId11"/>
  </sheets>
  <externalReferences>
    <externalReference r:id="rId12"/>
    <externalReference r:id="rId13"/>
  </externalReferences>
  <definedNames>
    <definedName name="_xlnm.Print_Area" localSheetId="0">OP!$A$1:$M$82</definedName>
    <definedName name="_xlnm.Print_Area" localSheetId="1">Segments!#REF!</definedName>
    <definedName name="Sectors" localSheetId="7">'[1]Sector Impact'!$K$4:$K$16</definedName>
    <definedName name="Sectors">'Sector Impact'!$K$4:$K$16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25" l="1"/>
  <c r="G44" i="25"/>
  <c r="G43" i="25"/>
  <c r="D300" i="25"/>
  <c r="E278" i="25"/>
  <c r="E276" i="25"/>
  <c r="M247" i="25"/>
  <c r="D265" i="25"/>
  <c r="E256" i="25"/>
  <c r="D264" i="25"/>
  <c r="D263" i="25"/>
  <c r="D256" i="25"/>
  <c r="Q242" i="25"/>
  <c r="P206" i="25"/>
  <c r="M200" i="25"/>
  <c r="M198" i="25"/>
  <c r="N198" i="25"/>
  <c r="M197" i="25"/>
  <c r="L205" i="25"/>
  <c r="L199" i="25"/>
  <c r="L198" i="25"/>
  <c r="L197" i="25"/>
  <c r="L196" i="25"/>
  <c r="D259" i="25"/>
  <c r="D297" i="25"/>
  <c r="C44" i="25"/>
  <c r="F43" i="25"/>
  <c r="E43" i="25"/>
  <c r="D43" i="25"/>
  <c r="C43" i="25"/>
  <c r="E44" i="25"/>
  <c r="H55" i="25"/>
  <c r="G63" i="25"/>
  <c r="D57" i="25"/>
  <c r="D56" i="25"/>
  <c r="F44" i="25"/>
  <c r="H56" i="25"/>
  <c r="C432" i="25"/>
  <c r="D37" i="25"/>
  <c r="C10" i="19"/>
  <c r="C9" i="19"/>
  <c r="L56" i="28"/>
  <c r="C47" i="29"/>
  <c r="C23" i="29"/>
  <c r="H19" i="29"/>
  <c r="B36" i="26"/>
  <c r="B26" i="26"/>
  <c r="F13" i="29"/>
  <c r="C22" i="29"/>
  <c r="C38" i="29"/>
  <c r="C43" i="29"/>
  <c r="C45" i="29"/>
  <c r="C37" i="29"/>
  <c r="L29" i="25"/>
  <c r="K29" i="25"/>
  <c r="K23" i="25"/>
  <c r="K22" i="25"/>
  <c r="L22" i="25"/>
  <c r="D75" i="24"/>
  <c r="E63" i="24"/>
  <c r="D63" i="24"/>
  <c r="C48" i="29"/>
  <c r="M36" i="26"/>
  <c r="L36" i="26"/>
  <c r="K36" i="26"/>
  <c r="J36" i="26"/>
  <c r="I36" i="26"/>
  <c r="G36" i="26"/>
  <c r="C36" i="26"/>
  <c r="D36" i="26"/>
  <c r="E36" i="26"/>
  <c r="F36" i="26"/>
  <c r="E26" i="26"/>
  <c r="C6" i="29"/>
  <c r="AK6" i="26"/>
  <c r="AL6" i="26"/>
  <c r="AM6" i="26"/>
  <c r="AN6" i="26"/>
  <c r="AO6" i="26"/>
  <c r="AP6" i="26"/>
  <c r="AQ6" i="26"/>
  <c r="AR6" i="26"/>
  <c r="AS6" i="26"/>
  <c r="AT6" i="26"/>
  <c r="AU6" i="26"/>
  <c r="AF50" i="19"/>
  <c r="AF51" i="19"/>
  <c r="AF52" i="19"/>
  <c r="AF53" i="19"/>
  <c r="AF54" i="19"/>
  <c r="AF55" i="19"/>
  <c r="AF56" i="19"/>
  <c r="AF57" i="19"/>
  <c r="AF58" i="19"/>
  <c r="AF59" i="19"/>
  <c r="AF60" i="19"/>
  <c r="AE56" i="19"/>
  <c r="AE57" i="19"/>
  <c r="AE58" i="19"/>
  <c r="AE59" i="19"/>
  <c r="AE60" i="19"/>
  <c r="G107" i="28"/>
  <c r="AH12" i="23"/>
  <c r="AN12" i="23"/>
  <c r="AM12" i="23"/>
  <c r="AL12" i="23"/>
  <c r="AK12" i="23"/>
  <c r="AJ12" i="23"/>
  <c r="AJ9" i="23"/>
  <c r="L240" i="25"/>
  <c r="C23" i="28"/>
  <c r="F22" i="28"/>
  <c r="F21" i="28"/>
  <c r="D4" i="28" a="1"/>
  <c r="D4" i="28"/>
  <c r="C50" i="29"/>
  <c r="F27" i="29"/>
  <c r="O6" i="23"/>
  <c r="O5" i="23"/>
  <c r="O7" i="23"/>
  <c r="O8" i="23"/>
  <c r="O9" i="23"/>
  <c r="O10" i="23"/>
  <c r="O11" i="23"/>
  <c r="O12" i="23"/>
  <c r="O13" i="23"/>
  <c r="O14" i="23"/>
  <c r="N5" i="23"/>
  <c r="N6" i="23"/>
  <c r="N7" i="23"/>
  <c r="N8" i="23"/>
  <c r="N9" i="23"/>
  <c r="N10" i="23"/>
  <c r="N11" i="23"/>
  <c r="N12" i="23"/>
  <c r="N13" i="23"/>
  <c r="N14" i="23"/>
  <c r="M5" i="23"/>
  <c r="M6" i="23"/>
  <c r="M7" i="23"/>
  <c r="M8" i="23"/>
  <c r="M9" i="23"/>
  <c r="M10" i="23"/>
  <c r="M11" i="23"/>
  <c r="M12" i="23"/>
  <c r="M13" i="23"/>
  <c r="M14" i="23"/>
  <c r="L5" i="23"/>
  <c r="L6" i="23"/>
  <c r="L7" i="23"/>
  <c r="L8" i="23"/>
  <c r="L9" i="23"/>
  <c r="L10" i="23"/>
  <c r="L11" i="23"/>
  <c r="L12" i="23"/>
  <c r="L13" i="23"/>
  <c r="L14" i="23"/>
  <c r="K5" i="23"/>
  <c r="K6" i="23"/>
  <c r="K7" i="23"/>
  <c r="K8" i="23"/>
  <c r="K9" i="23"/>
  <c r="K10" i="23"/>
  <c r="K11" i="23"/>
  <c r="K12" i="23"/>
  <c r="K13" i="23"/>
  <c r="K14" i="23"/>
  <c r="L4" i="23"/>
  <c r="M4" i="23"/>
  <c r="N4" i="23"/>
  <c r="O4" i="23"/>
  <c r="K4" i="23"/>
  <c r="L3" i="23"/>
  <c r="K3" i="23"/>
  <c r="C71" i="29"/>
  <c r="F30" i="28"/>
  <c r="I19" i="30"/>
  <c r="H19" i="30"/>
  <c r="G19" i="30"/>
  <c r="F19" i="30"/>
  <c r="E19" i="30"/>
  <c r="D19" i="30"/>
  <c r="I18" i="30"/>
  <c r="H18" i="30"/>
  <c r="G18" i="30"/>
  <c r="F18" i="30"/>
  <c r="E18" i="30"/>
  <c r="D18" i="30"/>
  <c r="O17" i="30"/>
  <c r="N17" i="30"/>
  <c r="M17" i="30"/>
  <c r="L17" i="30"/>
  <c r="K17" i="30"/>
  <c r="O16" i="30"/>
  <c r="N16" i="30"/>
  <c r="M16" i="30"/>
  <c r="L16" i="30"/>
  <c r="K16" i="30"/>
  <c r="O15" i="30"/>
  <c r="N15" i="30"/>
  <c r="M15" i="30"/>
  <c r="L15" i="30"/>
  <c r="K15" i="30"/>
  <c r="B15" i="30"/>
  <c r="H30" i="28"/>
  <c r="O14" i="30"/>
  <c r="N14" i="30"/>
  <c r="M14" i="30"/>
  <c r="L14" i="30"/>
  <c r="K14" i="30"/>
  <c r="K13" i="30"/>
  <c r="L13" i="30"/>
  <c r="M13" i="30"/>
  <c r="N13" i="30"/>
  <c r="O13" i="30"/>
  <c r="P13" i="30"/>
  <c r="D13" i="30"/>
  <c r="E13" i="30"/>
  <c r="F13" i="30"/>
  <c r="G13" i="30"/>
  <c r="H13" i="30"/>
  <c r="I13" i="30"/>
  <c r="B11" i="30"/>
  <c r="K4" i="30"/>
  <c r="L4" i="30"/>
  <c r="M4" i="30"/>
  <c r="N4" i="30"/>
  <c r="O4" i="30"/>
  <c r="P4" i="30"/>
  <c r="D4" i="30"/>
  <c r="E4" i="30"/>
  <c r="F4" i="30"/>
  <c r="G4" i="30"/>
  <c r="H4" i="30"/>
  <c r="I4" i="30"/>
  <c r="B2" i="30"/>
  <c r="C72" i="29"/>
  <c r="C70" i="29"/>
  <c r="C69" i="29"/>
  <c r="C68" i="29"/>
  <c r="C67" i="29"/>
  <c r="C66" i="29"/>
  <c r="C65" i="29"/>
  <c r="C64" i="29"/>
  <c r="C63" i="29"/>
  <c r="C60" i="29"/>
  <c r="C59" i="29"/>
  <c r="C58" i="29"/>
  <c r="C57" i="29"/>
  <c r="C56" i="29"/>
  <c r="C55" i="29"/>
  <c r="C54" i="29"/>
  <c r="C53" i="29"/>
  <c r="C52" i="29"/>
  <c r="F47" i="29"/>
  <c r="E47" i="29"/>
  <c r="D47" i="29"/>
  <c r="G46" i="29"/>
  <c r="G44" i="29"/>
  <c r="H44" i="29"/>
  <c r="G41" i="29"/>
  <c r="H41" i="29"/>
  <c r="G38" i="29"/>
  <c r="H38" i="29"/>
  <c r="G37" i="29"/>
  <c r="H37" i="29"/>
  <c r="G36" i="29"/>
  <c r="G30" i="29"/>
  <c r="F29" i="29"/>
  <c r="E29" i="29"/>
  <c r="D29" i="29"/>
  <c r="F28" i="29"/>
  <c r="E28" i="29"/>
  <c r="D28" i="29"/>
  <c r="E27" i="29"/>
  <c r="D27" i="29"/>
  <c r="F26" i="29"/>
  <c r="E26" i="29"/>
  <c r="D26" i="29"/>
  <c r="E25" i="29"/>
  <c r="G24" i="29"/>
  <c r="F23" i="29"/>
  <c r="E23" i="29"/>
  <c r="D23" i="29"/>
  <c r="F22" i="29"/>
  <c r="E22" i="29"/>
  <c r="D22" i="29"/>
  <c r="F20" i="29"/>
  <c r="E20" i="29"/>
  <c r="D20" i="29"/>
  <c r="F19" i="29"/>
  <c r="E19" i="29"/>
  <c r="D19" i="29"/>
  <c r="F18" i="29"/>
  <c r="E18" i="29"/>
  <c r="D18" i="29"/>
  <c r="G17" i="29"/>
  <c r="F16" i="29"/>
  <c r="E16" i="29"/>
  <c r="D16" i="29"/>
  <c r="F15" i="29"/>
  <c r="E15" i="29"/>
  <c r="D15" i="29"/>
  <c r="F14" i="29"/>
  <c r="E14" i="29"/>
  <c r="D14" i="29"/>
  <c r="E13" i="29"/>
  <c r="D13" i="29"/>
  <c r="F12" i="29"/>
  <c r="E12" i="29"/>
  <c r="D12" i="29"/>
  <c r="F11" i="29"/>
  <c r="E11" i="29"/>
  <c r="D11" i="29"/>
  <c r="G10" i="29"/>
  <c r="F9" i="29"/>
  <c r="F48" i="29"/>
  <c r="E9" i="29"/>
  <c r="E48" i="29"/>
  <c r="D9" i="29"/>
  <c r="D48" i="29"/>
  <c r="G7" i="29"/>
  <c r="F6" i="29"/>
  <c r="F8" i="29" a="1"/>
  <c r="F8" i="29"/>
  <c r="E6" i="29"/>
  <c r="E43" i="29" a="1"/>
  <c r="E43" i="29"/>
  <c r="D6" i="29"/>
  <c r="D43" i="29" a="1"/>
  <c r="D43" i="29"/>
  <c r="D42" i="29"/>
  <c r="D4" i="29" a="1"/>
  <c r="D4" i="29"/>
  <c r="D3" i="29" a="1"/>
  <c r="D3" i="29"/>
  <c r="D2" i="29" a="1"/>
  <c r="D2" i="29"/>
  <c r="F54" i="28"/>
  <c r="B54" i="28"/>
  <c r="B53" i="28"/>
  <c r="B52" i="28"/>
  <c r="B51" i="28"/>
  <c r="B50" i="28"/>
  <c r="B49" i="28"/>
  <c r="B48" i="28"/>
  <c r="B47" i="28"/>
  <c r="B46" i="28"/>
  <c r="F53" i="28"/>
  <c r="F52" i="28"/>
  <c r="F51" i="28"/>
  <c r="F50" i="28"/>
  <c r="F49" i="28"/>
  <c r="F48" i="28"/>
  <c r="F47" i="28"/>
  <c r="L46" i="28"/>
  <c r="M46" i="28"/>
  <c r="F46" i="28"/>
  <c r="H29" i="28"/>
  <c r="F29" i="28"/>
  <c r="H28" i="28"/>
  <c r="F28" i="28"/>
  <c r="H27" i="28"/>
  <c r="F27" i="28"/>
  <c r="C24" i="28"/>
  <c r="H22" i="28"/>
  <c r="H21" i="28"/>
  <c r="B87" i="27"/>
  <c r="M77" i="27"/>
  <c r="L77" i="27"/>
  <c r="K77" i="27"/>
  <c r="J77" i="27"/>
  <c r="I77" i="27"/>
  <c r="H77" i="27"/>
  <c r="G77" i="27"/>
  <c r="F77" i="27"/>
  <c r="E77" i="27"/>
  <c r="D77" i="27"/>
  <c r="C77" i="27"/>
  <c r="B77" i="27"/>
  <c r="M75" i="27"/>
  <c r="L75" i="27"/>
  <c r="K75" i="27"/>
  <c r="J75" i="27"/>
  <c r="I75" i="27"/>
  <c r="H75" i="27"/>
  <c r="G75" i="27"/>
  <c r="F75" i="27"/>
  <c r="E75" i="27"/>
  <c r="D75" i="27"/>
  <c r="C75" i="27"/>
  <c r="B75" i="27"/>
  <c r="O74" i="27"/>
  <c r="M67" i="27"/>
  <c r="L67" i="27"/>
  <c r="K67" i="27"/>
  <c r="J67" i="27"/>
  <c r="I67" i="27"/>
  <c r="H67" i="27"/>
  <c r="G67" i="27"/>
  <c r="F67" i="27"/>
  <c r="E67" i="27"/>
  <c r="D67" i="27"/>
  <c r="D25" i="24"/>
  <c r="C67" i="27"/>
  <c r="E25" i="24"/>
  <c r="B67" i="27"/>
  <c r="M60" i="27"/>
  <c r="M63" i="27"/>
  <c r="L60" i="27"/>
  <c r="L63" i="27"/>
  <c r="K60" i="27"/>
  <c r="K63" i="27"/>
  <c r="J60" i="27"/>
  <c r="J63" i="27"/>
  <c r="I60" i="27"/>
  <c r="I63" i="27"/>
  <c r="H60" i="27"/>
  <c r="H63" i="27"/>
  <c r="G60" i="27"/>
  <c r="G63" i="27"/>
  <c r="F60" i="27"/>
  <c r="F63" i="27"/>
  <c r="E60" i="27"/>
  <c r="E63" i="27"/>
  <c r="D60" i="27"/>
  <c r="D63" i="27"/>
  <c r="C60" i="27"/>
  <c r="C63" i="27"/>
  <c r="B60" i="27"/>
  <c r="B63" i="27"/>
  <c r="M56" i="27"/>
  <c r="L56" i="27"/>
  <c r="L64" i="26"/>
  <c r="K56" i="27"/>
  <c r="K64" i="26"/>
  <c r="J56" i="27"/>
  <c r="I56" i="27"/>
  <c r="H56" i="27"/>
  <c r="G56" i="27"/>
  <c r="F56" i="27"/>
  <c r="E56" i="27"/>
  <c r="D56" i="27"/>
  <c r="C56" i="27"/>
  <c r="B56" i="27"/>
  <c r="AD53" i="27"/>
  <c r="AC53" i="27"/>
  <c r="AD52" i="27"/>
  <c r="AC52" i="27"/>
  <c r="AG49" i="27"/>
  <c r="AF49" i="27"/>
  <c r="AE49" i="27"/>
  <c r="AB49" i="27"/>
  <c r="AB53" i="27"/>
  <c r="AA49" i="27"/>
  <c r="AA53" i="27"/>
  <c r="Z49" i="27"/>
  <c r="Z53" i="27"/>
  <c r="AD48" i="27"/>
  <c r="AC48" i="27"/>
  <c r="AB48" i="27"/>
  <c r="AA48" i="27"/>
  <c r="Z48" i="27"/>
  <c r="M47" i="27"/>
  <c r="M50" i="27"/>
  <c r="L47" i="27"/>
  <c r="L50" i="27"/>
  <c r="K47" i="27"/>
  <c r="K50" i="27"/>
  <c r="J47" i="27"/>
  <c r="J50" i="27"/>
  <c r="I47" i="27"/>
  <c r="I50" i="27"/>
  <c r="H47" i="27"/>
  <c r="H50" i="27"/>
  <c r="H55" i="26"/>
  <c r="G47" i="27"/>
  <c r="G50" i="27"/>
  <c r="F47" i="27"/>
  <c r="F50" i="27"/>
  <c r="F55" i="26"/>
  <c r="E47" i="27"/>
  <c r="E50" i="27"/>
  <c r="D47" i="27"/>
  <c r="D50" i="27"/>
  <c r="C47" i="27"/>
  <c r="C50" i="27"/>
  <c r="B47" i="27"/>
  <c r="B50" i="27"/>
  <c r="M46" i="27"/>
  <c r="L46" i="27"/>
  <c r="K46" i="27"/>
  <c r="J46" i="27"/>
  <c r="I46" i="27"/>
  <c r="H46" i="27"/>
  <c r="G46" i="27"/>
  <c r="F46" i="27"/>
  <c r="E46" i="27"/>
  <c r="D46" i="27"/>
  <c r="C46" i="27"/>
  <c r="B46" i="27"/>
  <c r="B51" i="26"/>
  <c r="AG44" i="27"/>
  <c r="AG48" i="27"/>
  <c r="AF44" i="27"/>
  <c r="AF48" i="27"/>
  <c r="AE44" i="27"/>
  <c r="AE48" i="27"/>
  <c r="AG39" i="27"/>
  <c r="AF39" i="27"/>
  <c r="AE39" i="27"/>
  <c r="AD39" i="27"/>
  <c r="AC39" i="27"/>
  <c r="AB38" i="27"/>
  <c r="M32" i="27"/>
  <c r="M36" i="27"/>
  <c r="M37" i="27"/>
  <c r="L32" i="27"/>
  <c r="L36" i="27"/>
  <c r="L37" i="27"/>
  <c r="L43" i="26"/>
  <c r="K32" i="27"/>
  <c r="K36" i="27"/>
  <c r="J32" i="27"/>
  <c r="J36" i="27"/>
  <c r="I32" i="27"/>
  <c r="I36" i="27"/>
  <c r="H32" i="27"/>
  <c r="H36" i="27"/>
  <c r="G32" i="27"/>
  <c r="G36" i="27"/>
  <c r="F32" i="27"/>
  <c r="F36" i="27"/>
  <c r="E32" i="27"/>
  <c r="E36" i="27"/>
  <c r="D32" i="27"/>
  <c r="D36" i="27"/>
  <c r="C32" i="27"/>
  <c r="C36" i="27"/>
  <c r="B32" i="27"/>
  <c r="B36" i="27"/>
  <c r="AB31" i="27"/>
  <c r="AA31" i="27"/>
  <c r="AA39" i="27"/>
  <c r="Z31" i="27"/>
  <c r="Z39" i="27"/>
  <c r="K31" i="27"/>
  <c r="J31" i="27"/>
  <c r="I31" i="27"/>
  <c r="H31" i="27"/>
  <c r="G31" i="27"/>
  <c r="F31" i="27"/>
  <c r="E31" i="27"/>
  <c r="D31" i="27"/>
  <c r="C31" i="27"/>
  <c r="B31" i="27"/>
  <c r="AA25" i="27"/>
  <c r="M23" i="27"/>
  <c r="L23" i="27"/>
  <c r="K23" i="27"/>
  <c r="J23" i="27"/>
  <c r="I23" i="27"/>
  <c r="H23" i="27"/>
  <c r="G23" i="27"/>
  <c r="F23" i="27"/>
  <c r="E23" i="27"/>
  <c r="D23" i="27"/>
  <c r="C23" i="27"/>
  <c r="B23" i="27"/>
  <c r="M13" i="27"/>
  <c r="M14" i="27"/>
  <c r="L13" i="27"/>
  <c r="L14" i="27"/>
  <c r="K13" i="27"/>
  <c r="K14" i="27"/>
  <c r="J13" i="27"/>
  <c r="J14" i="27"/>
  <c r="I13" i="27"/>
  <c r="I14" i="27"/>
  <c r="H13" i="27"/>
  <c r="H14" i="27"/>
  <c r="G13" i="27"/>
  <c r="G14" i="27"/>
  <c r="F13" i="27"/>
  <c r="F14" i="27"/>
  <c r="E13" i="27"/>
  <c r="E14" i="27"/>
  <c r="D13" i="27"/>
  <c r="D14" i="27"/>
  <c r="C13" i="27"/>
  <c r="C14" i="27"/>
  <c r="B13" i="27"/>
  <c r="B14" i="27"/>
  <c r="AE12" i="27"/>
  <c r="AG11" i="27"/>
  <c r="AF11" i="27"/>
  <c r="AE11" i="27"/>
  <c r="AD11" i="27"/>
  <c r="AG10" i="27"/>
  <c r="AF10" i="27"/>
  <c r="AE10" i="27"/>
  <c r="AD10" i="27"/>
  <c r="AC10" i="27"/>
  <c r="AB10" i="27"/>
  <c r="AA10" i="27"/>
  <c r="Z10" i="27"/>
  <c r="AG9" i="27"/>
  <c r="AF9" i="27"/>
  <c r="AD9" i="27"/>
  <c r="AC9" i="27"/>
  <c r="AB9" i="27"/>
  <c r="AA9" i="27"/>
  <c r="Z9" i="27"/>
  <c r="AG7" i="27"/>
  <c r="AG8" i="27"/>
  <c r="AF7" i="27"/>
  <c r="AF8" i="27"/>
  <c r="AE7" i="27"/>
  <c r="AE8" i="27"/>
  <c r="AD7" i="27"/>
  <c r="AD8" i="27"/>
  <c r="AC7" i="27"/>
  <c r="AC8" i="27"/>
  <c r="AB7" i="27"/>
  <c r="AB8" i="27"/>
  <c r="AA7" i="27"/>
  <c r="AA8" i="27"/>
  <c r="Z7" i="27"/>
  <c r="Z8" i="27"/>
  <c r="O7" i="27"/>
  <c r="C7" i="27"/>
  <c r="B7" i="27"/>
  <c r="C5" i="27"/>
  <c r="C87" i="27"/>
  <c r="M84" i="26"/>
  <c r="L84" i="26"/>
  <c r="K84" i="26"/>
  <c r="J84" i="26"/>
  <c r="I84" i="26"/>
  <c r="H84" i="26"/>
  <c r="G84" i="26"/>
  <c r="F84" i="26"/>
  <c r="E84" i="26"/>
  <c r="D84" i="26"/>
  <c r="C84" i="26"/>
  <c r="B84" i="26"/>
  <c r="M83" i="26"/>
  <c r="L83" i="26"/>
  <c r="K83" i="26"/>
  <c r="J83" i="26"/>
  <c r="I83" i="26"/>
  <c r="H83" i="26"/>
  <c r="G83" i="26"/>
  <c r="F83" i="26"/>
  <c r="E83" i="26"/>
  <c r="D83" i="26"/>
  <c r="C83" i="26"/>
  <c r="M82" i="26"/>
  <c r="L82" i="26"/>
  <c r="K82" i="26"/>
  <c r="J82" i="26"/>
  <c r="I82" i="26"/>
  <c r="H82" i="26"/>
  <c r="G82" i="26"/>
  <c r="F82" i="26"/>
  <c r="E82" i="26"/>
  <c r="D82" i="26"/>
  <c r="C82" i="26"/>
  <c r="B82" i="26"/>
  <c r="M81" i="26"/>
  <c r="L81" i="26"/>
  <c r="K81" i="26"/>
  <c r="J81" i="26"/>
  <c r="I81" i="26"/>
  <c r="H81" i="26"/>
  <c r="G81" i="26"/>
  <c r="F81" i="26"/>
  <c r="E81" i="26"/>
  <c r="D81" i="26"/>
  <c r="C81" i="26"/>
  <c r="B81" i="26"/>
  <c r="M80" i="26"/>
  <c r="L80" i="26"/>
  <c r="K80" i="26"/>
  <c r="J80" i="26"/>
  <c r="I80" i="26"/>
  <c r="H80" i="26"/>
  <c r="G80" i="26"/>
  <c r="F80" i="26"/>
  <c r="E80" i="26"/>
  <c r="D80" i="26"/>
  <c r="C80" i="26"/>
  <c r="B80" i="26"/>
  <c r="M79" i="26"/>
  <c r="L79" i="26"/>
  <c r="K79" i="26"/>
  <c r="J79" i="26"/>
  <c r="I79" i="26"/>
  <c r="H79" i="26"/>
  <c r="G79" i="26"/>
  <c r="F79" i="26"/>
  <c r="E79" i="26"/>
  <c r="D79" i="26"/>
  <c r="C79" i="26"/>
  <c r="M78" i="26"/>
  <c r="L78" i="26"/>
  <c r="K78" i="26"/>
  <c r="J78" i="26"/>
  <c r="I78" i="26"/>
  <c r="H78" i="26"/>
  <c r="G78" i="26"/>
  <c r="F78" i="26"/>
  <c r="E78" i="26"/>
  <c r="D78" i="26"/>
  <c r="C78" i="26"/>
  <c r="M75" i="26"/>
  <c r="L75" i="26"/>
  <c r="K75" i="26"/>
  <c r="J75" i="26"/>
  <c r="I75" i="26"/>
  <c r="H75" i="26"/>
  <c r="G75" i="26"/>
  <c r="F75" i="26"/>
  <c r="E75" i="26"/>
  <c r="D75" i="26"/>
  <c r="C75" i="26"/>
  <c r="B75" i="26"/>
  <c r="M74" i="26"/>
  <c r="L74" i="26"/>
  <c r="K74" i="26"/>
  <c r="J74" i="26"/>
  <c r="I74" i="26"/>
  <c r="H74" i="26"/>
  <c r="G74" i="26"/>
  <c r="F74" i="26"/>
  <c r="E74" i="26"/>
  <c r="D74" i="26"/>
  <c r="C74" i="26"/>
  <c r="B74" i="26"/>
  <c r="M73" i="26"/>
  <c r="L73" i="26"/>
  <c r="K73" i="26"/>
  <c r="J73" i="26"/>
  <c r="I73" i="26"/>
  <c r="H73" i="26"/>
  <c r="G73" i="26"/>
  <c r="F73" i="26"/>
  <c r="E73" i="26"/>
  <c r="D73" i="26"/>
  <c r="C73" i="26"/>
  <c r="B73" i="26"/>
  <c r="M72" i="26"/>
  <c r="L72" i="26"/>
  <c r="K72" i="26"/>
  <c r="J72" i="26"/>
  <c r="I72" i="26"/>
  <c r="H72" i="26"/>
  <c r="G72" i="26"/>
  <c r="F72" i="26"/>
  <c r="C417" i="25"/>
  <c r="E72" i="26"/>
  <c r="D417" i="25"/>
  <c r="D72" i="26"/>
  <c r="E417" i="25"/>
  <c r="C72" i="26"/>
  <c r="F417" i="25"/>
  <c r="B72" i="26"/>
  <c r="G417" i="25"/>
  <c r="M71" i="26"/>
  <c r="L71" i="26"/>
  <c r="K71" i="26"/>
  <c r="J71" i="26"/>
  <c r="I71" i="26"/>
  <c r="H71" i="26"/>
  <c r="G71" i="26"/>
  <c r="F71" i="26"/>
  <c r="E71" i="26"/>
  <c r="D71" i="26"/>
  <c r="C71" i="26"/>
  <c r="B71" i="26"/>
  <c r="M70" i="26"/>
  <c r="L70" i="26"/>
  <c r="K70" i="26"/>
  <c r="J70" i="26"/>
  <c r="I70" i="26"/>
  <c r="H70" i="26"/>
  <c r="G70" i="26"/>
  <c r="F70" i="26"/>
  <c r="E70" i="26"/>
  <c r="D70" i="26"/>
  <c r="C70" i="26"/>
  <c r="B70" i="26"/>
  <c r="M69" i="26"/>
  <c r="L69" i="26"/>
  <c r="K69" i="26"/>
  <c r="J69" i="26"/>
  <c r="I69" i="26"/>
  <c r="H69" i="26"/>
  <c r="G69" i="26"/>
  <c r="F69" i="26"/>
  <c r="E69" i="26"/>
  <c r="D69" i="26"/>
  <c r="C69" i="26"/>
  <c r="B69" i="26"/>
  <c r="M68" i="26"/>
  <c r="L68" i="26"/>
  <c r="K68" i="26"/>
  <c r="J68" i="26"/>
  <c r="I68" i="26"/>
  <c r="H68" i="26"/>
  <c r="G68" i="26"/>
  <c r="F68" i="26"/>
  <c r="E68" i="26"/>
  <c r="D68" i="26"/>
  <c r="C68" i="26"/>
  <c r="B68" i="26"/>
  <c r="M67" i="26"/>
  <c r="L67" i="26"/>
  <c r="K67" i="26"/>
  <c r="J67" i="26"/>
  <c r="I67" i="26"/>
  <c r="H67" i="26"/>
  <c r="G67" i="26"/>
  <c r="F67" i="26"/>
  <c r="E67" i="26"/>
  <c r="D67" i="26"/>
  <c r="C67" i="26"/>
  <c r="B67" i="26"/>
  <c r="M64" i="26"/>
  <c r="J64" i="26"/>
  <c r="I64" i="26"/>
  <c r="H64" i="26"/>
  <c r="G64" i="26"/>
  <c r="F64" i="26"/>
  <c r="E64" i="26"/>
  <c r="D64" i="26"/>
  <c r="C64" i="26"/>
  <c r="B64" i="26"/>
  <c r="M62" i="26"/>
  <c r="L62" i="26"/>
  <c r="K62" i="26"/>
  <c r="J62" i="26"/>
  <c r="I62" i="26"/>
  <c r="H62" i="26"/>
  <c r="G62" i="26"/>
  <c r="F62" i="26"/>
  <c r="E62" i="26"/>
  <c r="D62" i="26"/>
  <c r="C62" i="26"/>
  <c r="B62" i="26"/>
  <c r="M56" i="26"/>
  <c r="L56" i="26"/>
  <c r="K56" i="26"/>
  <c r="J56" i="26"/>
  <c r="I56" i="26"/>
  <c r="H56" i="26"/>
  <c r="G56" i="26"/>
  <c r="F56" i="26"/>
  <c r="E56" i="26"/>
  <c r="D56" i="26"/>
  <c r="C56" i="26"/>
  <c r="B56" i="26"/>
  <c r="M55" i="26"/>
  <c r="L55" i="26"/>
  <c r="K55" i="26"/>
  <c r="J55" i="26"/>
  <c r="I55" i="26"/>
  <c r="G55" i="26"/>
  <c r="E55" i="26"/>
  <c r="D55" i="26"/>
  <c r="C55" i="26"/>
  <c r="B55" i="26"/>
  <c r="M54" i="26"/>
  <c r="L54" i="26"/>
  <c r="K54" i="26"/>
  <c r="J54" i="26"/>
  <c r="I54" i="26"/>
  <c r="H54" i="26"/>
  <c r="G54" i="26"/>
  <c r="F54" i="26"/>
  <c r="E54" i="26"/>
  <c r="D54" i="26"/>
  <c r="C54" i="26"/>
  <c r="B54" i="26"/>
  <c r="M53" i="26"/>
  <c r="L53" i="26"/>
  <c r="K53" i="26"/>
  <c r="J53" i="26"/>
  <c r="I53" i="26"/>
  <c r="H53" i="26"/>
  <c r="G53" i="26"/>
  <c r="F53" i="26"/>
  <c r="E53" i="26"/>
  <c r="D53" i="26"/>
  <c r="C53" i="26"/>
  <c r="B53" i="26"/>
  <c r="M52" i="26"/>
  <c r="L52" i="26"/>
  <c r="K52" i="26"/>
  <c r="J52" i="26"/>
  <c r="I52" i="26"/>
  <c r="H52" i="26"/>
  <c r="G52" i="26"/>
  <c r="E52" i="26"/>
  <c r="D52" i="26"/>
  <c r="C52" i="26"/>
  <c r="B52" i="26"/>
  <c r="M51" i="26"/>
  <c r="L51" i="26"/>
  <c r="K51" i="26"/>
  <c r="J51" i="26"/>
  <c r="I51" i="26"/>
  <c r="H51" i="26"/>
  <c r="G51" i="26"/>
  <c r="F51" i="26"/>
  <c r="E51" i="26"/>
  <c r="D51" i="26"/>
  <c r="C51" i="26"/>
  <c r="M50" i="26"/>
  <c r="L50" i="26"/>
  <c r="K50" i="26"/>
  <c r="J50" i="26"/>
  <c r="I50" i="26"/>
  <c r="H50" i="26"/>
  <c r="G50" i="26"/>
  <c r="F50" i="26"/>
  <c r="E50" i="26"/>
  <c r="D50" i="26"/>
  <c r="C50" i="26"/>
  <c r="B50" i="26"/>
  <c r="M49" i="26"/>
  <c r="L49" i="26"/>
  <c r="K49" i="26"/>
  <c r="J49" i="26"/>
  <c r="I49" i="26"/>
  <c r="H49" i="26"/>
  <c r="G49" i="26"/>
  <c r="F49" i="26"/>
  <c r="E49" i="26"/>
  <c r="D49" i="26"/>
  <c r="C49" i="26"/>
  <c r="B49" i="26"/>
  <c r="M48" i="26"/>
  <c r="L48" i="26"/>
  <c r="K48" i="26"/>
  <c r="J48" i="26"/>
  <c r="I48" i="26"/>
  <c r="H48" i="26"/>
  <c r="G48" i="26"/>
  <c r="F48" i="26"/>
  <c r="E48" i="26"/>
  <c r="D48" i="26"/>
  <c r="C48" i="26"/>
  <c r="B48" i="26"/>
  <c r="M44" i="26"/>
  <c r="L44" i="26"/>
  <c r="K44" i="26"/>
  <c r="J44" i="26"/>
  <c r="I44" i="26"/>
  <c r="H44" i="26"/>
  <c r="G44" i="26"/>
  <c r="F44" i="26"/>
  <c r="E44" i="26"/>
  <c r="D44" i="26"/>
  <c r="C44" i="26"/>
  <c r="B44" i="26"/>
  <c r="M43" i="26"/>
  <c r="M42" i="26"/>
  <c r="L42" i="26"/>
  <c r="K42" i="26"/>
  <c r="J42" i="26"/>
  <c r="I42" i="26"/>
  <c r="H42" i="26"/>
  <c r="G42" i="26"/>
  <c r="F42" i="26"/>
  <c r="E42" i="26"/>
  <c r="D42" i="26"/>
  <c r="C42" i="26"/>
  <c r="B42" i="26"/>
  <c r="M40" i="26"/>
  <c r="L40" i="26"/>
  <c r="K40" i="26"/>
  <c r="J40" i="26"/>
  <c r="I40" i="26"/>
  <c r="H40" i="26"/>
  <c r="G40" i="26"/>
  <c r="F40" i="26"/>
  <c r="E40" i="26"/>
  <c r="D40" i="26"/>
  <c r="C40" i="26"/>
  <c r="B40" i="26"/>
  <c r="M39" i="26"/>
  <c r="M26" i="26"/>
  <c r="L39" i="26"/>
  <c r="K39" i="26"/>
  <c r="J39" i="26"/>
  <c r="I39" i="26"/>
  <c r="H39" i="26"/>
  <c r="G39" i="26"/>
  <c r="F39" i="26"/>
  <c r="E39" i="26"/>
  <c r="D39" i="26"/>
  <c r="C39" i="26"/>
  <c r="B39" i="26"/>
  <c r="M33" i="26"/>
  <c r="L33" i="26"/>
  <c r="K33" i="26"/>
  <c r="K34" i="26"/>
  <c r="J33" i="26"/>
  <c r="I33" i="26"/>
  <c r="H33" i="26"/>
  <c r="G33" i="26"/>
  <c r="F33" i="26"/>
  <c r="E33" i="26"/>
  <c r="D33" i="26"/>
  <c r="C33" i="26"/>
  <c r="E24" i="24"/>
  <c r="B33" i="26"/>
  <c r="F24" i="24"/>
  <c r="M32" i="26"/>
  <c r="L32" i="26"/>
  <c r="K32" i="26"/>
  <c r="J32" i="26"/>
  <c r="I32" i="26"/>
  <c r="H32" i="26"/>
  <c r="G32" i="26"/>
  <c r="F32" i="26"/>
  <c r="E32" i="26"/>
  <c r="D32" i="26"/>
  <c r="D23" i="24"/>
  <c r="C32" i="26"/>
  <c r="E23" i="24"/>
  <c r="B32" i="26"/>
  <c r="F23" i="24"/>
  <c r="M28" i="26"/>
  <c r="L28" i="26"/>
  <c r="K28" i="26"/>
  <c r="J28" i="26"/>
  <c r="I28" i="26"/>
  <c r="H28" i="26"/>
  <c r="G28" i="26"/>
  <c r="F28" i="26"/>
  <c r="E28" i="26"/>
  <c r="D28" i="26"/>
  <c r="D29" i="24"/>
  <c r="C28" i="26"/>
  <c r="E29" i="24"/>
  <c r="E35" i="24"/>
  <c r="B28" i="26"/>
  <c r="F29" i="24"/>
  <c r="M27" i="26"/>
  <c r="L27" i="26"/>
  <c r="K27" i="26"/>
  <c r="J27" i="26"/>
  <c r="I27" i="26"/>
  <c r="H27" i="26"/>
  <c r="G27" i="26"/>
  <c r="F27" i="26"/>
  <c r="E27" i="26"/>
  <c r="D27" i="26"/>
  <c r="D30" i="24"/>
  <c r="C27" i="26"/>
  <c r="E30" i="24"/>
  <c r="B27" i="26"/>
  <c r="M23" i="26"/>
  <c r="L23" i="26"/>
  <c r="K23" i="26"/>
  <c r="J23" i="26"/>
  <c r="I23" i="26"/>
  <c r="H23" i="26"/>
  <c r="G23" i="26"/>
  <c r="F23" i="26"/>
  <c r="E23" i="26"/>
  <c r="D23" i="26"/>
  <c r="D17" i="24"/>
  <c r="C23" i="26"/>
  <c r="E17" i="24"/>
  <c r="B23" i="26"/>
  <c r="G426" i="25"/>
  <c r="C34" i="25"/>
  <c r="M21" i="26"/>
  <c r="L21" i="26"/>
  <c r="K21" i="26"/>
  <c r="J21" i="26"/>
  <c r="I21" i="26"/>
  <c r="H21" i="26"/>
  <c r="G21" i="26"/>
  <c r="F21" i="26"/>
  <c r="E21" i="26"/>
  <c r="D21" i="26"/>
  <c r="D16" i="24"/>
  <c r="C21" i="26"/>
  <c r="E16" i="24"/>
  <c r="B21" i="26"/>
  <c r="F16" i="24"/>
  <c r="M18" i="26"/>
  <c r="M17" i="26"/>
  <c r="L17" i="26"/>
  <c r="K17" i="26"/>
  <c r="J17" i="26"/>
  <c r="I17" i="26"/>
  <c r="H17" i="26"/>
  <c r="G17" i="26"/>
  <c r="F17" i="26"/>
  <c r="E17" i="26"/>
  <c r="D17" i="26"/>
  <c r="C17" i="26"/>
  <c r="B17" i="26"/>
  <c r="M15" i="26"/>
  <c r="L15" i="26"/>
  <c r="K15" i="26"/>
  <c r="J15" i="26"/>
  <c r="I15" i="26"/>
  <c r="H15" i="26"/>
  <c r="G15" i="26"/>
  <c r="F15" i="26"/>
  <c r="E15" i="26"/>
  <c r="D15" i="26"/>
  <c r="D14" i="24"/>
  <c r="C15" i="26"/>
  <c r="E14" i="24"/>
  <c r="B15" i="26"/>
  <c r="F14" i="24"/>
  <c r="M14" i="26"/>
  <c r="L14" i="26"/>
  <c r="K14" i="26"/>
  <c r="J14" i="26"/>
  <c r="I14" i="26"/>
  <c r="H14" i="26"/>
  <c r="G14" i="26"/>
  <c r="F14" i="26"/>
  <c r="E14" i="26"/>
  <c r="D14" i="26"/>
  <c r="D13" i="24"/>
  <c r="C14" i="26"/>
  <c r="E13" i="24"/>
  <c r="B14" i="26"/>
  <c r="F13" i="24"/>
  <c r="M11" i="26"/>
  <c r="L11" i="26"/>
  <c r="K11" i="26"/>
  <c r="J11" i="26"/>
  <c r="I11" i="26"/>
  <c r="H11" i="26"/>
  <c r="G11" i="26"/>
  <c r="F11" i="26"/>
  <c r="E11" i="26"/>
  <c r="D11" i="26"/>
  <c r="D8" i="24"/>
  <c r="D12" i="24"/>
  <c r="C11" i="26"/>
  <c r="E8" i="24"/>
  <c r="E12" i="24"/>
  <c r="B11" i="26"/>
  <c r="F8" i="24"/>
  <c r="F12" i="24"/>
  <c r="M7" i="26"/>
  <c r="L7" i="26"/>
  <c r="K7" i="26"/>
  <c r="J7" i="26"/>
  <c r="I7" i="26"/>
  <c r="H7" i="26"/>
  <c r="G7" i="26"/>
  <c r="F7" i="26"/>
  <c r="E7" i="26"/>
  <c r="D7" i="26"/>
  <c r="C7" i="26"/>
  <c r="B7" i="26"/>
  <c r="M5" i="26"/>
  <c r="L5" i="26"/>
  <c r="K5" i="26"/>
  <c r="J5" i="26"/>
  <c r="I5" i="26"/>
  <c r="H5" i="26"/>
  <c r="G5" i="26"/>
  <c r="F5" i="26"/>
  <c r="E5" i="26"/>
  <c r="D5" i="26"/>
  <c r="C5" i="26"/>
  <c r="B5" i="26"/>
  <c r="B4" i="26"/>
  <c r="B91" i="26"/>
  <c r="A2" i="26"/>
  <c r="A1" i="26"/>
  <c r="D412" i="25"/>
  <c r="G410" i="25"/>
  <c r="G409" i="25"/>
  <c r="G408" i="25"/>
  <c r="G407" i="25"/>
  <c r="G406" i="25"/>
  <c r="G405" i="25"/>
  <c r="G404" i="25"/>
  <c r="G403" i="25"/>
  <c r="G402" i="25"/>
  <c r="G401" i="25"/>
  <c r="G400" i="25"/>
  <c r="G399" i="25"/>
  <c r="G398" i="25"/>
  <c r="G397" i="25"/>
  <c r="G396" i="25"/>
  <c r="G395" i="25"/>
  <c r="G394" i="25"/>
  <c r="G393" i="25"/>
  <c r="G392" i="25"/>
  <c r="G391" i="25"/>
  <c r="G390" i="25"/>
  <c r="G389" i="25"/>
  <c r="G388" i="25"/>
  <c r="G387" i="25"/>
  <c r="G386" i="25"/>
  <c r="G385" i="25"/>
  <c r="G384" i="25"/>
  <c r="G383" i="25"/>
  <c r="G382" i="25"/>
  <c r="G373" i="25"/>
  <c r="F373" i="25"/>
  <c r="E373" i="25"/>
  <c r="D373" i="25"/>
  <c r="C373" i="25"/>
  <c r="D366" i="25"/>
  <c r="D365" i="25"/>
  <c r="D368" i="25"/>
  <c r="G364" i="25"/>
  <c r="F364" i="25"/>
  <c r="E364" i="25"/>
  <c r="D364" i="25"/>
  <c r="C364" i="25"/>
  <c r="C351" i="25"/>
  <c r="C349" i="25"/>
  <c r="F50" i="24"/>
  <c r="J40" i="28"/>
  <c r="G338" i="25"/>
  <c r="F338" i="25"/>
  <c r="E338" i="25"/>
  <c r="D338" i="25"/>
  <c r="C338" i="25"/>
  <c r="G334" i="25"/>
  <c r="F334" i="25"/>
  <c r="E334" i="25"/>
  <c r="D334" i="25"/>
  <c r="C334" i="25"/>
  <c r="G333" i="25"/>
  <c r="F333" i="25"/>
  <c r="E333" i="25"/>
  <c r="D333" i="25"/>
  <c r="C333" i="25"/>
  <c r="G330" i="25"/>
  <c r="F330" i="25"/>
  <c r="E330" i="25"/>
  <c r="D330" i="25"/>
  <c r="C330" i="25"/>
  <c r="D329" i="25"/>
  <c r="F23" i="25"/>
  <c r="C327" i="25"/>
  <c r="D326" i="25"/>
  <c r="F22" i="25"/>
  <c r="C326" i="25"/>
  <c r="G325" i="25"/>
  <c r="G326" i="25"/>
  <c r="C22" i="25"/>
  <c r="F325" i="25"/>
  <c r="F326" i="25"/>
  <c r="D22" i="25"/>
  <c r="E325" i="25"/>
  <c r="E326" i="25"/>
  <c r="E22" i="25"/>
  <c r="G318" i="25"/>
  <c r="G374" i="25"/>
  <c r="C32" i="25"/>
  <c r="F318" i="25"/>
  <c r="F374" i="25"/>
  <c r="D32" i="25"/>
  <c r="E318" i="25"/>
  <c r="E374" i="25"/>
  <c r="E32" i="25"/>
  <c r="D318" i="25"/>
  <c r="D374" i="25"/>
  <c r="F32" i="25"/>
  <c r="G317" i="25"/>
  <c r="F317" i="25"/>
  <c r="E317" i="25"/>
  <c r="D317" i="25"/>
  <c r="C317" i="25"/>
  <c r="S304" i="25"/>
  <c r="R304" i="25"/>
  <c r="Q304" i="25"/>
  <c r="C318" i="25"/>
  <c r="C374" i="25"/>
  <c r="G32" i="25"/>
  <c r="S303" i="25"/>
  <c r="R303" i="25"/>
  <c r="Q303" i="25"/>
  <c r="S302" i="25"/>
  <c r="R302" i="25"/>
  <c r="Q302" i="25"/>
  <c r="S301" i="25"/>
  <c r="R301" i="25"/>
  <c r="Q301" i="25"/>
  <c r="S300" i="25"/>
  <c r="R300" i="25"/>
  <c r="Q300" i="25"/>
  <c r="S299" i="25"/>
  <c r="R299" i="25"/>
  <c r="Q299" i="25"/>
  <c r="S298" i="25"/>
  <c r="R298" i="25"/>
  <c r="Q298" i="25"/>
  <c r="E296" i="25"/>
  <c r="F296" i="25"/>
  <c r="G296" i="25"/>
  <c r="H296" i="25"/>
  <c r="I296" i="25"/>
  <c r="J296" i="25"/>
  <c r="K296" i="25"/>
  <c r="L296" i="25"/>
  <c r="M296" i="25"/>
  <c r="N296" i="25"/>
  <c r="E275" i="25"/>
  <c r="F275" i="25"/>
  <c r="G275" i="25"/>
  <c r="H275" i="25"/>
  <c r="I275" i="25"/>
  <c r="J275" i="25"/>
  <c r="K275" i="25"/>
  <c r="L275" i="25"/>
  <c r="M275" i="25"/>
  <c r="N275" i="25"/>
  <c r="D258" i="25"/>
  <c r="D257" i="25"/>
  <c r="D298" i="25"/>
  <c r="E255" i="25"/>
  <c r="F255" i="25"/>
  <c r="G255" i="25"/>
  <c r="H255" i="25"/>
  <c r="I255" i="25"/>
  <c r="J255" i="25"/>
  <c r="K255" i="25"/>
  <c r="L255" i="25"/>
  <c r="M255" i="25"/>
  <c r="N255" i="25"/>
  <c r="P240" i="25"/>
  <c r="O240" i="25"/>
  <c r="N240" i="25"/>
  <c r="M240" i="25"/>
  <c r="P239" i="25"/>
  <c r="O239" i="25"/>
  <c r="N239" i="25"/>
  <c r="M239" i="25"/>
  <c r="L239" i="25"/>
  <c r="P238" i="25"/>
  <c r="O238" i="25"/>
  <c r="N238" i="25"/>
  <c r="M238" i="25"/>
  <c r="L238" i="25"/>
  <c r="P237" i="25"/>
  <c r="O237" i="25"/>
  <c r="N237" i="25"/>
  <c r="M237" i="25"/>
  <c r="L237" i="25"/>
  <c r="P236" i="25"/>
  <c r="O236" i="25"/>
  <c r="N236" i="25"/>
  <c r="M236" i="25"/>
  <c r="L236" i="25"/>
  <c r="P235" i="25"/>
  <c r="O235" i="25"/>
  <c r="N235" i="25"/>
  <c r="M235" i="25"/>
  <c r="L235" i="25"/>
  <c r="P234" i="25"/>
  <c r="O234" i="25"/>
  <c r="N234" i="25"/>
  <c r="M234" i="25"/>
  <c r="L234" i="25"/>
  <c r="P233" i="25"/>
  <c r="O233" i="25"/>
  <c r="N233" i="25"/>
  <c r="M233" i="25"/>
  <c r="L233" i="25"/>
  <c r="P232" i="25"/>
  <c r="O232" i="25"/>
  <c r="N232" i="25"/>
  <c r="M232" i="25"/>
  <c r="L232" i="25"/>
  <c r="P231" i="25"/>
  <c r="O231" i="25"/>
  <c r="N231" i="25"/>
  <c r="M231" i="25"/>
  <c r="L231" i="25"/>
  <c r="P230" i="25"/>
  <c r="O230" i="25"/>
  <c r="N230" i="25"/>
  <c r="M230" i="25"/>
  <c r="L230" i="25"/>
  <c r="P229" i="25"/>
  <c r="O229" i="25"/>
  <c r="N229" i="25"/>
  <c r="M229" i="25"/>
  <c r="L229" i="25"/>
  <c r="P228" i="25"/>
  <c r="O228" i="25"/>
  <c r="N228" i="25"/>
  <c r="M228" i="25"/>
  <c r="L228" i="25"/>
  <c r="P227" i="25"/>
  <c r="O227" i="25"/>
  <c r="N227" i="25"/>
  <c r="M227" i="25"/>
  <c r="L227" i="25"/>
  <c r="P226" i="25"/>
  <c r="O226" i="25"/>
  <c r="N226" i="25"/>
  <c r="M226" i="25"/>
  <c r="L226" i="25"/>
  <c r="P225" i="25"/>
  <c r="O225" i="25"/>
  <c r="N225" i="25"/>
  <c r="M225" i="25"/>
  <c r="L225" i="25"/>
  <c r="P224" i="25"/>
  <c r="O224" i="25"/>
  <c r="N224" i="25"/>
  <c r="M224" i="25"/>
  <c r="L224" i="25"/>
  <c r="P223" i="25"/>
  <c r="O223" i="25"/>
  <c r="N223" i="25"/>
  <c r="M223" i="25"/>
  <c r="L223" i="25"/>
  <c r="P222" i="25"/>
  <c r="O222" i="25"/>
  <c r="N222" i="25"/>
  <c r="M222" i="25"/>
  <c r="L222" i="25"/>
  <c r="P221" i="25"/>
  <c r="O221" i="25"/>
  <c r="N221" i="25"/>
  <c r="M221" i="25"/>
  <c r="L221" i="25"/>
  <c r="P220" i="25"/>
  <c r="O220" i="25"/>
  <c r="N220" i="25"/>
  <c r="M220" i="25"/>
  <c r="L220" i="25"/>
  <c r="P219" i="25"/>
  <c r="O219" i="25"/>
  <c r="N219" i="25"/>
  <c r="M219" i="25"/>
  <c r="L219" i="25"/>
  <c r="P218" i="25"/>
  <c r="O218" i="25"/>
  <c r="N218" i="25"/>
  <c r="M218" i="25"/>
  <c r="L218" i="25"/>
  <c r="P217" i="25"/>
  <c r="O217" i="25"/>
  <c r="N217" i="25"/>
  <c r="M217" i="25"/>
  <c r="L217" i="25"/>
  <c r="P216" i="25"/>
  <c r="O216" i="25"/>
  <c r="N216" i="25"/>
  <c r="M216" i="25"/>
  <c r="L216" i="25"/>
  <c r="P215" i="25"/>
  <c r="O215" i="25"/>
  <c r="N215" i="25"/>
  <c r="M215" i="25"/>
  <c r="L215" i="25"/>
  <c r="P214" i="25"/>
  <c r="O214" i="25"/>
  <c r="N214" i="25"/>
  <c r="M214" i="25"/>
  <c r="L214" i="25"/>
  <c r="P213" i="25"/>
  <c r="O213" i="25"/>
  <c r="N213" i="25"/>
  <c r="M213" i="25"/>
  <c r="L213" i="25"/>
  <c r="P212" i="25"/>
  <c r="O212" i="25"/>
  <c r="N212" i="25"/>
  <c r="M212" i="25"/>
  <c r="L212" i="25"/>
  <c r="P211" i="25"/>
  <c r="O211" i="25"/>
  <c r="N211" i="25"/>
  <c r="M211" i="25"/>
  <c r="L211" i="25"/>
  <c r="P210" i="25"/>
  <c r="O210" i="25"/>
  <c r="N210" i="25"/>
  <c r="M210" i="25"/>
  <c r="L210" i="25"/>
  <c r="P209" i="25"/>
  <c r="O209" i="25"/>
  <c r="N209" i="25"/>
  <c r="M209" i="25"/>
  <c r="L209" i="25"/>
  <c r="P208" i="25"/>
  <c r="O208" i="25"/>
  <c r="N208" i="25"/>
  <c r="M208" i="25"/>
  <c r="L208" i="25"/>
  <c r="P207" i="25"/>
  <c r="O207" i="25"/>
  <c r="N207" i="25"/>
  <c r="M207" i="25"/>
  <c r="L207" i="25"/>
  <c r="O206" i="25"/>
  <c r="N206" i="25"/>
  <c r="M206" i="25"/>
  <c r="L206" i="25"/>
  <c r="O205" i="25"/>
  <c r="N205" i="25"/>
  <c r="M205" i="25"/>
  <c r="O204" i="25"/>
  <c r="N204" i="25"/>
  <c r="M204" i="25"/>
  <c r="L204" i="25"/>
  <c r="O203" i="25"/>
  <c r="N203" i="25"/>
  <c r="M203" i="25"/>
  <c r="L203" i="25"/>
  <c r="O202" i="25"/>
  <c r="N202" i="25"/>
  <c r="M202" i="25"/>
  <c r="L202" i="25"/>
  <c r="N201" i="25"/>
  <c r="M201" i="25"/>
  <c r="L201" i="25"/>
  <c r="N200" i="25"/>
  <c r="L200" i="25"/>
  <c r="N199" i="25"/>
  <c r="M199" i="25"/>
  <c r="E190" i="25"/>
  <c r="C190" i="25"/>
  <c r="E189" i="25"/>
  <c r="C189" i="25"/>
  <c r="E188" i="25"/>
  <c r="C188" i="25"/>
  <c r="E187" i="25"/>
  <c r="C187" i="25"/>
  <c r="E186" i="25"/>
  <c r="C186" i="25"/>
  <c r="E185" i="25"/>
  <c r="C185" i="25"/>
  <c r="E184" i="25"/>
  <c r="C184" i="25"/>
  <c r="E183" i="25"/>
  <c r="C183" i="25"/>
  <c r="E182" i="25"/>
  <c r="C182" i="25"/>
  <c r="E181" i="25"/>
  <c r="C181" i="25"/>
  <c r="E180" i="25"/>
  <c r="C180" i="25"/>
  <c r="E179" i="25"/>
  <c r="C179" i="25"/>
  <c r="E178" i="25"/>
  <c r="C178" i="25"/>
  <c r="E177" i="25"/>
  <c r="C177" i="25"/>
  <c r="E176" i="25"/>
  <c r="C176" i="25"/>
  <c r="E175" i="25"/>
  <c r="C175" i="25"/>
  <c r="E174" i="25"/>
  <c r="C174" i="25"/>
  <c r="E173" i="25"/>
  <c r="C173" i="25"/>
  <c r="E172" i="25"/>
  <c r="C172" i="25"/>
  <c r="E171" i="25"/>
  <c r="C171" i="25"/>
  <c r="E170" i="25"/>
  <c r="C170" i="25"/>
  <c r="E169" i="25"/>
  <c r="C169" i="25"/>
  <c r="E168" i="25"/>
  <c r="C168" i="25"/>
  <c r="E167" i="25"/>
  <c r="C167" i="25"/>
  <c r="E166" i="25"/>
  <c r="C166" i="25"/>
  <c r="E165" i="25"/>
  <c r="C165" i="25"/>
  <c r="E164" i="25"/>
  <c r="C164" i="25"/>
  <c r="E163" i="25"/>
  <c r="C163" i="25"/>
  <c r="E162" i="25"/>
  <c r="C162" i="25"/>
  <c r="E161" i="25"/>
  <c r="C161" i="25"/>
  <c r="E160" i="25"/>
  <c r="C160" i="25"/>
  <c r="E159" i="25"/>
  <c r="C159" i="25"/>
  <c r="E158" i="25"/>
  <c r="C158" i="25"/>
  <c r="E157" i="25"/>
  <c r="C157" i="25"/>
  <c r="E156" i="25"/>
  <c r="C156" i="25"/>
  <c r="E155" i="25"/>
  <c r="C155" i="25"/>
  <c r="E154" i="25"/>
  <c r="C154" i="25"/>
  <c r="E153" i="25"/>
  <c r="C153" i="25"/>
  <c r="E152" i="25"/>
  <c r="C152" i="25"/>
  <c r="E151" i="25"/>
  <c r="C151" i="25"/>
  <c r="E150" i="25"/>
  <c r="C150" i="25"/>
  <c r="E149" i="25"/>
  <c r="C149" i="25"/>
  <c r="E148" i="25"/>
  <c r="C148" i="25"/>
  <c r="E147" i="25"/>
  <c r="C147" i="25"/>
  <c r="E146" i="25"/>
  <c r="C146" i="25"/>
  <c r="E145" i="25"/>
  <c r="C145" i="25"/>
  <c r="Y118" i="25"/>
  <c r="T118" i="25"/>
  <c r="Y117" i="25"/>
  <c r="T117" i="25"/>
  <c r="Y116" i="25"/>
  <c r="T116" i="25"/>
  <c r="Y115" i="25"/>
  <c r="T115" i="25"/>
  <c r="Y114" i="25"/>
  <c r="T114" i="25"/>
  <c r="Y113" i="25"/>
  <c r="T113" i="25"/>
  <c r="Y112" i="25"/>
  <c r="T112" i="25"/>
  <c r="Y111" i="25"/>
  <c r="T111" i="25"/>
  <c r="Y110" i="25"/>
  <c r="T110" i="25"/>
  <c r="Y109" i="25"/>
  <c r="T109" i="25"/>
  <c r="AA108" i="25" a="1"/>
  <c r="AA108" i="25"/>
  <c r="Z108" i="25" a="1"/>
  <c r="Z108" i="25"/>
  <c r="Y108" i="25"/>
  <c r="T108" i="25"/>
  <c r="D101" i="25"/>
  <c r="AJ100" i="25"/>
  <c r="AU101" i="25"/>
  <c r="AE100" i="25"/>
  <c r="D100" i="25"/>
  <c r="AJ99" i="25"/>
  <c r="AU100" i="25"/>
  <c r="AE99" i="25"/>
  <c r="D99" i="25"/>
  <c r="AJ98" i="25"/>
  <c r="AE98" i="25"/>
  <c r="H98" i="25"/>
  <c r="F98" i="25"/>
  <c r="D98" i="25"/>
  <c r="AJ97" i="25"/>
  <c r="AE97" i="25"/>
  <c r="H97" i="25"/>
  <c r="D97" i="25"/>
  <c r="AJ96" i="25"/>
  <c r="AU97" i="25"/>
  <c r="AE96" i="25"/>
  <c r="H96" i="25"/>
  <c r="D96" i="25"/>
  <c r="AJ95" i="25"/>
  <c r="AE95" i="25"/>
  <c r="H95" i="25"/>
  <c r="D95" i="25"/>
  <c r="AJ94" i="25"/>
  <c r="AE94" i="25"/>
  <c r="H94" i="25"/>
  <c r="F94" i="25"/>
  <c r="D94" i="25"/>
  <c r="AJ93" i="25"/>
  <c r="AU94" i="25"/>
  <c r="AE93" i="25"/>
  <c r="H93" i="25"/>
  <c r="D93" i="25"/>
  <c r="AJ92" i="25"/>
  <c r="AE92" i="25"/>
  <c r="H92" i="25"/>
  <c r="D92" i="25"/>
  <c r="AJ91" i="25"/>
  <c r="AU92" i="25"/>
  <c r="AE91" i="25"/>
  <c r="H91" i="25"/>
  <c r="D91" i="25"/>
  <c r="AJ90" i="25"/>
  <c r="AU91" i="25"/>
  <c r="AE90" i="25"/>
  <c r="H90" i="25"/>
  <c r="F90" i="25"/>
  <c r="D90" i="25"/>
  <c r="AJ89" i="25"/>
  <c r="AE89" i="25"/>
  <c r="H89" i="25"/>
  <c r="D89" i="25"/>
  <c r="AJ88" i="25"/>
  <c r="AU89" i="25"/>
  <c r="AE88" i="25"/>
  <c r="H88" i="25"/>
  <c r="D88" i="25"/>
  <c r="AJ87" i="25"/>
  <c r="AU88" i="25"/>
  <c r="AE87" i="25"/>
  <c r="H87" i="25"/>
  <c r="D87" i="25"/>
  <c r="AJ86" i="25"/>
  <c r="AU87" i="25"/>
  <c r="AE86" i="25"/>
  <c r="H86" i="25"/>
  <c r="F86" i="25"/>
  <c r="D86" i="25"/>
  <c r="AJ85" i="25"/>
  <c r="AE85" i="25"/>
  <c r="H85" i="25"/>
  <c r="D85" i="25"/>
  <c r="AJ84" i="25"/>
  <c r="AU85" i="25"/>
  <c r="AE84" i="25"/>
  <c r="H84" i="25"/>
  <c r="D84" i="25"/>
  <c r="AJ83" i="25"/>
  <c r="AU84" i="25"/>
  <c r="AE83" i="25"/>
  <c r="H83" i="25"/>
  <c r="D83" i="25"/>
  <c r="AJ82" i="25"/>
  <c r="AU83" i="25"/>
  <c r="AE82" i="25"/>
  <c r="H82" i="25"/>
  <c r="F82" i="25"/>
  <c r="D82" i="25"/>
  <c r="AJ81" i="25"/>
  <c r="AU82" i="25"/>
  <c r="AE81" i="25"/>
  <c r="H81" i="25"/>
  <c r="D81" i="25"/>
  <c r="AJ80" i="25"/>
  <c r="AE80" i="25"/>
  <c r="H80" i="25"/>
  <c r="D80" i="25"/>
  <c r="AJ79" i="25"/>
  <c r="AE79" i="25"/>
  <c r="H79" i="25"/>
  <c r="D79" i="25"/>
  <c r="AJ78" i="25"/>
  <c r="AU79" i="25"/>
  <c r="AE78" i="25"/>
  <c r="H78" i="25"/>
  <c r="F78" i="25"/>
  <c r="D78" i="25"/>
  <c r="AJ77" i="25"/>
  <c r="AU78" i="25"/>
  <c r="AE77" i="25"/>
  <c r="H77" i="25"/>
  <c r="D77" i="25"/>
  <c r="AJ76" i="25"/>
  <c r="AE76" i="25"/>
  <c r="H76" i="25"/>
  <c r="D76" i="25"/>
  <c r="AJ75" i="25"/>
  <c r="AE75" i="25"/>
  <c r="H75" i="25"/>
  <c r="D75" i="25"/>
  <c r="AJ74" i="25"/>
  <c r="AU75" i="25"/>
  <c r="AE74" i="25"/>
  <c r="H74" i="25"/>
  <c r="F74" i="25"/>
  <c r="D74" i="25"/>
  <c r="AJ73" i="25"/>
  <c r="AU74" i="25"/>
  <c r="AE73" i="25"/>
  <c r="H73" i="25"/>
  <c r="D73" i="25"/>
  <c r="AJ72" i="25"/>
  <c r="AE72" i="25"/>
  <c r="H72" i="25"/>
  <c r="D72" i="25"/>
  <c r="AJ71" i="25"/>
  <c r="AE71" i="25"/>
  <c r="H71" i="25"/>
  <c r="D71" i="25"/>
  <c r="AJ70" i="25"/>
  <c r="AU71" i="25"/>
  <c r="AE70" i="25"/>
  <c r="H70" i="25"/>
  <c r="F70" i="25"/>
  <c r="D70" i="25"/>
  <c r="AJ69" i="25"/>
  <c r="AU70" i="25"/>
  <c r="AE69" i="25"/>
  <c r="H69" i="25"/>
  <c r="D69" i="25"/>
  <c r="AJ68" i="25"/>
  <c r="AE68" i="25"/>
  <c r="Y68" i="25"/>
  <c r="W68" i="25"/>
  <c r="H68" i="25"/>
  <c r="D68" i="25"/>
  <c r="AJ67" i="25"/>
  <c r="AU68" i="25"/>
  <c r="AE67" i="25"/>
  <c r="Y67" i="25"/>
  <c r="W67" i="25"/>
  <c r="H67" i="25"/>
  <c r="D67" i="25"/>
  <c r="AJ66" i="25"/>
  <c r="AU67" i="25"/>
  <c r="AE66" i="25"/>
  <c r="Y66" i="25"/>
  <c r="W66" i="25"/>
  <c r="H66" i="25"/>
  <c r="F66" i="25"/>
  <c r="D66" i="25"/>
  <c r="AJ65" i="25"/>
  <c r="AU66" i="25"/>
  <c r="AE65" i="25"/>
  <c r="Y65" i="25"/>
  <c r="W65" i="25"/>
  <c r="H65" i="25"/>
  <c r="D65" i="25"/>
  <c r="AJ64" i="25"/>
  <c r="AU65" i="25"/>
  <c r="AE64" i="25"/>
  <c r="Y64" i="25"/>
  <c r="W64" i="25"/>
  <c r="H64" i="25"/>
  <c r="D64" i="25"/>
  <c r="AJ63" i="25"/>
  <c r="AU64" i="25"/>
  <c r="AE63" i="25"/>
  <c r="Y63" i="25"/>
  <c r="W63" i="25"/>
  <c r="H63" i="25"/>
  <c r="D63" i="25"/>
  <c r="AJ62" i="25"/>
  <c r="AE62" i="25"/>
  <c r="Y62" i="25"/>
  <c r="W62" i="25"/>
  <c r="H62" i="25"/>
  <c r="F62" i="25"/>
  <c r="D62" i="25"/>
  <c r="AJ61" i="25"/>
  <c r="AU62" i="25"/>
  <c r="AE61" i="25"/>
  <c r="Y61" i="25"/>
  <c r="W61" i="25"/>
  <c r="H61" i="25"/>
  <c r="D61" i="25"/>
  <c r="AJ60" i="25"/>
  <c r="AU61" i="25"/>
  <c r="AE60" i="25"/>
  <c r="Y60" i="25"/>
  <c r="W60" i="25"/>
  <c r="H60" i="25"/>
  <c r="D60" i="25"/>
  <c r="AJ59" i="25"/>
  <c r="AE59" i="25"/>
  <c r="Y59" i="25"/>
  <c r="W59" i="25"/>
  <c r="H59" i="25"/>
  <c r="D59" i="25"/>
  <c r="AJ58" i="25"/>
  <c r="AE58" i="25"/>
  <c r="H58" i="25"/>
  <c r="F58" i="25"/>
  <c r="D58" i="25"/>
  <c r="AJ57" i="25"/>
  <c r="AU58" i="25"/>
  <c r="H57" i="25"/>
  <c r="F24" i="25"/>
  <c r="H42" i="25"/>
  <c r="I42" i="25"/>
  <c r="J42" i="25"/>
  <c r="K42" i="25"/>
  <c r="L42" i="25"/>
  <c r="M42" i="25"/>
  <c r="N42" i="25"/>
  <c r="O42" i="25"/>
  <c r="P42" i="25"/>
  <c r="Q42" i="25"/>
  <c r="R42" i="25"/>
  <c r="S42" i="25"/>
  <c r="T42" i="25"/>
  <c r="U42" i="25"/>
  <c r="V42" i="25"/>
  <c r="W42" i="25"/>
  <c r="X42" i="25"/>
  <c r="Y42" i="25"/>
  <c r="Z42" i="25"/>
  <c r="AA42" i="25"/>
  <c r="AB42" i="25"/>
  <c r="AC42" i="25"/>
  <c r="AD42" i="25"/>
  <c r="AE42" i="25"/>
  <c r="AF42" i="25"/>
  <c r="G29" i="25"/>
  <c r="F29" i="25"/>
  <c r="E29" i="25"/>
  <c r="D29" i="25"/>
  <c r="C29" i="25"/>
  <c r="G28" i="25"/>
  <c r="F28" i="25"/>
  <c r="E28" i="25"/>
  <c r="D28" i="25"/>
  <c r="C28" i="25"/>
  <c r="L27" i="25"/>
  <c r="E58" i="24"/>
  <c r="K27" i="25"/>
  <c r="D58" i="24"/>
  <c r="G24" i="25"/>
  <c r="C21" i="25"/>
  <c r="G15" i="25"/>
  <c r="F15" i="25"/>
  <c r="E15" i="25"/>
  <c r="D15" i="25"/>
  <c r="C15" i="25"/>
  <c r="L14" i="25"/>
  <c r="G14" i="25"/>
  <c r="F14" i="25"/>
  <c r="E14" i="25"/>
  <c r="D14" i="25"/>
  <c r="C14" i="25"/>
  <c r="D13" i="25"/>
  <c r="D21" i="25"/>
  <c r="E69" i="24"/>
  <c r="D69" i="24"/>
  <c r="D64" i="24"/>
  <c r="E62" i="24"/>
  <c r="D62" i="24"/>
  <c r="E60" i="24"/>
  <c r="D60" i="24"/>
  <c r="F38" i="24"/>
  <c r="G327" i="25"/>
  <c r="E38" i="24"/>
  <c r="F327" i="25"/>
  <c r="D38" i="24"/>
  <c r="E327" i="25"/>
  <c r="F31" i="24"/>
  <c r="E31" i="24"/>
  <c r="D31" i="24"/>
  <c r="F28" i="24"/>
  <c r="E28" i="24"/>
  <c r="D28" i="24"/>
  <c r="F27" i="24"/>
  <c r="E27" i="24"/>
  <c r="D27" i="24"/>
  <c r="F25" i="24"/>
  <c r="D24" i="24"/>
  <c r="F22" i="24"/>
  <c r="E22" i="24"/>
  <c r="D22" i="24"/>
  <c r="F21" i="24"/>
  <c r="E21" i="24"/>
  <c r="D21" i="24"/>
  <c r="F20" i="24"/>
  <c r="E20" i="24"/>
  <c r="D20" i="24"/>
  <c r="AE7" i="24"/>
  <c r="AD7" i="24"/>
  <c r="AC7" i="24"/>
  <c r="AB7" i="24"/>
  <c r="AA7" i="24"/>
  <c r="Z7" i="24"/>
  <c r="Y7" i="24"/>
  <c r="X7" i="24"/>
  <c r="W7" i="24"/>
  <c r="V7" i="24"/>
  <c r="U7" i="24"/>
  <c r="T7" i="24"/>
  <c r="S7" i="24"/>
  <c r="R7" i="24"/>
  <c r="Q7" i="24"/>
  <c r="P7" i="24"/>
  <c r="O7" i="24"/>
  <c r="N7" i="24"/>
  <c r="M7" i="24"/>
  <c r="L7" i="24"/>
  <c r="F6" i="24"/>
  <c r="C24" i="25"/>
  <c r="E6" i="24"/>
  <c r="D24" i="25"/>
  <c r="D6" i="24"/>
  <c r="E24" i="25"/>
  <c r="H4" i="24"/>
  <c r="I4" i="24"/>
  <c r="J4" i="24"/>
  <c r="K4" i="24"/>
  <c r="L4" i="24"/>
  <c r="M4" i="24"/>
  <c r="N4" i="24"/>
  <c r="O4" i="24"/>
  <c r="P4" i="24"/>
  <c r="Q4" i="24"/>
  <c r="R4" i="24"/>
  <c r="S4" i="24"/>
  <c r="T4" i="24"/>
  <c r="U4" i="24"/>
  <c r="V4" i="24"/>
  <c r="W4" i="24"/>
  <c r="X4" i="24"/>
  <c r="Y4" i="24"/>
  <c r="Z4" i="24"/>
  <c r="AA4" i="24"/>
  <c r="AB4" i="24"/>
  <c r="AC4" i="24"/>
  <c r="AD4" i="24"/>
  <c r="AE4" i="24"/>
  <c r="AF4" i="24"/>
  <c r="E45" i="29"/>
  <c r="E42" i="29"/>
  <c r="D45" i="29"/>
  <c r="C9" i="29"/>
  <c r="G418" i="25"/>
  <c r="G420" i="25"/>
  <c r="G425" i="25"/>
  <c r="M34" i="26"/>
  <c r="D26" i="26"/>
  <c r="F35" i="26"/>
  <c r="F6" i="26"/>
  <c r="G58" i="26"/>
  <c r="G35" i="26"/>
  <c r="F26" i="26"/>
  <c r="F29" i="26"/>
  <c r="F52" i="26"/>
  <c r="D19" i="26"/>
  <c r="F37" i="27"/>
  <c r="F43" i="26"/>
  <c r="G22" i="29"/>
  <c r="H22" i="29"/>
  <c r="P6" i="23"/>
  <c r="C18" i="29"/>
  <c r="G18" i="29"/>
  <c r="H18" i="29"/>
  <c r="D21" i="30"/>
  <c r="D6" i="30"/>
  <c r="C22" i="27"/>
  <c r="C18" i="26"/>
  <c r="F22" i="27"/>
  <c r="F18" i="26"/>
  <c r="Q6" i="23"/>
  <c r="H22" i="27"/>
  <c r="H18" i="26"/>
  <c r="I22" i="27"/>
  <c r="I18" i="26"/>
  <c r="AG53" i="27"/>
  <c r="G22" i="27"/>
  <c r="G18" i="26"/>
  <c r="M24" i="26"/>
  <c r="M25" i="26"/>
  <c r="K22" i="26"/>
  <c r="M8" i="26"/>
  <c r="C25" i="29"/>
  <c r="G25" i="29"/>
  <c r="H25" i="29"/>
  <c r="E21" i="30"/>
  <c r="E6" i="30"/>
  <c r="K22" i="27"/>
  <c r="K18" i="26"/>
  <c r="B58" i="26"/>
  <c r="G9" i="26"/>
  <c r="G10" i="26"/>
  <c r="I24" i="26"/>
  <c r="K26" i="26"/>
  <c r="K29" i="26"/>
  <c r="G23" i="29"/>
  <c r="H23" i="29"/>
  <c r="I21" i="30"/>
  <c r="I5" i="30"/>
  <c r="J24" i="26"/>
  <c r="D22" i="27"/>
  <c r="D18" i="26"/>
  <c r="G37" i="27"/>
  <c r="G43" i="26"/>
  <c r="Q54" i="28"/>
  <c r="AA45" i="24"/>
  <c r="P46" i="24"/>
  <c r="F21" i="30"/>
  <c r="F5" i="30"/>
  <c r="C11" i="29"/>
  <c r="G11" i="29"/>
  <c r="H11" i="29"/>
  <c r="F319" i="25"/>
  <c r="D31" i="25"/>
  <c r="I14" i="25"/>
  <c r="C20" i="29"/>
  <c r="G20" i="29"/>
  <c r="H20" i="29"/>
  <c r="C19" i="29"/>
  <c r="G19" i="29"/>
  <c r="AK87" i="25"/>
  <c r="AX92" i="25"/>
  <c r="G22" i="26"/>
  <c r="AX89" i="25"/>
  <c r="F17" i="24"/>
  <c r="G319" i="25"/>
  <c r="C31" i="25"/>
  <c r="E34" i="26"/>
  <c r="E8" i="26"/>
  <c r="B8" i="26"/>
  <c r="F8" i="26"/>
  <c r="AK80" i="25"/>
  <c r="C9" i="26"/>
  <c r="C10" i="26"/>
  <c r="G8" i="26"/>
  <c r="K19" i="26"/>
  <c r="K20" i="26"/>
  <c r="L26" i="26"/>
  <c r="L29" i="26"/>
  <c r="L22" i="27"/>
  <c r="L18" i="26"/>
  <c r="Q52" i="28"/>
  <c r="AX68" i="25"/>
  <c r="AK62" i="25"/>
  <c r="C12" i="29"/>
  <c r="G12" i="29"/>
  <c r="H12" i="29"/>
  <c r="B22" i="27"/>
  <c r="B18" i="26"/>
  <c r="G9" i="29"/>
  <c r="H9" i="29"/>
  <c r="C27" i="29"/>
  <c r="G27" i="29"/>
  <c r="H27" i="29"/>
  <c r="E22" i="27"/>
  <c r="E18" i="26"/>
  <c r="C13" i="29"/>
  <c r="G13" i="29"/>
  <c r="H13" i="29"/>
  <c r="C26" i="29"/>
  <c r="G26" i="29"/>
  <c r="H26" i="29"/>
  <c r="G47" i="29"/>
  <c r="H47" i="29"/>
  <c r="C29" i="29"/>
  <c r="G29" i="29"/>
  <c r="H29" i="29"/>
  <c r="AX85" i="25"/>
  <c r="D35" i="24"/>
  <c r="I326" i="25"/>
  <c r="B22" i="26"/>
  <c r="W46" i="24"/>
  <c r="AX67" i="25"/>
  <c r="D58" i="26"/>
  <c r="D44" i="24"/>
  <c r="X46" i="24"/>
  <c r="G22" i="25"/>
  <c r="D53" i="24"/>
  <c r="G9" i="24"/>
  <c r="G41" i="24"/>
  <c r="G19" i="26"/>
  <c r="G20" i="26"/>
  <c r="N47" i="24"/>
  <c r="Q45" i="24"/>
  <c r="R45" i="24"/>
  <c r="P47" i="24"/>
  <c r="AU63" i="25"/>
  <c r="AX63" i="25"/>
  <c r="E24" i="26"/>
  <c r="D418" i="25"/>
  <c r="D420" i="25"/>
  <c r="D424" i="25"/>
  <c r="S45" i="24"/>
  <c r="E15" i="24"/>
  <c r="F24" i="26"/>
  <c r="T45" i="24"/>
  <c r="D425" i="25"/>
  <c r="G24" i="26"/>
  <c r="U45" i="24"/>
  <c r="AC47" i="24"/>
  <c r="AK76" i="25"/>
  <c r="AK84" i="25"/>
  <c r="G94" i="25"/>
  <c r="D426" i="25"/>
  <c r="F34" i="25"/>
  <c r="F22" i="26"/>
  <c r="K35" i="26"/>
  <c r="B34" i="26"/>
  <c r="J26" i="26"/>
  <c r="J29" i="26"/>
  <c r="Q46" i="24"/>
  <c r="R46" i="24"/>
  <c r="S46" i="24"/>
  <c r="V46" i="24"/>
  <c r="G82" i="25"/>
  <c r="C58" i="26"/>
  <c r="E44" i="24"/>
  <c r="F45" i="24"/>
  <c r="AK78" i="25"/>
  <c r="I45" i="24"/>
  <c r="D29" i="26"/>
  <c r="J45" i="24"/>
  <c r="AX83" i="25"/>
  <c r="C24" i="26"/>
  <c r="F58" i="26"/>
  <c r="C335" i="25"/>
  <c r="C336" i="25"/>
  <c r="O47" i="24"/>
  <c r="E418" i="25"/>
  <c r="E420" i="25"/>
  <c r="E425" i="25"/>
  <c r="AK68" i="25"/>
  <c r="S47" i="24"/>
  <c r="F19" i="24"/>
  <c r="AB47" i="24"/>
  <c r="K9" i="26"/>
  <c r="K10" i="26"/>
  <c r="F9" i="26"/>
  <c r="F10" i="26"/>
  <c r="J35" i="26"/>
  <c r="E26" i="24"/>
  <c r="E34" i="24"/>
  <c r="E36" i="24"/>
  <c r="V45" i="24"/>
  <c r="AD47" i="24"/>
  <c r="L244" i="25"/>
  <c r="F426" i="25"/>
  <c r="D34" i="25"/>
  <c r="L35" i="26"/>
  <c r="C34" i="26"/>
  <c r="G34" i="26"/>
  <c r="F26" i="24"/>
  <c r="F34" i="24"/>
  <c r="N46" i="24"/>
  <c r="AE47" i="24"/>
  <c r="G98" i="25"/>
  <c r="O46" i="24"/>
  <c r="AF47" i="24"/>
  <c r="K15" i="25"/>
  <c r="K24" i="26"/>
  <c r="B16" i="30"/>
  <c r="AE13" i="27"/>
  <c r="AE14" i="27"/>
  <c r="K18" i="30"/>
  <c r="J22" i="27"/>
  <c r="J18" i="26"/>
  <c r="Q49" i="28"/>
  <c r="AB39" i="27"/>
  <c r="C16" i="29"/>
  <c r="G16" i="29"/>
  <c r="H16" i="29"/>
  <c r="B14" i="30"/>
  <c r="Q53" i="28"/>
  <c r="I20" i="30"/>
  <c r="C28" i="29"/>
  <c r="G28" i="29"/>
  <c r="H28" i="29"/>
  <c r="I32" i="25"/>
  <c r="K32" i="25"/>
  <c r="D15" i="24"/>
  <c r="E32" i="24"/>
  <c r="K58" i="26"/>
  <c r="B35" i="26"/>
  <c r="F30" i="24"/>
  <c r="F32" i="24"/>
  <c r="D270" i="25"/>
  <c r="AK69" i="25"/>
  <c r="F34" i="26"/>
  <c r="M9" i="26"/>
  <c r="M10" i="26"/>
  <c r="I58" i="26"/>
  <c r="I60" i="26"/>
  <c r="AK73" i="25"/>
  <c r="AK67" i="25"/>
  <c r="G47" i="24"/>
  <c r="AU80" i="25"/>
  <c r="AX80" i="25"/>
  <c r="AK100" i="25"/>
  <c r="G90" i="25"/>
  <c r="D44" i="25"/>
  <c r="F337" i="25"/>
  <c r="F339" i="25"/>
  <c r="D25" i="25"/>
  <c r="C19" i="26"/>
  <c r="C20" i="26"/>
  <c r="C35" i="26"/>
  <c r="I34" i="26"/>
  <c r="AU72" i="25"/>
  <c r="AX72" i="25"/>
  <c r="AK71" i="25"/>
  <c r="E58" i="26"/>
  <c r="D335" i="25"/>
  <c r="D336" i="25"/>
  <c r="F26" i="25"/>
  <c r="F7" i="24"/>
  <c r="G26" i="26"/>
  <c r="G29" i="26"/>
  <c r="J58" i="26"/>
  <c r="J59" i="26"/>
  <c r="AK79" i="25"/>
  <c r="K12" i="26"/>
  <c r="L9" i="26"/>
  <c r="L10" i="26"/>
  <c r="K8" i="26"/>
  <c r="I6" i="26"/>
  <c r="Y45" i="24"/>
  <c r="AF46" i="24"/>
  <c r="F47" i="24"/>
  <c r="AK70" i="25"/>
  <c r="AK83" i="25"/>
  <c r="G70" i="25"/>
  <c r="G337" i="25"/>
  <c r="G339" i="25"/>
  <c r="C25" i="25"/>
  <c r="D35" i="26"/>
  <c r="J34" i="26"/>
  <c r="AX84" i="25"/>
  <c r="AK82" i="25"/>
  <c r="I12" i="26"/>
  <c r="G86" i="25"/>
  <c r="D32" i="24"/>
  <c r="AA47" i="24"/>
  <c r="AE46" i="24"/>
  <c r="I46" i="24"/>
  <c r="N45" i="24"/>
  <c r="W47" i="24"/>
  <c r="AD46" i="24"/>
  <c r="H46" i="24"/>
  <c r="M45" i="24"/>
  <c r="V47" i="24"/>
  <c r="AA46" i="24"/>
  <c r="G46" i="24"/>
  <c r="L45" i="24"/>
  <c r="U47" i="24"/>
  <c r="Z46" i="24"/>
  <c r="F46" i="24"/>
  <c r="K45" i="24"/>
  <c r="T47" i="24"/>
  <c r="Y46" i="24"/>
  <c r="AD45" i="24"/>
  <c r="Z45" i="24"/>
  <c r="I364" i="25"/>
  <c r="L58" i="26"/>
  <c r="L60" i="26"/>
  <c r="D43" i="24"/>
  <c r="AB45" i="24"/>
  <c r="H47" i="24"/>
  <c r="D19" i="24"/>
  <c r="AC45" i="24"/>
  <c r="K47" i="24"/>
  <c r="G78" i="25"/>
  <c r="E19" i="24"/>
  <c r="J46" i="24"/>
  <c r="L47" i="24"/>
  <c r="AK63" i="25"/>
  <c r="G66" i="25"/>
  <c r="AK85" i="25"/>
  <c r="AU86" i="25"/>
  <c r="AX86" i="25"/>
  <c r="C26" i="26"/>
  <c r="C29" i="26"/>
  <c r="AK81" i="25"/>
  <c r="AU81" i="25"/>
  <c r="AX82" i="25"/>
  <c r="M29" i="26"/>
  <c r="G74" i="25"/>
  <c r="AK86" i="25"/>
  <c r="K46" i="24"/>
  <c r="M47" i="24"/>
  <c r="AX62" i="25"/>
  <c r="AK74" i="25"/>
  <c r="AX88" i="25"/>
  <c r="I330" i="25"/>
  <c r="O18" i="30"/>
  <c r="Z13" i="27"/>
  <c r="Z14" i="27"/>
  <c r="Q50" i="28"/>
  <c r="D20" i="30"/>
  <c r="AA13" i="27"/>
  <c r="AA14" i="27"/>
  <c r="C37" i="27"/>
  <c r="C43" i="26"/>
  <c r="E20" i="30"/>
  <c r="C418" i="25"/>
  <c r="E16" i="26"/>
  <c r="M58" i="26"/>
  <c r="I29" i="25"/>
  <c r="AK64" i="25"/>
  <c r="C337" i="25"/>
  <c r="C339" i="25"/>
  <c r="I8" i="26"/>
  <c r="G12" i="26"/>
  <c r="I22" i="26"/>
  <c r="B29" i="26"/>
  <c r="I9" i="26"/>
  <c r="I10" i="26"/>
  <c r="J22" i="26"/>
  <c r="I35" i="26"/>
  <c r="AB13" i="27"/>
  <c r="AB14" i="27"/>
  <c r="AE53" i="27"/>
  <c r="Q51" i="28"/>
  <c r="F20" i="30"/>
  <c r="AC13" i="27"/>
  <c r="AC14" i="27"/>
  <c r="E37" i="27"/>
  <c r="E43" i="26"/>
  <c r="AF53" i="27"/>
  <c r="C14" i="29"/>
  <c r="G14" i="29"/>
  <c r="H14" i="29"/>
  <c r="B17" i="30"/>
  <c r="G20" i="30"/>
  <c r="AD13" i="27"/>
  <c r="AD14" i="27"/>
  <c r="P4" i="23"/>
  <c r="AF13" i="27"/>
  <c r="AF14" i="27"/>
  <c r="AG13" i="27"/>
  <c r="AG14" i="27"/>
  <c r="C15" i="29"/>
  <c r="G15" i="29"/>
  <c r="H15" i="29"/>
  <c r="K37" i="27"/>
  <c r="K43" i="26"/>
  <c r="F58" i="28"/>
  <c r="F57" i="28"/>
  <c r="Q48" i="28"/>
  <c r="N18" i="30"/>
  <c r="P5" i="23"/>
  <c r="H34" i="26"/>
  <c r="H35" i="26"/>
  <c r="H36" i="26"/>
  <c r="H6" i="26"/>
  <c r="G6" i="26"/>
  <c r="H8" i="26"/>
  <c r="H12" i="26"/>
  <c r="H22" i="26"/>
  <c r="H24" i="26"/>
  <c r="H19" i="26"/>
  <c r="H20" i="26"/>
  <c r="H16" i="26"/>
  <c r="H9" i="26"/>
  <c r="H10" i="26"/>
  <c r="G21" i="30"/>
  <c r="H21" i="30"/>
  <c r="H20" i="30"/>
  <c r="L18" i="30"/>
  <c r="M18" i="30"/>
  <c r="F35" i="29"/>
  <c r="F31" i="29"/>
  <c r="F32" i="29"/>
  <c r="F33" i="29"/>
  <c r="F34" i="29"/>
  <c r="F43" i="29" a="1"/>
  <c r="F43" i="29"/>
  <c r="F42" i="29"/>
  <c r="D50" i="29"/>
  <c r="I107" i="28"/>
  <c r="D8" i="29" a="1"/>
  <c r="D8" i="29"/>
  <c r="E50" i="29"/>
  <c r="J107" i="28"/>
  <c r="F50" i="29"/>
  <c r="L107" i="28"/>
  <c r="E8" i="29" a="1"/>
  <c r="E8" i="29"/>
  <c r="F55" i="28"/>
  <c r="D26" i="24"/>
  <c r="D34" i="24"/>
  <c r="I24" i="25"/>
  <c r="F15" i="24"/>
  <c r="E5" i="24"/>
  <c r="F5" i="24"/>
  <c r="D7" i="24"/>
  <c r="E7" i="24"/>
  <c r="Z47" i="24"/>
  <c r="R47" i="24"/>
  <c r="J47" i="24"/>
  <c r="AC46" i="24"/>
  <c r="U46" i="24"/>
  <c r="M46" i="24"/>
  <c r="AF45" i="24"/>
  <c r="X45" i="24"/>
  <c r="P45" i="24"/>
  <c r="H45" i="24"/>
  <c r="Y47" i="24"/>
  <c r="Q47" i="24"/>
  <c r="I47" i="24"/>
  <c r="AB46" i="24"/>
  <c r="T46" i="24"/>
  <c r="L46" i="24"/>
  <c r="AE45" i="24"/>
  <c r="W45" i="24"/>
  <c r="O45" i="24"/>
  <c r="G45" i="24"/>
  <c r="E13" i="25"/>
  <c r="I28" i="25"/>
  <c r="AX75" i="25"/>
  <c r="AU95" i="25"/>
  <c r="AX95" i="25"/>
  <c r="AK94" i="25"/>
  <c r="X47" i="24"/>
  <c r="I15" i="25"/>
  <c r="M248" i="25"/>
  <c r="AU59" i="25"/>
  <c r="AX59" i="25"/>
  <c r="AK58" i="25"/>
  <c r="AX66" i="25"/>
  <c r="AX79" i="25"/>
  <c r="E365" i="25"/>
  <c r="E368" i="25"/>
  <c r="E329" i="25"/>
  <c r="E23" i="25"/>
  <c r="E366" i="25"/>
  <c r="E367" i="25"/>
  <c r="AK77" i="25"/>
  <c r="AK98" i="25"/>
  <c r="AU99" i="25"/>
  <c r="AK99" i="25"/>
  <c r="L243" i="25"/>
  <c r="F329" i="25"/>
  <c r="D23" i="25"/>
  <c r="F366" i="25"/>
  <c r="F365" i="25"/>
  <c r="AX71" i="25"/>
  <c r="AU77" i="25"/>
  <c r="AU96" i="25"/>
  <c r="AK95" i="25"/>
  <c r="AK96" i="25"/>
  <c r="AU98" i="25"/>
  <c r="AX98" i="25"/>
  <c r="AK97" i="25"/>
  <c r="N243" i="25"/>
  <c r="AU93" i="25"/>
  <c r="AX93" i="25"/>
  <c r="AK92" i="25"/>
  <c r="AK93" i="25"/>
  <c r="M250" i="25"/>
  <c r="AU60" i="25"/>
  <c r="AK60" i="25"/>
  <c r="AK59" i="25"/>
  <c r="AK65" i="25"/>
  <c r="AK66" i="25"/>
  <c r="AU69" i="25"/>
  <c r="AX69" i="25"/>
  <c r="AU73" i="25"/>
  <c r="AK72" i="25"/>
  <c r="AU76" i="25"/>
  <c r="AX76" i="25"/>
  <c r="AK75" i="25"/>
  <c r="M245" i="25"/>
  <c r="M242" i="25"/>
  <c r="O242" i="25"/>
  <c r="O243" i="25"/>
  <c r="M243" i="25"/>
  <c r="AX65" i="25"/>
  <c r="AU90" i="25"/>
  <c r="AX90" i="25"/>
  <c r="AK89" i="25"/>
  <c r="P243" i="25"/>
  <c r="P244" i="25"/>
  <c r="G60" i="26"/>
  <c r="G59" i="26"/>
  <c r="N245" i="25"/>
  <c r="N242" i="25"/>
  <c r="N244" i="25"/>
  <c r="M244" i="25"/>
  <c r="D262" i="25"/>
  <c r="I374" i="25"/>
  <c r="AX101" i="25"/>
  <c r="L242" i="25"/>
  <c r="O244" i="25"/>
  <c r="P242" i="25"/>
  <c r="O245" i="25"/>
  <c r="D6" i="26"/>
  <c r="D5" i="24"/>
  <c r="D9" i="26"/>
  <c r="D10" i="26"/>
  <c r="L6" i="26"/>
  <c r="K6" i="26"/>
  <c r="G365" i="25"/>
  <c r="G329" i="25"/>
  <c r="C23" i="25"/>
  <c r="G366" i="25"/>
  <c r="AK61" i="25"/>
  <c r="L245" i="25"/>
  <c r="P245" i="25"/>
  <c r="M249" i="25"/>
  <c r="C366" i="25"/>
  <c r="C329" i="25"/>
  <c r="B19" i="26"/>
  <c r="B12" i="26"/>
  <c r="B16" i="26"/>
  <c r="J19" i="26"/>
  <c r="J20" i="26"/>
  <c r="J16" i="26"/>
  <c r="J12" i="26"/>
  <c r="D24" i="26"/>
  <c r="E426" i="25"/>
  <c r="E34" i="25"/>
  <c r="L24" i="26"/>
  <c r="L25" i="26"/>
  <c r="I26" i="26"/>
  <c r="I29" i="26"/>
  <c r="H26" i="26"/>
  <c r="H29" i="26"/>
  <c r="I16" i="26"/>
  <c r="E29" i="26"/>
  <c r="D299" i="25"/>
  <c r="C319" i="25"/>
  <c r="D337" i="25"/>
  <c r="D339" i="25"/>
  <c r="F25" i="25"/>
  <c r="G424" i="25"/>
  <c r="AK88" i="25"/>
  <c r="AK90" i="25"/>
  <c r="AK91" i="25"/>
  <c r="D269" i="25"/>
  <c r="E337" i="25"/>
  <c r="E339" i="25"/>
  <c r="E25" i="25"/>
  <c r="C365" i="25"/>
  <c r="F418" i="25"/>
  <c r="B6" i="26"/>
  <c r="B24" i="26"/>
  <c r="B9" i="26"/>
  <c r="B10" i="26"/>
  <c r="J6" i="26"/>
  <c r="J9" i="26"/>
  <c r="J10" i="26"/>
  <c r="J8" i="26"/>
  <c r="I19" i="26"/>
  <c r="I20" i="26"/>
  <c r="D319" i="25"/>
  <c r="F31" i="25"/>
  <c r="F19" i="26"/>
  <c r="C6" i="26"/>
  <c r="G16" i="26"/>
  <c r="F12" i="26"/>
  <c r="D22" i="26"/>
  <c r="L22" i="26"/>
  <c r="E319" i="25"/>
  <c r="E31" i="25"/>
  <c r="C426" i="25"/>
  <c r="D8" i="26"/>
  <c r="L8" i="26"/>
  <c r="F16" i="26"/>
  <c r="E22" i="26"/>
  <c r="M22" i="26"/>
  <c r="C8" i="26"/>
  <c r="C12" i="26"/>
  <c r="D16" i="26"/>
  <c r="D12" i="26"/>
  <c r="L16" i="26"/>
  <c r="L12" i="26"/>
  <c r="K16" i="26"/>
  <c r="E9" i="26"/>
  <c r="E10" i="26"/>
  <c r="E6" i="26"/>
  <c r="M6" i="26"/>
  <c r="E19" i="26"/>
  <c r="E12" i="26"/>
  <c r="M19" i="26"/>
  <c r="M20" i="26"/>
  <c r="M12" i="26"/>
  <c r="M13" i="26"/>
  <c r="M16" i="26"/>
  <c r="L19" i="26"/>
  <c r="L20" i="26"/>
  <c r="D34" i="26"/>
  <c r="L34" i="26"/>
  <c r="C16" i="26"/>
  <c r="C22" i="26"/>
  <c r="E35" i="26"/>
  <c r="M35" i="26"/>
  <c r="H58" i="26"/>
  <c r="H37" i="27"/>
  <c r="H43" i="26"/>
  <c r="I37" i="27"/>
  <c r="I43" i="26"/>
  <c r="C4" i="26"/>
  <c r="B37" i="27"/>
  <c r="B43" i="26"/>
  <c r="J37" i="27"/>
  <c r="J43" i="26"/>
  <c r="D37" i="27"/>
  <c r="D43" i="26"/>
  <c r="AE52" i="27"/>
  <c r="AF52" i="27"/>
  <c r="AG52" i="27"/>
  <c r="D5" i="27"/>
  <c r="Z52" i="27"/>
  <c r="AA52" i="27"/>
  <c r="AB52" i="27"/>
  <c r="E32" i="29"/>
  <c r="E31" i="29"/>
  <c r="F44" i="24"/>
  <c r="B60" i="26"/>
  <c r="C33" i="25"/>
  <c r="H25" i="26"/>
  <c r="D5" i="30"/>
  <c r="E430" i="25"/>
  <c r="D59" i="26"/>
  <c r="D30" i="26"/>
  <c r="D31" i="26"/>
  <c r="F6" i="30"/>
  <c r="L6" i="30"/>
  <c r="I59" i="26"/>
  <c r="F59" i="26"/>
  <c r="I22" i="25"/>
  <c r="F60" i="26"/>
  <c r="AX64" i="25"/>
  <c r="BA62" i="25"/>
  <c r="K21" i="30"/>
  <c r="E5" i="30"/>
  <c r="L5" i="30"/>
  <c r="L21" i="30"/>
  <c r="B59" i="26"/>
  <c r="D36" i="24"/>
  <c r="E53" i="24"/>
  <c r="G335" i="25"/>
  <c r="G336" i="25"/>
  <c r="C26" i="25"/>
  <c r="L59" i="26"/>
  <c r="G430" i="25"/>
  <c r="D25" i="26"/>
  <c r="L32" i="25"/>
  <c r="B30" i="26"/>
  <c r="B31" i="26"/>
  <c r="J25" i="26"/>
  <c r="D260" i="25"/>
  <c r="J13" i="26"/>
  <c r="C430" i="25"/>
  <c r="AX73" i="25"/>
  <c r="I25" i="26"/>
  <c r="E424" i="25"/>
  <c r="D60" i="26"/>
  <c r="E335" i="25"/>
  <c r="E336" i="25"/>
  <c r="E26" i="25"/>
  <c r="E33" i="25"/>
  <c r="I6" i="30"/>
  <c r="I9" i="30"/>
  <c r="I418" i="25"/>
  <c r="F33" i="25"/>
  <c r="B18" i="30"/>
  <c r="B21" i="30"/>
  <c r="C59" i="26"/>
  <c r="F335" i="25"/>
  <c r="F336" i="25"/>
  <c r="D26" i="25"/>
  <c r="AX96" i="25"/>
  <c r="F430" i="25"/>
  <c r="C60" i="26"/>
  <c r="G367" i="25"/>
  <c r="E43" i="24"/>
  <c r="E59" i="26"/>
  <c r="I13" i="26"/>
  <c r="BA66" i="25"/>
  <c r="L30" i="26"/>
  <c r="L31" i="26"/>
  <c r="E60" i="26"/>
  <c r="D430" i="25"/>
  <c r="J30" i="26"/>
  <c r="J31" i="26"/>
  <c r="C30" i="26"/>
  <c r="C31" i="26"/>
  <c r="E25" i="26"/>
  <c r="J60" i="26"/>
  <c r="I30" i="26"/>
  <c r="I31" i="26"/>
  <c r="AX70" i="25"/>
  <c r="AX99" i="25"/>
  <c r="AX74" i="25"/>
  <c r="G13" i="26"/>
  <c r="F13" i="26"/>
  <c r="B25" i="26"/>
  <c r="AX91" i="25"/>
  <c r="BA90" i="25"/>
  <c r="F30" i="26"/>
  <c r="F31" i="26"/>
  <c r="F25" i="26"/>
  <c r="L13" i="26"/>
  <c r="H13" i="26"/>
  <c r="F56" i="28"/>
  <c r="BA82" i="25"/>
  <c r="K25" i="26"/>
  <c r="G102" i="25"/>
  <c r="F35" i="24"/>
  <c r="F36" i="24"/>
  <c r="E262" i="25"/>
  <c r="F367" i="25"/>
  <c r="K60" i="26"/>
  <c r="K59" i="26"/>
  <c r="M60" i="26"/>
  <c r="M59" i="26"/>
  <c r="Q243" i="25"/>
  <c r="D271" i="25"/>
  <c r="E268" i="25"/>
  <c r="E269" i="25"/>
  <c r="E270" i="25"/>
  <c r="E271" i="25"/>
  <c r="F268" i="25"/>
  <c r="Q245" i="25"/>
  <c r="E257" i="25"/>
  <c r="E258" i="25"/>
  <c r="E259" i="25"/>
  <c r="F256" i="25"/>
  <c r="C420" i="25"/>
  <c r="G33" i="25"/>
  <c r="E13" i="26"/>
  <c r="M30" i="26"/>
  <c r="M31" i="26"/>
  <c r="D301" i="25"/>
  <c r="AX81" i="25"/>
  <c r="AX87" i="25"/>
  <c r="BA86" i="25"/>
  <c r="F431" i="25"/>
  <c r="E30" i="25"/>
  <c r="K30" i="26"/>
  <c r="K31" i="26"/>
  <c r="G25" i="26"/>
  <c r="H30" i="26"/>
  <c r="H31" i="26"/>
  <c r="O21" i="30"/>
  <c r="H5" i="30"/>
  <c r="H6" i="30"/>
  <c r="N21" i="30"/>
  <c r="G5" i="30"/>
  <c r="G6" i="30"/>
  <c r="M21" i="30"/>
  <c r="D9" i="30"/>
  <c r="B6" i="30"/>
  <c r="K6" i="30"/>
  <c r="F45" i="29"/>
  <c r="E34" i="29"/>
  <c r="E35" i="29"/>
  <c r="E33" i="29"/>
  <c r="D34" i="29"/>
  <c r="D35" i="29"/>
  <c r="D31" i="29"/>
  <c r="D32" i="29"/>
  <c r="D33" i="29"/>
  <c r="G48" i="29"/>
  <c r="H48" i="29"/>
  <c r="C22" i="28"/>
  <c r="C8" i="29"/>
  <c r="C31" i="29"/>
  <c r="D268" i="25"/>
  <c r="G368" i="25"/>
  <c r="D87" i="27"/>
  <c r="E5" i="27"/>
  <c r="F5" i="27"/>
  <c r="G5" i="27"/>
  <c r="H5" i="27"/>
  <c r="I5" i="27"/>
  <c r="J5" i="27"/>
  <c r="K5" i="27"/>
  <c r="L5" i="27"/>
  <c r="M5" i="27"/>
  <c r="F420" i="25"/>
  <c r="D33" i="25"/>
  <c r="E20" i="26"/>
  <c r="D431" i="25"/>
  <c r="F20" i="26"/>
  <c r="C431" i="25"/>
  <c r="K13" i="26"/>
  <c r="B20" i="26"/>
  <c r="G431" i="25"/>
  <c r="AX61" i="25"/>
  <c r="AX60" i="25"/>
  <c r="AX77" i="25"/>
  <c r="G31" i="25"/>
  <c r="I31" i="25"/>
  <c r="I319" i="25"/>
  <c r="D13" i="26"/>
  <c r="H60" i="26"/>
  <c r="H59" i="26"/>
  <c r="AX97" i="25"/>
  <c r="L24" i="25"/>
  <c r="E55" i="24"/>
  <c r="K24" i="25"/>
  <c r="D55" i="24"/>
  <c r="I339" i="25"/>
  <c r="G25" i="25"/>
  <c r="I25" i="25"/>
  <c r="E30" i="26"/>
  <c r="E31" i="26"/>
  <c r="C25" i="26"/>
  <c r="AX94" i="25"/>
  <c r="AX100" i="25"/>
  <c r="AX78" i="25"/>
  <c r="D20" i="26"/>
  <c r="E431" i="25"/>
  <c r="E432" i="25"/>
  <c r="E37" i="25"/>
  <c r="I365" i="25"/>
  <c r="C368" i="25"/>
  <c r="B13" i="26"/>
  <c r="L15" i="25"/>
  <c r="K7" i="24"/>
  <c r="G30" i="26"/>
  <c r="G31" i="26"/>
  <c r="C13" i="26"/>
  <c r="G26" i="25"/>
  <c r="G23" i="25"/>
  <c r="I23" i="25"/>
  <c r="I329" i="25"/>
  <c r="F368" i="25"/>
  <c r="E21" i="25"/>
  <c r="F13" i="25"/>
  <c r="D4" i="26"/>
  <c r="C91" i="26"/>
  <c r="I426" i="25"/>
  <c r="G34" i="25"/>
  <c r="I34" i="25"/>
  <c r="C367" i="25"/>
  <c r="D367" i="25"/>
  <c r="F30" i="25"/>
  <c r="G6" i="24"/>
  <c r="C33" i="29"/>
  <c r="C32" i="29"/>
  <c r="F9" i="30"/>
  <c r="M6" i="30"/>
  <c r="C30" i="25"/>
  <c r="E9" i="30"/>
  <c r="K9" i="30"/>
  <c r="O6" i="30"/>
  <c r="K5" i="30"/>
  <c r="G432" i="25"/>
  <c r="C37" i="25"/>
  <c r="BA98" i="25"/>
  <c r="G37" i="25"/>
  <c r="BA74" i="25"/>
  <c r="I26" i="25"/>
  <c r="K26" i="25"/>
  <c r="D57" i="24"/>
  <c r="I336" i="25"/>
  <c r="BA70" i="25"/>
  <c r="F432" i="25"/>
  <c r="D432" i="25"/>
  <c r="F37" i="25"/>
  <c r="F43" i="24"/>
  <c r="I33" i="25"/>
  <c r="L33" i="25"/>
  <c r="E64" i="24"/>
  <c r="G5" i="24"/>
  <c r="E263" i="25"/>
  <c r="E264" i="25"/>
  <c r="E265" i="25"/>
  <c r="F262" i="25"/>
  <c r="F263" i="25"/>
  <c r="F264" i="25"/>
  <c r="F265" i="25"/>
  <c r="G262" i="25"/>
  <c r="D30" i="25"/>
  <c r="BA59" i="25"/>
  <c r="B5" i="30"/>
  <c r="BA78" i="25"/>
  <c r="D266" i="25"/>
  <c r="D286" i="25"/>
  <c r="C425" i="25"/>
  <c r="C424" i="25"/>
  <c r="D272" i="25"/>
  <c r="D292" i="25"/>
  <c r="D291" i="25"/>
  <c r="D312" i="25"/>
  <c r="BA94" i="25"/>
  <c r="G9" i="30"/>
  <c r="M9" i="30"/>
  <c r="N5" i="30"/>
  <c r="L9" i="30"/>
  <c r="M5" i="30"/>
  <c r="B8" i="30"/>
  <c r="B7" i="30"/>
  <c r="O5" i="30"/>
  <c r="H9" i="30"/>
  <c r="O9" i="30"/>
  <c r="N6" i="30"/>
  <c r="C25" i="28"/>
  <c r="L34" i="25"/>
  <c r="E65" i="24"/>
  <c r="K34" i="25"/>
  <c r="D65" i="24"/>
  <c r="D54" i="24"/>
  <c r="G10" i="24"/>
  <c r="E272" i="25"/>
  <c r="E292" i="25"/>
  <c r="I368" i="25"/>
  <c r="G30" i="25"/>
  <c r="F269" i="25"/>
  <c r="F270" i="25"/>
  <c r="F271" i="25"/>
  <c r="G268" i="25"/>
  <c r="E260" i="25"/>
  <c r="E280" i="25"/>
  <c r="L23" i="25"/>
  <c r="E54" i="24"/>
  <c r="F21" i="25"/>
  <c r="G13" i="25"/>
  <c r="G21" i="25"/>
  <c r="L25" i="25"/>
  <c r="E56" i="24"/>
  <c r="K25" i="25"/>
  <c r="D56" i="24"/>
  <c r="F257" i="25"/>
  <c r="F258" i="25"/>
  <c r="F259" i="25"/>
  <c r="G256" i="25"/>
  <c r="I367" i="25"/>
  <c r="D91" i="26"/>
  <c r="E4" i="26"/>
  <c r="F425" i="25"/>
  <c r="F424" i="25"/>
  <c r="D282" i="25"/>
  <c r="D303" i="25"/>
  <c r="G13" i="24"/>
  <c r="L26" i="25"/>
  <c r="E57" i="24"/>
  <c r="I432" i="25"/>
  <c r="G11" i="24"/>
  <c r="G20" i="24"/>
  <c r="G23" i="24"/>
  <c r="G40" i="24"/>
  <c r="G21" i="24"/>
  <c r="G24" i="24"/>
  <c r="E266" i="25"/>
  <c r="E286" i="25"/>
  <c r="E282" i="25"/>
  <c r="E303" i="25"/>
  <c r="I30" i="25"/>
  <c r="L30" i="25"/>
  <c r="E61" i="24"/>
  <c r="G8" i="24"/>
  <c r="G12" i="24"/>
  <c r="G44" i="24"/>
  <c r="G28" i="24"/>
  <c r="D283" i="25"/>
  <c r="D304" i="25"/>
  <c r="D284" i="25"/>
  <c r="D305" i="25"/>
  <c r="I425" i="25"/>
  <c r="E66" i="24"/>
  <c r="D285" i="25"/>
  <c r="D306" i="25"/>
  <c r="B9" i="30"/>
  <c r="I362" i="25"/>
  <c r="K30" i="25"/>
  <c r="D61" i="24"/>
  <c r="F260" i="25"/>
  <c r="F280" i="25"/>
  <c r="F276" i="25"/>
  <c r="F297" i="25"/>
  <c r="D288" i="25"/>
  <c r="D309" i="25"/>
  <c r="D289" i="25"/>
  <c r="D310" i="25"/>
  <c r="D290" i="25"/>
  <c r="D311" i="25"/>
  <c r="N9" i="30"/>
  <c r="E288" i="25"/>
  <c r="E309" i="25"/>
  <c r="E291" i="25"/>
  <c r="E312" i="25"/>
  <c r="E289" i="25"/>
  <c r="E310" i="25"/>
  <c r="E290" i="25"/>
  <c r="E311" i="25"/>
  <c r="G25" i="24"/>
  <c r="G31" i="24"/>
  <c r="G14" i="24"/>
  <c r="G263" i="25"/>
  <c r="G264" i="25"/>
  <c r="G265" i="25"/>
  <c r="H262" i="25"/>
  <c r="G39" i="24"/>
  <c r="G38" i="24"/>
  <c r="E297" i="25"/>
  <c r="E277" i="25"/>
  <c r="E298" i="25"/>
  <c r="E299" i="25"/>
  <c r="E279" i="25"/>
  <c r="E300" i="25"/>
  <c r="E91" i="26"/>
  <c r="F4" i="26"/>
  <c r="G4" i="26"/>
  <c r="H4" i="26"/>
  <c r="I4" i="26"/>
  <c r="J4" i="26"/>
  <c r="K4" i="26"/>
  <c r="L4" i="26"/>
  <c r="M4" i="26"/>
  <c r="G269" i="25"/>
  <c r="G270" i="25"/>
  <c r="G271" i="25"/>
  <c r="H268" i="25"/>
  <c r="F272" i="25"/>
  <c r="F292" i="25"/>
  <c r="F266" i="25"/>
  <c r="F286" i="25"/>
  <c r="G257" i="25"/>
  <c r="G258" i="25"/>
  <c r="G259" i="25"/>
  <c r="H256" i="25"/>
  <c r="E285" i="25"/>
  <c r="E306" i="25"/>
  <c r="G26" i="24"/>
  <c r="G15" i="24"/>
  <c r="D66" i="24"/>
  <c r="D307" i="25"/>
  <c r="F279" i="25"/>
  <c r="F300" i="25"/>
  <c r="E284" i="25"/>
  <c r="E305" i="25"/>
  <c r="E283" i="25"/>
  <c r="E304" i="25"/>
  <c r="F278" i="25"/>
  <c r="F299" i="25"/>
  <c r="F277" i="25"/>
  <c r="F298" i="25"/>
  <c r="D313" i="25"/>
  <c r="E313" i="25"/>
  <c r="G266" i="25"/>
  <c r="G286" i="25"/>
  <c r="F282" i="25"/>
  <c r="F303" i="25"/>
  <c r="F284" i="25"/>
  <c r="F305" i="25"/>
  <c r="F283" i="25"/>
  <c r="F304" i="25"/>
  <c r="F285" i="25"/>
  <c r="F306" i="25"/>
  <c r="F288" i="25"/>
  <c r="F309" i="25"/>
  <c r="F289" i="25"/>
  <c r="F310" i="25"/>
  <c r="F290" i="25"/>
  <c r="F311" i="25"/>
  <c r="F291" i="25"/>
  <c r="F312" i="25"/>
  <c r="H269" i="25"/>
  <c r="H270" i="25"/>
  <c r="H271" i="25"/>
  <c r="I268" i="25"/>
  <c r="H10" i="24"/>
  <c r="H38" i="24"/>
  <c r="H257" i="25"/>
  <c r="H258" i="25"/>
  <c r="H259" i="25"/>
  <c r="I256" i="25"/>
  <c r="G260" i="25"/>
  <c r="G280" i="25"/>
  <c r="E301" i="25"/>
  <c r="H43" i="25"/>
  <c r="H9" i="24"/>
  <c r="G272" i="25"/>
  <c r="G292" i="25"/>
  <c r="H263" i="25"/>
  <c r="H264" i="25"/>
  <c r="H265" i="25"/>
  <c r="I262" i="25"/>
  <c r="G16" i="24"/>
  <c r="G17" i="24"/>
  <c r="G30" i="24"/>
  <c r="G29" i="24"/>
  <c r="G32" i="24"/>
  <c r="G19" i="24"/>
  <c r="G22" i="24"/>
  <c r="G34" i="24"/>
  <c r="F301" i="25"/>
  <c r="I43" i="25"/>
  <c r="I44" i="25"/>
  <c r="H39" i="24"/>
  <c r="E307" i="25"/>
  <c r="H260" i="25"/>
  <c r="H280" i="25"/>
  <c r="H277" i="25"/>
  <c r="H298" i="25"/>
  <c r="H266" i="25"/>
  <c r="H286" i="25"/>
  <c r="I269" i="25"/>
  <c r="I270" i="25"/>
  <c r="I271" i="25"/>
  <c r="J268" i="25"/>
  <c r="H44" i="25"/>
  <c r="H6" i="24"/>
  <c r="F307" i="25"/>
  <c r="G276" i="25"/>
  <c r="G297" i="25"/>
  <c r="G277" i="25"/>
  <c r="G298" i="25"/>
  <c r="G279" i="25"/>
  <c r="G300" i="25"/>
  <c r="G278" i="25"/>
  <c r="G299" i="25"/>
  <c r="G282" i="25"/>
  <c r="G303" i="25"/>
  <c r="G283" i="25"/>
  <c r="G304" i="25"/>
  <c r="G284" i="25"/>
  <c r="G305" i="25"/>
  <c r="G285" i="25"/>
  <c r="G306" i="25"/>
  <c r="I257" i="25"/>
  <c r="I258" i="25"/>
  <c r="I259" i="25"/>
  <c r="J256" i="25"/>
  <c r="H41" i="24"/>
  <c r="I10" i="24"/>
  <c r="I38" i="24"/>
  <c r="I263" i="25"/>
  <c r="I264" i="25"/>
  <c r="I265" i="25"/>
  <c r="J262" i="25"/>
  <c r="H272" i="25"/>
  <c r="H292" i="25"/>
  <c r="G288" i="25"/>
  <c r="G309" i="25"/>
  <c r="G290" i="25"/>
  <c r="G311" i="25"/>
  <c r="G289" i="25"/>
  <c r="G310" i="25"/>
  <c r="G291" i="25"/>
  <c r="G312" i="25"/>
  <c r="F313" i="25"/>
  <c r="H282" i="25"/>
  <c r="H303" i="25"/>
  <c r="H285" i="25"/>
  <c r="H284" i="25"/>
  <c r="G35" i="24"/>
  <c r="G36" i="24"/>
  <c r="G43" i="24"/>
  <c r="H13" i="24"/>
  <c r="H278" i="25"/>
  <c r="H299" i="25"/>
  <c r="H279" i="25"/>
  <c r="H300" i="25"/>
  <c r="H276" i="25"/>
  <c r="H297" i="25"/>
  <c r="I6" i="24"/>
  <c r="I23" i="24"/>
  <c r="H283" i="25"/>
  <c r="H304" i="25"/>
  <c r="H306" i="25"/>
  <c r="H305" i="25"/>
  <c r="I272" i="25"/>
  <c r="I292" i="25"/>
  <c r="I288" i="25"/>
  <c r="I309" i="25"/>
  <c r="I266" i="25"/>
  <c r="I286" i="25"/>
  <c r="I283" i="25"/>
  <c r="I304" i="25"/>
  <c r="I260" i="25"/>
  <c r="I280" i="25"/>
  <c r="I279" i="25"/>
  <c r="I300" i="25"/>
  <c r="G313" i="25"/>
  <c r="G307" i="25"/>
  <c r="J10" i="24"/>
  <c r="J38" i="24"/>
  <c r="H23" i="24"/>
  <c r="H24" i="24"/>
  <c r="H21" i="24"/>
  <c r="H8" i="24"/>
  <c r="H5" i="24"/>
  <c r="H11" i="24"/>
  <c r="H20" i="24"/>
  <c r="J257" i="25"/>
  <c r="J258" i="25"/>
  <c r="J259" i="25"/>
  <c r="K256" i="25"/>
  <c r="J269" i="25"/>
  <c r="J270" i="25"/>
  <c r="J271" i="25"/>
  <c r="K268" i="25"/>
  <c r="H301" i="25"/>
  <c r="K43" i="25"/>
  <c r="I39" i="24"/>
  <c r="H288" i="25"/>
  <c r="H309" i="25"/>
  <c r="H291" i="25"/>
  <c r="H312" i="25"/>
  <c r="H290" i="25"/>
  <c r="H311" i="25"/>
  <c r="H289" i="25"/>
  <c r="H310" i="25"/>
  <c r="G301" i="25"/>
  <c r="J43" i="25"/>
  <c r="J263" i="25"/>
  <c r="J264" i="25"/>
  <c r="J265" i="25"/>
  <c r="K262" i="25"/>
  <c r="H307" i="25"/>
  <c r="I11" i="24"/>
  <c r="I20" i="24"/>
  <c r="I5" i="24"/>
  <c r="I8" i="24"/>
  <c r="I21" i="24"/>
  <c r="I24" i="24"/>
  <c r="I277" i="25"/>
  <c r="I298" i="25"/>
  <c r="I285" i="25"/>
  <c r="I306" i="25"/>
  <c r="I276" i="25"/>
  <c r="I297" i="25"/>
  <c r="I284" i="25"/>
  <c r="I305" i="25"/>
  <c r="I282" i="25"/>
  <c r="I303" i="25"/>
  <c r="I291" i="25"/>
  <c r="I312" i="25"/>
  <c r="I278" i="25"/>
  <c r="I299" i="25"/>
  <c r="I290" i="25"/>
  <c r="I311" i="25"/>
  <c r="I289" i="25"/>
  <c r="I310" i="25"/>
  <c r="J266" i="25"/>
  <c r="J286" i="25"/>
  <c r="J282" i="25"/>
  <c r="J303" i="25"/>
  <c r="H313" i="25"/>
  <c r="K10" i="24"/>
  <c r="K38" i="24"/>
  <c r="H31" i="24"/>
  <c r="H25" i="24"/>
  <c r="H26" i="24"/>
  <c r="H14" i="24"/>
  <c r="I14" i="24"/>
  <c r="H12" i="24"/>
  <c r="H44" i="24"/>
  <c r="H28" i="24"/>
  <c r="J44" i="25"/>
  <c r="K14" i="25"/>
  <c r="J6" i="24"/>
  <c r="J260" i="25"/>
  <c r="J280" i="25"/>
  <c r="K269" i="25"/>
  <c r="K270" i="25"/>
  <c r="K271" i="25"/>
  <c r="L268" i="25"/>
  <c r="J272" i="25"/>
  <c r="J292" i="25"/>
  <c r="K257" i="25"/>
  <c r="K258" i="25"/>
  <c r="K259" i="25"/>
  <c r="L256" i="25"/>
  <c r="H40" i="24"/>
  <c r="J39" i="24"/>
  <c r="K263" i="25"/>
  <c r="K264" i="25"/>
  <c r="K265" i="25"/>
  <c r="L262" i="25"/>
  <c r="K44" i="25"/>
  <c r="K6" i="24"/>
  <c r="I31" i="24"/>
  <c r="I313" i="25"/>
  <c r="I301" i="25"/>
  <c r="I307" i="25"/>
  <c r="J284" i="25"/>
  <c r="J305" i="25"/>
  <c r="J283" i="25"/>
  <c r="J304" i="25"/>
  <c r="J285" i="25"/>
  <c r="J306" i="25"/>
  <c r="K39" i="24"/>
  <c r="H15" i="24"/>
  <c r="H16" i="24"/>
  <c r="H17" i="24"/>
  <c r="H19" i="24"/>
  <c r="H22" i="24"/>
  <c r="H34" i="24"/>
  <c r="L10" i="24"/>
  <c r="L38" i="24"/>
  <c r="J288" i="25"/>
  <c r="J309" i="25"/>
  <c r="J289" i="25"/>
  <c r="J310" i="25"/>
  <c r="J290" i="25"/>
  <c r="J311" i="25"/>
  <c r="J291" i="25"/>
  <c r="J312" i="25"/>
  <c r="L269" i="25"/>
  <c r="L270" i="25"/>
  <c r="L271" i="25"/>
  <c r="M268" i="25"/>
  <c r="I25" i="24"/>
  <c r="I26" i="24"/>
  <c r="K272" i="25"/>
  <c r="K292" i="25"/>
  <c r="J24" i="24"/>
  <c r="J21" i="24"/>
  <c r="J23" i="24"/>
  <c r="J5" i="24"/>
  <c r="J8" i="24"/>
  <c r="J11" i="24"/>
  <c r="J20" i="24"/>
  <c r="K23" i="24"/>
  <c r="K24" i="24"/>
  <c r="K21" i="24"/>
  <c r="K11" i="24"/>
  <c r="K20" i="24"/>
  <c r="K5" i="24"/>
  <c r="K8" i="24"/>
  <c r="I40" i="24"/>
  <c r="I9" i="24"/>
  <c r="L44" i="25"/>
  <c r="M43" i="25"/>
  <c r="L6" i="24"/>
  <c r="L263" i="25"/>
  <c r="L264" i="25"/>
  <c r="L265" i="25"/>
  <c r="M262" i="25"/>
  <c r="L257" i="25"/>
  <c r="L258" i="25"/>
  <c r="L259" i="25"/>
  <c r="M256" i="25"/>
  <c r="J276" i="25"/>
  <c r="J297" i="25"/>
  <c r="J277" i="25"/>
  <c r="J298" i="25"/>
  <c r="J278" i="25"/>
  <c r="J299" i="25"/>
  <c r="J279" i="25"/>
  <c r="J300" i="25"/>
  <c r="K266" i="25"/>
  <c r="K286" i="25"/>
  <c r="K260" i="25"/>
  <c r="K280" i="25"/>
  <c r="J307" i="25"/>
  <c r="L39" i="24"/>
  <c r="H29" i="24"/>
  <c r="H30" i="24"/>
  <c r="J301" i="25"/>
  <c r="M10" i="24"/>
  <c r="M38" i="24"/>
  <c r="M257" i="25"/>
  <c r="M258" i="25"/>
  <c r="M259" i="25"/>
  <c r="N256" i="25"/>
  <c r="I41" i="24"/>
  <c r="I12" i="24"/>
  <c r="I44" i="24"/>
  <c r="I28" i="24"/>
  <c r="L260" i="25"/>
  <c r="L280" i="25"/>
  <c r="J40" i="24"/>
  <c r="J9" i="24"/>
  <c r="J12" i="24"/>
  <c r="J44" i="24"/>
  <c r="K288" i="25"/>
  <c r="K309" i="25"/>
  <c r="K290" i="25"/>
  <c r="K311" i="25"/>
  <c r="K289" i="25"/>
  <c r="K310" i="25"/>
  <c r="K291" i="25"/>
  <c r="K312" i="25"/>
  <c r="M263" i="25"/>
  <c r="M264" i="25"/>
  <c r="M265" i="25"/>
  <c r="N262" i="25"/>
  <c r="J313" i="25"/>
  <c r="K282" i="25"/>
  <c r="K303" i="25"/>
  <c r="K285" i="25"/>
  <c r="K306" i="25"/>
  <c r="K283" i="25"/>
  <c r="K304" i="25"/>
  <c r="K284" i="25"/>
  <c r="K305" i="25"/>
  <c r="K276" i="25"/>
  <c r="K297" i="25"/>
  <c r="K279" i="25"/>
  <c r="K300" i="25"/>
  <c r="K277" i="25"/>
  <c r="K298" i="25"/>
  <c r="K278" i="25"/>
  <c r="K299" i="25"/>
  <c r="M269" i="25"/>
  <c r="M270" i="25"/>
  <c r="M271" i="25"/>
  <c r="N268" i="25"/>
  <c r="L24" i="24"/>
  <c r="L23" i="24"/>
  <c r="L11" i="24"/>
  <c r="L20" i="24"/>
  <c r="L5" i="24"/>
  <c r="L21" i="24"/>
  <c r="L8" i="24"/>
  <c r="J31" i="24"/>
  <c r="K31" i="24"/>
  <c r="J25" i="24"/>
  <c r="J26" i="24"/>
  <c r="J14" i="24"/>
  <c r="K14" i="24"/>
  <c r="L266" i="25"/>
  <c r="L286" i="25"/>
  <c r="L272" i="25"/>
  <c r="L292" i="25"/>
  <c r="N43" i="25"/>
  <c r="M44" i="25"/>
  <c r="M6" i="24"/>
  <c r="H32" i="24"/>
  <c r="H35" i="24"/>
  <c r="M39" i="24"/>
  <c r="M260" i="25"/>
  <c r="M280" i="25"/>
  <c r="M277" i="25"/>
  <c r="M298" i="25"/>
  <c r="K301" i="25"/>
  <c r="N10" i="24"/>
  <c r="N38" i="24"/>
  <c r="N269" i="25"/>
  <c r="N270" i="25"/>
  <c r="N271" i="25"/>
  <c r="L14" i="24"/>
  <c r="L31" i="24"/>
  <c r="M272" i="25"/>
  <c r="M292" i="25"/>
  <c r="K307" i="25"/>
  <c r="J41" i="24"/>
  <c r="L282" i="25"/>
  <c r="L303" i="25"/>
  <c r="L283" i="25"/>
  <c r="L304" i="25"/>
  <c r="L285" i="25"/>
  <c r="L306" i="25"/>
  <c r="L284" i="25"/>
  <c r="L305" i="25"/>
  <c r="J28" i="24"/>
  <c r="O43" i="25"/>
  <c r="N44" i="25"/>
  <c r="N6" i="24"/>
  <c r="N257" i="25"/>
  <c r="N258" i="25"/>
  <c r="N259" i="25"/>
  <c r="M276" i="25"/>
  <c r="M297" i="25"/>
  <c r="M278" i="25"/>
  <c r="M299" i="25"/>
  <c r="M279" i="25"/>
  <c r="M300" i="25"/>
  <c r="K25" i="24"/>
  <c r="K26" i="24"/>
  <c r="M266" i="25"/>
  <c r="M286" i="25"/>
  <c r="K40" i="24"/>
  <c r="K9" i="24"/>
  <c r="M23" i="24"/>
  <c r="M24" i="24"/>
  <c r="M21" i="24"/>
  <c r="M5" i="24"/>
  <c r="M11" i="24"/>
  <c r="M20" i="24"/>
  <c r="M8" i="24"/>
  <c r="K313" i="25"/>
  <c r="L288" i="25"/>
  <c r="L309" i="25"/>
  <c r="L290" i="25"/>
  <c r="L311" i="25"/>
  <c r="L289" i="25"/>
  <c r="L310" i="25"/>
  <c r="L291" i="25"/>
  <c r="L312" i="25"/>
  <c r="N263" i="25"/>
  <c r="N264" i="25"/>
  <c r="N265" i="25"/>
  <c r="L276" i="25"/>
  <c r="L297" i="25"/>
  <c r="L278" i="25"/>
  <c r="L299" i="25"/>
  <c r="L279" i="25"/>
  <c r="L300" i="25"/>
  <c r="L277" i="25"/>
  <c r="L298" i="25"/>
  <c r="H36" i="24"/>
  <c r="H43" i="24"/>
  <c r="I13" i="24"/>
  <c r="I15" i="24"/>
  <c r="I16" i="24"/>
  <c r="I17" i="24"/>
  <c r="I29" i="24"/>
  <c r="N39" i="24"/>
  <c r="O10" i="24"/>
  <c r="O38" i="24"/>
  <c r="O44" i="25"/>
  <c r="P43" i="25"/>
  <c r="O6" i="24"/>
  <c r="K41" i="24"/>
  <c r="M288" i="25"/>
  <c r="M309" i="25"/>
  <c r="M291" i="25"/>
  <c r="M312" i="25"/>
  <c r="M290" i="25"/>
  <c r="M311" i="25"/>
  <c r="M289" i="25"/>
  <c r="M310" i="25"/>
  <c r="O39" i="24"/>
  <c r="M31" i="24"/>
  <c r="M14" i="24"/>
  <c r="L301" i="25"/>
  <c r="L313" i="25"/>
  <c r="K12" i="24"/>
  <c r="K44" i="24"/>
  <c r="K28" i="24"/>
  <c r="M301" i="25"/>
  <c r="L40" i="24"/>
  <c r="L9" i="24"/>
  <c r="L12" i="24"/>
  <c r="L44" i="24"/>
  <c r="N260" i="25"/>
  <c r="N280" i="25"/>
  <c r="L25" i="24"/>
  <c r="L26" i="24"/>
  <c r="N266" i="25"/>
  <c r="N286" i="25"/>
  <c r="M282" i="25"/>
  <c r="M303" i="25"/>
  <c r="M285" i="25"/>
  <c r="M306" i="25"/>
  <c r="M283" i="25"/>
  <c r="M304" i="25"/>
  <c r="M284" i="25"/>
  <c r="M305" i="25"/>
  <c r="N23" i="24"/>
  <c r="N24" i="24"/>
  <c r="N11" i="24"/>
  <c r="N20" i="24"/>
  <c r="N5" i="24"/>
  <c r="N21" i="24"/>
  <c r="N8" i="24"/>
  <c r="L307" i="25"/>
  <c r="N272" i="25"/>
  <c r="N292" i="25"/>
  <c r="I30" i="24"/>
  <c r="I32" i="24"/>
  <c r="I19" i="24"/>
  <c r="I22" i="24"/>
  <c r="I34" i="24"/>
  <c r="M313" i="25"/>
  <c r="L28" i="24"/>
  <c r="P10" i="24"/>
  <c r="P38" i="24"/>
  <c r="M40" i="24"/>
  <c r="M9" i="24"/>
  <c r="M12" i="24"/>
  <c r="M44" i="24"/>
  <c r="M28" i="24"/>
  <c r="M307" i="25"/>
  <c r="M25" i="24"/>
  <c r="M26" i="24"/>
  <c r="L41" i="24"/>
  <c r="N31" i="24"/>
  <c r="N14" i="24"/>
  <c r="N282" i="25"/>
  <c r="N303" i="25"/>
  <c r="N283" i="25"/>
  <c r="N304" i="25"/>
  <c r="N284" i="25"/>
  <c r="N305" i="25"/>
  <c r="N285" i="25"/>
  <c r="N306" i="25"/>
  <c r="O24" i="24"/>
  <c r="O21" i="24"/>
  <c r="O23" i="24"/>
  <c r="O5" i="24"/>
  <c r="O8" i="24"/>
  <c r="O11" i="24"/>
  <c r="O20" i="24"/>
  <c r="P44" i="25"/>
  <c r="Q43" i="25"/>
  <c r="P6" i="24"/>
  <c r="N276" i="25"/>
  <c r="N297" i="25"/>
  <c r="N277" i="25"/>
  <c r="N298" i="25"/>
  <c r="N278" i="25"/>
  <c r="N299" i="25"/>
  <c r="N279" i="25"/>
  <c r="N300" i="25"/>
  <c r="N288" i="25"/>
  <c r="N309" i="25"/>
  <c r="N291" i="25"/>
  <c r="N312" i="25"/>
  <c r="N289" i="25"/>
  <c r="N310" i="25"/>
  <c r="N290" i="25"/>
  <c r="N311" i="25"/>
  <c r="I35" i="24"/>
  <c r="P39" i="24"/>
  <c r="Q10" i="24"/>
  <c r="Q38" i="24"/>
  <c r="N313" i="25"/>
  <c r="P23" i="24"/>
  <c r="P24" i="24"/>
  <c r="P21" i="24"/>
  <c r="P8" i="24"/>
  <c r="P11" i="24"/>
  <c r="P20" i="24"/>
  <c r="P5" i="24"/>
  <c r="R43" i="25"/>
  <c r="Q44" i="25"/>
  <c r="Q6" i="24"/>
  <c r="N40" i="24"/>
  <c r="N9" i="24"/>
  <c r="N12" i="24"/>
  <c r="N44" i="24"/>
  <c r="N28" i="24"/>
  <c r="M41" i="24"/>
  <c r="Q39" i="24"/>
  <c r="N301" i="25"/>
  <c r="N307" i="25"/>
  <c r="O31" i="24"/>
  <c r="O14" i="24"/>
  <c r="N25" i="24"/>
  <c r="N26" i="24"/>
  <c r="I36" i="24"/>
  <c r="I43" i="24"/>
  <c r="J13" i="24"/>
  <c r="J15" i="24"/>
  <c r="J16" i="24"/>
  <c r="J17" i="24"/>
  <c r="R10" i="24"/>
  <c r="R38" i="24"/>
  <c r="Q23" i="24"/>
  <c r="Q24" i="24"/>
  <c r="Q21" i="24"/>
  <c r="Q8" i="24"/>
  <c r="Q5" i="24"/>
  <c r="Q11" i="24"/>
  <c r="Q20" i="24"/>
  <c r="S43" i="25"/>
  <c r="R6" i="24"/>
  <c r="O40" i="24"/>
  <c r="O9" i="24"/>
  <c r="O12" i="24"/>
  <c r="O44" i="24"/>
  <c r="O28" i="24"/>
  <c r="O25" i="24"/>
  <c r="O26" i="24"/>
  <c r="P31" i="24"/>
  <c r="P14" i="24"/>
  <c r="N41" i="24"/>
  <c r="J19" i="24"/>
  <c r="J22" i="24"/>
  <c r="J34" i="24"/>
  <c r="J29" i="24"/>
  <c r="J30" i="24"/>
  <c r="S10" i="24"/>
  <c r="S38" i="24"/>
  <c r="R39" i="24"/>
  <c r="Q31" i="24"/>
  <c r="Q14" i="24"/>
  <c r="O41" i="24"/>
  <c r="P40" i="24"/>
  <c r="P9" i="24"/>
  <c r="P12" i="24"/>
  <c r="P44" i="24"/>
  <c r="P28" i="24"/>
  <c r="R24" i="24"/>
  <c r="R21" i="24"/>
  <c r="R23" i="24"/>
  <c r="R5" i="24"/>
  <c r="R11" i="24"/>
  <c r="R20" i="24"/>
  <c r="R8" i="24"/>
  <c r="P25" i="24"/>
  <c r="P26" i="24"/>
  <c r="T43" i="25"/>
  <c r="T6" i="24"/>
  <c r="S6" i="24"/>
  <c r="J35" i="24"/>
  <c r="J32" i="24"/>
  <c r="S39" i="24"/>
  <c r="P41" i="24"/>
  <c r="T10" i="24"/>
  <c r="T38" i="24"/>
  <c r="Q40" i="24"/>
  <c r="Q9" i="24"/>
  <c r="Q12" i="24"/>
  <c r="Q44" i="24"/>
  <c r="Q28" i="24"/>
  <c r="S23" i="24"/>
  <c r="S24" i="24"/>
  <c r="S21" i="24"/>
  <c r="S5" i="24"/>
  <c r="S11" i="24"/>
  <c r="S20" i="24"/>
  <c r="S8" i="24"/>
  <c r="R31" i="24"/>
  <c r="R14" i="24"/>
  <c r="U43" i="25"/>
  <c r="Q25" i="24"/>
  <c r="Q26" i="24"/>
  <c r="J36" i="24"/>
  <c r="J43" i="24"/>
  <c r="K13" i="24"/>
  <c r="K15" i="24"/>
  <c r="K16" i="24"/>
  <c r="K17" i="24"/>
  <c r="R25" i="24"/>
  <c r="R26" i="24"/>
  <c r="T39" i="24"/>
  <c r="U10" i="24"/>
  <c r="U38" i="24"/>
  <c r="R40" i="24"/>
  <c r="R9" i="24"/>
  <c r="R12" i="24"/>
  <c r="R44" i="24"/>
  <c r="R28" i="24"/>
  <c r="T11" i="24"/>
  <c r="T20" i="24"/>
  <c r="T21" i="24"/>
  <c r="T5" i="24"/>
  <c r="T24" i="24"/>
  <c r="T23" i="24"/>
  <c r="T8" i="24"/>
  <c r="S31" i="24"/>
  <c r="S14" i="24"/>
  <c r="V43" i="25"/>
  <c r="U6" i="24"/>
  <c r="Q41" i="24"/>
  <c r="K19" i="24"/>
  <c r="K22" i="24"/>
  <c r="K34" i="24"/>
  <c r="K29" i="24"/>
  <c r="K30" i="24"/>
  <c r="S25" i="24"/>
  <c r="S26" i="24"/>
  <c r="U39" i="24"/>
  <c r="R41" i="24"/>
  <c r="V10" i="24"/>
  <c r="V38" i="24"/>
  <c r="S40" i="24"/>
  <c r="S9" i="24"/>
  <c r="S12" i="24"/>
  <c r="S44" i="24"/>
  <c r="S28" i="24"/>
  <c r="U23" i="24"/>
  <c r="U24" i="24"/>
  <c r="U21" i="24"/>
  <c r="U11" i="24"/>
  <c r="U20" i="24"/>
  <c r="U5" i="24"/>
  <c r="U8" i="24"/>
  <c r="T14" i="24"/>
  <c r="T31" i="24"/>
  <c r="W43" i="25"/>
  <c r="V6" i="24"/>
  <c r="T25" i="24"/>
  <c r="T26" i="24"/>
  <c r="K35" i="24"/>
  <c r="K32" i="24"/>
  <c r="S41" i="24"/>
  <c r="V39" i="24"/>
  <c r="W39" i="24"/>
  <c r="W10" i="24"/>
  <c r="W38" i="24"/>
  <c r="T40" i="24"/>
  <c r="T9" i="24"/>
  <c r="T12" i="24"/>
  <c r="T44" i="24"/>
  <c r="T28" i="24"/>
  <c r="X43" i="25"/>
  <c r="W6" i="24"/>
  <c r="V23" i="24"/>
  <c r="V11" i="24"/>
  <c r="V20" i="24"/>
  <c r="V21" i="24"/>
  <c r="V5" i="24"/>
  <c r="V24" i="24"/>
  <c r="V8" i="24"/>
  <c r="U31" i="24"/>
  <c r="U25" i="24"/>
  <c r="U26" i="24"/>
  <c r="U14" i="24"/>
  <c r="K36" i="24"/>
  <c r="K43" i="24"/>
  <c r="L13" i="24"/>
  <c r="L15" i="24"/>
  <c r="L16" i="24"/>
  <c r="L17" i="24"/>
  <c r="X10" i="24"/>
  <c r="X38" i="24"/>
  <c r="U40" i="24"/>
  <c r="U9" i="24"/>
  <c r="U12" i="24"/>
  <c r="U44" i="24"/>
  <c r="U28" i="24"/>
  <c r="W24" i="24"/>
  <c r="W21" i="24"/>
  <c r="W23" i="24"/>
  <c r="W5" i="24"/>
  <c r="W8" i="24"/>
  <c r="W11" i="24"/>
  <c r="W20" i="24"/>
  <c r="V31" i="24"/>
  <c r="V14" i="24"/>
  <c r="V25" i="24"/>
  <c r="V26" i="24"/>
  <c r="Y43" i="25"/>
  <c r="X6" i="24"/>
  <c r="T41" i="24"/>
  <c r="L29" i="24"/>
  <c r="L30" i="24"/>
  <c r="L19" i="24"/>
  <c r="L22" i="24"/>
  <c r="L34" i="24"/>
  <c r="X39" i="24"/>
  <c r="Y10" i="24"/>
  <c r="Y38" i="24"/>
  <c r="W25" i="24"/>
  <c r="W26" i="24"/>
  <c r="W31" i="24"/>
  <c r="W14" i="24"/>
  <c r="X23" i="24"/>
  <c r="X24" i="24"/>
  <c r="X21" i="24"/>
  <c r="X5" i="24"/>
  <c r="X8" i="24"/>
  <c r="X11" i="24"/>
  <c r="X20" i="24"/>
  <c r="Z43" i="25"/>
  <c r="Y6" i="24"/>
  <c r="U41" i="24"/>
  <c r="V40" i="24"/>
  <c r="V9" i="24"/>
  <c r="V12" i="24"/>
  <c r="V44" i="24"/>
  <c r="V28" i="24"/>
  <c r="L35" i="24"/>
  <c r="L36" i="24"/>
  <c r="L43" i="24"/>
  <c r="M13" i="24"/>
  <c r="M15" i="24"/>
  <c r="M16" i="24"/>
  <c r="M17" i="24"/>
  <c r="L32" i="24"/>
  <c r="Y39" i="24"/>
  <c r="AA43" i="25"/>
  <c r="Z6" i="24"/>
  <c r="V41" i="24"/>
  <c r="X31" i="24"/>
  <c r="X25" i="24"/>
  <c r="X26" i="24"/>
  <c r="X14" i="24"/>
  <c r="W40" i="24"/>
  <c r="W9" i="24"/>
  <c r="W12" i="24"/>
  <c r="W44" i="24"/>
  <c r="W28" i="24"/>
  <c r="Y23" i="24"/>
  <c r="Y24" i="24"/>
  <c r="Y21" i="24"/>
  <c r="Y8" i="24"/>
  <c r="Y11" i="24"/>
  <c r="Y20" i="24"/>
  <c r="Y5" i="24"/>
  <c r="Z10" i="24"/>
  <c r="M29" i="24"/>
  <c r="M19" i="24"/>
  <c r="M22" i="24"/>
  <c r="M34" i="24"/>
  <c r="M30" i="24"/>
  <c r="Z39" i="24"/>
  <c r="W41" i="24"/>
  <c r="Z38" i="24"/>
  <c r="AA10" i="24"/>
  <c r="AA39" i="24"/>
  <c r="Z24" i="24"/>
  <c r="Z21" i="24"/>
  <c r="Z5" i="24"/>
  <c r="Z11" i="24"/>
  <c r="Z20" i="24"/>
  <c r="Z23" i="24"/>
  <c r="Z8" i="24"/>
  <c r="Y25" i="24"/>
  <c r="Y26" i="24"/>
  <c r="Y31" i="24"/>
  <c r="Y14" i="24"/>
  <c r="AB43" i="25"/>
  <c r="AA6" i="24"/>
  <c r="X40" i="24"/>
  <c r="X9" i="24"/>
  <c r="X12" i="24"/>
  <c r="X44" i="24"/>
  <c r="X28" i="24"/>
  <c r="M32" i="24"/>
  <c r="M35" i="24"/>
  <c r="M36" i="24"/>
  <c r="M43" i="24"/>
  <c r="N13" i="24"/>
  <c r="N15" i="24"/>
  <c r="N16" i="24"/>
  <c r="N17" i="24"/>
  <c r="G45" i="29"/>
  <c r="H45" i="29"/>
  <c r="G42" i="29"/>
  <c r="H42" i="29"/>
  <c r="G43" i="29"/>
  <c r="H43" i="29"/>
  <c r="G32" i="29"/>
  <c r="H32" i="29"/>
  <c r="C35" i="29"/>
  <c r="G35" i="29"/>
  <c r="H35" i="29"/>
  <c r="G33" i="29"/>
  <c r="H33" i="29"/>
  <c r="C34" i="29"/>
  <c r="G34" i="29"/>
  <c r="H34" i="29"/>
  <c r="G31" i="29"/>
  <c r="H31" i="29"/>
  <c r="G8" i="29"/>
  <c r="H8" i="29"/>
  <c r="Y40" i="24"/>
  <c r="Y9" i="24"/>
  <c r="Y12" i="24"/>
  <c r="Y44" i="24"/>
  <c r="Y28" i="24"/>
  <c r="Z31" i="24"/>
  <c r="Z25" i="24"/>
  <c r="Z26" i="24"/>
  <c r="Z14" i="24"/>
  <c r="X41" i="24"/>
  <c r="AA23" i="24"/>
  <c r="AA24" i="24"/>
  <c r="AA21" i="24"/>
  <c r="AA11" i="24"/>
  <c r="AA20" i="24"/>
  <c r="AA5" i="24"/>
  <c r="AA8" i="24"/>
  <c r="AA38" i="24"/>
  <c r="AC43" i="25"/>
  <c r="AB6" i="24"/>
  <c r="N29" i="24"/>
  <c r="N19" i="24"/>
  <c r="N22" i="24"/>
  <c r="N34" i="24"/>
  <c r="N30" i="24"/>
  <c r="AD43" i="25"/>
  <c r="AC6" i="24"/>
  <c r="Y41" i="24"/>
  <c r="AA31" i="24"/>
  <c r="AA25" i="24"/>
  <c r="AA26" i="24"/>
  <c r="AA14" i="24"/>
  <c r="AB10" i="24"/>
  <c r="AB39" i="24"/>
  <c r="AB21" i="24"/>
  <c r="AB11" i="24"/>
  <c r="AB20" i="24"/>
  <c r="AB5" i="24"/>
  <c r="AB24" i="24"/>
  <c r="AB23" i="24"/>
  <c r="AB8" i="24"/>
  <c r="Z40" i="24"/>
  <c r="Z9" i="24"/>
  <c r="Z12" i="24"/>
  <c r="Z44" i="24"/>
  <c r="Z28" i="24"/>
  <c r="N35" i="24"/>
  <c r="N36" i="24"/>
  <c r="N43" i="24"/>
  <c r="O13" i="24"/>
  <c r="O15" i="24"/>
  <c r="O16" i="24"/>
  <c r="O17" i="24"/>
  <c r="O29" i="24"/>
  <c r="N32" i="24"/>
  <c r="AB38" i="24"/>
  <c r="AC10" i="24"/>
  <c r="AC39" i="24"/>
  <c r="Z41" i="24"/>
  <c r="AC23" i="24"/>
  <c r="AC24" i="24"/>
  <c r="AC21" i="24"/>
  <c r="AC5" i="24"/>
  <c r="AC11" i="24"/>
  <c r="AC20" i="24"/>
  <c r="AC8" i="24"/>
  <c r="AA40" i="24"/>
  <c r="AA9" i="24"/>
  <c r="AA12" i="24"/>
  <c r="AA44" i="24"/>
  <c r="AA28" i="24"/>
  <c r="AB25" i="24"/>
  <c r="AB26" i="24"/>
  <c r="AB31" i="24"/>
  <c r="AB14" i="24"/>
  <c r="AE43" i="25"/>
  <c r="AF43" i="25"/>
  <c r="AD6" i="24"/>
  <c r="O19" i="24"/>
  <c r="O22" i="24"/>
  <c r="O34" i="24"/>
  <c r="O30" i="24"/>
  <c r="O35" i="24"/>
  <c r="AA41" i="24"/>
  <c r="AE6" i="24"/>
  <c r="AC31" i="24"/>
  <c r="AC25" i="24"/>
  <c r="AC26" i="24"/>
  <c r="AC14" i="24"/>
  <c r="AC38" i="24"/>
  <c r="AD23" i="24"/>
  <c r="AD21" i="24"/>
  <c r="AD11" i="24"/>
  <c r="AD20" i="24"/>
  <c r="AD5" i="24"/>
  <c r="AD24" i="24"/>
  <c r="AD8" i="24"/>
  <c r="AB40" i="24"/>
  <c r="AB9" i="24"/>
  <c r="AB12" i="24"/>
  <c r="AB44" i="24"/>
  <c r="AB28" i="24"/>
  <c r="O32" i="24"/>
  <c r="O36" i="24"/>
  <c r="O43" i="24"/>
  <c r="P13" i="24"/>
  <c r="P15" i="24"/>
  <c r="P16" i="24"/>
  <c r="P17" i="24"/>
  <c r="P30" i="24"/>
  <c r="AE24" i="24"/>
  <c r="AE21" i="24"/>
  <c r="AE23" i="24"/>
  <c r="AE5" i="24"/>
  <c r="AE8" i="24"/>
  <c r="AE11" i="24"/>
  <c r="AE20" i="24"/>
  <c r="AF6" i="24"/>
  <c r="AC40" i="24"/>
  <c r="AC9" i="24"/>
  <c r="AC12" i="24"/>
  <c r="AC44" i="24"/>
  <c r="AC28" i="24"/>
  <c r="AD31" i="24"/>
  <c r="AD14" i="24"/>
  <c r="AD25" i="24"/>
  <c r="AD26" i="24"/>
  <c r="AD10" i="24"/>
  <c r="AD39" i="24"/>
  <c r="AB41" i="24"/>
  <c r="P19" i="24"/>
  <c r="P22" i="24"/>
  <c r="P34" i="24"/>
  <c r="P29" i="24"/>
  <c r="P32" i="24"/>
  <c r="AC41" i="24"/>
  <c r="AD38" i="24"/>
  <c r="AE25" i="24"/>
  <c r="AE26" i="24"/>
  <c r="AE31" i="24"/>
  <c r="AE14" i="24"/>
  <c r="AD40" i="24"/>
  <c r="AD9" i="24"/>
  <c r="AD12" i="24"/>
  <c r="AD44" i="24"/>
  <c r="AD28" i="24"/>
  <c r="AF23" i="24"/>
  <c r="AF24" i="24"/>
  <c r="AF21" i="24"/>
  <c r="AF8" i="24"/>
  <c r="AF11" i="24"/>
  <c r="AF20" i="24"/>
  <c r="AF5" i="24"/>
  <c r="AE10" i="24"/>
  <c r="AE39" i="24"/>
  <c r="P35" i="24"/>
  <c r="P36" i="24"/>
  <c r="P43" i="24"/>
  <c r="Q13" i="24"/>
  <c r="Q15" i="24"/>
  <c r="Q16" i="24"/>
  <c r="Q17" i="24"/>
  <c r="Q19" i="24"/>
  <c r="Q22" i="24"/>
  <c r="Q34" i="24"/>
  <c r="AE38" i="24"/>
  <c r="AF10" i="24"/>
  <c r="AF39" i="24"/>
  <c r="AG39" i="24"/>
  <c r="M47" i="28"/>
  <c r="K24" i="28"/>
  <c r="E23" i="28"/>
  <c r="E20" i="28"/>
  <c r="L47" i="28"/>
  <c r="K29" i="28"/>
  <c r="M28" i="28"/>
  <c r="M55" i="28"/>
  <c r="M53" i="28"/>
  <c r="M51" i="28"/>
  <c r="M49" i="28"/>
  <c r="K31" i="28"/>
  <c r="E27" i="28"/>
  <c r="K22" i="28"/>
  <c r="L55" i="28"/>
  <c r="L53" i="28"/>
  <c r="M32" i="28"/>
  <c r="L51" i="28"/>
  <c r="L49" i="28"/>
  <c r="E26" i="28"/>
  <c r="E24" i="28"/>
  <c r="E29" i="28"/>
  <c r="K25" i="28"/>
  <c r="M54" i="28"/>
  <c r="M48" i="28"/>
  <c r="E31" i="28"/>
  <c r="K23" i="28"/>
  <c r="L54" i="28"/>
  <c r="M52" i="28"/>
  <c r="M50" i="28"/>
  <c r="L48" i="28"/>
  <c r="K30" i="28"/>
  <c r="M26" i="28"/>
  <c r="L52" i="28"/>
  <c r="L50" i="28"/>
  <c r="E28" i="28"/>
  <c r="E25" i="28"/>
  <c r="E21" i="28"/>
  <c r="H46" i="28" a="1"/>
  <c r="D46" i="28" a="1"/>
  <c r="C46" i="28" a="1"/>
  <c r="E22" i="28"/>
  <c r="AF31" i="24"/>
  <c r="AF25" i="24"/>
  <c r="AF26" i="24"/>
  <c r="AF14" i="24"/>
  <c r="AE40" i="24"/>
  <c r="AE9" i="24"/>
  <c r="AE12" i="24"/>
  <c r="AE44" i="24"/>
  <c r="AE28" i="24"/>
  <c r="AD41" i="24"/>
  <c r="AG23" i="24"/>
  <c r="Q30" i="24"/>
  <c r="Q29" i="24"/>
  <c r="AE41" i="24"/>
  <c r="AF38" i="24"/>
  <c r="AG38" i="24"/>
  <c r="M56" i="28"/>
  <c r="C57" i="28"/>
  <c r="N53" i="28"/>
  <c r="C46" i="28"/>
  <c r="N47" i="28"/>
  <c r="N52" i="28"/>
  <c r="C58" i="28"/>
  <c r="N54" i="28"/>
  <c r="N49" i="28"/>
  <c r="N48" i="28"/>
  <c r="C55" i="28"/>
  <c r="N55" i="28"/>
  <c r="N51" i="28"/>
  <c r="N50" i="28"/>
  <c r="O48" i="28"/>
  <c r="D58" i="28"/>
  <c r="O53" i="28"/>
  <c r="O51" i="28"/>
  <c r="O52" i="28"/>
  <c r="O54" i="28"/>
  <c r="O50" i="28"/>
  <c r="O49" i="28"/>
  <c r="D46" i="28"/>
  <c r="D57" i="28"/>
  <c r="K27" i="28"/>
  <c r="K26" i="28"/>
  <c r="C39" i="29"/>
  <c r="R52" i="28"/>
  <c r="R48" i="28"/>
  <c r="R50" i="28"/>
  <c r="H58" i="28"/>
  <c r="R49" i="28"/>
  <c r="R51" i="28"/>
  <c r="H46" i="28"/>
  <c r="R53" i="28"/>
  <c r="R54" i="28"/>
  <c r="K28" i="28"/>
  <c r="M24" i="28"/>
  <c r="M27" i="28"/>
  <c r="M25" i="28"/>
  <c r="M29" i="28"/>
  <c r="AF40" i="24"/>
  <c r="AG40" i="24"/>
  <c r="AF9" i="24"/>
  <c r="Q35" i="24"/>
  <c r="Q36" i="24"/>
  <c r="Q43" i="24"/>
  <c r="R13" i="24"/>
  <c r="R15" i="24"/>
  <c r="R16" i="24"/>
  <c r="R17" i="24"/>
  <c r="R19" i="24"/>
  <c r="R22" i="24"/>
  <c r="R34" i="24"/>
  <c r="Q32" i="24"/>
  <c r="H57" i="28"/>
  <c r="H55" i="28"/>
  <c r="O47" i="28"/>
  <c r="D56" i="28"/>
  <c r="D55" i="28"/>
  <c r="O55" i="28"/>
  <c r="G39" i="29"/>
  <c r="H39" i="29"/>
  <c r="C56" i="28"/>
  <c r="AG9" i="24"/>
  <c r="AH24" i="24"/>
  <c r="AF12" i="24"/>
  <c r="AF44" i="24"/>
  <c r="AF28" i="24"/>
  <c r="AF41" i="24"/>
  <c r="AG41" i="24"/>
  <c r="R29" i="24"/>
  <c r="R30" i="24"/>
  <c r="R35" i="24"/>
  <c r="R36" i="24"/>
  <c r="R43" i="24"/>
  <c r="S13" i="24"/>
  <c r="S15" i="24"/>
  <c r="S16" i="24"/>
  <c r="S17" i="24"/>
  <c r="S29" i="24"/>
  <c r="R32" i="24"/>
  <c r="S30" i="24"/>
  <c r="S32" i="24"/>
  <c r="S19" i="24"/>
  <c r="S22" i="24"/>
  <c r="S34" i="24"/>
  <c r="S35" i="24"/>
  <c r="S36" i="24"/>
  <c r="S43" i="24"/>
  <c r="T13" i="24"/>
  <c r="T15" i="24"/>
  <c r="T16" i="24"/>
  <c r="T17" i="24"/>
  <c r="T29" i="24"/>
  <c r="T19" i="24"/>
  <c r="T22" i="24"/>
  <c r="T34" i="24"/>
  <c r="T30" i="24"/>
  <c r="T35" i="24"/>
  <c r="T36" i="24"/>
  <c r="T43" i="24"/>
  <c r="U13" i="24"/>
  <c r="U15" i="24"/>
  <c r="U16" i="24"/>
  <c r="U17" i="24"/>
  <c r="U30" i="24"/>
  <c r="T32" i="24"/>
  <c r="U29" i="24"/>
  <c r="U32" i="24"/>
  <c r="U19" i="24"/>
  <c r="U22" i="24"/>
  <c r="U34" i="24"/>
  <c r="U35" i="24"/>
  <c r="U36" i="24"/>
  <c r="U43" i="24"/>
  <c r="V13" i="24"/>
  <c r="V15" i="24"/>
  <c r="V16" i="24"/>
  <c r="V17" i="24"/>
  <c r="V29" i="24"/>
  <c r="I46" i="28" a="1"/>
  <c r="E46" i="28" a="1"/>
  <c r="V30" i="24"/>
  <c r="V35" i="24"/>
  <c r="V19" i="24"/>
  <c r="V22" i="24"/>
  <c r="V34" i="24"/>
  <c r="E46" i="28"/>
  <c r="M31" i="28"/>
  <c r="L57" i="28"/>
  <c r="L58" i="28"/>
  <c r="S53" i="28"/>
  <c r="S52" i="28"/>
  <c r="S48" i="28"/>
  <c r="M57" i="28"/>
  <c r="M58" i="28"/>
  <c r="S54" i="28"/>
  <c r="S51" i="28"/>
  <c r="S49" i="28"/>
  <c r="S50" i="28"/>
  <c r="I46" i="28"/>
  <c r="V36" i="24"/>
  <c r="V43" i="24"/>
  <c r="W13" i="24"/>
  <c r="W15" i="24"/>
  <c r="W16" i="24"/>
  <c r="W17" i="24"/>
  <c r="W29" i="24"/>
  <c r="V32" i="24"/>
  <c r="H56" i="28"/>
  <c r="W30" i="24"/>
  <c r="W35" i="24"/>
  <c r="W19" i="24"/>
  <c r="W22" i="24"/>
  <c r="W34" i="24"/>
  <c r="W36" i="24"/>
  <c r="W43" i="24"/>
  <c r="X13" i="24"/>
  <c r="X15" i="24"/>
  <c r="X16" i="24"/>
  <c r="X17" i="24"/>
  <c r="X29" i="24"/>
  <c r="W32" i="24"/>
  <c r="X30" i="24"/>
  <c r="X32" i="24"/>
  <c r="X19" i="24"/>
  <c r="X22" i="24"/>
  <c r="X34" i="24"/>
  <c r="X35" i="24"/>
  <c r="X36" i="24"/>
  <c r="X43" i="24"/>
  <c r="Y13" i="24"/>
  <c r="Y15" i="24"/>
  <c r="Y16" i="24"/>
  <c r="Y17" i="24"/>
  <c r="Y29" i="24"/>
  <c r="Y30" i="24"/>
  <c r="Y35" i="24"/>
  <c r="Y19" i="24"/>
  <c r="Y22" i="24"/>
  <c r="Y34" i="24"/>
  <c r="Y36" i="24"/>
  <c r="Y43" i="24"/>
  <c r="Z13" i="24"/>
  <c r="Z15" i="24"/>
  <c r="Z16" i="24"/>
  <c r="Z17" i="24"/>
  <c r="Z30" i="24"/>
  <c r="Y32" i="24"/>
  <c r="G46" i="28" a="1"/>
  <c r="G46" i="28"/>
  <c r="Z29" i="24"/>
  <c r="Z32" i="24"/>
  <c r="Z19" i="24"/>
  <c r="Z22" i="24"/>
  <c r="Z34" i="24"/>
  <c r="Z35" i="24"/>
  <c r="Z36" i="24"/>
  <c r="Z43" i="24"/>
  <c r="AA13" i="24"/>
  <c r="AA15" i="24"/>
  <c r="AA16" i="24"/>
  <c r="AA17" i="24"/>
  <c r="AA19" i="24"/>
  <c r="AA22" i="24"/>
  <c r="AA34" i="24"/>
  <c r="AA29" i="24"/>
  <c r="AA30" i="24"/>
  <c r="AA35" i="24"/>
  <c r="AA36" i="24"/>
  <c r="AA43" i="24"/>
  <c r="AB13" i="24"/>
  <c r="AB15" i="24"/>
  <c r="AB16" i="24"/>
  <c r="AB17" i="24"/>
  <c r="AB30" i="24"/>
  <c r="AA32" i="24"/>
  <c r="AB19" i="24"/>
  <c r="AB22" i="24"/>
  <c r="AB34" i="24"/>
  <c r="AB29" i="24"/>
  <c r="AB35" i="24"/>
  <c r="AB36" i="24"/>
  <c r="AB43" i="24"/>
  <c r="AC13" i="24"/>
  <c r="AC15" i="24"/>
  <c r="AC16" i="24"/>
  <c r="AC17" i="24"/>
  <c r="AC30" i="24"/>
  <c r="AB32" i="24"/>
  <c r="AC19" i="24"/>
  <c r="AC22" i="24"/>
  <c r="AC34" i="24"/>
  <c r="AC29" i="24"/>
  <c r="AC35" i="24"/>
  <c r="AC36" i="24"/>
  <c r="AC43" i="24"/>
  <c r="AD13" i="24"/>
  <c r="AD15" i="24"/>
  <c r="AD16" i="24"/>
  <c r="AD17" i="24"/>
  <c r="AD19" i="24"/>
  <c r="AD22" i="24"/>
  <c r="AD34" i="24"/>
  <c r="AC32" i="24"/>
  <c r="AD29" i="24"/>
  <c r="AD30" i="24"/>
  <c r="AD32" i="24"/>
  <c r="AD35" i="24"/>
  <c r="AD36" i="24"/>
  <c r="AD43" i="24"/>
  <c r="AE13" i="24"/>
  <c r="AE15" i="24"/>
  <c r="AE16" i="24"/>
  <c r="AE17" i="24"/>
  <c r="AE29" i="24"/>
  <c r="AE30" i="24"/>
  <c r="AE35" i="24"/>
  <c r="AE19" i="24"/>
  <c r="AE22" i="24"/>
  <c r="AE34" i="24"/>
  <c r="AE36" i="24"/>
  <c r="AE43" i="24"/>
  <c r="AF13" i="24"/>
  <c r="AF15" i="24"/>
  <c r="AF16" i="24"/>
  <c r="AF17" i="24"/>
  <c r="AF19" i="24"/>
  <c r="AF22" i="24"/>
  <c r="AF34" i="24"/>
  <c r="D73" i="24"/>
  <c r="AE32" i="24"/>
  <c r="AF29" i="24"/>
  <c r="AF30" i="24"/>
  <c r="AF35" i="24"/>
  <c r="AF36" i="24"/>
  <c r="AF43" i="24"/>
  <c r="D79" i="24"/>
  <c r="AF32" i="24"/>
  <c r="D80" i="24"/>
  <c r="D72" i="24"/>
  <c r="D74" i="24"/>
  <c r="E72" i="24"/>
  <c r="O3" i="23"/>
  <c r="T6" i="23"/>
  <c r="N3" i="23"/>
  <c r="S6" i="23"/>
  <c r="M3" i="23"/>
  <c r="R6" i="23"/>
  <c r="L6" i="19"/>
  <c r="AK55" i="19"/>
  <c r="AN93" i="19"/>
  <c r="AN94" i="19"/>
  <c r="AN95" i="19"/>
  <c r="AN82" i="19"/>
  <c r="AN83" i="19"/>
  <c r="AN98" i="19"/>
  <c r="AN57" i="19"/>
  <c r="AN100" i="19"/>
  <c r="AN87" i="19"/>
  <c r="AN73" i="19"/>
  <c r="AM84" i="19"/>
  <c r="AM86" i="19"/>
  <c r="AM96" i="19"/>
  <c r="AM97" i="19"/>
  <c r="AL98" i="19"/>
  <c r="AL99" i="19"/>
  <c r="AM99" i="19"/>
  <c r="AL100" i="19"/>
  <c r="AM100" i="19"/>
  <c r="AL101" i="19"/>
  <c r="AM101" i="19"/>
  <c r="AL102" i="19"/>
  <c r="AM102" i="19"/>
  <c r="AL103" i="19"/>
  <c r="AM103" i="19"/>
  <c r="AN103" i="19"/>
  <c r="AK103" i="19"/>
  <c r="AK95" i="19"/>
  <c r="AK96" i="19"/>
  <c r="AK97" i="19"/>
  <c r="AK98" i="19"/>
  <c r="AK99" i="19"/>
  <c r="AK100" i="19"/>
  <c r="AK101" i="19"/>
  <c r="AK102" i="19"/>
  <c r="AN78" i="19"/>
  <c r="AN79" i="19"/>
  <c r="AM82" i="19"/>
  <c r="AM83" i="19"/>
  <c r="AL85" i="19"/>
  <c r="AM85" i="19"/>
  <c r="AL86" i="19"/>
  <c r="AL87" i="19"/>
  <c r="AM87" i="19"/>
  <c r="AL88" i="19"/>
  <c r="AM88" i="19"/>
  <c r="AL89" i="19"/>
  <c r="AM89" i="19"/>
  <c r="AN89" i="19"/>
  <c r="AK82" i="19"/>
  <c r="AK83" i="19"/>
  <c r="AK84" i="19"/>
  <c r="AK85" i="19"/>
  <c r="AK86" i="19"/>
  <c r="AK87" i="19"/>
  <c r="AK88" i="19"/>
  <c r="AK89" i="19"/>
  <c r="AL67" i="19"/>
  <c r="AL68" i="19"/>
  <c r="AL69" i="19"/>
  <c r="AL70" i="19"/>
  <c r="AL71" i="19"/>
  <c r="AL72" i="19"/>
  <c r="AM72" i="19"/>
  <c r="AL73" i="19"/>
  <c r="AM73" i="19"/>
  <c r="AL74" i="19"/>
  <c r="AM74" i="19"/>
  <c r="AN74" i="19"/>
  <c r="AK67" i="19"/>
  <c r="AK68" i="19"/>
  <c r="AK69" i="19"/>
  <c r="AK70" i="19"/>
  <c r="AK71" i="19"/>
  <c r="AN52" i="19"/>
  <c r="AM51" i="19"/>
  <c r="AM52" i="19"/>
  <c r="AM53" i="19"/>
  <c r="AM54" i="19"/>
  <c r="AM55" i="19"/>
  <c r="AM50" i="19"/>
  <c r="AN61" i="19"/>
  <c r="AM57" i="19"/>
  <c r="AM58" i="19"/>
  <c r="AM59" i="19"/>
  <c r="AM60" i="19"/>
  <c r="AM61" i="19"/>
  <c r="AM56" i="19"/>
  <c r="AL57" i="19"/>
  <c r="AL58" i="19"/>
  <c r="AL59" i="19"/>
  <c r="AL60" i="19"/>
  <c r="AL61" i="19"/>
  <c r="AL56" i="19"/>
  <c r="AK56" i="19"/>
  <c r="AK57" i="19"/>
  <c r="AK58" i="19"/>
  <c r="AK59" i="19"/>
  <c r="AK60" i="19"/>
  <c r="AK61" i="19"/>
  <c r="AK54" i="19"/>
  <c r="U72" i="19"/>
  <c r="AK72" i="19"/>
  <c r="U73" i="19"/>
  <c r="AK73" i="19"/>
  <c r="U74" i="19"/>
  <c r="AK74" i="19"/>
  <c r="P15" i="19"/>
  <c r="Q15" i="19"/>
  <c r="P14" i="19"/>
  <c r="Q14" i="19"/>
  <c r="P12" i="19"/>
  <c r="Q12" i="19"/>
  <c r="P11" i="19"/>
  <c r="Q11" i="19"/>
  <c r="L13" i="19"/>
  <c r="E73" i="24"/>
  <c r="D77" i="24"/>
  <c r="AN51" i="19"/>
  <c r="U6" i="23"/>
  <c r="AN53" i="19"/>
  <c r="AM98" i="19"/>
  <c r="AN54" i="19"/>
  <c r="AN55" i="19"/>
  <c r="AN56" i="19"/>
  <c r="AN67" i="19"/>
  <c r="AN96" i="19"/>
  <c r="Q6" i="19"/>
  <c r="AN86" i="19"/>
  <c r="AN72" i="19"/>
  <c r="AN71" i="19"/>
  <c r="AN97" i="19"/>
  <c r="AN81" i="19"/>
  <c r="AN102" i="19"/>
  <c r="AN60" i="19"/>
  <c r="AN68" i="19"/>
  <c r="AN88" i="19"/>
  <c r="AN80" i="19"/>
  <c r="AN59" i="19"/>
  <c r="AN58" i="19"/>
  <c r="AN101" i="19"/>
  <c r="AN66" i="19"/>
  <c r="AN85" i="19"/>
  <c r="AN99" i="19"/>
  <c r="P9" i="19"/>
  <c r="AN70" i="19"/>
  <c r="AN84" i="19"/>
  <c r="AN69" i="19"/>
  <c r="P13" i="19"/>
  <c r="Q13" i="19"/>
  <c r="AD1" i="23"/>
  <c r="D76" i="24"/>
  <c r="J42" i="28"/>
  <c r="E80" i="24"/>
  <c r="E79" i="24"/>
  <c r="AE12" i="23"/>
  <c r="AK9" i="23"/>
  <c r="AL9" i="23"/>
  <c r="AM9" i="23"/>
  <c r="AN9" i="23"/>
  <c r="Z12" i="23"/>
  <c r="Y12" i="23"/>
  <c r="Z13" i="23"/>
  <c r="Y13" i="23"/>
  <c r="Z14" i="23"/>
  <c r="Y14" i="23"/>
  <c r="Z15" i="23"/>
  <c r="Y15" i="23"/>
  <c r="Z5" i="23"/>
  <c r="Y5" i="23"/>
  <c r="Z6" i="23"/>
  <c r="Y6" i="23"/>
  <c r="Z7" i="23"/>
  <c r="Y7" i="23"/>
  <c r="Z8" i="23"/>
  <c r="Y8" i="23"/>
  <c r="Z9" i="23"/>
  <c r="Y9" i="23"/>
  <c r="Z10" i="23"/>
  <c r="Y10" i="23"/>
  <c r="Z11" i="23"/>
  <c r="Y11" i="23"/>
  <c r="Z4" i="23"/>
  <c r="Y4" i="23"/>
  <c r="Z3" i="23"/>
  <c r="Y3" i="23"/>
  <c r="S5" i="23"/>
  <c r="S7" i="23"/>
  <c r="S8" i="23"/>
  <c r="S9" i="23"/>
  <c r="S10" i="23"/>
  <c r="S11" i="23"/>
  <c r="S14" i="23"/>
  <c r="S13" i="23"/>
  <c r="S12" i="23"/>
  <c r="R4" i="23"/>
  <c r="Q4" i="23"/>
  <c r="S4" i="23"/>
  <c r="T13" i="23"/>
  <c r="R13" i="23"/>
  <c r="T4" i="23"/>
  <c r="U4" i="23"/>
  <c r="T12" i="23"/>
  <c r="T14" i="23"/>
  <c r="T5" i="23"/>
  <c r="T7" i="23"/>
  <c r="T8" i="23"/>
  <c r="T9" i="23"/>
  <c r="T10" i="23"/>
  <c r="T11" i="23"/>
  <c r="R12" i="23"/>
  <c r="R14" i="23"/>
  <c r="R5" i="23"/>
  <c r="R7" i="23"/>
  <c r="R8" i="23"/>
  <c r="R9" i="23"/>
  <c r="R10" i="23"/>
  <c r="R11" i="23"/>
  <c r="Q13" i="23"/>
  <c r="Q5" i="23"/>
  <c r="Q7" i="23"/>
  <c r="Q8" i="23"/>
  <c r="Q9" i="23"/>
  <c r="Q10" i="23"/>
  <c r="Q11" i="23"/>
  <c r="Q14" i="23"/>
  <c r="Q12" i="23"/>
  <c r="P14" i="23"/>
  <c r="P7" i="23"/>
  <c r="P8" i="23"/>
  <c r="P9" i="23"/>
  <c r="P10" i="23"/>
  <c r="P11" i="23"/>
  <c r="P13" i="23"/>
  <c r="P12" i="23"/>
  <c r="U13" i="23"/>
  <c r="U11" i="23"/>
  <c r="U10" i="23"/>
  <c r="U7" i="23"/>
  <c r="U14" i="23"/>
  <c r="U8" i="23"/>
  <c r="U12" i="23"/>
  <c r="U9" i="23"/>
  <c r="U5" i="23"/>
  <c r="V6" i="23"/>
  <c r="W6" i="23"/>
  <c r="V4" i="23"/>
  <c r="V8" i="23"/>
  <c r="W4" i="23"/>
  <c r="V5" i="23"/>
  <c r="V10" i="23"/>
  <c r="V11" i="23"/>
  <c r="W11" i="23"/>
  <c r="V9" i="23"/>
  <c r="W9" i="23"/>
  <c r="V12" i="23"/>
  <c r="W12" i="23"/>
  <c r="V14" i="23"/>
  <c r="W14" i="23"/>
  <c r="V7" i="23"/>
  <c r="W7" i="23"/>
  <c r="V13" i="23"/>
  <c r="W13" i="23"/>
  <c r="W8" i="23"/>
  <c r="W10" i="23"/>
  <c r="AE3" i="23" a="1"/>
  <c r="AE3" i="23"/>
  <c r="AG3" i="23"/>
  <c r="AI8" i="23"/>
  <c r="AI7" i="23"/>
  <c r="AI6" i="23"/>
  <c r="AI5" i="23"/>
  <c r="AI4" i="23"/>
  <c r="AH8" i="23"/>
  <c r="AH7" i="23"/>
  <c r="AH6" i="23"/>
  <c r="AH5" i="23"/>
  <c r="AH4" i="23"/>
  <c r="AG5" i="23"/>
  <c r="AG6" i="23"/>
  <c r="AG7" i="23"/>
  <c r="AG8" i="23"/>
  <c r="AG4" i="23"/>
  <c r="AF4" i="23"/>
  <c r="AF5" i="23"/>
  <c r="AF6" i="23"/>
  <c r="AF7" i="23"/>
  <c r="AF8" i="23"/>
  <c r="AI3" i="23"/>
  <c r="AH3" i="23"/>
  <c r="AF3" i="23"/>
  <c r="P8" i="19"/>
  <c r="P7" i="19"/>
  <c r="P6" i="19"/>
  <c r="C8" i="19"/>
  <c r="M6" i="19"/>
  <c r="N6" i="19"/>
  <c r="O6" i="19"/>
  <c r="M7" i="19"/>
  <c r="N7" i="19"/>
  <c r="O7" i="19"/>
  <c r="Q7" i="19"/>
  <c r="M8" i="19"/>
  <c r="N8" i="19"/>
  <c r="O8" i="19"/>
  <c r="Q8" i="19"/>
  <c r="M9" i="19"/>
  <c r="N9" i="19"/>
  <c r="O9" i="19"/>
  <c r="Q9" i="19"/>
  <c r="L7" i="19"/>
  <c r="L8" i="19"/>
  <c r="L9" i="19"/>
  <c r="R6" i="19"/>
  <c r="R8" i="19"/>
  <c r="R7" i="19"/>
  <c r="R9" i="19"/>
  <c r="C6" i="19"/>
  <c r="C12" i="19"/>
  <c r="C13" i="19"/>
  <c r="C14" i="19"/>
  <c r="C15" i="19"/>
  <c r="C16" i="19"/>
  <c r="C17" i="19"/>
  <c r="C18" i="19"/>
  <c r="C19" i="19"/>
  <c r="C20" i="19"/>
  <c r="C21" i="19"/>
  <c r="C22" i="19"/>
  <c r="C7" i="19"/>
  <c r="AJ13" i="23"/>
  <c r="AJ14" i="23"/>
  <c r="M40" i="28"/>
  <c r="AM13" i="23"/>
  <c r="AM14" i="23"/>
  <c r="M4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tc={E9571CD3-9386-E948-BE82-DFA2707F0C5E}</author>
    <author>tc={0295EDEF-4A89-4B48-8CEC-D1FB750AAC2E}</author>
    <author>tc={A03E446C-AF21-4F45-80E4-A83D56DECC0E}</author>
    <author>Eduardo Ferreira</author>
  </authors>
  <commentList>
    <comment ref="B2" authorId="0" shapeId="0" xr:uid="{E9571CD3-9386-E948-BE82-DFA2707F0C5E}">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0295EDEF-4A89-4B48-8CEC-D1FB750AAC2E}">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A03E446C-AF21-4F45-80E4-A83D56DECC0E}">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5" authorId="3" shapeId="0" xr:uid="{3CF12071-1563-7A46-99DE-5852D9B80A23}">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tc={06004262-3F8B-CD4E-A425-2352D5688B82}</author>
    <author>tc={30FD67CD-C195-F149-A7E8-6918D2C6B00C}</author>
    <author>tc={754B2C2A-272D-4147-AAA3-734C16D6949A}</author>
  </authors>
  <commentList>
    <comment ref="D5" authorId="0" shapeId="0" xr:uid="{06004262-3F8B-CD4E-A425-2352D5688B82}">
      <text>
        <t>[Threaded comment]
Your version of Excel allows you to read this threaded comment; however, any edits to it will get removed if the file is opened in a newer version of Excel. Learn more: https://go.microsoft.com/fwlink/?linkid=870924
Comment:
    Information from https://www.unitedhealthgroup.com/content/dam/UHG/PDF/investors/2022/UNH-Q4-2022-Release.pdf —&gt; assumption is that % revenue global = % customers ‘global’</t>
      </text>
    </comment>
    <comment ref="A38" authorId="1" shapeId="0" xr:uid="{30FD67CD-C195-F149-A7E8-6918D2C6B00C}">
      <text>
        <t>[Threaded comment]
Your version of Excel allows you to read this threaded comment; however, any edits to it will get removed if the file is opened in a newer version of Excel. Learn more: https://go.microsoft.com/fwlink/?linkid=870924
Comment:
    UnitedHealth Insurance</t>
      </text>
    </comment>
    <comment ref="A41" authorId="2" shapeId="0" xr:uid="{754B2C2A-272D-4147-AAA3-734C16D6949A}">
      <text>
        <t>[Threaded comment]
Your version of Excel allows you to read this threaded comment; however, any edits to it will get removed if the file is opened in a newer version of Excel. Learn more: https://go.microsoft.com/fwlink/?linkid=870924
Comment:
    Optum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Damião Carvalho Perdigão Gonçalves Ribeiro</author>
  </authors>
  <commentList>
    <comment ref="K1" authorId="0" shapeId="0" xr:uid="{184A6058-1AB3-4A28-A1D1-6239237C27B5}">
      <text>
        <r>
          <rPr>
            <sz val="10"/>
            <rFont val="Arial"/>
            <family val="2"/>
          </rPr>
          <t>Damião Carvalho Perdigão Gonçalves Ribeiro:
Adjust length of formulas to number of companies provided by Refinitiv</t>
        </r>
      </text>
    </comment>
    <comment ref="V2" authorId="0" shapeId="0" xr:uid="{36153C84-419C-4EE8-AB46-BA7A3B30CBC2}">
      <text>
        <r>
          <rPr>
            <sz val="10"/>
            <rFont val="Arial"/>
            <family val="2"/>
          </rPr>
          <t>Damião Carvalho Perdigão Gonçalves Ribeiro:
Adjust length of formula to number of companies provided by Refinitiv</t>
        </r>
      </text>
    </comment>
    <comment ref="AE2" authorId="0" shapeId="0" xr:uid="{CBFE96F4-6BFC-42E0-B959-E7D7D2199F8A}">
      <text>
        <r>
          <rPr>
            <sz val="10"/>
            <rFont val="Arial"/>
            <family val="2"/>
          </rPr>
          <t>Damião Carvalho Perdigão Gonçalves Ribeiro:
Adjust length of formula to number of companies provided by Refinitiv</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tc={5A62C71A-8B86-6649-B529-3DF4A39AB9BF}</author>
    <author>tc={4393DF6D-1101-524A-9978-E46E4F76E3C5}</author>
  </authors>
  <commentList>
    <comment ref="C41" authorId="0" shapeId="0" xr:uid="{5A62C71A-8B86-6649-B529-3DF4A39AB9BF}">
      <text>
        <t>[Threaded comment]
Your version of Excel allows you to read this threaded comment; however, any edits to it will get removed if the file is opened in a newer version of Excel. Learn more: https://go.microsoft.com/fwlink/?linkid=870924
Comment:
    This happened because this industry overall had a bad year, however our company grew</t>
      </text>
    </comment>
    <comment ref="E57" authorId="1" shapeId="0" xr:uid="{4393DF6D-1101-524A-9978-E46E4F76E3C5}">
      <text>
        <t>[Threaded comment]
Your version of Excel allows you to read this threaded comment; however, any edits to it will get removed if the file is opened in a newer version of Excel. Learn more: https://go.microsoft.com/fwlink/?linkid=870924
Comment:
    decreased 5 billion due to special charges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tc={EC84A246-7479-8A41-B566-144AB172FD82}</author>
  </authors>
  <commentList>
    <comment ref="B379" authorId="0" shapeId="0" xr:uid="{EC84A246-7479-8A41-B566-144AB172FD82}">
      <text>
        <t>[Threaded comment]
Your version of Excel allows you to read this threaded comment; however, any edits to it will get removed if the file is opened in a newer version of Excel. Learn more: https://go.microsoft.com/fwlink/?linkid=870924
Comment:
    There may be more acquit ions that were not publicised or mentioned in the media. This information comes from multiple news sources, databases and UHG’s own reports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tc={9E5253C2-2BC3-4644-ACD5-596FA2C9D7B5}</author>
  </authors>
  <commentList>
    <comment ref="A36" authorId="0" shapeId="0" xr:uid="{9E5253C2-2BC3-4644-ACD5-596FA2C9D7B5}">
      <text>
        <t>[Threaded comment]
Your version of Excel allows you to read this threaded comment; however, any edits to it will get removed if the file is opened in a newer version of Excel. Learn more: https://go.microsoft.com/fwlink/?linkid=870924
Comment:
    Goodwill is typically the highest value long-term asset for UHG. Supporting the idea of high level inorganic growth</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future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<sst xmlns="http://schemas.openxmlformats.org/spreadsheetml/2006/main" count="2439" uniqueCount="1042">
  <si>
    <t>Team 1</t>
  </si>
  <si>
    <t>UNITEDHEALTH GROUP INCORPORATED (XNYS:UNH)</t>
  </si>
  <si>
    <t>NYSE</t>
  </si>
  <si>
    <t>SIC: 6321</t>
  </si>
  <si>
    <t>COMPANY DESCRIPTION</t>
  </si>
  <si>
    <t>CEO &amp; BOARD OF DIRECTORS</t>
  </si>
  <si>
    <t>Name (Gender;Age)</t>
  </si>
  <si>
    <t>Tenure</t>
  </si>
  <si>
    <t>Executive?</t>
  </si>
  <si>
    <t>Other roles</t>
  </si>
  <si>
    <t>Charles Baker (M; 67)</t>
  </si>
  <si>
    <t>No</t>
  </si>
  <si>
    <t>Current President of NCAA</t>
  </si>
  <si>
    <t>Timothy Flynn (M; 65)</t>
  </si>
  <si>
    <t>Chairman and CEO of KPMG International</t>
  </si>
  <si>
    <t>Paul Garcia (M; 69)</t>
  </si>
  <si>
    <t>Retired Chair &amp; Chief Executive Officer
Global Payments Inc.</t>
  </si>
  <si>
    <t>Kristen Gil (W; 50)</t>
  </si>
  <si>
    <t>Vice President of Business and Operations at Google</t>
  </si>
  <si>
    <t>Stephen Hemsley (M; 71)</t>
  </si>
  <si>
    <t>Yes</t>
  </si>
  <si>
    <t>Executive Chairman  of the Board UnitedHealth Group</t>
  </si>
  <si>
    <t>Michele Hooper (W; 72)</t>
  </si>
  <si>
    <t>Board Member of Black Directors Health Equity Agenda</t>
  </si>
  <si>
    <t>F. William McNabb III (M; 66)</t>
  </si>
  <si>
    <t>None</t>
  </si>
  <si>
    <t>Valerie Montgomery Rice, M.D. (W; 62)</t>
  </si>
  <si>
    <t>President and CEO, Morehouse School of Medicine</t>
  </si>
  <si>
    <t>John Noseworthy, M.D. (M; 72)</t>
  </si>
  <si>
    <t>Board Member at: Mitre an AlixPartners, Executive Chair at Caire and Chairman at Aegis Ventures</t>
  </si>
  <si>
    <t>Sir Andrew Witty (M; 59)</t>
  </si>
  <si>
    <t>CEO of UnitedHealth Group</t>
  </si>
  <si>
    <t>USD MILLIONS</t>
  </si>
  <si>
    <t>COMPANY OVERVIEW</t>
  </si>
  <si>
    <t>Stock</t>
  </si>
  <si>
    <t>Liquidity and Solvency</t>
  </si>
  <si>
    <t>Segments</t>
  </si>
  <si>
    <t>Profitability (2022)</t>
  </si>
  <si>
    <t>Multiples</t>
  </si>
  <si>
    <t>Last Price</t>
  </si>
  <si>
    <t>Total Assets</t>
  </si>
  <si>
    <t>Regions</t>
  </si>
  <si>
    <t>% Sales</t>
  </si>
  <si>
    <t>Reporting Year</t>
  </si>
  <si>
    <t>Float</t>
  </si>
  <si>
    <t>Outstanding Shares</t>
  </si>
  <si>
    <t>Total Liabilities</t>
  </si>
  <si>
    <t>End of Year</t>
  </si>
  <si>
    <t>1 October 2022</t>
  </si>
  <si>
    <t>Insiders Own</t>
  </si>
  <si>
    <t>Market Cap.</t>
  </si>
  <si>
    <t>Cash/Share</t>
  </si>
  <si>
    <t>EBITDA</t>
  </si>
  <si>
    <t>b (Yahoo)</t>
  </si>
  <si>
    <t>+Total Debt</t>
  </si>
  <si>
    <t>EBITDA/Net Financial Cost (NFC)</t>
  </si>
  <si>
    <t>Depreciation &amp; Amortization</t>
  </si>
  <si>
    <t>Score (S&amp;P)</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</si>
  <si>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</si>
  <si>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</si>
  <si>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</si>
  <si>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</si>
  <si>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</si>
  <si>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</si>
  <si>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</si>
  <si>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</si>
  <si>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</si>
  <si>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</si>
  <si>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</si>
  <si>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</si>
  <si>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</si>
  <si>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</si>
  <si>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</si>
  <si>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</si>
  <si>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</si>
  <si>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</si>
  <si>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</si>
  <si>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</si>
  <si>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</si>
  <si>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</si>
  <si>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</si>
  <si>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</si>
  <si>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</si>
  <si>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</si>
  <si>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</si>
  <si>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</si>
  <si>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</si>
  <si>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</si>
  <si>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</si>
  <si>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</si>
  <si>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</si>
  <si>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</si>
  <si>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</si>
  <si>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</si>
  <si>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</si>
  <si>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</si>
  <si>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</si>
  <si>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</si>
  <si>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</si>
  <si>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Sell</t>
  </si>
  <si>
    <t>CHECK DCF</t>
  </si>
  <si>
    <t>Inorganic Growth</t>
  </si>
  <si>
    <t>UNH has high anticipation of acquisition as a growth strategy.</t>
  </si>
  <si>
    <t>Backed Investment</t>
  </si>
  <si>
    <t>Although UNH is considered overvalued and its stock price is inflated, it would not be reasonable to sell for mulitple reasons. Company and stock are considered safe bets as default and bankruptcy risk is low, company is able to sell off assets and companies in the case of emergency ('too big to fail'). High speculation of price increase by other investors/institutions. Majority shareholders (institutional) are Vanguard and Fidelity, which have high investing and political influence, and can therefore lobby for favourable conditions for UNH in the case of emergency.</t>
  </si>
  <si>
    <t>Safe Industry to Invest in</t>
  </si>
  <si>
    <t>Healthcare in general is typically a more stable industry to invest in. Even in times of economic/social/catastrophic/other distresses, individuals need to go to the doctor, buy medicine and other medical aids, and especially need insurance. This causes the industry to sometimes profit during times of distress (ie. Covid) as well.</t>
  </si>
  <si>
    <t>Risks of Investment</t>
  </si>
  <si>
    <t>Price Target</t>
  </si>
  <si>
    <t>Valuation</t>
  </si>
  <si>
    <t>Risk</t>
  </si>
  <si>
    <t>$550</t>
  </si>
  <si>
    <t>Discount Rate</t>
  </si>
  <si>
    <t>Price M. Upside</t>
  </si>
  <si>
    <t>Regulatory risk</t>
  </si>
  <si>
    <t>Healthcare and Insurance industries in the US is highly subject to regulations, which are highly dependant upon political motives of the countries leaders. (Thinking ahead to 2024 presidential election and onwards)</t>
  </si>
  <si>
    <t>Political risk</t>
  </si>
  <si>
    <t>UNH is closely related to (and even employs) current or former politicians with certain ideologies. Possible cause for negative perception due to political preference of customers.</t>
  </si>
  <si>
    <t>Upside</t>
  </si>
  <si>
    <t>EV M. Upside</t>
  </si>
  <si>
    <t>Exchange Rate risk</t>
  </si>
  <si>
    <t>Around 10% of UNH's revenue is from out of the US and this portion is subject to exchance rate risk.</t>
  </si>
  <si>
    <t>FINANCIAL PERFORMANCE</t>
  </si>
  <si>
    <t>Year</t>
  </si>
  <si>
    <t>Net Sales</t>
  </si>
  <si>
    <t>Operating Margin</t>
  </si>
  <si>
    <t>Dividends + Share Buyback</t>
  </si>
  <si>
    <t>Net Cash Flow</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</si>
  <si>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</si>
  <si>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</si>
  <si>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</si>
  <si>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</si>
  <si>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</si>
  <si>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</si>
  <si>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</si>
  <si>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</si>
  <si>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</si>
  <si>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</si>
  <si>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</si>
  <si>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</si>
  <si>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</si>
  <si>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</si>
  <si>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</si>
  <si>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</si>
  <si>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</si>
  <si>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</si>
  <si>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</si>
  <si>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</si>
  <si>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Pros</t>
  </si>
  <si>
    <t>Cons</t>
  </si>
  <si>
    <t>Name</t>
  </si>
  <si>
    <t>% Stake</t>
  </si>
  <si>
    <r>
      <rPr>
        <b/>
        <sz val="10"/>
        <color rgb="FF000000"/>
        <rFont val="Arial"/>
        <family val="2"/>
      </rPr>
      <t xml:space="preserve">Market Leader - </t>
    </r>
    <r>
      <rPr>
        <sz val="10"/>
        <color rgb="FF000000"/>
        <rFont val="Arial"/>
        <family val="2"/>
      </rPr>
      <t xml:space="preserve">UHG is the largest health insurer in the United States. The company had 2X the revenues of the secound largest healht insurance (in the USA), in 2021. </t>
    </r>
    <r>
      <rPr>
        <b/>
        <sz val="10"/>
        <color rgb="FF000000"/>
        <rFont val="Arial"/>
        <family val="2"/>
      </rPr>
      <t>Investment in healthcare technology -</t>
    </r>
    <r>
      <rPr>
        <sz val="10"/>
        <color rgb="FF000000"/>
        <rFont val="Arial"/>
        <family val="2"/>
      </rPr>
      <t xml:space="preserve"> UHG has a technological and innovation-oriented growth. The company has invested heavily in developing and using technology to improve its operations, evident through its Optum brand, and provide better care to its members.                                                                                                    </t>
    </r>
    <r>
      <rPr>
        <b/>
        <sz val="10"/>
        <color rgb="FF000000"/>
        <rFont val="Arial"/>
        <family val="2"/>
      </rPr>
      <t>Diversified business model -</t>
    </r>
    <r>
      <rPr>
        <sz val="10"/>
        <color rgb="FF000000"/>
        <rFont val="Arial"/>
        <family val="2"/>
      </rPr>
      <t xml:space="preserve"> UHG operates in four main segments: Unitedhealthcare, OptumInsight, OptumRx, and OptumHealth.                                                                  </t>
    </r>
    <r>
      <rPr>
        <b/>
        <sz val="10"/>
        <color rgb="FF000000"/>
        <rFont val="Arial"/>
        <family val="2"/>
      </rPr>
      <t>Strong brand reputation -</t>
    </r>
    <r>
      <rPr>
        <sz val="10"/>
        <color rgb="FF000000"/>
        <rFont val="Arial"/>
        <family val="2"/>
      </rPr>
      <t xml:space="preserve"> UHG is a well-respected brand in the healthcare industry. The company has a strong reputation for customer service and innovation.  </t>
    </r>
  </si>
  <si>
    <r>
      <rPr>
        <b/>
        <sz val="10"/>
        <color rgb="FF000000"/>
        <rFont val="Arial"/>
        <family val="2"/>
      </rPr>
      <t>Reliance on premiums -</t>
    </r>
    <r>
      <rPr>
        <sz val="10"/>
        <color rgb="FF000000"/>
        <rFont val="Arial"/>
        <family val="2"/>
      </rPr>
      <t xml:space="preserve"> UHG is heavily reliant on premiums for its revenue. This makes the company sensitive to changes in medical/healthcare costs and benefit designs.                                                                                                                     </t>
    </r>
    <r>
      <rPr>
        <b/>
        <sz val="10"/>
        <color rgb="FF000000"/>
        <rFont val="Arial"/>
        <family val="2"/>
      </rPr>
      <t xml:space="preserve">Legal challenges - </t>
    </r>
    <r>
      <rPr>
        <sz val="10"/>
        <color rgb="FF000000"/>
        <rFont val="Arial"/>
        <family val="2"/>
      </rPr>
      <t xml:space="preserve">UHG has faced a number of legal challenges in recent years, including lawsuits related to its business practices, and its focus on profits over patient care.                                                                                                                                       </t>
    </r>
    <r>
      <rPr>
        <b/>
        <sz val="10"/>
        <color rgb="FF000000"/>
        <rFont val="Arial"/>
        <family val="2"/>
      </rPr>
      <t xml:space="preserve">Dependency on technology - </t>
    </r>
    <r>
      <rPr>
        <sz val="10"/>
        <color rgb="FF000000"/>
        <rFont val="Arial"/>
        <family val="2"/>
      </rPr>
      <t>UHG heavily relies on technology to manage its operations and provide services to customers. UHG should be carefull about how they use those technologies ans AI Algorithms or they could significantly impact the company's operations, reputation, and financial performance.</t>
    </r>
  </si>
  <si>
    <t>Insiders</t>
  </si>
  <si>
    <t>Mr. Stephen J. Hemsley</t>
  </si>
  <si>
    <t>Mr. John F. Rex</t>
  </si>
  <si>
    <t>Sir Andrew P. Witty</t>
  </si>
  <si>
    <t>Mr. Dirk C. McMahon</t>
  </si>
  <si>
    <t>Ms. Michele J. Hooper</t>
  </si>
  <si>
    <t xml:space="preserve">Total Insiders </t>
  </si>
  <si>
    <t>Institutional Holders</t>
  </si>
  <si>
    <t>Vanguard Group Inc</t>
  </si>
  <si>
    <t>Opportunities</t>
  </si>
  <si>
    <t>Risks</t>
  </si>
  <si>
    <t>Blackrock Inc.</t>
  </si>
  <si>
    <r>
      <rPr>
        <b/>
        <sz val="10"/>
        <color rgb="FF000000"/>
        <rFont val="Arial"/>
        <family val="2"/>
      </rPr>
      <t xml:space="preserve">Technological Advancements and additions to healthcare services value chain -  </t>
    </r>
    <r>
      <rPr>
        <sz val="10"/>
        <color rgb="FF000000"/>
        <rFont val="Arial"/>
        <family val="2"/>
      </rPr>
      <t xml:space="preserve">UHG can use technology to improve the care it provides to its members, as well as to improve efficiency, and personalize care.                                                                                                     </t>
    </r>
    <r>
      <rPr>
        <b/>
        <sz val="10"/>
        <color rgb="FF000000"/>
        <rFont val="Arial"/>
        <family val="2"/>
      </rPr>
      <t>Expanding into new markets -</t>
    </r>
    <r>
      <rPr>
        <sz val="10"/>
        <color rgb="FF000000"/>
        <rFont val="Arial"/>
        <family val="2"/>
      </rPr>
      <t xml:space="preserve"> UHG has the opportunity to expand into new markets, such as international markets and new segments of the healthcare industry.                                             </t>
    </r>
    <r>
      <rPr>
        <b/>
        <sz val="10"/>
        <color rgb="FF000000"/>
        <rFont val="Arial"/>
        <family val="2"/>
      </rPr>
      <t>Partnering with other organizations -</t>
    </r>
    <r>
      <rPr>
        <sz val="10"/>
        <color rgb="FF000000"/>
        <rFont val="Arial"/>
        <family val="2"/>
      </rPr>
      <t xml:space="preserve"> UHG can partner with other organizations to improve the care it provides to its members, and reduce costs.</t>
    </r>
  </si>
  <si>
    <r>
      <rPr>
        <b/>
        <sz val="10"/>
        <color rgb="FF000000"/>
        <rFont val="Arial"/>
        <family val="2"/>
      </rPr>
      <t>Politics &amp; Regulation -</t>
    </r>
    <r>
      <rPr>
        <sz val="10"/>
        <color rgb="FF000000"/>
        <rFont val="Arial"/>
        <family val="2"/>
      </rPr>
      <t xml:space="preserve"> The healthcare industry is subject to frequent changes in laws, regulations, and reimbursement rates. UnitedHealth Group needs to closely monitor these changes and adapt its business strategies accordingly to maintain its competitive edge.                                                                                                                                                                        </t>
    </r>
    <r>
      <rPr>
        <b/>
        <sz val="10"/>
        <color rgb="FF000000"/>
        <rFont val="Arial"/>
        <family val="2"/>
      </rPr>
      <t xml:space="preserve">Increasing competition in the healthcare industry - </t>
    </r>
    <r>
      <rPr>
        <sz val="10"/>
        <color rgb="FF000000"/>
        <rFont val="Arial"/>
        <family val="2"/>
      </rPr>
      <t>The healthcare industry is becoming increasingly competitive, with new entrants and new technologies. UHG faces competition from various players, including other health insurance providers, hospitals, clinics, and technology companies.</t>
    </r>
  </si>
  <si>
    <t>State Street Corporation</t>
  </si>
  <si>
    <t>FMR, LLC</t>
  </si>
  <si>
    <t>Capital World Investors</t>
  </si>
  <si>
    <t>Price (T.Rowe) Associates Inc</t>
  </si>
  <si>
    <t>Wellington Management Group, LLP</t>
  </si>
  <si>
    <t>JP Morgan Chase &amp; Company</t>
  </si>
  <si>
    <t>Geode Capital Management, LLC</t>
  </si>
  <si>
    <t>Morgan Stanley</t>
  </si>
  <si>
    <t>Total Institutional Holders</t>
  </si>
  <si>
    <t>NOTES</t>
  </si>
  <si>
    <t>STOCK PERFORMANCE (5 years)</t>
  </si>
  <si>
    <t>UNH is highly backed by Vanguard Group and also hired F. William McNabb III, their former CEO, as one of its directors. Further investigation into the relationship between these 2 organizations and analysis of Vanguard Group's investment strategy (and how they choose to influence their investments) could give good insight into how UNH decides to conduct its business.</t>
  </si>
  <si>
    <t>Products</t>
  </si>
  <si>
    <t>Nominal value ($ Million)</t>
  </si>
  <si>
    <t>YoY Growth</t>
  </si>
  <si>
    <t>Neither United Health Group nor Optum manufacture any products, they are a services company. Althought they do sell some medicines and pharmaceutical products, even direct-to-consumer, they sell it as retailers rather than manufacturers. Additionally, they specialize in different management and logisitics services regarding healthcare and pharamceuticals, again however, they do not actually manufacture any products</t>
  </si>
  <si>
    <t>Weight</t>
  </si>
  <si>
    <t>Region</t>
  </si>
  <si>
    <t>USA</t>
  </si>
  <si>
    <t>Global</t>
  </si>
  <si>
    <t>TOTAL</t>
  </si>
  <si>
    <t>Category</t>
  </si>
  <si>
    <t>UnitedHealthcare</t>
  </si>
  <si>
    <t>Optum Health</t>
  </si>
  <si>
    <t>Optum Insight</t>
  </si>
  <si>
    <t>Optum Rx</t>
  </si>
  <si>
    <t>Intersegment Reconcilliation</t>
  </si>
  <si>
    <t>as a % of total Revenue</t>
  </si>
  <si>
    <r>
      <t xml:space="preserve">TOTAL </t>
    </r>
    <r>
      <rPr>
        <sz val="10"/>
        <rFont val="Arial"/>
        <family val="2"/>
      </rPr>
      <t>(Net of Intersegment Revenue)</t>
    </r>
  </si>
  <si>
    <t>Description</t>
  </si>
  <si>
    <t>Graphs</t>
  </si>
  <si>
    <t>variety of health insurance products and services to individuals, employers, and government programs; this includes health plans, dental plans, vision plans, and other related products</t>
  </si>
  <si>
    <t>broad range of health management services, including care delivery and management, wellness programs, and behavioral health services; aims to improve the overall health and well-being of individuals</t>
  </si>
  <si>
    <t>services such as data analytics, technology solutions, and consulting services to help health care organizations optimize their operations and improve efficiency</t>
  </si>
  <si>
    <t>management of prescription benefits, including pharmacy benefit management, mail order pharmacy services, specialty pharmacy services, and more. aims to help individuals access their medications in a cost-effective and efficient manner</t>
  </si>
  <si>
    <t>Industry</t>
  </si>
  <si>
    <t>Graphs (Industry Forecasts)</t>
  </si>
  <si>
    <t>Drivers</t>
  </si>
  <si>
    <t>Perscription Drug Costs</t>
  </si>
  <si>
    <t>Typically drives the cost of UHG's revenues, because they act as a retailer for pharmaceutical products and other healthcare products (ie. wrist brace, first-aid kit, etc.)</t>
  </si>
  <si>
    <t>Healthcare Spending</t>
  </si>
  <si>
    <t>Within UHG's main market (US), the healthcare insurance system is privatized rather than public, which results in many regulatory precedents in place, to mitigate monopolies and other potential business malpractices in the economy. In the US Healthcare spending accounts for around 18% (2022) of the country's GDP, making it one of the largest contributing factors.</t>
  </si>
  <si>
    <t>Healthcare Software Development</t>
  </si>
  <si>
    <t>Drives the markets within which UHG's Optum arm operates in, as they provide majority of their services related to software and data analytics. The increased demand within this industry drives the competitive edge companies may get by being innovative and creating the most efficient, comprehensive and user-friendly solutions.</t>
  </si>
  <si>
    <t>Sales forecast</t>
  </si>
  <si>
    <t>Source</t>
  </si>
  <si>
    <t>Market Growth CAGR</t>
  </si>
  <si>
    <t>Period</t>
  </si>
  <si>
    <t>Grand View Research</t>
  </si>
  <si>
    <t>2023-2030</t>
  </si>
  <si>
    <t>IMARC Group</t>
  </si>
  <si>
    <t>2023-2032</t>
  </si>
  <si>
    <t>Mordor Intelligence</t>
  </si>
  <si>
    <t>2023-2028</t>
  </si>
  <si>
    <t>2022-2027</t>
  </si>
  <si>
    <t>2024-2032</t>
  </si>
  <si>
    <t>Company's Strategy / Extra Notes</t>
  </si>
  <si>
    <t>– One of UnitedHealth growth strategies encompasses inorganic growth through acquisitions. These acquisitions aim at increasing UHG's cover of the healthcare value chain and markets as well as diversifying their operations. 
– Most recently UHG acquired Healthcare Associates of Texas for $300mn and Optum acquired Refresh Mental Health. In addition to this, when considering the increasing YoY intersegment revenue (45% most recently), it is evident that UHG is employing a conservative strategy, where they try to rely as little as possible on outside suppliers and products in order to conduct their core business activities. 
– Although UHG does conduct business internationally (UK, Ireland, India, Brazil, Philippines, Colombia, Puerto Rico), their major revenue source (accounting for 90% of revenue) comes from the US. UHG has an effort to expand, however mainly within the US which is further supported with the most recent acquisitions (specifically Healthcare Associates of Texas). As the US has the largest and most lucrative healthcare market, this motivate UHG to concentrate majority of their efforts within the region. 
– UHG claims that they have 5 strategic growth priorities: Value-Based Comprehensive Care Delivery, Health Benefits, Health Technology, Health Financial Services, and Pharmacy Care Services. 
– UHG also embraces a very technological and innovation-oriented growth, evident through its Optum brand, which it created in 2011 by merging its existing pharmacy and care delivery services. In summary, UHG channels growth through innovation-oriented business activities as well as acquisitions, aimed at diversifying the company's market reach as well as optimizing the overall healthcare experience.</t>
  </si>
  <si>
    <t>https://www2.deloitte.com/us/en/blog/health-care-blog/2022/will-digital-players-reinvent-health-insurance.html</t>
  </si>
  <si>
    <t>https://www2.deloitte.com/content/dam/insights/articles/us164819_chs-hospitals-and-drivers-of-health/US164819_Addressing-the-DOH.pdf</t>
  </si>
  <si>
    <t>https://www.bain.com/insights/payers-global-healthcare-private-equity-and-ma-report-2023/</t>
  </si>
  <si>
    <t>https://www.unitedhealthgroup.com/content/dam/UHG/PDF/investors/2022/conference/IC_22_Group_Highlights.pdf</t>
  </si>
  <si>
    <t>Invertir</t>
  </si>
  <si>
    <t>NO invertir</t>
  </si>
  <si>
    <t>Mantener sin elevar posición</t>
  </si>
  <si>
    <t>Mantener (y seguir comprando)</t>
  </si>
  <si>
    <t>Liquidar</t>
  </si>
  <si>
    <t>PENDIENTE</t>
  </si>
  <si>
    <t>Variables</t>
  </si>
  <si>
    <t>Rankings</t>
  </si>
  <si>
    <t>Difference</t>
  </si>
  <si>
    <t>Results</t>
  </si>
  <si>
    <t>Additional Information</t>
  </si>
  <si>
    <t>Selected Peers</t>
  </si>
  <si>
    <t>Price Multiples (TTM)</t>
  </si>
  <si>
    <t>Enterprise Value Multiples (TTM)</t>
  </si>
  <si>
    <t>Ticker</t>
  </si>
  <si>
    <t>Company Name</t>
  </si>
  <si>
    <t>TRBC Industry</t>
  </si>
  <si>
    <t>Country</t>
  </si>
  <si>
    <t>ROE</t>
  </si>
  <si>
    <t>DEBT/EBIT</t>
  </si>
  <si>
    <t>Market Cap</t>
  </si>
  <si>
    <t>EPS Growth (2019-2023) (Refinitiv Smart Estimate)</t>
  </si>
  <si>
    <t>EBIT Margin</t>
  </si>
  <si>
    <t>EPS Growth</t>
  </si>
  <si>
    <t>SARD Result</t>
  </si>
  <si>
    <t>SARD Peers</t>
  </si>
  <si>
    <t>SARD Peers adjusted Rank</t>
  </si>
  <si>
    <t>Suitability</t>
  </si>
  <si>
    <t>Relevant Information Missing</t>
  </si>
  <si>
    <t>Author's Override</t>
  </si>
  <si>
    <t>Observations</t>
  </si>
  <si>
    <t>P / E</t>
  </si>
  <si>
    <t>P / B</t>
  </si>
  <si>
    <t>Price / Sales</t>
  </si>
  <si>
    <t>EV / Sales</t>
  </si>
  <si>
    <t>EV / EBITDA</t>
  </si>
  <si>
    <t>Benchmark</t>
  </si>
  <si>
    <t>UNH.N</t>
  </si>
  <si>
    <t>UnitedHealth Group Inc</t>
  </si>
  <si>
    <t>Managed Healthcare</t>
  </si>
  <si>
    <t>United States of America</t>
  </si>
  <si>
    <t>Comparison</t>
  </si>
  <si>
    <t>HUM.N</t>
  </si>
  <si>
    <t>Humana Inc</t>
  </si>
  <si>
    <t>CI.N</t>
  </si>
  <si>
    <t>Cigna Group</t>
  </si>
  <si>
    <t>ELV.N</t>
  </si>
  <si>
    <t>Elevance Health Inc</t>
  </si>
  <si>
    <t>CNC.N</t>
  </si>
  <si>
    <t>Centene Corp</t>
  </si>
  <si>
    <t>MOH.N</t>
  </si>
  <si>
    <t>Molina Healthcare Inc</t>
  </si>
  <si>
    <t>Brazil</t>
  </si>
  <si>
    <t>ODPV3.SA</t>
  </si>
  <si>
    <t>Odontoprev SA</t>
  </si>
  <si>
    <t>Italy</t>
  </si>
  <si>
    <t>Median</t>
  </si>
  <si>
    <t>HIA.MI</t>
  </si>
  <si>
    <t>Health Italia SpA</t>
  </si>
  <si>
    <t>Benchmark Data</t>
  </si>
  <si>
    <t>Price / Share</t>
  </si>
  <si>
    <t>HAPV3.SA</t>
  </si>
  <si>
    <t>Hapvida Participacoes e Investimentos SA</t>
  </si>
  <si>
    <t>Multiplier</t>
  </si>
  <si>
    <t># Shares</t>
  </si>
  <si>
    <t>-Debt + Cash</t>
  </si>
  <si>
    <t>PGNY.OQ</t>
  </si>
  <si>
    <t>Progyny Inc</t>
  </si>
  <si>
    <t>CLOV.OQ</t>
  </si>
  <si>
    <t>Clover Health Investments Corp</t>
  </si>
  <si>
    <t>By Consolidated Average</t>
  </si>
  <si>
    <t>ALHC.OQ</t>
  </si>
  <si>
    <t>Alignment Healthcare Inc</t>
  </si>
  <si>
    <t>Peer Logo</t>
  </si>
  <si>
    <t>Peer Name</t>
  </si>
  <si>
    <t>In Millions USD</t>
  </si>
  <si>
    <t>AVERAGE</t>
  </si>
  <si>
    <t>Deviation from Average</t>
  </si>
  <si>
    <t>Company Info</t>
  </si>
  <si>
    <t>TRAFFIC</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</si>
  <si>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</si>
  <si>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</si>
  <si>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</si>
  <si>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</si>
  <si>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</si>
  <si>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</si>
  <si>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</si>
  <si>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</si>
  <si>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</si>
  <si>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</si>
  <si>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</si>
  <si>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</si>
  <si>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</si>
  <si>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</si>
  <si>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</si>
  <si>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</si>
  <si>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</si>
  <si>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</si>
  <si>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</si>
  <si>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</si>
  <si>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</si>
  <si>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</si>
  <si>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</si>
  <si>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</si>
  <si>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</si>
  <si>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</si>
  <si>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</si>
  <si>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</si>
  <si>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</si>
  <si>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</si>
  <si>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3.49%</t>
  </si>
  <si>
    <t>Stock Performance</t>
  </si>
  <si>
    <t>1y</t>
  </si>
  <si>
    <t>3y</t>
  </si>
  <si>
    <t>Current Price</t>
  </si>
  <si>
    <t>Average Target Price</t>
  </si>
  <si>
    <t>Upside/Downside</t>
  </si>
  <si>
    <t>Extra</t>
  </si>
  <si>
    <t>3y Operating Cash Flow</t>
  </si>
  <si>
    <t>R&amp;D/Net Sales</t>
  </si>
  <si>
    <t>Financial Data</t>
  </si>
  <si>
    <t>IS</t>
  </si>
  <si>
    <t>Net Sales (36m ago)</t>
  </si>
  <si>
    <t>Net Sales (12m ago)</t>
  </si>
  <si>
    <t>COGS</t>
  </si>
  <si>
    <t>Operating Income</t>
  </si>
  <si>
    <t>Net Financial Cost</t>
  </si>
  <si>
    <t>Taxes</t>
  </si>
  <si>
    <t>R&amp;D</t>
  </si>
  <si>
    <t>BS</t>
  </si>
  <si>
    <t>Cash &amp; Eq.</t>
  </si>
  <si>
    <t>Acc. Receivables</t>
  </si>
  <si>
    <t>Inventory</t>
  </si>
  <si>
    <t>Current Assets</t>
  </si>
  <si>
    <t>Fixed Assets</t>
  </si>
  <si>
    <t>Acc. Payable</t>
  </si>
  <si>
    <t>Current Liabilities</t>
  </si>
  <si>
    <t>Total Debt</t>
  </si>
  <si>
    <t>Total Equity</t>
  </si>
  <si>
    <t>Company GICS Sector:</t>
  </si>
  <si>
    <t>Health Care</t>
  </si>
  <si>
    <t>ESG Analysis</t>
  </si>
  <si>
    <t>Relative ESG Analysis</t>
  </si>
  <si>
    <t>Parameters</t>
  </si>
  <si>
    <t>Impact</t>
  </si>
  <si>
    <t>Do they report?</t>
  </si>
  <si>
    <t>Ranking</t>
  </si>
  <si>
    <t>Mitigation Plan</t>
  </si>
  <si>
    <t>Traffic Lights</t>
  </si>
  <si>
    <t>Improvement over time?</t>
  </si>
  <si>
    <t>Targets / Goals?</t>
  </si>
  <si>
    <t>Comments</t>
  </si>
  <si>
    <t>ELEVANCE HEALTH, INC. (XNYS:ELV)</t>
  </si>
  <si>
    <t>CVS HEALTH CORPORATION (XNYS:CVS)</t>
  </si>
  <si>
    <t>HUMANA INC. (XNYS:HUM)</t>
  </si>
  <si>
    <t>Environmental</t>
  </si>
  <si>
    <t>Ratios</t>
  </si>
  <si>
    <t>CO2 Direct Emissions</t>
  </si>
  <si>
    <t>Medium</t>
  </si>
  <si>
    <t>Operational net-zero by 2035</t>
  </si>
  <si>
    <t>Operational net-zero by 2035, with 60% scope 1 and 2 reduction and 100% renewable energy by 2030</t>
  </si>
  <si>
    <t>CO2 Emissions/$M Sales</t>
  </si>
  <si>
    <t>Total Water Consumption</t>
  </si>
  <si>
    <t>Medium High</t>
  </si>
  <si>
    <t>UnitedHealth Group plan to create a holistic approach to water conservation across the enterprise, including creating design guidelines for water efficiency and water quality.</t>
  </si>
  <si>
    <t>UNH have plumbing and irrigation projects, as well as sustainable landscape projects to reduce their water usage. In 2021 they implemented a holistic water-tracking program, that showed that 47% of total water usage is currently treated/recycled water instead of fresh water. In 2022 they expanded this effort.</t>
  </si>
  <si>
    <t>Water Consumption/$M Sales</t>
  </si>
  <si>
    <t>Total Energy Consumption</t>
  </si>
  <si>
    <t>Energy Consumption/$M Sales</t>
  </si>
  <si>
    <t>Waste Management</t>
  </si>
  <si>
    <t>"Villain"</t>
  </si>
  <si>
    <t>Waste Production/$M Sales</t>
  </si>
  <si>
    <t>Land Degradation/Deforestation/Biodiversity loss/Animal sufering/…</t>
  </si>
  <si>
    <t>Inputs</t>
  </si>
  <si>
    <t>Social</t>
  </si>
  <si>
    <t>Net Sales ($M)</t>
  </si>
  <si>
    <t>Employee Turnover %</t>
  </si>
  <si>
    <t>UNH had an employee turnover of 20% in 2022.</t>
  </si>
  <si>
    <t>CO2 Emissions Total (Tonnes)</t>
  </si>
  <si>
    <t>Salaries &amp; Compensation</t>
  </si>
  <si>
    <t>Diference between highest and lowest paid: $180k.  Highest paid sector: Legal, with over 182k. Lowest paid sector: Administration, with barely 59k. Workers say they are being paid fairly and are also satisfied with UNH perks and benefits.</t>
  </si>
  <si>
    <t>Water Consumption Total (Cubic Meters)</t>
  </si>
  <si>
    <t>Reputation</t>
  </si>
  <si>
    <t>UNH is facing a class action lawsuit by KKR-owned doctors group for breache the contract between the two companies by unilaterally reducing reimbursement rates for its physician’s services and not paid its bills. UNH is also facing a action lawsuit for following an algorithm that overrode physicians recommendations, and denied eldery pations claims for stays extended care facilities. Also, back in 2019, it was discovered that an algorithm sold by Optum significantly underestimated the amount of care black patients need compared with white patients</t>
  </si>
  <si>
    <t>Energy Consumption Total (Gigajoules)</t>
  </si>
  <si>
    <t>Discrimination Events</t>
  </si>
  <si>
    <t>Waste Production Total (Tonnes)</t>
  </si>
  <si>
    <t>Work Safety</t>
  </si>
  <si>
    <t>"Best in class"</t>
  </si>
  <si>
    <t>UNH did not state any accident</t>
  </si>
  <si>
    <t>ESG Scores</t>
  </si>
  <si>
    <t>Damage to consumer health</t>
  </si>
  <si>
    <t>It's a health company.</t>
  </si>
  <si>
    <t>Refinitiv</t>
  </si>
  <si>
    <t>PXP?</t>
  </si>
  <si>
    <t>Sustainalytics</t>
  </si>
  <si>
    <t>Supply chain</t>
  </si>
  <si>
    <t>UNH plan to improve their emissions calculation and assess supplier performance with the help of some select suppliers, as well as update supplier trainings.</t>
  </si>
  <si>
    <t>ISS</t>
  </si>
  <si>
    <t>C+</t>
  </si>
  <si>
    <t>B-</t>
  </si>
  <si>
    <t>C</t>
  </si>
  <si>
    <t>Community involvement</t>
  </si>
  <si>
    <t>h</t>
  </si>
  <si>
    <t>CDP</t>
  </si>
  <si>
    <t>B</t>
  </si>
  <si>
    <t>Public Sector</t>
  </si>
  <si>
    <t>UnitedHealthcare is subject to extensive government regulation. During the 2022 election cycle, UNH contributed at least $360,000 to members of congress who opposed federal voting rights legislation, and key UNH staff have made large contributions totaling $37,300 to anti-democracy federal legislators. UNH has released statements in support of democracy</t>
  </si>
  <si>
    <t>Litigation</t>
  </si>
  <si>
    <t>Corporate Governance</t>
  </si>
  <si>
    <t>PARAMETERS</t>
  </si>
  <si>
    <t>Diversity (Gender, Age, Industry, Region)</t>
  </si>
  <si>
    <t>There are not any especific goals regarding diversity</t>
  </si>
  <si>
    <t>1/3 of the directors nominees are ethically diverse, 1/3 are women and 2/9 are African American</t>
  </si>
  <si>
    <t>IMPACT</t>
  </si>
  <si>
    <t>RANKING</t>
  </si>
  <si>
    <t>MITIGATION PLAN</t>
  </si>
  <si>
    <t>% Independence</t>
  </si>
  <si>
    <t>Nothing is stated</t>
  </si>
  <si>
    <t>78% of the Board members are independent</t>
  </si>
  <si>
    <t>Low</t>
  </si>
  <si>
    <t>Is there evidence of a plan/program ?</t>
  </si>
  <si>
    <t>average time as independent directors</t>
  </si>
  <si>
    <t xml:space="preserve">All board members apart from the CEO and the Chairman are independent </t>
  </si>
  <si>
    <t>Recent departures of directors / C-level executives?</t>
  </si>
  <si>
    <t xml:space="preserve">UNH target´s is to keep the average tenue of the board below 7 years </t>
  </si>
  <si>
    <t>UNH strives to maintain a balance of tenure on the Board. Long-serving directors bring experience while newer directors contribute fresh perspective</t>
  </si>
  <si>
    <t>High</t>
  </si>
  <si>
    <t>CEO/Chairman duality</t>
  </si>
  <si>
    <t>UHN separates CEO and Chair of the Board</t>
  </si>
  <si>
    <t>Very high</t>
  </si>
  <si>
    <t>Transparency (ESG, segments, acquisitions, other)</t>
  </si>
  <si>
    <t>UNH does a ful disclosure of corporate governance policies and pratices</t>
  </si>
  <si>
    <t>Time taken to report after the end of the quarter / year</t>
  </si>
  <si>
    <t>The audit is done by an independant consulting firm and is completely independent from the UHN</t>
  </si>
  <si>
    <t>Additional participation of the CEO in other boards or excessive participation of Ch.</t>
  </si>
  <si>
    <t>The CEO and the Chairman are the only board members who are not independent, therefore they participate in other boards</t>
  </si>
  <si>
    <t>Audit / Consulting</t>
  </si>
  <si>
    <t>The company uses an independent consultant (Delloitte &amp; Touche LLP) to assure transparency. Delloite &amp; Touche LLP is responsible for consolidated financinal statements, internal control over financial reporting, quarterly reviews, other statutory and legal entity audtis and consultations on techinal matters</t>
  </si>
  <si>
    <t>ESG-compensation related</t>
  </si>
  <si>
    <t>They don't state nothing about it.</t>
  </si>
  <si>
    <t>Management compensation schemes</t>
  </si>
  <si>
    <t>The company as a compensation scheme in two ways: Cash and stocks</t>
  </si>
  <si>
    <t>GHG Scope 1 Emissions (tonnes)</t>
  </si>
  <si>
    <t>GHG Scope 1 Emissions / Net Sales ($M)</t>
  </si>
  <si>
    <t>UNH</t>
  </si>
  <si>
    <t>ELV</t>
  </si>
  <si>
    <t>CVS</t>
  </si>
  <si>
    <t>HUM</t>
  </si>
  <si>
    <t>X</t>
  </si>
  <si>
    <t>Total Water Consumption (cubic meters)</t>
  </si>
  <si>
    <t>Total Water Consumption / Net Sales ($M)</t>
  </si>
  <si>
    <t>Energy Consumption (gigajoules)</t>
  </si>
  <si>
    <t>Total Energy Consumption / Net Sales ($M)</t>
  </si>
  <si>
    <t>Total Waste Production (tonnes)</t>
  </si>
  <si>
    <t>Total Waste Production / Net Sales ($M)</t>
  </si>
  <si>
    <t>VALUATION MODEL</t>
  </si>
  <si>
    <t>Short Term</t>
  </si>
  <si>
    <t>Long Term</t>
  </si>
  <si>
    <t>Section</t>
  </si>
  <si>
    <t>Line #</t>
  </si>
  <si>
    <t>ITEM</t>
  </si>
  <si>
    <t>2020 (Real)</t>
  </si>
  <si>
    <t>2021 (Real)</t>
  </si>
  <si>
    <t>2022 (Real)</t>
  </si>
  <si>
    <t>INCOME STATEMENT</t>
  </si>
  <si>
    <t>Growth</t>
  </si>
  <si>
    <t>Revenues/Sales</t>
  </si>
  <si>
    <t>EBIT/Operating Margin</t>
  </si>
  <si>
    <t>5a</t>
  </si>
  <si>
    <t>(Dep)</t>
  </si>
  <si>
    <t>5b</t>
  </si>
  <si>
    <t>Amort</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</si>
  <si>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</si>
  <si>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</si>
  <si>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</si>
  <si>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</si>
  <si>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</si>
  <si>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</si>
  <si>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</si>
  <si>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</si>
  <si>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</si>
  <si>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</si>
  <si>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</si>
  <si>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</si>
  <si>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</si>
  <si>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</si>
  <si>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</si>
  <si>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</si>
  <si>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</si>
  <si>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</si>
  <si>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</si>
  <si>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</si>
  <si>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</si>
  <si>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</si>
  <si>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</si>
  <si>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</si>
  <si>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</si>
  <si>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</si>
  <si>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</si>
  <si>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</si>
  <si>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</si>
  <si>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</si>
  <si>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</si>
  <si>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</si>
  <si>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</si>
  <si>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</si>
  <si>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</si>
  <si>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</si>
  <si>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</si>
  <si>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</si>
  <si>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</si>
  <si>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</si>
  <si>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</si>
  <si>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</si>
  <si>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</si>
  <si>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</si>
  <si>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</si>
  <si>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</si>
  <si>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</si>
  <si>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</si>
  <si>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</si>
  <si>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 IA</t>
  </si>
  <si>
    <t>Stock-based comp</t>
  </si>
  <si>
    <t>% revenue</t>
  </si>
  <si>
    <t>Tax Rate</t>
  </si>
  <si>
    <t>% (line 9)</t>
  </si>
  <si>
    <t>Interest Rate on debt</t>
  </si>
  <si>
    <t>% debt (l29)</t>
  </si>
  <si>
    <t>Interest Rate on cash</t>
  </si>
  <si>
    <t>% of cash (l28)</t>
  </si>
  <si>
    <t>PPE+ROA</t>
  </si>
  <si>
    <t>--</t>
  </si>
  <si>
    <t>Growing with capex</t>
  </si>
  <si>
    <t>Working capital flows</t>
  </si>
  <si>
    <t>% of change revenues (l2)</t>
  </si>
  <si>
    <t>Intangible Assets</t>
  </si>
  <si>
    <t>Growing with amortization</t>
  </si>
  <si>
    <t>Capex</t>
  </si>
  <si>
    <t>% revenue (l2)</t>
  </si>
  <si>
    <t>Acquisition factor</t>
  </si>
  <si>
    <t>% net income (11)</t>
  </si>
  <si>
    <t>Repurchases</t>
  </si>
  <si>
    <t>% retained earnings</t>
  </si>
  <si>
    <t>Leases</t>
  </si>
  <si>
    <t>Cash Costs for EBIT</t>
  </si>
  <si>
    <t>multiple of EBITDA</t>
  </si>
  <si>
    <t>$ millions</t>
  </si>
  <si>
    <t>Value of flows</t>
  </si>
  <si>
    <t>Value of perpetuity</t>
  </si>
  <si>
    <t>Total Value</t>
  </si>
  <si>
    <t>Actual share price</t>
  </si>
  <si>
    <t>Total value vs Mkt Cap</t>
  </si>
  <si>
    <t>Estimated NPV per share</t>
  </si>
  <si>
    <t>Sensibility</t>
  </si>
  <si>
    <t>Sensitivity +0.1%</t>
  </si>
  <si>
    <t>Sensitivity +0.5%</t>
  </si>
  <si>
    <t>Notes</t>
  </si>
  <si>
    <t>Assumptions</t>
  </si>
  <si>
    <t>Prospects:</t>
  </si>
  <si>
    <t>OECD (GDP Quarterly Data)</t>
  </si>
  <si>
    <t>Links:</t>
  </si>
  <si>
    <t>Industry Assumptions</t>
  </si>
  <si>
    <t xml:space="preserve">Average </t>
  </si>
  <si>
    <t>Short Term Forecast</t>
  </si>
  <si>
    <t>Long Term Forecast</t>
  </si>
  <si>
    <t>Perpetual Term Forecast</t>
  </si>
  <si>
    <t>Revenue growth</t>
  </si>
  <si>
    <t>Modelling Factors</t>
  </si>
  <si>
    <t>Last 5 Years</t>
  </si>
  <si>
    <t>Average</t>
  </si>
  <si>
    <t xml:space="preserve">CAPEX </t>
  </si>
  <si>
    <t>Forecasts</t>
  </si>
  <si>
    <t>Revenues</t>
  </si>
  <si>
    <t>(Mn)</t>
  </si>
  <si>
    <t>2019 (Real)</t>
  </si>
  <si>
    <t>Sales Revenue</t>
  </si>
  <si>
    <t>Growth %</t>
  </si>
  <si>
    <t>Quarter</t>
  </si>
  <si>
    <t xml:space="preserve"> Revenues (mn)</t>
  </si>
  <si>
    <t xml:space="preserve">Year </t>
  </si>
  <si>
    <t>Revenues (Annual, mn)</t>
  </si>
  <si>
    <t>Weighting of Quarter</t>
  </si>
  <si>
    <t>Q1</t>
  </si>
  <si>
    <t>- -</t>
  </si>
  <si>
    <t>(Millions $)</t>
  </si>
  <si>
    <t>Q2</t>
  </si>
  <si>
    <t>National Health Expenditures (bn)</t>
  </si>
  <si>
    <t>Net Cost of Insurance (bn)</t>
  </si>
  <si>
    <t xml:space="preserve">US Quarterly Real GDP </t>
  </si>
  <si>
    <t xml:space="preserve">Brazilian Quarterly Real GDP </t>
  </si>
  <si>
    <t>UK &amp; Ireland (EU) Quarterly Real GDP</t>
  </si>
  <si>
    <t xml:space="preserve">India Quarterly Real GDP </t>
  </si>
  <si>
    <t xml:space="preserve">Colombia Quarterly Real GDP </t>
  </si>
  <si>
    <t>Global Average Quarterly Real GDP (Excluding Philippenes &amp; Puerto Rico, data n/a)</t>
  </si>
  <si>
    <t>Average Global Growth</t>
  </si>
  <si>
    <t>Q3</t>
  </si>
  <si>
    <t>Weigthed Average Quarterly GDP of Segments (US:89.08, Global:10.92)</t>
  </si>
  <si>
    <t>Q4</t>
  </si>
  <si>
    <t xml:space="preserve">- - </t>
  </si>
  <si>
    <t xml:space="preserve"> - - </t>
  </si>
  <si>
    <t>Geographic segments 6Y average weight on Revenues</t>
  </si>
  <si>
    <t xml:space="preserve">  - -  </t>
  </si>
  <si>
    <t>United States</t>
  </si>
  <si>
    <t>WA Growth</t>
  </si>
  <si>
    <t>Revenue Growth</t>
  </si>
  <si>
    <t>National Health Expenditures (mn)</t>
  </si>
  <si>
    <t>Annual Revenues (bn)</t>
  </si>
  <si>
    <t>Growth (National Health Expenditure)</t>
  </si>
  <si>
    <t>Growth (Net Insurance Cost)</t>
  </si>
  <si>
    <t>Growth (Annual Revenues)</t>
  </si>
  <si>
    <t>LN Rev.</t>
  </si>
  <si>
    <t>LN Exp.</t>
  </si>
  <si>
    <t>LN Cost</t>
  </si>
  <si>
    <t>US Population (mns)</t>
  </si>
  <si>
    <t>UnitedHealth Group Acquisitions</t>
  </si>
  <si>
    <t>Acquired Companies</t>
  </si>
  <si>
    <t>Number of Acquisitions in a year</t>
  </si>
  <si>
    <t>2Q Moving Average</t>
  </si>
  <si>
    <t>3Q Moving Average</t>
  </si>
  <si>
    <t>4Q Moving Avg.</t>
  </si>
  <si>
    <t>8Q moving avg</t>
  </si>
  <si>
    <t>12Q Moving Avg</t>
  </si>
  <si>
    <t>Ramsey HMO</t>
  </si>
  <si>
    <t>Metra Health</t>
  </si>
  <si>
    <t>HealthWise of America</t>
  </si>
  <si>
    <t>Health Partners of Arizona</t>
  </si>
  <si>
    <t>LifeMark Health Plans</t>
  </si>
  <si>
    <t>Geo Access</t>
  </si>
  <si>
    <t>AmeriChoice</t>
  </si>
  <si>
    <t>MidAtlantic Medical Services</t>
  </si>
  <si>
    <t>Golden Rule Financial</t>
  </si>
  <si>
    <t>Touchpoint Health Plan</t>
  </si>
  <si>
    <t>Oxford Health Plans</t>
  </si>
  <si>
    <t>Pacificare Health Systems</t>
  </si>
  <si>
    <t>Prescription Soluitions</t>
  </si>
  <si>
    <t>John Deere Healthcare</t>
  </si>
  <si>
    <t>Sierra Health Services</t>
  </si>
  <si>
    <t>Health Net (Northeast)</t>
  </si>
  <si>
    <t>Picis Clinical Solutions</t>
  </si>
  <si>
    <t>Logistics Health</t>
  </si>
  <si>
    <t>XL Health</t>
  </si>
  <si>
    <t>Audax Health</t>
  </si>
  <si>
    <t>Alere Health Services</t>
  </si>
  <si>
    <t>CatamaranRx</t>
  </si>
  <si>
    <t>Rally Health</t>
  </si>
  <si>
    <t>Davita Medical Group</t>
  </si>
  <si>
    <t>Equian</t>
  </si>
  <si>
    <t>PatientsLikeMe</t>
  </si>
  <si>
    <t>DivvyDose</t>
  </si>
  <si>
    <t>LHC Group</t>
  </si>
  <si>
    <t>Change Healthcare</t>
  </si>
  <si>
    <t>EMIS Health</t>
  </si>
  <si>
    <t>Healthcare Associates of Texas</t>
  </si>
  <si>
    <t>Crystal Run Healthcare</t>
  </si>
  <si>
    <t>AVG</t>
  </si>
  <si>
    <t>Max</t>
  </si>
  <si>
    <t>Min</t>
  </si>
  <si>
    <t>Avg.</t>
  </si>
  <si>
    <t>Q1 Avg Weighting</t>
  </si>
  <si>
    <t>Q2 Avg Weighting</t>
  </si>
  <si>
    <t>Q3 Avg Weighting</t>
  </si>
  <si>
    <t>Q4 Avg Weighting</t>
  </si>
  <si>
    <t>Moving Average Based Revenue Forecast</t>
  </si>
  <si>
    <t>Base Scenario</t>
  </si>
  <si>
    <t>Q1 Revenues</t>
  </si>
  <si>
    <t>Q2 Revenues</t>
  </si>
  <si>
    <t>Q3 Revenues</t>
  </si>
  <si>
    <t>Q4 Revenues</t>
  </si>
  <si>
    <t>Bull Scenario</t>
  </si>
  <si>
    <t>Bear Scenario</t>
  </si>
  <si>
    <t>Quarterly Weighted Based</t>
  </si>
  <si>
    <t>Forecasted</t>
  </si>
  <si>
    <t>Bear</t>
  </si>
  <si>
    <t>Bull</t>
  </si>
  <si>
    <t>Base</t>
  </si>
  <si>
    <t>CAPEX</t>
  </si>
  <si>
    <t>2018 (Real)</t>
  </si>
  <si>
    <t>CapEX</t>
  </si>
  <si>
    <t>CapEX/Revenues</t>
  </si>
  <si>
    <t>AVG (2018-2022)</t>
  </si>
  <si>
    <t>Depreciation</t>
  </si>
  <si>
    <t>Amortization</t>
  </si>
  <si>
    <t>PPE+ROU</t>
  </si>
  <si>
    <t>Dep/PPE</t>
  </si>
  <si>
    <t>Gross Intangibles</t>
  </si>
  <si>
    <t>Net Intangibles</t>
  </si>
  <si>
    <t>Amort/Gross Intangibles</t>
  </si>
  <si>
    <t>Amort/Net Intangibles</t>
  </si>
  <si>
    <t>Interest &amp; Tax</t>
  </si>
  <si>
    <t>Interest Expense</t>
  </si>
  <si>
    <t>Interest Rate</t>
  </si>
  <si>
    <t>EBT</t>
  </si>
  <si>
    <t>Tax Expense</t>
  </si>
  <si>
    <t>Risk-Free (US Treasury 10y Bond Yield)</t>
  </si>
  <si>
    <t>Equity Premium</t>
  </si>
  <si>
    <t>US</t>
  </si>
  <si>
    <t>0.8909 Weighting</t>
  </si>
  <si>
    <t>0.1091 Weighting</t>
  </si>
  <si>
    <t>Ireland</t>
  </si>
  <si>
    <t>UK</t>
  </si>
  <si>
    <t>Philippenes</t>
  </si>
  <si>
    <t>India</t>
  </si>
  <si>
    <t>Colombia</t>
  </si>
  <si>
    <t>Puerto Rico</t>
  </si>
  <si>
    <t>Goodwill Carrying Amount</t>
  </si>
  <si>
    <t>YoY</t>
  </si>
  <si>
    <t>% of Gross Intangible Asset</t>
  </si>
  <si>
    <t>Other intangibles gross</t>
  </si>
  <si>
    <t>Acquisitions</t>
  </si>
  <si>
    <t>Cash paid for acquisitions</t>
  </si>
  <si>
    <t>% of Revenues</t>
  </si>
  <si>
    <t>Cum. Acquisition amount</t>
  </si>
  <si>
    <t xml:space="preserve">Cum. Growth </t>
  </si>
  <si>
    <t>Payout Ratio</t>
  </si>
  <si>
    <t>Target 5y Avg</t>
  </si>
  <si>
    <t>Retention Rate</t>
  </si>
  <si>
    <t>Common Share Repurchases</t>
  </si>
  <si>
    <t>Retained Earnings</t>
  </si>
  <si>
    <t>Repurchase Rate (over retained earnings)</t>
  </si>
  <si>
    <t>Repurchase Rate (over net income)</t>
  </si>
  <si>
    <t>Total Debt Multiple</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</si>
  <si>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</si>
  <si>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</si>
  <si>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</si>
  <si>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</si>
  <si>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</si>
  <si>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</si>
  <si>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</si>
  <si>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</si>
  <si>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</si>
  <si>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</si>
  <si>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</si>
  <si>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</si>
  <si>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</si>
  <si>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Assets</t>
  </si>
  <si>
    <t>Accounts Receivable</t>
  </si>
  <si>
    <t>Inventory (2021-2022)</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</si>
  <si>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</si>
  <si>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</si>
  <si>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</si>
  <si>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</si>
  <si>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</si>
  <si>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</si>
  <si>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</si>
  <si>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</si>
  <si>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</si>
  <si>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</si>
  <si>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</si>
  <si>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</si>
  <si>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</si>
  <si>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</si>
  <si>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</si>
  <si>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</si>
  <si>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</si>
  <si>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</si>
  <si>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</si>
  <si>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</si>
  <si>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</si>
  <si>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</si>
  <si>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</si>
  <si>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</si>
  <si>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</si>
  <si>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</si>
  <si>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Figures in Millions of USD</t>
  </si>
  <si>
    <t>Company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</si>
  <si>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</si>
  <si>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</si>
  <si>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</si>
  <si>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</si>
  <si>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</si>
  <si>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</si>
  <si>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</si>
  <si>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</si>
  <si>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</si>
  <si>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</si>
  <si>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</si>
  <si>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</si>
  <si>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</si>
  <si>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</si>
  <si>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</si>
  <si>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</si>
  <si>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</si>
  <si>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</si>
  <si>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</si>
  <si>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</si>
  <si>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</si>
  <si>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</si>
  <si>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</si>
  <si>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</si>
  <si>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</si>
  <si>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</si>
  <si>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</si>
  <si>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</si>
  <si>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</si>
  <si>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</si>
  <si>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</si>
  <si>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 xml:space="preserve">    + Aumento en capital</t>
  </si>
  <si>
    <t xml:space="preserve">    + Baja en capital</t>
  </si>
  <si>
    <t>Cambiar signo y hacer suma</t>
  </si>
  <si>
    <t>ASSETS</t>
  </si>
  <si>
    <t>Current</t>
  </si>
  <si>
    <t>Balance Sheet</t>
  </si>
  <si>
    <t xml:space="preserve">Inventory </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</si>
  <si>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</si>
  <si>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</si>
  <si>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</si>
  <si>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</si>
  <si>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</si>
  <si>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</si>
  <si>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</si>
  <si>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</si>
  <si>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</si>
  <si>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</si>
  <si>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</si>
  <si>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</si>
  <si>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</si>
  <si>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</si>
  <si>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</si>
  <si>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</si>
  <si>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</si>
  <si>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</si>
  <si>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</si>
  <si>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</si>
  <si>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</si>
  <si>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</si>
  <si>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</si>
  <si>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</si>
  <si>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</si>
  <si>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exp CGAR</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</si>
  <si>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</si>
  <si>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</si>
  <si>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</si>
  <si>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</si>
  <si>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</si>
  <si>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</si>
  <si>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</si>
  <si>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</si>
  <si>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</si>
  <si>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</si>
  <si>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</si>
  <si>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</si>
  <si>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</si>
  <si>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</si>
  <si>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</si>
  <si>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</si>
  <si>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</si>
  <si>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A/A+</t>
  </si>
  <si>
    <t>Dividend Yield(Yahoo Finance)</t>
  </si>
  <si>
    <t>Yahoo Finance</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</si>
  <si>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</si>
  <si>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</si>
  <si>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</si>
  <si>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</si>
  <si>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</si>
  <si>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</si>
  <si>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</si>
  <si>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</si>
  <si>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</si>
  <si>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</si>
  <si>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</si>
  <si>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</si>
  <si>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</si>
  <si>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</si>
  <si>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</si>
  <si>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</si>
  <si>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</si>
  <si>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</si>
  <si>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</si>
  <si>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</si>
  <si>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</si>
  <si>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</si>
  <si>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</si>
  <si>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</si>
  <si>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</si>
  <si>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</si>
  <si>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</si>
  <si>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</si>
  <si>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</si>
  <si>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</si>
  <si>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</si>
  <si>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</si>
  <si>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</si>
  <si>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Land Degradation/Deforestation/Biodiversity loss/Animal sufering/...</t>
  </si>
  <si>
    <t>Alternative Carriers</t>
  </si>
  <si>
    <t>Industrials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</si>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</sst>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7">
    <numFmt numFmtId="43" formatCode="_-* #,##0.00_-;\-* #,##0.00_-;_-* &quot;-&quot;??_-;_-@_-"/>
    <numFmt numFmtId="164" formatCode="&quot;$&quot;#,##0_);[Red]\(&quot;$&quot;#,##0\)"/>
    <numFmt numFmtId="165" formatCode="&quot;$&quot;#,##0.00_);[Red]\(&quot;$&quot;#,##0.00\)"/>
    <numFmt numFmtId="166" formatCode="_-&quot;$&quot;* #,##0.00_-;\-&quot;$&quot;* #,##0.00_-;_-&quot;$&quot;* &quot;-&quot;??_-;_-@_-"/>
    <numFmt numFmtId="167" formatCode="&quot;$&quot;#,##0.00"/>
    <numFmt numFmtId="168" formatCode="&quot;$&quot;#,##0"/>
    <numFmt numFmtId="169" formatCode="0.0%"/>
    <numFmt numFmtId="170" formatCode="0.0"/>
    <numFmt numFmtId="171" formatCode="#,##0.0"/>
    <numFmt numFmtId="172" formatCode="[$$-409]#,##0.00_ ;\-[$$-409]#,##0.00\ "/>
    <numFmt numFmtId="173" formatCode="[$$-409]#,##0.00"/>
    <numFmt numFmtId="174" formatCode="[$$-409]#,##0"/>
    <numFmt numFmtId="175" formatCode="_-[$$-409]* #,##0.00_ ;_-[$$-409]* \-#,##0.00\ ;_-[$$-409]* &quot;-&quot;??_ ;_-@_ "/>
    <numFmt numFmtId="176" formatCode="0.000000"/>
    <numFmt numFmtId="177" formatCode="0.000%"/>
    <numFmt numFmtId="178" formatCode="_-* #,##0\ [$€-816]_-;\-* #,##0\ [$€-816]_-;_-* &quot;-&quot;??\ [$€-816]_-;_-@_-"/>
    <numFmt numFmtId="179" formatCode="0.000"/>
    <numFmt numFmtId="180" formatCode="_([$$-409]* #,##0.00_);_([$$-409]* \(#,##0.00\);_([$$-409]* &quot;-&quot;??_);_(@_)"/>
    <numFmt numFmtId="181" formatCode="_([$$-409]* #,##0.0_);_([$$-409]* \(#,##0.0\);_([$$-409]* &quot;-&quot;??_);_(@_)"/>
    <numFmt numFmtId="182" formatCode="_([$$-409]* #,##0_);_([$$-409]* \(#,##0\);_([$$-409]* &quot;-&quot;??_);_(@_)"/>
    <numFmt numFmtId="183" formatCode="0.0000%"/>
    <numFmt numFmtId="184" formatCode="0.00000%"/>
    <numFmt numFmtId="185" formatCode="&quot;$&quot;#,##0.000"/>
    <numFmt numFmtId="186" formatCode="_-[$$-409]* #,##0_ ;_-[$$-409]* \-#,##0\ ;_-[$$-409]* &quot;-&quot;??_ ;_-@_ "/>
    <numFmt numFmtId="187" formatCode="_(* #,##0_);_(* \(#,##0\);_(* &quot;-&quot;??_);_(@_)"/>
    <numFmt numFmtId="188" formatCode="0.000000%"/>
    <numFmt numFmtId="189" formatCode="0.0000000%"/>
  </numFmts>
  <fonts count="8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b/>
      <sz val="11"/>
      <color rgb="FF374151"/>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b/>
      <sz val="11"/>
      <color theme="0"/>
      <name val="Calibri"/>
      <family val="2"/>
      <scheme val="minor"/>
    </font>
    <font>
      <b/>
      <sz val="14"/>
      <color theme="0"/>
      <name val="Calibri"/>
      <family val="2"/>
      <scheme val="minor"/>
    </font>
    <font>
      <sz val="11"/>
      <color rgb="FF444444"/>
      <name val="Calibri"/>
      <family val="2"/>
      <charset val="1"/>
    </font>
    <font>
      <sz val="16"/>
      <color rgb="FF000000"/>
      <name val="Arial"/>
      <family val="2"/>
    </font>
    <font>
      <sz val="11"/>
      <color rgb="FF242424"/>
      <name val="Calibri"/>
      <family val="2"/>
      <charset val="1"/>
    </font>
    <font>
      <sz val="11"/>
      <color theme="1"/>
      <name val="Calibri"/>
      <family val="2"/>
      <charset val="204"/>
      <scheme val="minor"/>
    </font>
    <font>
      <sz val="11"/>
      <color rgb="FF000000"/>
      <name val="Calibri"/>
      <family val="2"/>
      <charset val="204"/>
    </font>
    <font>
      <b/>
      <sz val="11"/>
      <color rgb="FF000000"/>
      <name val="Calibri"/>
      <family val="2"/>
      <charset val="204"/>
    </font>
    <font>
      <b/>
      <i/>
      <sz val="10"/>
      <name val="Arial"/>
      <family val="2"/>
    </font>
    <font>
      <sz val="10"/>
      <color rgb="FF232A31"/>
      <name val="Yahoo Sans Finance"/>
      <charset val="1"/>
    </font>
  </fonts>
  <fills count="50">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FFC000"/>
        <bgColor rgb="FF000000"/>
      </patternFill>
    </fill>
    <fill>
      <patternFill patternType="solid">
        <fgColor theme="0" tint="-0.34998626667073579"/>
        <bgColor indexed="64"/>
      </patternFill>
    </fill>
    <fill>
      <patternFill patternType="solid">
        <fgColor theme="5" tint="0.39997558519241921"/>
        <bgColor indexed="64"/>
      </patternFill>
    </fill>
  </fills>
  <borders count="256">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thin">
        <color indexed="64"/>
      </left>
      <right style="medium">
        <color rgb="FF1F497D"/>
      </right>
      <top style="thin">
        <color indexed="64"/>
      </top>
      <bottom style="thin">
        <color indexed="64"/>
      </bottom>
      <diagonal/>
    </border>
    <border>
      <left style="thin">
        <color theme="0" tint="-0.24994659260841701"/>
      </left>
      <right style="thin">
        <color theme="0" tint="-0.24994659260841701"/>
      </right>
      <top style="thin">
        <color theme="0" tint="-0.24994659260841701"/>
      </top>
      <bottom/>
      <diagonal/>
    </border>
    <border>
      <left style="thin">
        <color indexed="64"/>
      </left>
      <right style="medium">
        <color rgb="FF1F497D"/>
      </right>
      <top/>
      <bottom style="thin">
        <color indexed="64"/>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rgb="FF000000"/>
      </right>
      <top/>
      <bottom/>
      <diagonal/>
    </border>
    <border>
      <left style="medium">
        <color rgb="FF000000"/>
      </left>
      <right style="medium">
        <color theme="3"/>
      </right>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style="thin">
        <color theme="0" tint="-0.24994659260841701"/>
      </top>
      <bottom/>
      <diagonal/>
    </border>
    <border>
      <left style="medium">
        <color theme="3"/>
      </left>
      <right/>
      <top/>
      <bottom style="thin">
        <color theme="0" tint="-0.24994659260841701"/>
      </bottom>
      <diagonal/>
    </border>
    <border>
      <left style="medium">
        <color theme="3"/>
      </left>
      <right style="thin">
        <color indexed="64"/>
      </right>
      <top style="thin">
        <color indexed="64"/>
      </top>
      <bottom style="thin">
        <color indexed="64"/>
      </bottom>
      <diagonal/>
    </border>
    <border>
      <left style="medium">
        <color theme="3"/>
      </left>
      <right style="thin">
        <color indexed="64"/>
      </right>
      <top style="thin">
        <color indexed="64"/>
      </top>
      <bottom style="medium">
        <color theme="3"/>
      </bottom>
      <diagonal/>
    </border>
    <border>
      <left style="thin">
        <color indexed="64"/>
      </left>
      <right style="thin">
        <color indexed="64"/>
      </right>
      <top style="thin">
        <color indexed="64"/>
      </top>
      <bottom style="medium">
        <color theme="3"/>
      </bottom>
      <diagonal/>
    </border>
    <border>
      <left style="thin">
        <color indexed="64"/>
      </left>
      <right style="medium">
        <color rgb="FF1F497D"/>
      </right>
      <top style="thin">
        <color indexed="64"/>
      </top>
      <bottom style="medium">
        <color theme="3"/>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theme="0" tint="-0.249977111117893"/>
      </bottom>
      <diagonal/>
    </border>
    <border>
      <left style="medium">
        <color rgb="FF000000"/>
      </left>
      <right style="medium">
        <color theme="3"/>
      </right>
      <top style="medium">
        <color rgb="FF000000"/>
      </top>
      <bottom/>
      <diagonal/>
    </border>
    <border>
      <left style="medium">
        <color rgb="FF000000"/>
      </left>
      <right style="medium">
        <color rgb="FF000000"/>
      </right>
      <top/>
      <bottom style="thin">
        <color indexed="64"/>
      </bottom>
      <diagonal/>
    </border>
    <border>
      <left style="thin">
        <color indexed="64"/>
      </left>
      <right style="medium">
        <color indexed="64"/>
      </right>
      <top/>
      <bottom/>
      <diagonal/>
    </border>
    <border>
      <left style="thin">
        <color rgb="FF000000"/>
      </left>
      <right style="medium">
        <color rgb="FF000000"/>
      </right>
      <top style="thin">
        <color rgb="FF000000"/>
      </top>
      <bottom style="thin">
        <color rgb="FF000000"/>
      </bottom>
      <diagonal/>
    </border>
    <border>
      <left style="medium">
        <color rgb="FF1F497D"/>
      </left>
      <right style="thin">
        <color indexed="64"/>
      </right>
      <top style="medium">
        <color rgb="FF1F497D"/>
      </top>
      <bottom style="thin">
        <color theme="0" tint="-0.24994659260841701"/>
      </bottom>
      <diagonal/>
    </border>
    <border>
      <left style="medium">
        <color rgb="FF1F497D"/>
      </left>
      <right style="thin">
        <color indexed="64"/>
      </right>
      <top/>
      <bottom style="thin">
        <color theme="0" tint="-0.24994659260841701"/>
      </bottom>
      <diagonal/>
    </border>
    <border>
      <left style="medium">
        <color rgb="FF1F497D"/>
      </left>
      <right/>
      <top style="thin">
        <color theme="0" tint="-0.24994659260841701"/>
      </top>
      <bottom style="thin">
        <color indexed="64"/>
      </bottom>
      <diagonal/>
    </border>
    <border>
      <left/>
      <right style="medium">
        <color rgb="FF1F497D"/>
      </right>
      <top style="thin">
        <color theme="0" tint="-0.24994659260841701"/>
      </top>
      <bottom style="thin">
        <color indexed="64"/>
      </bottom>
      <diagonal/>
    </border>
    <border>
      <left/>
      <right/>
      <top style="thin">
        <color theme="0" tint="-0.24994659260841701"/>
      </top>
      <bottom style="thin">
        <color indexed="64"/>
      </bottom>
      <diagonal/>
    </border>
    <border>
      <left style="medium">
        <color rgb="FF1F497D"/>
      </left>
      <right/>
      <top style="thin">
        <color indexed="64"/>
      </top>
      <bottom style="thin">
        <color theme="0" tint="-0.24994659260841701"/>
      </bottom>
      <diagonal/>
    </border>
    <border>
      <left/>
      <right style="medium">
        <color rgb="FF1F497D"/>
      </right>
      <top style="thin">
        <color indexed="64"/>
      </top>
      <bottom style="thin">
        <color theme="0" tint="-0.24994659260841701"/>
      </bottom>
      <diagonal/>
    </border>
    <border>
      <left/>
      <right/>
      <top style="thin">
        <color indexed="64"/>
      </top>
      <bottom style="thin">
        <color theme="0" tint="-0.24994659260841701"/>
      </bottom>
      <diagonal/>
    </border>
    <border>
      <left/>
      <right style="thin">
        <color rgb="FF000000"/>
      </right>
      <top style="thin">
        <color indexed="64"/>
      </top>
      <bottom style="thin">
        <color indexed="64"/>
      </bottom>
      <diagonal/>
    </border>
    <border>
      <left/>
      <right style="medium">
        <color theme="3"/>
      </right>
      <top style="thin">
        <color theme="0" tint="-0.249977111117893"/>
      </top>
      <bottom style="thin">
        <color theme="0" tint="-0.249977111117893"/>
      </bottom>
      <diagonal/>
    </border>
    <border>
      <left style="medium">
        <color rgb="FF404040"/>
      </left>
      <right style="medium">
        <color rgb="FF404040"/>
      </right>
      <top style="medium">
        <color rgb="FF404040"/>
      </top>
      <bottom style="medium">
        <color rgb="FF404040"/>
      </bottom>
      <diagonal/>
    </border>
    <border>
      <left/>
      <right style="medium">
        <color rgb="FF404040"/>
      </right>
      <top style="medium">
        <color rgb="FF404040"/>
      </top>
      <bottom style="medium">
        <color rgb="FF404040"/>
      </bottom>
      <diagonal/>
    </border>
    <border>
      <left style="medium">
        <color rgb="FF404040"/>
      </left>
      <right style="medium">
        <color rgb="FF404040"/>
      </right>
      <top/>
      <bottom style="medium">
        <color rgb="FF404040"/>
      </bottom>
      <diagonal/>
    </border>
    <border>
      <left/>
      <right style="medium">
        <color rgb="FF404040"/>
      </right>
      <top/>
      <bottom style="medium">
        <color rgb="FF404040"/>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s>
  <cellStyleXfs count="38">
    <xf numFmtId="0" fontId="0" fillId="0" borderId="0"/>
    <xf numFmtId="0" fontId="16" fillId="2" borderId="1" applyNumberFormat="0" applyProtection="0">
      <alignment horizontal="left" vertical="center" readingOrder="1"/>
    </xf>
    <xf numFmtId="0" fontId="17" fillId="2" borderId="2">
      <alignment horizontal="left"/>
    </xf>
    <xf numFmtId="0" fontId="17" fillId="2" borderId="3">
      <alignment horizontal="right"/>
    </xf>
    <xf numFmtId="0" fontId="17" fillId="2" borderId="3">
      <alignment horizontal="left"/>
    </xf>
    <xf numFmtId="3" fontId="18" fillId="3" borderId="4">
      <alignment horizontal="right"/>
    </xf>
    <xf numFmtId="171" fontId="11" fillId="3" borderId="4">
      <alignment horizontal="right"/>
    </xf>
    <xf numFmtId="4" fontId="11" fillId="3" borderId="4">
      <alignment horizontal="right"/>
    </xf>
    <xf numFmtId="0" fontId="20" fillId="4" borderId="5" applyNumberFormat="0" applyAlignment="0" applyProtection="0"/>
    <xf numFmtId="0" fontId="18" fillId="3" borderId="6"/>
    <xf numFmtId="0" fontId="19" fillId="3" borderId="6"/>
    <xf numFmtId="0" fontId="10" fillId="0" borderId="0" applyNumberFormat="0" applyFill="0" applyBorder="0" applyAlignment="0" applyProtection="0">
      <alignment vertical="top"/>
      <protection locked="0"/>
    </xf>
    <xf numFmtId="166" fontId="22" fillId="0" borderId="0" applyFont="0" applyFill="0" applyBorder="0" applyAlignment="0" applyProtection="0"/>
    <xf numFmtId="166" fontId="12" fillId="0" borderId="0" applyFont="0" applyFill="0" applyBorder="0" applyAlignment="0" applyProtection="0"/>
    <xf numFmtId="0" fontId="24" fillId="0" borderId="0"/>
    <xf numFmtId="0" fontId="12" fillId="0" borderId="0"/>
    <xf numFmtId="9" fontId="8" fillId="0" borderId="0" applyFont="0" applyFill="0" applyBorder="0" applyAlignment="0" applyProtection="0"/>
    <xf numFmtId="9" fontId="22" fillId="0" borderId="0" applyFont="0" applyFill="0" applyBorder="0" applyAlignment="0" applyProtection="0"/>
    <xf numFmtId="9" fontId="12" fillId="0" borderId="0" applyFont="0" applyFill="0" applyBorder="0" applyAlignment="0" applyProtection="0"/>
    <xf numFmtId="9" fontId="24"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2" fillId="0" borderId="0"/>
    <xf numFmtId="0" fontId="1" fillId="0" borderId="0"/>
    <xf numFmtId="0" fontId="1" fillId="0" borderId="0"/>
    <xf numFmtId="0" fontId="1" fillId="0" borderId="0"/>
    <xf numFmtId="9" fontId="1" fillId="0" borderId="0" applyFont="0" applyFill="0" applyBorder="0" applyAlignment="0" applyProtection="0"/>
  </cellStyleXfs>
  <cellXfs count="1282">
    <xf numFmtId="0" fontId="0" fillId="0" borderId="0" xfId="0"/>
    <xf numFmtId="9" fontId="0" fillId="0" borderId="0" xfId="16" applyFont="1" applyAlignment="1">
      <alignment horizontal="center"/>
    </xf>
    <xf numFmtId="0" fontId="8" fillId="0" borderId="0" xfId="0" applyFont="1"/>
    <xf numFmtId="9" fontId="13" fillId="0" borderId="0" xfId="16" applyFont="1"/>
    <xf numFmtId="9" fontId="8" fillId="8" borderId="19" xfId="16" applyFont="1" applyFill="1" applyBorder="1" applyAlignment="1">
      <alignment horizontal="center"/>
    </xf>
    <xf numFmtId="0" fontId="19" fillId="3" borderId="6" xfId="10"/>
    <xf numFmtId="9" fontId="0" fillId="8" borderId="19" xfId="16" applyFont="1" applyFill="1" applyBorder="1" applyAlignment="1">
      <alignment horizontal="center"/>
    </xf>
    <xf numFmtId="169" fontId="13" fillId="26" borderId="1" xfId="16" applyNumberFormat="1" applyFont="1" applyFill="1" applyBorder="1" applyAlignment="1">
      <alignment horizontal="center"/>
    </xf>
    <xf numFmtId="169" fontId="13" fillId="26" borderId="45" xfId="16" applyNumberFormat="1" applyFont="1" applyFill="1" applyBorder="1" applyAlignment="1">
      <alignment horizontal="center"/>
    </xf>
    <xf numFmtId="3" fontId="0" fillId="25" borderId="1" xfId="16" applyNumberFormat="1" applyFont="1" applyFill="1" applyBorder="1" applyAlignment="1">
      <alignment horizontal="center"/>
    </xf>
    <xf numFmtId="3" fontId="0" fillId="25" borderId="45" xfId="16" applyNumberFormat="1" applyFont="1" applyFill="1" applyBorder="1" applyAlignment="1">
      <alignment horizontal="center"/>
    </xf>
    <xf numFmtId="3" fontId="13" fillId="27" borderId="1" xfId="16" applyNumberFormat="1" applyFont="1" applyFill="1" applyBorder="1" applyAlignment="1">
      <alignment horizontal="center"/>
    </xf>
    <xf numFmtId="9" fontId="35" fillId="0" borderId="0" xfId="16" applyFont="1" applyFill="1" applyAlignment="1">
      <alignment horizontal="center"/>
    </xf>
    <xf numFmtId="169" fontId="35" fillId="0" borderId="0" xfId="16" applyNumberFormat="1" applyFont="1" applyFill="1" applyAlignment="1">
      <alignment horizontal="center"/>
    </xf>
    <xf numFmtId="9" fontId="35" fillId="0" borderId="0" xfId="22" applyFont="1" applyFill="1" applyAlignment="1">
      <alignment horizontal="center"/>
    </xf>
    <xf numFmtId="169" fontId="33" fillId="24" borderId="19" xfId="16" applyNumberFormat="1" applyFont="1" applyFill="1" applyBorder="1" applyAlignment="1">
      <alignment horizontal="center"/>
    </xf>
    <xf numFmtId="0" fontId="13" fillId="0" borderId="37" xfId="0" applyFont="1" applyBorder="1"/>
    <xf numFmtId="0" fontId="17" fillId="5" borderId="8" xfId="4" applyFill="1" applyBorder="1" applyAlignment="1"/>
    <xf numFmtId="0" fontId="8" fillId="0" borderId="0" xfId="26"/>
    <xf numFmtId="0" fontId="27" fillId="5" borderId="7" xfId="26" applyFont="1" applyFill="1" applyBorder="1" applyAlignment="1">
      <alignment horizontal="center"/>
    </xf>
    <xf numFmtId="0" fontId="27" fillId="5" borderId="11" xfId="26" applyFont="1" applyFill="1" applyBorder="1" applyAlignment="1">
      <alignment horizontal="center"/>
    </xf>
    <xf numFmtId="0" fontId="29" fillId="3" borderId="10" xfId="10" applyFont="1" applyBorder="1"/>
    <xf numFmtId="0" fontId="8" fillId="0" borderId="0" xfId="26" applyAlignment="1">
      <alignment vertical="center"/>
    </xf>
    <xf numFmtId="0" fontId="29" fillId="3" borderId="13" xfId="10" applyFont="1" applyBorder="1"/>
    <xf numFmtId="0" fontId="29" fillId="0" borderId="10" xfId="10" applyFont="1" applyFill="1" applyBorder="1"/>
    <xf numFmtId="0" fontId="20" fillId="0" borderId="0" xfId="8" applyFill="1" applyBorder="1"/>
    <xf numFmtId="9" fontId="8" fillId="0" borderId="0" xfId="28" applyFont="1"/>
    <xf numFmtId="0" fontId="30" fillId="0" borderId="0" xfId="11" applyFont="1" applyAlignment="1" applyProtection="1"/>
    <xf numFmtId="0" fontId="27" fillId="29" borderId="0" xfId="26" applyFont="1" applyFill="1" applyAlignment="1">
      <alignment horizontal="center" vertical="center"/>
    </xf>
    <xf numFmtId="0" fontId="28" fillId="0" borderId="9" xfId="9" applyFont="1" applyFill="1" applyBorder="1"/>
    <xf numFmtId="0" fontId="19" fillId="3" borderId="13" xfId="10" applyBorder="1"/>
    <xf numFmtId="0" fontId="19" fillId="3" borderId="10" xfId="10" applyBorder="1"/>
    <xf numFmtId="0" fontId="26" fillId="0" borderId="0" xfId="26" applyFont="1"/>
    <xf numFmtId="0" fontId="13" fillId="0" borderId="32" xfId="0" applyFont="1" applyBorder="1"/>
    <xf numFmtId="0" fontId="13"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3" fillId="0" borderId="44" xfId="0" applyFont="1" applyBorder="1"/>
    <xf numFmtId="0" fontId="13" fillId="0" borderId="1" xfId="0" applyFont="1" applyBorder="1"/>
    <xf numFmtId="0" fontId="13" fillId="0" borderId="45" xfId="0" applyFont="1" applyBorder="1"/>
    <xf numFmtId="9" fontId="33" fillId="8" borderId="52" xfId="16" applyFont="1" applyFill="1" applyBorder="1" applyAlignment="1">
      <alignment horizontal="center"/>
    </xf>
    <xf numFmtId="9" fontId="8" fillId="8" borderId="52" xfId="16" applyFont="1" applyFill="1" applyBorder="1" applyAlignment="1">
      <alignment horizontal="center"/>
    </xf>
    <xf numFmtId="169" fontId="33" fillId="24" borderId="52" xfId="16" applyNumberFormat="1" applyFont="1" applyFill="1" applyBorder="1" applyAlignment="1">
      <alignment horizontal="center"/>
    </xf>
    <xf numFmtId="9" fontId="8" fillId="24" borderId="19" xfId="16" applyFont="1" applyFill="1" applyBorder="1" applyAlignment="1">
      <alignment horizontal="center"/>
    </xf>
    <xf numFmtId="9" fontId="33" fillId="7" borderId="52" xfId="16" applyFont="1" applyFill="1" applyBorder="1" applyAlignment="1">
      <alignment horizontal="center"/>
    </xf>
    <xf numFmtId="9" fontId="8" fillId="7" borderId="19" xfId="16" applyFont="1" applyFill="1" applyBorder="1" applyAlignment="1">
      <alignment horizontal="center"/>
    </xf>
    <xf numFmtId="169" fontId="8" fillId="7" borderId="19" xfId="16" applyNumberFormat="1" applyFont="1" applyFill="1" applyBorder="1" applyAlignment="1">
      <alignment horizontal="center"/>
    </xf>
    <xf numFmtId="9" fontId="8" fillId="7" borderId="19" xfId="16" applyFont="1" applyFill="1" applyBorder="1"/>
    <xf numFmtId="174" fontId="33" fillId="8" borderId="52" xfId="16" applyNumberFormat="1" applyFont="1" applyFill="1" applyBorder="1" applyAlignment="1">
      <alignment horizontal="center"/>
    </xf>
    <xf numFmtId="9" fontId="0" fillId="0" borderId="90" xfId="16" applyFont="1" applyBorder="1"/>
    <xf numFmtId="9" fontId="0" fillId="0" borderId="91" xfId="16" applyFont="1" applyBorder="1"/>
    <xf numFmtId="9" fontId="0" fillId="0" borderId="95" xfId="16" applyFont="1" applyBorder="1"/>
    <xf numFmtId="9" fontId="13" fillId="14" borderId="66" xfId="16" applyFont="1" applyFill="1" applyBorder="1" applyAlignment="1">
      <alignment horizontal="center"/>
    </xf>
    <xf numFmtId="0" fontId="29" fillId="0" borderId="10" xfId="26" applyFont="1" applyBorder="1" applyAlignment="1">
      <alignment horizontal="center"/>
    </xf>
    <xf numFmtId="0" fontId="29" fillId="0" borderId="16" xfId="26" applyFont="1" applyBorder="1" applyAlignment="1">
      <alignment horizontal="center"/>
    </xf>
    <xf numFmtId="0" fontId="29" fillId="0" borderId="10" xfId="26" applyFont="1" applyBorder="1" applyAlignment="1">
      <alignment horizontal="center" vertical="center"/>
    </xf>
    <xf numFmtId="0" fontId="29" fillId="0" borderId="16" xfId="26" applyFont="1" applyBorder="1" applyAlignment="1">
      <alignment horizontal="center" vertical="center"/>
    </xf>
    <xf numFmtId="0" fontId="29" fillId="0" borderId="14" xfId="26" applyFont="1" applyBorder="1" applyAlignment="1">
      <alignment horizontal="center"/>
    </xf>
    <xf numFmtId="0" fontId="29" fillId="0" borderId="17" xfId="26" applyFont="1" applyBorder="1" applyAlignment="1">
      <alignment horizontal="center"/>
    </xf>
    <xf numFmtId="0" fontId="50" fillId="5" borderId="116" xfId="4" applyFont="1" applyFill="1" applyBorder="1" applyAlignment="1">
      <alignment horizontal="center" vertical="center"/>
    </xf>
    <xf numFmtId="0" fontId="50" fillId="5" borderId="116" xfId="3" applyFont="1" applyFill="1" applyBorder="1" applyAlignment="1">
      <alignment horizontal="center" vertical="center" wrapText="1"/>
    </xf>
    <xf numFmtId="0" fontId="50" fillId="5" borderId="116" xfId="3" applyFont="1" applyFill="1" applyBorder="1" applyAlignment="1">
      <alignment horizontal="center" vertical="center"/>
    </xf>
    <xf numFmtId="0" fontId="8" fillId="3" borderId="116" xfId="10" applyFont="1" applyBorder="1" applyAlignment="1">
      <alignment horizontal="center" vertical="center"/>
    </xf>
    <xf numFmtId="171" fontId="8" fillId="8" borderId="116" xfId="6" applyFont="1" applyFill="1" applyBorder="1" applyAlignment="1">
      <alignment horizontal="right" vertical="center" wrapText="1"/>
    </xf>
    <xf numFmtId="0" fontId="29" fillId="3" borderId="116" xfId="10" applyFont="1" applyBorder="1" applyAlignment="1">
      <alignment vertical="center"/>
    </xf>
    <xf numFmtId="171" fontId="8" fillId="3" borderId="116" xfId="6" applyFont="1" applyBorder="1" applyAlignment="1">
      <alignment horizontal="right" vertical="center" wrapText="1"/>
    </xf>
    <xf numFmtId="0" fontId="29" fillId="3" borderId="116" xfId="10" applyFont="1" applyBorder="1" applyAlignment="1">
      <alignment horizontal="center" vertical="center"/>
    </xf>
    <xf numFmtId="3" fontId="13" fillId="34" borderId="118" xfId="5" applyFont="1" applyFill="1" applyBorder="1" applyAlignment="1">
      <alignment horizontal="center" vertical="center"/>
    </xf>
    <xf numFmtId="0" fontId="13" fillId="0" borderId="0" xfId="26" applyFont="1" applyAlignment="1">
      <alignment vertical="center"/>
    </xf>
    <xf numFmtId="0" fontId="8" fillId="12" borderId="0" xfId="26" applyFill="1" applyAlignment="1">
      <alignment vertical="center"/>
    </xf>
    <xf numFmtId="0" fontId="28" fillId="0" borderId="116" xfId="9" applyFont="1" applyFill="1" applyBorder="1" applyAlignment="1">
      <alignment horizontal="center" vertical="center"/>
    </xf>
    <xf numFmtId="3" fontId="51" fillId="34" borderId="117" xfId="5" applyFont="1" applyFill="1" applyBorder="1" applyAlignment="1">
      <alignment horizontal="right" vertical="center"/>
    </xf>
    <xf numFmtId="3" fontId="51" fillId="34" borderId="118" xfId="5" applyFont="1" applyFill="1" applyBorder="1" applyAlignment="1">
      <alignment horizontal="right" vertical="center"/>
    </xf>
    <xf numFmtId="3" fontId="51" fillId="34" borderId="119" xfId="5" applyFont="1" applyFill="1" applyBorder="1" applyAlignment="1">
      <alignment horizontal="right" vertical="center"/>
    </xf>
    <xf numFmtId="171" fontId="8" fillId="3" borderId="116" xfId="6" applyFont="1" applyBorder="1" applyAlignment="1">
      <alignment horizontal="center" vertical="center"/>
    </xf>
    <xf numFmtId="4" fontId="32" fillId="0" borderId="116" xfId="7" applyFont="1" applyFill="1" applyBorder="1" applyAlignment="1">
      <alignment horizontal="right" vertical="center"/>
    </xf>
    <xf numFmtId="0" fontId="0" fillId="34" borderId="118" xfId="0" applyFill="1" applyBorder="1" applyAlignment="1">
      <alignment horizontal="center" vertical="center"/>
    </xf>
    <xf numFmtId="4" fontId="8" fillId="34" borderId="118" xfId="7" applyFont="1" applyFill="1" applyBorder="1" applyAlignment="1">
      <alignment horizontal="right" vertical="center"/>
    </xf>
    <xf numFmtId="3" fontId="13" fillId="34" borderId="119" xfId="5" applyFont="1" applyFill="1" applyBorder="1" applyAlignment="1">
      <alignment horizontal="right" vertical="center" wrapText="1"/>
    </xf>
    <xf numFmtId="4" fontId="8" fillId="8" borderId="116" xfId="7" applyFont="1" applyFill="1" applyBorder="1" applyAlignment="1">
      <alignment horizontal="right" vertical="center" wrapText="1"/>
    </xf>
    <xf numFmtId="4" fontId="8" fillId="3" borderId="116" xfId="7" applyFont="1" applyBorder="1" applyAlignment="1">
      <alignment horizontal="center" vertical="center"/>
    </xf>
    <xf numFmtId="4" fontId="8" fillId="3" borderId="116" xfId="7" applyFont="1" applyBorder="1" applyAlignment="1">
      <alignment horizontal="right" vertical="center" wrapText="1"/>
    </xf>
    <xf numFmtId="0" fontId="29" fillId="0" borderId="116" xfId="10" applyFont="1" applyFill="1" applyBorder="1" applyAlignment="1">
      <alignment vertical="center"/>
    </xf>
    <xf numFmtId="0" fontId="8" fillId="0" borderId="116" xfId="10" applyFont="1" applyFill="1" applyBorder="1" applyAlignment="1">
      <alignment horizontal="center" vertical="center"/>
    </xf>
    <xf numFmtId="0" fontId="8" fillId="0" borderId="116" xfId="27" applyFont="1" applyBorder="1" applyAlignment="1">
      <alignment horizontal="right" vertical="center" wrapText="1"/>
    </xf>
    <xf numFmtId="3" fontId="13" fillId="34" borderId="117" xfId="5" applyFont="1" applyFill="1" applyBorder="1" applyAlignment="1">
      <alignment horizontal="right" vertical="center"/>
    </xf>
    <xf numFmtId="4" fontId="8" fillId="6" borderId="116" xfId="7" applyFont="1" applyFill="1" applyBorder="1" applyAlignment="1">
      <alignment horizontal="right" vertical="center"/>
    </xf>
    <xf numFmtId="4" fontId="8" fillId="6" borderId="116" xfId="7" applyFont="1" applyFill="1" applyBorder="1" applyAlignment="1">
      <alignment horizontal="center" vertical="center"/>
    </xf>
    <xf numFmtId="4" fontId="8" fillId="0" borderId="116" xfId="7" applyFont="1" applyFill="1" applyBorder="1" applyAlignment="1">
      <alignment horizontal="right" vertical="center" wrapText="1"/>
    </xf>
    <xf numFmtId="0" fontId="29" fillId="3" borderId="116" xfId="10" applyFont="1" applyBorder="1" applyAlignment="1">
      <alignment vertical="center" wrapText="1"/>
    </xf>
    <xf numFmtId="4" fontId="8" fillId="0" borderId="116" xfId="7" applyFont="1" applyFill="1" applyBorder="1" applyAlignment="1">
      <alignment horizontal="center" vertical="center"/>
    </xf>
    <xf numFmtId="0" fontId="50" fillId="32" borderId="116" xfId="3" applyFont="1" applyFill="1" applyBorder="1" applyAlignment="1">
      <alignment horizontal="center" vertical="center" wrapText="1"/>
    </xf>
    <xf numFmtId="0" fontId="8" fillId="0" borderId="116" xfId="26" applyBorder="1"/>
    <xf numFmtId="0" fontId="8" fillId="0" borderId="116" xfId="26" applyBorder="1" applyAlignment="1">
      <alignment vertical="center"/>
    </xf>
    <xf numFmtId="0" fontId="35" fillId="12" borderId="116" xfId="26" applyFont="1" applyFill="1" applyBorder="1" applyAlignment="1">
      <alignment horizontal="center" vertical="center"/>
    </xf>
    <xf numFmtId="0" fontId="27" fillId="5" borderId="8" xfId="26" applyFont="1" applyFill="1" applyBorder="1" applyAlignment="1">
      <alignment horizontal="center"/>
    </xf>
    <xf numFmtId="10" fontId="0" fillId="0" borderId="0" xfId="16" applyNumberFormat="1" applyFont="1"/>
    <xf numFmtId="9" fontId="33" fillId="38" borderId="156" xfId="16" applyFont="1" applyFill="1" applyBorder="1" applyAlignment="1">
      <alignment horizontal="center" vertical="center"/>
    </xf>
    <xf numFmtId="9" fontId="38" fillId="0" borderId="0" xfId="16" applyFont="1"/>
    <xf numFmtId="4" fontId="32" fillId="12" borderId="116" xfId="7" applyFont="1" applyFill="1" applyBorder="1" applyAlignment="1">
      <alignment horizontal="right" vertical="center"/>
    </xf>
    <xf numFmtId="4" fontId="8" fillId="0" borderId="0" xfId="7" applyFont="1" applyFill="1" applyBorder="1">
      <alignment horizontal="right"/>
    </xf>
    <xf numFmtId="4" fontId="32" fillId="0" borderId="0" xfId="7" applyFont="1" applyFill="1" applyBorder="1">
      <alignment horizontal="right"/>
    </xf>
    <xf numFmtId="4" fontId="32" fillId="28" borderId="116" xfId="7" applyFont="1" applyFill="1" applyBorder="1" applyAlignment="1">
      <alignment horizontal="right" vertical="center"/>
    </xf>
    <xf numFmtId="4" fontId="25" fillId="12" borderId="116" xfId="7" applyFont="1" applyFill="1" applyBorder="1" applyAlignment="1">
      <alignment horizontal="right" vertical="center"/>
    </xf>
    <xf numFmtId="4" fontId="25" fillId="28" borderId="116" xfId="7" applyFont="1" applyFill="1" applyBorder="1" applyAlignment="1">
      <alignment horizontal="right" vertical="center"/>
    </xf>
    <xf numFmtId="169" fontId="33" fillId="38" borderId="46" xfId="16" applyNumberFormat="1" applyFont="1" applyFill="1" applyBorder="1" applyAlignment="1">
      <alignment horizontal="center" vertical="center"/>
    </xf>
    <xf numFmtId="169" fontId="33" fillId="38" borderId="159" xfId="16" applyNumberFormat="1" applyFont="1" applyFill="1" applyBorder="1" applyAlignment="1">
      <alignment horizontal="center" vertical="center"/>
    </xf>
    <xf numFmtId="169" fontId="33" fillId="38" borderId="44" xfId="16" applyNumberFormat="1" applyFont="1" applyFill="1" applyBorder="1" applyAlignment="1">
      <alignment horizontal="center" vertical="center"/>
    </xf>
    <xf numFmtId="169" fontId="8" fillId="0" borderId="156" xfId="16" applyNumberFormat="1" applyFont="1" applyFill="1" applyBorder="1" applyAlignment="1">
      <alignment horizontal="center" vertical="center"/>
    </xf>
    <xf numFmtId="169" fontId="8" fillId="0" borderId="157" xfId="16" applyNumberFormat="1" applyFont="1" applyFill="1" applyBorder="1" applyAlignment="1">
      <alignment horizontal="center" vertical="center"/>
    </xf>
    <xf numFmtId="169" fontId="0" fillId="0" borderId="158" xfId="16" applyNumberFormat="1" applyFont="1" applyFill="1" applyBorder="1" applyAlignment="1">
      <alignment horizontal="center" vertical="center"/>
    </xf>
    <xf numFmtId="169" fontId="33" fillId="0" borderId="159" xfId="16" applyNumberFormat="1" applyFont="1" applyFill="1" applyBorder="1" applyAlignment="1">
      <alignment horizontal="center" vertical="center"/>
    </xf>
    <xf numFmtId="169" fontId="33" fillId="0" borderId="46" xfId="16" applyNumberFormat="1" applyFont="1" applyFill="1" applyBorder="1" applyAlignment="1">
      <alignment horizontal="center" vertical="center"/>
    </xf>
    <xf numFmtId="169" fontId="33" fillId="0" borderId="150" xfId="16" applyNumberFormat="1" applyFont="1" applyFill="1" applyBorder="1" applyAlignment="1">
      <alignment horizontal="center" vertical="center"/>
    </xf>
    <xf numFmtId="9" fontId="0" fillId="0" borderId="0" xfId="16" applyFont="1" applyBorder="1" applyAlignment="1">
      <alignment horizontal="left"/>
    </xf>
    <xf numFmtId="0" fontId="0" fillId="0" borderId="0" xfId="0" applyAlignment="1">
      <alignment horizontal="center" vertical="center"/>
    </xf>
    <xf numFmtId="2" fontId="33" fillId="24" borderId="52" xfId="16" applyNumberFormat="1" applyFont="1" applyFill="1" applyBorder="1" applyAlignment="1">
      <alignment horizontal="center"/>
    </xf>
    <xf numFmtId="2" fontId="33" fillId="24" borderId="62" xfId="16" applyNumberFormat="1" applyFont="1" applyFill="1" applyBorder="1" applyAlignment="1">
      <alignment horizontal="center"/>
    </xf>
    <xf numFmtId="169" fontId="64" fillId="0" borderId="46" xfId="16" applyNumberFormat="1" applyFont="1" applyBorder="1" applyAlignment="1">
      <alignment horizontal="center"/>
    </xf>
    <xf numFmtId="9" fontId="0" fillId="0" borderId="0" xfId="16" applyFont="1" applyAlignment="1">
      <alignment horizontal="left"/>
    </xf>
    <xf numFmtId="9" fontId="23" fillId="0" borderId="0" xfId="16" applyFont="1" applyAlignment="1">
      <alignment horizontal="center" vertical="center"/>
    </xf>
    <xf numFmtId="3" fontId="0" fillId="0" borderId="46" xfId="0" applyNumberFormat="1" applyBorder="1" applyAlignment="1">
      <alignment horizontal="center" vertical="center"/>
    </xf>
    <xf numFmtId="10" fontId="0" fillId="0" borderId="122" xfId="16" applyNumberFormat="1" applyFont="1" applyFill="1" applyBorder="1" applyAlignment="1">
      <alignment horizontal="center" vertical="center"/>
    </xf>
    <xf numFmtId="10" fontId="0" fillId="8" borderId="23" xfId="25" applyNumberFormat="1" applyFont="1" applyFill="1" applyBorder="1" applyAlignment="1">
      <alignment horizontal="center"/>
    </xf>
    <xf numFmtId="169" fontId="0" fillId="8" borderId="23" xfId="25" applyNumberFormat="1" applyFont="1" applyFill="1" applyBorder="1" applyAlignment="1">
      <alignment horizontal="center"/>
    </xf>
    <xf numFmtId="169" fontId="0" fillId="8" borderId="23" xfId="16" quotePrefix="1" applyNumberFormat="1" applyFont="1" applyFill="1" applyBorder="1" applyAlignment="1">
      <alignment horizontal="center"/>
    </xf>
    <xf numFmtId="170" fontId="0" fillId="24" borderId="23" xfId="16" applyNumberFormat="1" applyFont="1" applyFill="1" applyBorder="1" applyAlignment="1">
      <alignment horizontal="center"/>
    </xf>
    <xf numFmtId="169" fontId="0" fillId="24" borderId="23" xfId="16" applyNumberFormat="1" applyFont="1" applyFill="1" applyBorder="1" applyAlignment="1">
      <alignment horizontal="center"/>
    </xf>
    <xf numFmtId="2" fontId="0" fillId="24" borderId="23" xfId="16" applyNumberFormat="1" applyFont="1" applyFill="1" applyBorder="1" applyAlignment="1">
      <alignment horizontal="center"/>
    </xf>
    <xf numFmtId="169" fontId="0" fillId="8" borderId="23" xfId="16" applyNumberFormat="1" applyFont="1" applyFill="1" applyBorder="1" applyAlignment="1">
      <alignment horizontal="center"/>
    </xf>
    <xf numFmtId="10" fontId="69" fillId="35" borderId="116" xfId="26" applyNumberFormat="1" applyFont="1" applyFill="1" applyBorder="1"/>
    <xf numFmtId="175" fontId="8" fillId="0" borderId="116" xfId="26" applyNumberFormat="1" applyBorder="1"/>
    <xf numFmtId="169" fontId="53" fillId="0" borderId="0" xfId="16" applyNumberFormat="1" applyFont="1"/>
    <xf numFmtId="0" fontId="8" fillId="0" borderId="0" xfId="26" applyAlignment="1">
      <alignment vertical="center" wrapText="1"/>
    </xf>
    <xf numFmtId="3" fontId="51" fillId="34" borderId="118" xfId="5" applyFont="1" applyFill="1" applyBorder="1" applyAlignment="1">
      <alignment horizontal="right" vertical="center" wrapText="1"/>
    </xf>
    <xf numFmtId="4" fontId="8" fillId="34" borderId="118" xfId="7" applyFont="1" applyFill="1" applyBorder="1" applyAlignment="1">
      <alignment horizontal="right" vertical="center" wrapText="1"/>
    </xf>
    <xf numFmtId="4" fontId="32" fillId="0" borderId="116" xfId="7" applyFont="1" applyFill="1" applyBorder="1" applyAlignment="1">
      <alignment horizontal="right" vertical="center" wrapText="1"/>
    </xf>
    <xf numFmtId="0" fontId="8" fillId="0" borderId="116" xfId="10" applyFont="1" applyFill="1" applyBorder="1" applyAlignment="1">
      <alignment horizontal="right" vertical="center" wrapText="1"/>
    </xf>
    <xf numFmtId="0" fontId="20" fillId="0" borderId="0" xfId="8" applyFill="1" applyBorder="1" applyAlignment="1">
      <alignment wrapText="1"/>
    </xf>
    <xf numFmtId="0" fontId="8" fillId="0" borderId="0" xfId="26" applyAlignment="1">
      <alignment wrapText="1"/>
    </xf>
    <xf numFmtId="0" fontId="0" fillId="0" borderId="0" xfId="0" applyAlignment="1">
      <alignment wrapText="1"/>
    </xf>
    <xf numFmtId="0" fontId="0" fillId="0" borderId="0" xfId="26" applyFont="1"/>
    <xf numFmtId="2" fontId="8" fillId="0" borderId="0" xfId="26" applyNumberFormat="1"/>
    <xf numFmtId="2" fontId="0" fillId="0" borderId="0" xfId="26" applyNumberFormat="1" applyFont="1"/>
    <xf numFmtId="169" fontId="8" fillId="24" borderId="19" xfId="16" applyNumberFormat="1" applyFont="1" applyFill="1" applyBorder="1" applyAlignment="1">
      <alignment horizontal="center"/>
    </xf>
    <xf numFmtId="9" fontId="0" fillId="17" borderId="103" xfId="16" applyFont="1" applyFill="1" applyBorder="1" applyAlignment="1">
      <alignment horizontal="center"/>
    </xf>
    <xf numFmtId="9" fontId="8" fillId="17" borderId="102" xfId="16" applyFont="1" applyFill="1" applyBorder="1" applyAlignment="1">
      <alignment horizontal="center"/>
    </xf>
    <xf numFmtId="9" fontId="0" fillId="17" borderId="102" xfId="16" applyFont="1" applyFill="1" applyBorder="1" applyAlignment="1">
      <alignment horizontal="center"/>
    </xf>
    <xf numFmtId="9" fontId="0" fillId="0" borderId="101" xfId="16" applyFont="1" applyFill="1" applyBorder="1" applyAlignment="1">
      <alignment horizontal="center"/>
    </xf>
    <xf numFmtId="9" fontId="0" fillId="0" borderId="103" xfId="16" applyFont="1" applyFill="1" applyBorder="1" applyAlignment="1">
      <alignment horizontal="center"/>
    </xf>
    <xf numFmtId="2" fontId="0" fillId="17" borderId="103" xfId="16" applyNumberFormat="1" applyFont="1" applyFill="1" applyBorder="1" applyAlignment="1">
      <alignment horizontal="center"/>
    </xf>
    <xf numFmtId="9" fontId="0" fillId="0" borderId="109" xfId="16" applyFont="1" applyFill="1" applyBorder="1" applyAlignment="1">
      <alignment horizontal="center"/>
    </xf>
    <xf numFmtId="10" fontId="0" fillId="0" borderId="102" xfId="16" applyNumberFormat="1" applyFont="1" applyFill="1" applyBorder="1" applyAlignment="1">
      <alignment horizontal="center"/>
    </xf>
    <xf numFmtId="169" fontId="0" fillId="0" borderId="101" xfId="16" applyNumberFormat="1" applyFont="1" applyFill="1" applyBorder="1" applyAlignment="1">
      <alignment horizontal="center"/>
    </xf>
    <xf numFmtId="9" fontId="26" fillId="31" borderId="75" xfId="16" applyFont="1" applyFill="1" applyBorder="1" applyAlignment="1">
      <alignment horizontal="center" vertical="center"/>
    </xf>
    <xf numFmtId="9" fontId="26" fillId="18" borderId="202" xfId="16" applyFont="1" applyFill="1" applyBorder="1" applyAlignment="1">
      <alignment horizontal="center"/>
    </xf>
    <xf numFmtId="9" fontId="26" fillId="18" borderId="107" xfId="16" applyFont="1" applyFill="1" applyBorder="1" applyAlignment="1">
      <alignment horizontal="center"/>
    </xf>
    <xf numFmtId="9" fontId="26" fillId="18" borderId="203" xfId="16" applyFont="1" applyFill="1" applyBorder="1" applyAlignment="1">
      <alignment horizontal="center"/>
    </xf>
    <xf numFmtId="2" fontId="26" fillId="31" borderId="75" xfId="16" applyNumberFormat="1" applyFont="1" applyFill="1" applyBorder="1" applyAlignment="1">
      <alignment horizontal="center" vertical="center"/>
    </xf>
    <xf numFmtId="2" fontId="26" fillId="18" borderId="107" xfId="16" applyNumberFormat="1" applyFont="1" applyFill="1" applyBorder="1" applyAlignment="1">
      <alignment horizontal="center"/>
    </xf>
    <xf numFmtId="9" fontId="26" fillId="18" borderId="77" xfId="16" applyFont="1" applyFill="1" applyBorder="1" applyAlignment="1">
      <alignment horizontal="center"/>
    </xf>
    <xf numFmtId="0" fontId="27" fillId="0" borderId="0" xfId="26" applyFont="1" applyAlignment="1">
      <alignment horizontal="center" vertical="center"/>
    </xf>
    <xf numFmtId="4" fontId="25" fillId="0" borderId="0" xfId="7" applyFont="1" applyFill="1" applyBorder="1">
      <alignment horizontal="right"/>
    </xf>
    <xf numFmtId="10" fontId="0" fillId="8" borderId="109" xfId="16" applyNumberFormat="1" applyFont="1" applyFill="1" applyBorder="1" applyAlignment="1">
      <alignment horizontal="center" vertical="center"/>
    </xf>
    <xf numFmtId="10" fontId="0" fillId="8" borderId="110" xfId="16" applyNumberFormat="1" applyFont="1" applyFill="1" applyBorder="1" applyAlignment="1">
      <alignment horizontal="center" vertical="center"/>
    </xf>
    <xf numFmtId="10" fontId="0" fillId="0" borderId="0" xfId="16" applyNumberFormat="1" applyFont="1" applyFill="1" applyBorder="1" applyAlignment="1">
      <alignment horizontal="center" vertical="center"/>
    </xf>
    <xf numFmtId="9" fontId="0" fillId="0" borderId="202" xfId="16" applyFont="1" applyFill="1" applyBorder="1" applyAlignment="1">
      <alignment horizontal="center"/>
    </xf>
    <xf numFmtId="9" fontId="0" fillId="17" borderId="107" xfId="16" applyFont="1" applyFill="1" applyBorder="1" applyAlignment="1">
      <alignment horizontal="center"/>
    </xf>
    <xf numFmtId="9" fontId="0" fillId="0" borderId="107" xfId="16" applyFont="1" applyFill="1" applyBorder="1" applyAlignment="1">
      <alignment horizontal="center"/>
    </xf>
    <xf numFmtId="9" fontId="0" fillId="17" borderId="203" xfId="16" applyFont="1" applyFill="1" applyBorder="1" applyAlignment="1">
      <alignment horizontal="center"/>
    </xf>
    <xf numFmtId="169" fontId="0" fillId="0" borderId="202" xfId="16" applyNumberFormat="1" applyFont="1" applyFill="1" applyBorder="1" applyAlignment="1">
      <alignment horizontal="center"/>
    </xf>
    <xf numFmtId="2" fontId="0" fillId="17" borderId="107" xfId="16" applyNumberFormat="1" applyFont="1" applyFill="1" applyBorder="1" applyAlignment="1">
      <alignment horizontal="center"/>
    </xf>
    <xf numFmtId="10" fontId="0" fillId="0" borderId="203" xfId="16" applyNumberFormat="1" applyFont="1" applyFill="1" applyBorder="1" applyAlignment="1">
      <alignment horizontal="center"/>
    </xf>
    <xf numFmtId="10" fontId="0" fillId="17" borderId="107" xfId="16" applyNumberFormat="1" applyFont="1" applyFill="1" applyBorder="1" applyAlignment="1">
      <alignment horizontal="center" vertical="center"/>
    </xf>
    <xf numFmtId="9" fontId="0" fillId="0" borderId="110" xfId="16" applyFont="1" applyFill="1" applyBorder="1" applyAlignment="1">
      <alignment horizontal="center"/>
    </xf>
    <xf numFmtId="0" fontId="27" fillId="5" borderId="211" xfId="26" applyFont="1" applyFill="1" applyBorder="1" applyAlignment="1">
      <alignment horizontal="center" vertical="center"/>
    </xf>
    <xf numFmtId="4" fontId="25" fillId="28" borderId="212" xfId="7" applyFont="1" applyFill="1" applyBorder="1">
      <alignment horizontal="right"/>
    </xf>
    <xf numFmtId="4" fontId="8" fillId="12" borderId="212" xfId="7" applyFont="1" applyFill="1" applyBorder="1">
      <alignment horizontal="right"/>
    </xf>
    <xf numFmtId="4" fontId="32" fillId="9" borderId="213" xfId="7" applyFont="1" applyFill="1" applyBorder="1">
      <alignment horizontal="right"/>
    </xf>
    <xf numFmtId="0" fontId="57" fillId="36" borderId="0" xfId="24" applyFont="1" applyFill="1"/>
    <xf numFmtId="0" fontId="73" fillId="36" borderId="0" xfId="24" applyFont="1" applyFill="1" applyAlignment="1">
      <alignment horizontal="left" vertical="center"/>
    </xf>
    <xf numFmtId="0" fontId="73" fillId="36" borderId="0" xfId="24" applyFont="1" applyFill="1" applyAlignment="1">
      <alignment horizontal="center" vertical="center"/>
    </xf>
    <xf numFmtId="0" fontId="8" fillId="31" borderId="0" xfId="24" applyFill="1"/>
    <xf numFmtId="0" fontId="8" fillId="0" borderId="0" xfId="24"/>
    <xf numFmtId="10" fontId="0" fillId="0" borderId="0" xfId="16" applyNumberFormat="1" applyFont="1" applyAlignment="1">
      <alignment horizontal="left"/>
    </xf>
    <xf numFmtId="0" fontId="13" fillId="0" borderId="0" xfId="24" applyFont="1"/>
    <xf numFmtId="0" fontId="8" fillId="8" borderId="0" xfId="24" applyFill="1"/>
    <xf numFmtId="0" fontId="38" fillId="0" borderId="0" xfId="24" applyFont="1"/>
    <xf numFmtId="10" fontId="8" fillId="8" borderId="0" xfId="24" applyNumberFormat="1" applyFill="1"/>
    <xf numFmtId="0" fontId="8" fillId="0" borderId="0" xfId="24" applyAlignment="1">
      <alignment horizontal="left"/>
    </xf>
    <xf numFmtId="0" fontId="13" fillId="0" borderId="0" xfId="24" applyFont="1" applyAlignment="1">
      <alignment horizontal="center"/>
    </xf>
    <xf numFmtId="10" fontId="74" fillId="0" borderId="0" xfId="24" applyNumberFormat="1" applyFont="1" applyAlignment="1">
      <alignment horizontal="center"/>
    </xf>
    <xf numFmtId="10" fontId="8" fillId="0" borderId="0" xfId="24" applyNumberFormat="1"/>
    <xf numFmtId="169" fontId="0" fillId="0" borderId="0" xfId="16" applyNumberFormat="1" applyFont="1"/>
    <xf numFmtId="0" fontId="74" fillId="0" borderId="0" xfId="24" applyFont="1"/>
    <xf numFmtId="0" fontId="49" fillId="31" borderId="0" xfId="24" applyFont="1" applyFill="1"/>
    <xf numFmtId="169" fontId="38" fillId="0" borderId="0" xfId="24" applyNumberFormat="1" applyFont="1"/>
    <xf numFmtId="0" fontId="56" fillId="0" borderId="0" xfId="24" applyFont="1" applyAlignment="1">
      <alignment horizontal="center"/>
    </xf>
    <xf numFmtId="177" fontId="75" fillId="46" borderId="0" xfId="16" applyNumberFormat="1" applyFont="1" applyFill="1" applyBorder="1" applyAlignment="1">
      <alignment horizontal="center"/>
    </xf>
    <xf numFmtId="0" fontId="57" fillId="0" borderId="0" xfId="24" applyFont="1"/>
    <xf numFmtId="0" fontId="73" fillId="0" borderId="0" xfId="24" applyFont="1" applyAlignment="1">
      <alignment horizontal="center" vertical="center"/>
    </xf>
    <xf numFmtId="0" fontId="8" fillId="8" borderId="0" xfId="24" applyFill="1" applyAlignment="1">
      <alignment horizontal="center" vertical="center"/>
    </xf>
    <xf numFmtId="0" fontId="13" fillId="8" borderId="0" xfId="24" applyFont="1" applyFill="1" applyAlignment="1">
      <alignment horizontal="center" vertical="center"/>
    </xf>
    <xf numFmtId="0" fontId="8" fillId="0" borderId="0" xfId="24" applyAlignment="1">
      <alignment horizontal="center" vertical="center"/>
    </xf>
    <xf numFmtId="0" fontId="77" fillId="5" borderId="116" xfId="4" applyFont="1" applyFill="1" applyBorder="1" applyAlignment="1">
      <alignment horizontal="center" vertical="center"/>
    </xf>
    <xf numFmtId="0" fontId="0" fillId="0" borderId="123" xfId="0" applyBorder="1" applyAlignment="1">
      <alignment horizontal="center"/>
    </xf>
    <xf numFmtId="0" fontId="64" fillId="35" borderId="122" xfId="0" applyFont="1" applyFill="1" applyBorder="1" applyAlignment="1">
      <alignment horizontal="center" vertical="center"/>
    </xf>
    <xf numFmtId="9" fontId="64" fillId="35" borderId="125" xfId="16" applyFont="1" applyFill="1" applyBorder="1" applyAlignment="1">
      <alignment horizontal="center" vertical="center" wrapText="1"/>
    </xf>
    <xf numFmtId="0" fontId="64" fillId="35" borderId="125" xfId="16" applyNumberFormat="1" applyFont="1" applyFill="1" applyBorder="1" applyAlignment="1">
      <alignment horizontal="center" vertical="center" wrapText="1"/>
    </xf>
    <xf numFmtId="178" fontId="64" fillId="35" borderId="125" xfId="16" applyNumberFormat="1" applyFont="1" applyFill="1" applyBorder="1" applyAlignment="1">
      <alignment horizontal="center" vertical="center" wrapText="1"/>
    </xf>
    <xf numFmtId="9" fontId="64" fillId="35" borderId="122" xfId="16" applyFont="1" applyFill="1" applyBorder="1" applyAlignment="1">
      <alignment horizontal="center" vertical="center" wrapText="1"/>
    </xf>
    <xf numFmtId="0" fontId="64" fillId="35" borderId="122" xfId="0" applyFont="1" applyFill="1" applyBorder="1" applyAlignment="1">
      <alignment horizontal="center" vertical="center" wrapText="1"/>
    </xf>
    <xf numFmtId="0" fontId="0" fillId="8" borderId="0" xfId="0" applyFill="1" applyAlignment="1">
      <alignment horizontal="center" vertical="center"/>
    </xf>
    <xf numFmtId="0" fontId="0" fillId="0" borderId="0" xfId="0" applyAlignment="1">
      <alignment vertical="center"/>
    </xf>
    <xf numFmtId="0" fontId="0" fillId="0" borderId="46" xfId="0" applyBorder="1" applyAlignment="1">
      <alignment horizontal="center" vertical="center"/>
    </xf>
    <xf numFmtId="2" fontId="0" fillId="0" borderId="46" xfId="0" applyNumberFormat="1" applyBorder="1" applyAlignment="1">
      <alignment horizontal="center" vertical="center"/>
    </xf>
    <xf numFmtId="2" fontId="64" fillId="0" borderId="46" xfId="0" applyNumberFormat="1" applyFont="1" applyBorder="1" applyAlignment="1">
      <alignment horizontal="center" vertical="center"/>
    </xf>
    <xf numFmtId="0" fontId="0" fillId="8" borderId="46" xfId="0" applyFill="1" applyBorder="1" applyAlignment="1">
      <alignment horizontal="center" vertical="center"/>
    </xf>
    <xf numFmtId="2" fontId="0" fillId="8" borderId="46" xfId="0" applyNumberFormat="1" applyFill="1" applyBorder="1" applyAlignment="1">
      <alignment horizontal="center" vertical="center"/>
    </xf>
    <xf numFmtId="0" fontId="0" fillId="0" borderId="126" xfId="0" applyBorder="1" applyAlignment="1">
      <alignment horizontal="center"/>
    </xf>
    <xf numFmtId="9" fontId="0" fillId="0" borderId="126" xfId="16" applyFont="1" applyBorder="1" applyAlignment="1">
      <alignment horizontal="center" vertical="center"/>
    </xf>
    <xf numFmtId="0" fontId="80" fillId="0" borderId="46" xfId="0" applyFont="1" applyBorder="1" applyAlignment="1">
      <alignment horizontal="center" vertical="center"/>
    </xf>
    <xf numFmtId="9" fontId="76" fillId="35" borderId="46" xfId="16" applyFont="1" applyFill="1" applyBorder="1" applyAlignment="1">
      <alignment horizontal="center" vertical="center" wrapText="1"/>
    </xf>
    <xf numFmtId="9" fontId="76" fillId="35" borderId="46" xfId="16" applyFont="1" applyFill="1" applyBorder="1" applyAlignment="1">
      <alignment horizontal="center" vertical="center"/>
    </xf>
    <xf numFmtId="0" fontId="13" fillId="0" borderId="0" xfId="0" applyFont="1" applyAlignment="1">
      <alignment horizontal="left" vertical="center"/>
    </xf>
    <xf numFmtId="0" fontId="26" fillId="8" borderId="0" xfId="0" applyFont="1" applyFill="1" applyAlignment="1">
      <alignment horizontal="center" vertical="center"/>
    </xf>
    <xf numFmtId="0" fontId="0" fillId="0" borderId="123" xfId="0" applyBorder="1" applyAlignment="1">
      <alignment horizontal="center" vertical="center"/>
    </xf>
    <xf numFmtId="0" fontId="0" fillId="0" borderId="122" xfId="0" applyBorder="1" applyAlignment="1">
      <alignment horizontal="center" vertical="center"/>
    </xf>
    <xf numFmtId="0" fontId="27" fillId="32" borderId="0" xfId="0" applyFont="1" applyFill="1" applyAlignment="1">
      <alignment vertical="center"/>
    </xf>
    <xf numFmtId="0" fontId="0" fillId="0" borderId="126" xfId="0" applyBorder="1" applyAlignment="1">
      <alignment horizontal="center" vertical="center"/>
    </xf>
    <xf numFmtId="0" fontId="0" fillId="8" borderId="231" xfId="0" applyFill="1" applyBorder="1" applyAlignment="1">
      <alignment horizontal="center" vertical="center"/>
    </xf>
    <xf numFmtId="0" fontId="78" fillId="32" borderId="0" xfId="0" applyFont="1" applyFill="1" applyAlignment="1">
      <alignment horizontal="left" vertical="center"/>
    </xf>
    <xf numFmtId="0" fontId="64" fillId="0" borderId="126" xfId="0" applyFont="1" applyBorder="1" applyAlignment="1">
      <alignment horizontal="center" vertical="center"/>
    </xf>
    <xf numFmtId="0" fontId="0" fillId="0" borderId="178" xfId="0" applyBorder="1" applyAlignment="1">
      <alignment horizontal="left" vertical="center"/>
    </xf>
    <xf numFmtId="0" fontId="0" fillId="0" borderId="126" xfId="0" applyBorder="1" applyAlignment="1">
      <alignment horizontal="left" vertical="center"/>
    </xf>
    <xf numFmtId="0" fontId="0" fillId="0" borderId="231" xfId="0" applyBorder="1" applyAlignment="1">
      <alignment horizontal="left" vertical="center"/>
    </xf>
    <xf numFmtId="2" fontId="0" fillId="0" borderId="126" xfId="16" applyNumberFormat="1" applyFont="1" applyBorder="1" applyAlignment="1">
      <alignment horizontal="center" vertical="center"/>
    </xf>
    <xf numFmtId="178" fontId="0" fillId="0" borderId="126" xfId="16" applyNumberFormat="1" applyFont="1" applyBorder="1" applyAlignment="1">
      <alignment horizontal="center" vertical="center"/>
    </xf>
    <xf numFmtId="0" fontId="0" fillId="0" borderId="231" xfId="0" applyBorder="1" applyAlignment="1">
      <alignment horizontal="center" vertical="center"/>
    </xf>
    <xf numFmtId="0" fontId="0" fillId="8" borderId="0" xfId="0" applyFill="1" applyAlignment="1">
      <alignment vertical="center"/>
    </xf>
    <xf numFmtId="0" fontId="0" fillId="0" borderId="125" xfId="0" applyBorder="1" applyAlignment="1">
      <alignment horizontal="left" vertical="center"/>
    </xf>
    <xf numFmtId="0" fontId="13" fillId="0" borderId="0" xfId="0" applyFont="1" applyAlignment="1">
      <alignment vertical="center"/>
    </xf>
    <xf numFmtId="0" fontId="0" fillId="0" borderId="125" xfId="0" applyBorder="1" applyAlignment="1">
      <alignment horizontal="center" vertical="center"/>
    </xf>
    <xf numFmtId="0" fontId="0" fillId="0" borderId="187" xfId="0" applyBorder="1" applyAlignment="1">
      <alignment horizontal="center" vertical="center"/>
    </xf>
    <xf numFmtId="179" fontId="0" fillId="0" borderId="46" xfId="0" applyNumberFormat="1" applyBorder="1" applyAlignment="1">
      <alignment horizontal="center" vertical="center"/>
    </xf>
    <xf numFmtId="0" fontId="13" fillId="0" borderId="231" xfId="0" applyFont="1" applyBorder="1" applyAlignment="1">
      <alignment vertical="center"/>
    </xf>
    <xf numFmtId="0" fontId="0" fillId="8" borderId="187" xfId="0" applyFill="1" applyBorder="1" applyAlignment="1">
      <alignment horizontal="center" vertical="center"/>
    </xf>
    <xf numFmtId="0" fontId="27" fillId="32" borderId="187" xfId="0" applyFont="1" applyFill="1" applyBorder="1" applyAlignment="1">
      <alignment vertical="center"/>
    </xf>
    <xf numFmtId="9" fontId="76" fillId="12" borderId="46" xfId="16" applyFont="1" applyFill="1" applyBorder="1" applyAlignment="1">
      <alignment horizontal="center" vertical="center" wrapText="1"/>
    </xf>
    <xf numFmtId="177" fontId="75" fillId="46" borderId="0" xfId="16" applyNumberFormat="1" applyFont="1" applyFill="1" applyAlignment="1">
      <alignment horizontal="center"/>
    </xf>
    <xf numFmtId="9" fontId="8" fillId="17" borderId="103" xfId="16" applyFont="1" applyFill="1" applyBorder="1" applyAlignment="1">
      <alignment horizontal="center" vertical="center"/>
    </xf>
    <xf numFmtId="10" fontId="35" fillId="19" borderId="0" xfId="16" applyNumberFormat="1" applyFont="1" applyFill="1" applyAlignment="1">
      <alignment horizontal="center"/>
    </xf>
    <xf numFmtId="4" fontId="0" fillId="25" borderId="1" xfId="16" applyNumberFormat="1" applyFont="1" applyFill="1" applyBorder="1" applyAlignment="1">
      <alignment horizontal="center"/>
    </xf>
    <xf numFmtId="4" fontId="0" fillId="25" borderId="45" xfId="16" applyNumberFormat="1" applyFont="1" applyFill="1" applyBorder="1" applyAlignment="1">
      <alignment horizontal="center"/>
    </xf>
    <xf numFmtId="10" fontId="0" fillId="25" borderId="1" xfId="16" applyNumberFormat="1" applyFont="1" applyFill="1" applyBorder="1" applyAlignment="1">
      <alignment horizontal="center"/>
    </xf>
    <xf numFmtId="10" fontId="0" fillId="25" borderId="45" xfId="16" applyNumberFormat="1" applyFont="1" applyFill="1" applyBorder="1" applyAlignment="1">
      <alignment horizontal="center"/>
    </xf>
    <xf numFmtId="169" fontId="13" fillId="12" borderId="1" xfId="16" applyNumberFormat="1" applyFont="1" applyFill="1" applyBorder="1" applyAlignment="1">
      <alignment horizontal="center"/>
    </xf>
    <xf numFmtId="0" fontId="10" fillId="0" borderId="0" xfId="11" applyAlignment="1" applyProtection="1"/>
    <xf numFmtId="0" fontId="10" fillId="0" borderId="76" xfId="11" applyBorder="1" applyAlignment="1" applyProtection="1"/>
    <xf numFmtId="10" fontId="0" fillId="0" borderId="101" xfId="16" applyNumberFormat="1" applyFont="1" applyFill="1" applyBorder="1" applyAlignment="1">
      <alignment horizontal="center"/>
    </xf>
    <xf numFmtId="10" fontId="8" fillId="17" borderId="103" xfId="16" applyNumberFormat="1" applyFont="1" applyFill="1" applyBorder="1" applyAlignment="1">
      <alignment horizontal="center" vertical="center"/>
    </xf>
    <xf numFmtId="10" fontId="8" fillId="0" borderId="112" xfId="16" applyNumberFormat="1" applyFont="1" applyBorder="1" applyAlignment="1">
      <alignment horizontal="center" vertical="center"/>
    </xf>
    <xf numFmtId="2" fontId="26" fillId="18" borderId="202" xfId="16" applyNumberFormat="1" applyFont="1" applyFill="1" applyBorder="1" applyAlignment="1">
      <alignment horizontal="center"/>
    </xf>
    <xf numFmtId="9" fontId="0" fillId="23" borderId="103" xfId="16" applyFont="1" applyFill="1" applyBorder="1" applyAlignment="1">
      <alignment horizontal="center"/>
    </xf>
    <xf numFmtId="10" fontId="8" fillId="23" borderId="112" xfId="16" applyNumberFormat="1" applyFont="1" applyFill="1" applyBorder="1" applyAlignment="1">
      <alignment horizontal="center" vertical="center"/>
    </xf>
    <xf numFmtId="0" fontId="8" fillId="0" borderId="116" xfId="10" applyFont="1" applyFill="1" applyBorder="1" applyAlignment="1">
      <alignment horizontal="center" vertical="center" wrapText="1"/>
    </xf>
    <xf numFmtId="0" fontId="8" fillId="0" borderId="116" xfId="10" applyFont="1" applyFill="1" applyBorder="1" applyAlignment="1">
      <alignment horizontal="left" vertical="center" wrapText="1"/>
    </xf>
    <xf numFmtId="0" fontId="0" fillId="31" borderId="0" xfId="24" applyFont="1" applyFill="1"/>
    <xf numFmtId="180" fontId="8" fillId="0" borderId="0" xfId="24" applyNumberFormat="1" applyAlignment="1">
      <alignment horizontal="right"/>
    </xf>
    <xf numFmtId="181" fontId="8" fillId="0" borderId="0" xfId="24" applyNumberFormat="1"/>
    <xf numFmtId="164" fontId="8" fillId="0" borderId="0" xfId="24" applyNumberFormat="1"/>
    <xf numFmtId="165" fontId="8" fillId="0" borderId="0" xfId="24" applyNumberFormat="1"/>
    <xf numFmtId="171" fontId="34" fillId="0" borderId="116" xfId="6" applyFont="1" applyFill="1" applyBorder="1" applyAlignment="1">
      <alignment horizontal="left" vertical="center" wrapText="1"/>
    </xf>
    <xf numFmtId="0" fontId="8" fillId="0" borderId="0" xfId="26" applyAlignment="1">
      <alignment horizontal="center" vertical="center"/>
    </xf>
    <xf numFmtId="0" fontId="13" fillId="0" borderId="0" xfId="26" applyFont="1" applyAlignment="1">
      <alignment horizontal="center" vertical="center"/>
    </xf>
    <xf numFmtId="10" fontId="8" fillId="0" borderId="0" xfId="26" applyNumberFormat="1" applyAlignment="1">
      <alignment horizontal="center" vertical="center"/>
    </xf>
    <xf numFmtId="9" fontId="13" fillId="0" borderId="0" xfId="26" applyNumberFormat="1" applyFont="1" applyAlignment="1">
      <alignment vertical="center"/>
    </xf>
    <xf numFmtId="43" fontId="8" fillId="0" borderId="0" xfId="26" applyNumberFormat="1" applyAlignment="1">
      <alignment horizontal="center" vertical="center"/>
    </xf>
    <xf numFmtId="43" fontId="13" fillId="0" borderId="0" xfId="26" applyNumberFormat="1" applyFont="1" applyAlignment="1">
      <alignment horizontal="center" vertical="center"/>
    </xf>
    <xf numFmtId="43" fontId="8" fillId="0" borderId="0" xfId="26" applyNumberFormat="1" applyAlignment="1">
      <alignment horizontal="right" vertical="center"/>
    </xf>
    <xf numFmtId="183" fontId="8" fillId="0" borderId="0" xfId="26" applyNumberFormat="1" applyAlignment="1">
      <alignment horizontal="center" vertical="center"/>
    </xf>
    <xf numFmtId="177" fontId="8" fillId="0" borderId="0" xfId="26" applyNumberFormat="1" applyAlignment="1">
      <alignment horizontal="center" vertical="center"/>
    </xf>
    <xf numFmtId="184" fontId="8" fillId="0" borderId="0" xfId="26" applyNumberFormat="1" applyAlignment="1">
      <alignment horizontal="center" vertical="center"/>
    </xf>
    <xf numFmtId="43" fontId="8" fillId="12" borderId="0" xfId="26" applyNumberFormat="1" applyFill="1" applyAlignment="1">
      <alignment horizontal="center" vertical="center"/>
    </xf>
    <xf numFmtId="171" fontId="33" fillId="8" borderId="116" xfId="6" applyFont="1" applyFill="1" applyBorder="1" applyAlignment="1">
      <alignment horizontal="left" vertical="center" wrapText="1"/>
    </xf>
    <xf numFmtId="0" fontId="8" fillId="28" borderId="116" xfId="10" applyFont="1" applyFill="1" applyBorder="1" applyAlignment="1">
      <alignment horizontal="right" vertical="center"/>
    </xf>
    <xf numFmtId="10" fontId="0" fillId="0" borderId="0" xfId="24" applyNumberFormat="1" applyFont="1"/>
    <xf numFmtId="4" fontId="8" fillId="3" borderId="116" xfId="7" applyFont="1" applyBorder="1" applyAlignment="1">
      <alignment horizontal="left" vertical="center" wrapText="1"/>
    </xf>
    <xf numFmtId="182" fontId="8" fillId="0" borderId="0" xfId="24" applyNumberFormat="1"/>
    <xf numFmtId="0" fontId="8" fillId="0" borderId="0" xfId="24" applyAlignment="1">
      <alignment horizontal="center"/>
    </xf>
    <xf numFmtId="10" fontId="8" fillId="0" borderId="0" xfId="24" applyNumberFormat="1" applyAlignment="1">
      <alignment horizontal="center"/>
    </xf>
    <xf numFmtId="164" fontId="8" fillId="0" borderId="0" xfId="24" applyNumberFormat="1" applyAlignment="1">
      <alignment horizontal="left"/>
    </xf>
    <xf numFmtId="0" fontId="82" fillId="0" borderId="0" xfId="0" applyFont="1"/>
    <xf numFmtId="0" fontId="8" fillId="0" borderId="0" xfId="24" applyAlignment="1">
      <alignment wrapText="1"/>
    </xf>
    <xf numFmtId="180" fontId="8" fillId="0" borderId="0" xfId="24" applyNumberFormat="1" applyAlignment="1">
      <alignment horizontal="center"/>
    </xf>
    <xf numFmtId="181" fontId="8" fillId="0" borderId="0" xfId="24" applyNumberFormat="1" applyAlignment="1">
      <alignment horizontal="center"/>
    </xf>
    <xf numFmtId="180" fontId="8" fillId="0" borderId="0" xfId="24" applyNumberFormat="1"/>
    <xf numFmtId="185" fontId="8" fillId="0" borderId="0" xfId="24" applyNumberFormat="1" applyAlignment="1">
      <alignment horizontal="center"/>
    </xf>
    <xf numFmtId="0" fontId="34" fillId="0" borderId="116" xfId="10" applyFont="1" applyFill="1" applyBorder="1" applyAlignment="1">
      <alignment vertical="center"/>
    </xf>
    <xf numFmtId="4" fontId="8" fillId="3" borderId="116" xfId="7" applyFont="1" applyBorder="1" applyAlignment="1">
      <alignment horizontal="left" vertical="top" wrapText="1"/>
    </xf>
    <xf numFmtId="177" fontId="69" fillId="35" borderId="116" xfId="26" applyNumberFormat="1" applyFont="1" applyFill="1" applyBorder="1"/>
    <xf numFmtId="177" fontId="26" fillId="18" borderId="202" xfId="16" applyNumberFormat="1" applyFont="1" applyFill="1" applyBorder="1" applyAlignment="1">
      <alignment horizontal="center"/>
    </xf>
    <xf numFmtId="177" fontId="26" fillId="18" borderId="107" xfId="16" applyNumberFormat="1" applyFont="1" applyFill="1" applyBorder="1" applyAlignment="1">
      <alignment horizontal="center"/>
    </xf>
    <xf numFmtId="0" fontId="83" fillId="0" borderId="126" xfId="0" applyFont="1" applyBorder="1"/>
    <xf numFmtId="4" fontId="83" fillId="0" borderId="126" xfId="0" applyNumberFormat="1" applyFont="1" applyBorder="1"/>
    <xf numFmtId="0" fontId="78" fillId="32" borderId="185" xfId="0" applyFont="1" applyFill="1" applyBorder="1" applyAlignment="1">
      <alignment horizontal="left" vertical="center"/>
    </xf>
    <xf numFmtId="0" fontId="84" fillId="0" borderId="126" xfId="0" applyFont="1" applyBorder="1"/>
    <xf numFmtId="0" fontId="64" fillId="35" borderId="123" xfId="0" applyFont="1" applyFill="1" applyBorder="1" applyAlignment="1">
      <alignment horizontal="center" vertical="center"/>
    </xf>
    <xf numFmtId="9" fontId="53" fillId="0" borderId="126" xfId="16" applyFont="1" applyBorder="1"/>
    <xf numFmtId="0" fontId="53" fillId="0" borderId="126" xfId="0" applyFont="1" applyBorder="1"/>
    <xf numFmtId="4" fontId="84" fillId="0" borderId="126" xfId="0" applyNumberFormat="1" applyFont="1" applyBorder="1"/>
    <xf numFmtId="0" fontId="85" fillId="0" borderId="126" xfId="0" applyFont="1" applyBorder="1"/>
    <xf numFmtId="0" fontId="85" fillId="0" borderId="123" xfId="0" applyFont="1" applyBorder="1"/>
    <xf numFmtId="0" fontId="0" fillId="0" borderId="247" xfId="0" applyBorder="1"/>
    <xf numFmtId="0" fontId="0" fillId="0" borderId="248" xfId="0" applyBorder="1"/>
    <xf numFmtId="0" fontId="0" fillId="0" borderId="248" xfId="0" quotePrefix="1" applyBorder="1"/>
    <xf numFmtId="0" fontId="0" fillId="0" borderId="249" xfId="0" applyBorder="1"/>
    <xf numFmtId="0" fontId="0" fillId="0" borderId="250" xfId="0" applyBorder="1"/>
    <xf numFmtId="0" fontId="0" fillId="0" borderId="250" xfId="0" quotePrefix="1" applyBorder="1"/>
    <xf numFmtId="0" fontId="8" fillId="0" borderId="0" xfId="24" applyAlignment="1">
      <alignment vertical="top" wrapText="1"/>
    </xf>
    <xf numFmtId="0" fontId="58" fillId="0" borderId="0" xfId="24" applyFont="1"/>
    <xf numFmtId="0" fontId="53" fillId="0" borderId="0" xfId="24" applyFont="1"/>
    <xf numFmtId="0" fontId="55" fillId="0" borderId="144" xfId="24" applyFont="1" applyBorder="1" applyAlignment="1">
      <alignment horizontal="center"/>
    </xf>
    <xf numFmtId="0" fontId="55" fillId="0" borderId="146" xfId="24" applyFont="1" applyBorder="1" applyAlignment="1">
      <alignment horizontal="center"/>
    </xf>
    <xf numFmtId="0" fontId="56" fillId="0" borderId="147" xfId="24" applyFont="1" applyBorder="1" applyAlignment="1">
      <alignment horizontal="center"/>
    </xf>
    <xf numFmtId="0" fontId="13" fillId="0" borderId="162" xfId="24" applyFont="1" applyBorder="1" applyAlignment="1">
      <alignment horizontal="center"/>
    </xf>
    <xf numFmtId="0" fontId="13" fillId="0" borderId="41" xfId="24" applyFont="1" applyBorder="1" applyAlignment="1">
      <alignment horizontal="center"/>
    </xf>
    <xf numFmtId="0" fontId="13" fillId="0" borderId="163" xfId="24" applyFont="1" applyBorder="1" applyAlignment="1">
      <alignment horizontal="center"/>
    </xf>
    <xf numFmtId="0" fontId="13" fillId="0" borderId="154" xfId="24" applyFont="1" applyBorder="1" applyAlignment="1">
      <alignment horizontal="center"/>
    </xf>
    <xf numFmtId="0" fontId="13" fillId="0" borderId="148" xfId="24" applyFont="1" applyBorder="1" applyAlignment="1">
      <alignment horizontal="center"/>
    </xf>
    <xf numFmtId="0" fontId="13" fillId="37" borderId="32" xfId="24" applyFont="1" applyFill="1" applyBorder="1"/>
    <xf numFmtId="169" fontId="33" fillId="43" borderId="157" xfId="34" applyNumberFormat="1" applyFont="1" applyFill="1" applyBorder="1" applyAlignment="1">
      <alignment horizontal="center" vertical="center"/>
    </xf>
    <xf numFmtId="169" fontId="33" fillId="43" borderId="175" xfId="34" applyNumberFormat="1" applyFont="1" applyFill="1" applyBorder="1" applyAlignment="1">
      <alignment horizontal="center" vertical="center"/>
    </xf>
    <xf numFmtId="0" fontId="8" fillId="37" borderId="32" xfId="24" applyFill="1" applyBorder="1"/>
    <xf numFmtId="3" fontId="1" fillId="43" borderId="159" xfId="34" applyNumberFormat="1" applyFill="1" applyBorder="1" applyAlignment="1">
      <alignment horizontal="center" vertical="center"/>
    </xf>
    <xf numFmtId="3" fontId="1" fillId="43" borderId="44" xfId="34" applyNumberFormat="1" applyFill="1" applyBorder="1" applyAlignment="1">
      <alignment horizontal="center" vertical="center"/>
    </xf>
    <xf numFmtId="1" fontId="53" fillId="0" borderId="159" xfId="24" applyNumberFormat="1" applyFont="1" applyBorder="1" applyAlignment="1">
      <alignment horizontal="center" vertical="center"/>
    </xf>
    <xf numFmtId="1" fontId="53" fillId="0" borderId="46" xfId="24" applyNumberFormat="1" applyFont="1" applyBorder="1" applyAlignment="1">
      <alignment horizontal="center" vertical="center"/>
    </xf>
    <xf numFmtId="1" fontId="53" fillId="0" borderId="150" xfId="24" applyNumberFormat="1" applyFont="1" applyBorder="1" applyAlignment="1">
      <alignment horizontal="center" vertical="center"/>
    </xf>
    <xf numFmtId="0" fontId="58" fillId="0" borderId="0" xfId="24" applyFont="1" applyAlignment="1">
      <alignment horizontal="center"/>
    </xf>
    <xf numFmtId="0" fontId="13" fillId="0" borderId="32" xfId="24" applyFont="1" applyBorder="1"/>
    <xf numFmtId="0" fontId="8" fillId="0" borderId="32" xfId="24" applyBorder="1"/>
    <xf numFmtId="3" fontId="61" fillId="0" borderId="159" xfId="24" applyNumberFormat="1" applyFont="1" applyBorder="1" applyAlignment="1">
      <alignment horizontal="center" vertical="center"/>
    </xf>
    <xf numFmtId="3" fontId="61" fillId="0" borderId="46" xfId="24" applyNumberFormat="1" applyFont="1" applyBorder="1" applyAlignment="1">
      <alignment horizontal="center" vertical="center"/>
    </xf>
    <xf numFmtId="3" fontId="61" fillId="0" borderId="44" xfId="24" applyNumberFormat="1" applyFont="1" applyBorder="1" applyAlignment="1">
      <alignment horizontal="center" vertical="center"/>
    </xf>
    <xf numFmtId="0" fontId="65" fillId="0" borderId="0" xfId="24" applyFont="1" applyAlignment="1">
      <alignment horizontal="center"/>
    </xf>
    <xf numFmtId="0" fontId="26" fillId="0" borderId="0" xfId="24" applyFont="1"/>
    <xf numFmtId="0" fontId="67" fillId="38" borderId="159" xfId="24" applyFont="1" applyFill="1" applyBorder="1" applyAlignment="1">
      <alignment horizontal="center" vertical="center"/>
    </xf>
    <xf numFmtId="0" fontId="67" fillId="38" borderId="46" xfId="24" applyFont="1" applyFill="1" applyBorder="1" applyAlignment="1">
      <alignment horizontal="center" vertical="center"/>
    </xf>
    <xf numFmtId="0" fontId="67" fillId="38" borderId="44" xfId="24" applyFont="1" applyFill="1" applyBorder="1" applyAlignment="1">
      <alignment horizontal="center" vertical="center"/>
    </xf>
    <xf numFmtId="1" fontId="67" fillId="0" borderId="159" xfId="24" applyNumberFormat="1" applyFont="1" applyBorder="1" applyAlignment="1">
      <alignment horizontal="center" vertical="center"/>
    </xf>
    <xf numFmtId="1" fontId="67" fillId="0" borderId="46" xfId="24" quotePrefix="1" applyNumberFormat="1" applyFont="1" applyBorder="1" applyAlignment="1">
      <alignment horizontal="center" vertical="center"/>
    </xf>
    <xf numFmtId="1" fontId="67" fillId="0" borderId="150" xfId="24" quotePrefix="1" applyNumberFormat="1" applyFont="1" applyBorder="1" applyAlignment="1">
      <alignment horizontal="center" vertical="center"/>
    </xf>
    <xf numFmtId="1" fontId="25" fillId="0" borderId="159" xfId="24" applyNumberFormat="1" applyFont="1" applyBorder="1" applyAlignment="1">
      <alignment horizontal="center" vertical="center"/>
    </xf>
    <xf numFmtId="1" fontId="25" fillId="0" borderId="46" xfId="24" applyNumberFormat="1" applyFont="1" applyBorder="1" applyAlignment="1">
      <alignment horizontal="center" vertical="center"/>
    </xf>
    <xf numFmtId="1" fontId="25" fillId="0" borderId="150" xfId="24" applyNumberFormat="1" applyFont="1" applyBorder="1" applyAlignment="1">
      <alignment horizontal="center" vertical="center"/>
    </xf>
    <xf numFmtId="1" fontId="65" fillId="0" borderId="0" xfId="24" applyNumberFormat="1" applyFont="1" applyAlignment="1">
      <alignment horizontal="center"/>
    </xf>
    <xf numFmtId="1" fontId="67" fillId="0" borderId="46" xfId="24" applyNumberFormat="1" applyFont="1" applyBorder="1" applyAlignment="1">
      <alignment horizontal="center" vertical="center"/>
    </xf>
    <xf numFmtId="1" fontId="67" fillId="0" borderId="150" xfId="24" applyNumberFormat="1" applyFont="1" applyBorder="1" applyAlignment="1">
      <alignment horizontal="center" vertical="center"/>
    </xf>
    <xf numFmtId="0" fontId="61" fillId="0" borderId="46" xfId="24" applyFont="1" applyBorder="1" applyAlignment="1">
      <alignment horizontal="center" vertical="center"/>
    </xf>
    <xf numFmtId="0" fontId="61" fillId="0" borderId="44" xfId="24" applyFont="1" applyBorder="1" applyAlignment="1">
      <alignment horizontal="center" vertical="center"/>
    </xf>
    <xf numFmtId="1" fontId="61" fillId="0" borderId="159" xfId="24" applyNumberFormat="1" applyFont="1" applyBorder="1" applyAlignment="1">
      <alignment horizontal="center" vertical="center"/>
    </xf>
    <xf numFmtId="1" fontId="61" fillId="0" borderId="46" xfId="24" applyNumberFormat="1" applyFont="1" applyBorder="1" applyAlignment="1">
      <alignment horizontal="center" vertical="center"/>
    </xf>
    <xf numFmtId="1" fontId="61" fillId="0" borderId="150" xfId="24" applyNumberFormat="1" applyFont="1" applyBorder="1" applyAlignment="1">
      <alignment horizontal="center" vertical="center"/>
    </xf>
    <xf numFmtId="0" fontId="26" fillId="0" borderId="0" xfId="24" applyFont="1" applyAlignment="1">
      <alignment horizontal="center"/>
    </xf>
    <xf numFmtId="3" fontId="25" fillId="38" borderId="159" xfId="24" applyNumberFormat="1" applyFont="1" applyFill="1" applyBorder="1" applyAlignment="1">
      <alignment horizontal="center" vertical="center"/>
    </xf>
    <xf numFmtId="3" fontId="25" fillId="38" borderId="46" xfId="24" applyNumberFormat="1" applyFont="1" applyFill="1" applyBorder="1" applyAlignment="1">
      <alignment horizontal="center" vertical="center"/>
    </xf>
    <xf numFmtId="3" fontId="25" fillId="38" borderId="44" xfId="24" applyNumberFormat="1" applyFont="1" applyFill="1" applyBorder="1" applyAlignment="1">
      <alignment horizontal="center" vertical="center"/>
    </xf>
    <xf numFmtId="3" fontId="61" fillId="38" borderId="159" xfId="24" applyNumberFormat="1" applyFont="1" applyFill="1" applyBorder="1" applyAlignment="1">
      <alignment horizontal="center" vertical="center"/>
    </xf>
    <xf numFmtId="3" fontId="61" fillId="38" borderId="46" xfId="24" applyNumberFormat="1" applyFont="1" applyFill="1" applyBorder="1" applyAlignment="1">
      <alignment horizontal="center" vertical="center"/>
    </xf>
    <xf numFmtId="3" fontId="61" fillId="38" borderId="44" xfId="24" applyNumberFormat="1" applyFont="1" applyFill="1" applyBorder="1" applyAlignment="1">
      <alignment horizontal="center" vertical="center"/>
    </xf>
    <xf numFmtId="0" fontId="61" fillId="0" borderId="159" xfId="24" applyFont="1" applyBorder="1" applyAlignment="1">
      <alignment horizontal="center" vertical="center"/>
    </xf>
    <xf numFmtId="3" fontId="67" fillId="38" borderId="159" xfId="24" quotePrefix="1" applyNumberFormat="1" applyFont="1" applyFill="1" applyBorder="1" applyAlignment="1">
      <alignment horizontal="center" vertical="center"/>
    </xf>
    <xf numFmtId="3" fontId="67" fillId="38" borderId="46" xfId="24" quotePrefix="1" applyNumberFormat="1" applyFont="1" applyFill="1" applyBorder="1" applyAlignment="1">
      <alignment horizontal="center" vertical="center"/>
    </xf>
    <xf numFmtId="3" fontId="67" fillId="38" borderId="44" xfId="24" quotePrefix="1" applyNumberFormat="1" applyFont="1" applyFill="1" applyBorder="1" applyAlignment="1">
      <alignment horizontal="center" vertical="center"/>
    </xf>
    <xf numFmtId="3" fontId="67" fillId="0" borderId="159" xfId="24" applyNumberFormat="1" applyFont="1" applyBorder="1" applyAlignment="1">
      <alignment horizontal="center" vertical="center"/>
    </xf>
    <xf numFmtId="3" fontId="67" fillId="0" borderId="46" xfId="24" quotePrefix="1" applyNumberFormat="1" applyFont="1" applyBorder="1" applyAlignment="1">
      <alignment horizontal="center" vertical="center"/>
    </xf>
    <xf numFmtId="3" fontId="67" fillId="0" borderId="150" xfId="24" quotePrefix="1" applyNumberFormat="1" applyFont="1" applyBorder="1" applyAlignment="1">
      <alignment horizontal="center" vertical="center"/>
    </xf>
    <xf numFmtId="3" fontId="67" fillId="0" borderId="159" xfId="24" quotePrefix="1" applyNumberFormat="1" applyFont="1" applyBorder="1" applyAlignment="1">
      <alignment horizontal="center" vertical="center"/>
    </xf>
    <xf numFmtId="0" fontId="13" fillId="0" borderId="151" xfId="24" applyFont="1" applyBorder="1" applyAlignment="1">
      <alignment horizontal="center"/>
    </xf>
    <xf numFmtId="0" fontId="8" fillId="0" borderId="161" xfId="24" applyBorder="1"/>
    <xf numFmtId="0" fontId="61" fillId="38" borderId="160" xfId="24" applyFont="1" applyFill="1" applyBorder="1" applyAlignment="1">
      <alignment horizontal="center" vertical="center"/>
    </xf>
    <xf numFmtId="3" fontId="61" fillId="38" borderId="176" xfId="24" applyNumberFormat="1" applyFont="1" applyFill="1" applyBorder="1" applyAlignment="1">
      <alignment horizontal="center" vertical="center"/>
    </xf>
    <xf numFmtId="0" fontId="61" fillId="38" borderId="176" xfId="24" applyFont="1" applyFill="1" applyBorder="1" applyAlignment="1">
      <alignment horizontal="center" vertical="center"/>
    </xf>
    <xf numFmtId="1" fontId="61" fillId="38" borderId="160" xfId="24" applyNumberFormat="1" applyFont="1" applyFill="1" applyBorder="1" applyAlignment="1">
      <alignment horizontal="center" vertical="center"/>
    </xf>
    <xf numFmtId="1" fontId="61" fillId="38" borderId="173" xfId="24" applyNumberFormat="1" applyFont="1" applyFill="1" applyBorder="1" applyAlignment="1">
      <alignment horizontal="center" vertical="center"/>
    </xf>
    <xf numFmtId="1" fontId="61" fillId="38" borderId="174" xfId="24" applyNumberFormat="1" applyFont="1" applyFill="1" applyBorder="1" applyAlignment="1">
      <alignment horizontal="center" vertical="center"/>
    </xf>
    <xf numFmtId="0" fontId="53" fillId="12" borderId="134" xfId="24" applyFont="1" applyFill="1" applyBorder="1"/>
    <xf numFmtId="0" fontId="53" fillId="12" borderId="145" xfId="24" applyFont="1" applyFill="1" applyBorder="1" applyAlignment="1">
      <alignment horizontal="center"/>
    </xf>
    <xf numFmtId="0" fontId="8" fillId="39" borderId="145" xfId="24" applyFill="1" applyBorder="1"/>
    <xf numFmtId="0" fontId="53" fillId="39" borderId="0" xfId="24" applyFont="1" applyFill="1"/>
    <xf numFmtId="0" fontId="8" fillId="39" borderId="0" xfId="24" applyFill="1"/>
    <xf numFmtId="0" fontId="8" fillId="39" borderId="129" xfId="24" applyFill="1" applyBorder="1"/>
    <xf numFmtId="0" fontId="13" fillId="0" borderId="38" xfId="24" applyFont="1" applyBorder="1" applyAlignment="1">
      <alignment horizontal="center"/>
    </xf>
    <xf numFmtId="3" fontId="58" fillId="0" borderId="156" xfId="24" applyNumberFormat="1" applyFont="1" applyBorder="1" applyAlignment="1">
      <alignment horizontal="center" vertical="center"/>
    </xf>
    <xf numFmtId="3" fontId="58" fillId="0" borderId="157" xfId="24" applyNumberFormat="1" applyFont="1" applyBorder="1" applyAlignment="1">
      <alignment horizontal="center" vertical="center"/>
    </xf>
    <xf numFmtId="3" fontId="58" fillId="0" borderId="158" xfId="24" applyNumberFormat="1" applyFont="1" applyBorder="1" applyAlignment="1">
      <alignment horizontal="center" vertical="center"/>
    </xf>
    <xf numFmtId="1" fontId="8" fillId="0" borderId="181" xfId="24" applyNumberFormat="1" applyBorder="1" applyAlignment="1">
      <alignment horizontal="center" vertical="center"/>
    </xf>
    <xf numFmtId="1" fontId="8" fillId="0" borderId="3" xfId="24" applyNumberFormat="1" applyBorder="1" applyAlignment="1">
      <alignment horizontal="center" vertical="center"/>
    </xf>
    <xf numFmtId="1" fontId="8" fillId="0" borderId="34" xfId="24" applyNumberFormat="1" applyBorder="1" applyAlignment="1">
      <alignment horizontal="center" vertical="center"/>
    </xf>
    <xf numFmtId="1" fontId="8" fillId="0" borderId="186" xfId="24" applyNumberFormat="1" applyBorder="1" applyAlignment="1">
      <alignment horizontal="center" vertical="center"/>
    </xf>
    <xf numFmtId="0" fontId="58" fillId="0" borderId="159" xfId="24" applyFont="1" applyBorder="1" applyAlignment="1">
      <alignment horizontal="center" vertical="center"/>
    </xf>
    <xf numFmtId="0" fontId="58" fillId="0" borderId="46" xfId="24" applyFont="1" applyBorder="1" applyAlignment="1">
      <alignment horizontal="center" vertical="center"/>
    </xf>
    <xf numFmtId="0" fontId="58" fillId="0" borderId="150" xfId="24" applyFont="1" applyBorder="1" applyAlignment="1">
      <alignment horizontal="center" vertical="center"/>
    </xf>
    <xf numFmtId="3" fontId="58" fillId="40" borderId="159" xfId="24" applyNumberFormat="1" applyFont="1" applyFill="1" applyBorder="1" applyAlignment="1">
      <alignment horizontal="center" vertical="center"/>
    </xf>
    <xf numFmtId="3" fontId="58" fillId="40" borderId="46" xfId="24" applyNumberFormat="1" applyFont="1" applyFill="1" applyBorder="1" applyAlignment="1">
      <alignment horizontal="center" vertical="center"/>
    </xf>
    <xf numFmtId="3" fontId="58" fillId="40" borderId="150" xfId="24" applyNumberFormat="1" applyFont="1" applyFill="1" applyBorder="1" applyAlignment="1">
      <alignment horizontal="center" vertical="center"/>
    </xf>
    <xf numFmtId="3" fontId="8" fillId="0" borderId="159" xfId="24" applyNumberFormat="1" applyBorder="1" applyAlignment="1">
      <alignment horizontal="center" vertical="center"/>
    </xf>
    <xf numFmtId="3" fontId="8" fillId="0" borderId="46" xfId="24" applyNumberFormat="1" applyBorder="1" applyAlignment="1">
      <alignment horizontal="center" vertical="center"/>
    </xf>
    <xf numFmtId="3" fontId="8" fillId="0" borderId="150" xfId="24" applyNumberFormat="1" applyBorder="1" applyAlignment="1">
      <alignment horizontal="center" vertical="center"/>
    </xf>
    <xf numFmtId="1" fontId="58" fillId="0" borderId="159" xfId="24" applyNumberFormat="1" applyFont="1" applyBorder="1" applyAlignment="1">
      <alignment horizontal="center" vertical="center"/>
    </xf>
    <xf numFmtId="1" fontId="58" fillId="0" borderId="46" xfId="24" applyNumberFormat="1" applyFont="1" applyBorder="1" applyAlignment="1">
      <alignment horizontal="center" vertical="center"/>
    </xf>
    <xf numFmtId="1" fontId="58" fillId="0" borderId="150" xfId="24" applyNumberFormat="1" applyFont="1" applyBorder="1" applyAlignment="1">
      <alignment horizontal="center" vertical="center"/>
    </xf>
    <xf numFmtId="0" fontId="13" fillId="41" borderId="32" xfId="24" quotePrefix="1" applyFont="1" applyFill="1" applyBorder="1"/>
    <xf numFmtId="3" fontId="58" fillId="41" borderId="159" xfId="24" applyNumberFormat="1" applyFont="1" applyFill="1" applyBorder="1" applyAlignment="1">
      <alignment horizontal="center" vertical="center"/>
    </xf>
    <xf numFmtId="3" fontId="58" fillId="41" borderId="46" xfId="24" applyNumberFormat="1" applyFont="1" applyFill="1" applyBorder="1" applyAlignment="1">
      <alignment horizontal="center" vertical="center"/>
    </xf>
    <xf numFmtId="3" fontId="58" fillId="41" borderId="150" xfId="24" applyNumberFormat="1" applyFont="1" applyFill="1" applyBorder="1" applyAlignment="1">
      <alignment horizontal="center" vertical="center"/>
    </xf>
    <xf numFmtId="1" fontId="58" fillId="41" borderId="148" xfId="24" applyNumberFormat="1" applyFont="1" applyFill="1" applyBorder="1" applyAlignment="1">
      <alignment horizontal="center" vertical="center"/>
    </xf>
    <xf numFmtId="1" fontId="58" fillId="41" borderId="2" xfId="24" applyNumberFormat="1" applyFont="1" applyFill="1" applyBorder="1" applyAlignment="1">
      <alignment horizontal="center" vertical="center"/>
    </xf>
    <xf numFmtId="1" fontId="58" fillId="41" borderId="37" xfId="24" applyNumberFormat="1" applyFont="1" applyFill="1" applyBorder="1" applyAlignment="1">
      <alignment horizontal="center" vertical="center"/>
    </xf>
    <xf numFmtId="1" fontId="58" fillId="41" borderId="179" xfId="24" applyNumberFormat="1" applyFont="1" applyFill="1" applyBorder="1" applyAlignment="1">
      <alignment horizontal="center" vertical="center"/>
    </xf>
    <xf numFmtId="3" fontId="58" fillId="40" borderId="159" xfId="24" quotePrefix="1" applyNumberFormat="1" applyFont="1" applyFill="1" applyBorder="1" applyAlignment="1">
      <alignment horizontal="center" vertical="center"/>
    </xf>
    <xf numFmtId="3" fontId="58" fillId="40" borderId="46" xfId="24" quotePrefix="1" applyNumberFormat="1" applyFont="1" applyFill="1" applyBorder="1" applyAlignment="1">
      <alignment horizontal="center" vertical="center"/>
    </xf>
    <xf numFmtId="3" fontId="58" fillId="40" borderId="150" xfId="24" quotePrefix="1" applyNumberFormat="1" applyFont="1" applyFill="1" applyBorder="1" applyAlignment="1">
      <alignment horizontal="center" vertical="center"/>
    </xf>
    <xf numFmtId="1" fontId="58" fillId="0" borderId="44" xfId="24" applyNumberFormat="1" applyFont="1" applyBorder="1" applyAlignment="1">
      <alignment horizontal="center" vertical="center"/>
    </xf>
    <xf numFmtId="1" fontId="70" fillId="0" borderId="0" xfId="24" applyNumberFormat="1" applyFont="1" applyAlignment="1">
      <alignment horizontal="left"/>
    </xf>
    <xf numFmtId="0" fontId="58" fillId="41" borderId="159" xfId="24" applyFont="1" applyFill="1" applyBorder="1" applyAlignment="1">
      <alignment horizontal="center" vertical="center"/>
    </xf>
    <xf numFmtId="0" fontId="58" fillId="41" borderId="46" xfId="24" applyFont="1" applyFill="1" applyBorder="1" applyAlignment="1">
      <alignment horizontal="center" vertical="center"/>
    </xf>
    <xf numFmtId="0" fontId="58" fillId="41" borderId="150" xfId="24" applyFont="1" applyFill="1" applyBorder="1" applyAlignment="1">
      <alignment horizontal="center" vertical="center"/>
    </xf>
    <xf numFmtId="1" fontId="58" fillId="41" borderId="159" xfId="24" applyNumberFormat="1" applyFont="1" applyFill="1" applyBorder="1" applyAlignment="1">
      <alignment horizontal="center" vertical="center"/>
    </xf>
    <xf numFmtId="1" fontId="58" fillId="41" borderId="46" xfId="24" applyNumberFormat="1" applyFont="1" applyFill="1" applyBorder="1" applyAlignment="1">
      <alignment horizontal="center" vertical="center"/>
    </xf>
    <xf numFmtId="1" fontId="58" fillId="41" borderId="44" xfId="24" applyNumberFormat="1" applyFont="1" applyFill="1" applyBorder="1" applyAlignment="1">
      <alignment horizontal="center" vertical="center"/>
    </xf>
    <xf numFmtId="1" fontId="58" fillId="41" borderId="150" xfId="24" applyNumberFormat="1" applyFont="1" applyFill="1" applyBorder="1" applyAlignment="1">
      <alignment horizontal="center" vertical="center"/>
    </xf>
    <xf numFmtId="0" fontId="8" fillId="0" borderId="159" xfId="24" quotePrefix="1" applyBorder="1" applyAlignment="1">
      <alignment horizontal="center" vertical="center"/>
    </xf>
    <xf numFmtId="0" fontId="8" fillId="0" borderId="46" xfId="24" quotePrefix="1" applyBorder="1" applyAlignment="1">
      <alignment horizontal="center" vertical="center"/>
    </xf>
    <xf numFmtId="0" fontId="8" fillId="0" borderId="44" xfId="24" quotePrefix="1" applyBorder="1" applyAlignment="1">
      <alignment horizontal="center" vertical="center"/>
    </xf>
    <xf numFmtId="0" fontId="8" fillId="0" borderId="150" xfId="24" quotePrefix="1" applyBorder="1" applyAlignment="1">
      <alignment horizontal="center" vertical="center"/>
    </xf>
    <xf numFmtId="3" fontId="58" fillId="0" borderId="159" xfId="24" applyNumberFormat="1" applyFont="1" applyBorder="1" applyAlignment="1">
      <alignment horizontal="center" vertical="center"/>
    </xf>
    <xf numFmtId="3" fontId="58" fillId="0" borderId="46" xfId="24" applyNumberFormat="1" applyFont="1" applyBorder="1" applyAlignment="1">
      <alignment horizontal="center" vertical="center"/>
    </xf>
    <xf numFmtId="3" fontId="58" fillId="0" borderId="150" xfId="24" applyNumberFormat="1" applyFont="1" applyBorder="1" applyAlignment="1">
      <alignment horizontal="center" vertical="center"/>
    </xf>
    <xf numFmtId="1" fontId="58" fillId="0" borderId="148" xfId="24" applyNumberFormat="1" applyFont="1" applyBorder="1" applyAlignment="1">
      <alignment horizontal="center" vertical="center"/>
    </xf>
    <xf numFmtId="1" fontId="58" fillId="0" borderId="2" xfId="24" applyNumberFormat="1" applyFont="1" applyBorder="1" applyAlignment="1">
      <alignment horizontal="center" vertical="center"/>
    </xf>
    <xf numFmtId="1" fontId="58" fillId="0" borderId="179" xfId="24" applyNumberFormat="1" applyFont="1" applyBorder="1" applyAlignment="1">
      <alignment horizontal="center" vertical="center"/>
    </xf>
    <xf numFmtId="168" fontId="26" fillId="0" borderId="0" xfId="24" applyNumberFormat="1" applyFont="1"/>
    <xf numFmtId="168" fontId="8" fillId="0" borderId="0" xfId="24" applyNumberFormat="1"/>
    <xf numFmtId="0" fontId="13" fillId="0" borderId="36" xfId="24" applyFont="1" applyBorder="1" applyAlignment="1">
      <alignment horizontal="center"/>
    </xf>
    <xf numFmtId="0" fontId="13" fillId="41" borderId="0" xfId="24" quotePrefix="1" applyFont="1" applyFill="1"/>
    <xf numFmtId="3" fontId="58" fillId="41" borderId="181" xfId="24" applyNumberFormat="1" applyFont="1" applyFill="1" applyBorder="1" applyAlignment="1">
      <alignment horizontal="center" vertical="center"/>
    </xf>
    <xf numFmtId="3" fontId="58" fillId="41" borderId="3" xfId="24" applyNumberFormat="1" applyFont="1" applyFill="1" applyBorder="1" applyAlignment="1">
      <alignment horizontal="center" vertical="center"/>
    </xf>
    <xf numFmtId="3" fontId="58" fillId="41" borderId="186" xfId="24" applyNumberFormat="1" applyFont="1" applyFill="1" applyBorder="1" applyAlignment="1">
      <alignment horizontal="center" vertical="center"/>
    </xf>
    <xf numFmtId="3" fontId="58" fillId="41" borderId="34" xfId="24" applyNumberFormat="1" applyFont="1" applyFill="1" applyBorder="1" applyAlignment="1">
      <alignment horizontal="center" vertical="center"/>
    </xf>
    <xf numFmtId="0" fontId="55" fillId="0" borderId="32" xfId="24" applyFont="1" applyBorder="1"/>
    <xf numFmtId="3" fontId="53" fillId="40" borderId="148" xfId="24" applyNumberFormat="1" applyFont="1" applyFill="1" applyBorder="1" applyAlignment="1">
      <alignment horizontal="center" vertical="center"/>
    </xf>
    <xf numFmtId="0" fontId="53" fillId="40" borderId="2" xfId="24" applyFont="1" applyFill="1" applyBorder="1" applyAlignment="1">
      <alignment horizontal="center" vertical="center"/>
    </xf>
    <xf numFmtId="0" fontId="53" fillId="40" borderId="37" xfId="24" applyFont="1" applyFill="1" applyBorder="1" applyAlignment="1">
      <alignment horizontal="center" vertical="center"/>
    </xf>
    <xf numFmtId="1" fontId="53" fillId="40" borderId="207" xfId="24" applyNumberFormat="1" applyFont="1" applyFill="1" applyBorder="1" applyAlignment="1">
      <alignment horizontal="center" vertical="center"/>
    </xf>
    <xf numFmtId="1" fontId="53" fillId="40" borderId="125" xfId="24" applyNumberFormat="1" applyFont="1" applyFill="1" applyBorder="1" applyAlignment="1">
      <alignment horizontal="center" vertical="center"/>
    </xf>
    <xf numFmtId="1" fontId="53" fillId="40" borderId="180" xfId="24" applyNumberFormat="1" applyFont="1" applyFill="1" applyBorder="1" applyAlignment="1">
      <alignment horizontal="center" vertical="center"/>
    </xf>
    <xf numFmtId="1" fontId="53" fillId="40" borderId="187" xfId="24" applyNumberFormat="1" applyFont="1" applyFill="1" applyBorder="1" applyAlignment="1">
      <alignment horizontal="center" vertical="center"/>
    </xf>
    <xf numFmtId="1" fontId="53" fillId="40" borderId="159" xfId="24" applyNumberFormat="1" applyFont="1" applyFill="1" applyBorder="1" applyAlignment="1">
      <alignment horizontal="center" vertical="center"/>
    </xf>
    <xf numFmtId="1" fontId="53" fillId="40" borderId="46" xfId="24" applyNumberFormat="1" applyFont="1" applyFill="1" applyBorder="1" applyAlignment="1">
      <alignment horizontal="center" vertical="center"/>
    </xf>
    <xf numFmtId="1" fontId="53" fillId="40" borderId="44" xfId="24" applyNumberFormat="1" applyFont="1" applyFill="1" applyBorder="1" applyAlignment="1">
      <alignment horizontal="center" vertical="center"/>
    </xf>
    <xf numFmtId="1" fontId="53" fillId="40" borderId="148" xfId="24" applyNumberFormat="1" applyFont="1" applyFill="1" applyBorder="1" applyAlignment="1">
      <alignment horizontal="center" vertical="center"/>
    </xf>
    <xf numFmtId="1" fontId="53" fillId="40" borderId="38" xfId="24" applyNumberFormat="1" applyFont="1" applyFill="1" applyBorder="1" applyAlignment="1">
      <alignment horizontal="center" vertical="center"/>
    </xf>
    <xf numFmtId="1" fontId="53" fillId="40" borderId="149" xfId="24" applyNumberFormat="1" applyFont="1" applyFill="1" applyBorder="1" applyAlignment="1">
      <alignment horizontal="center" vertical="center"/>
    </xf>
    <xf numFmtId="0" fontId="55" fillId="0" borderId="0" xfId="24" applyFont="1"/>
    <xf numFmtId="1" fontId="58" fillId="40" borderId="160" xfId="24" applyNumberFormat="1" applyFont="1" applyFill="1" applyBorder="1" applyAlignment="1">
      <alignment horizontal="center" vertical="center"/>
    </xf>
    <xf numFmtId="1" fontId="58" fillId="40" borderId="173" xfId="24" applyNumberFormat="1" applyFont="1" applyFill="1" applyBorder="1" applyAlignment="1">
      <alignment horizontal="center" vertical="center"/>
    </xf>
    <xf numFmtId="1" fontId="53" fillId="40" borderId="176" xfId="24" applyNumberFormat="1" applyFont="1" applyFill="1" applyBorder="1" applyAlignment="1">
      <alignment horizontal="center" vertical="center"/>
    </xf>
    <xf numFmtId="1" fontId="53" fillId="40" borderId="151" xfId="24" applyNumberFormat="1" applyFont="1" applyFill="1" applyBorder="1" applyAlignment="1">
      <alignment horizontal="center" vertical="center"/>
    </xf>
    <xf numFmtId="1" fontId="53" fillId="40" borderId="152" xfId="24" applyNumberFormat="1" applyFont="1" applyFill="1" applyBorder="1" applyAlignment="1">
      <alignment horizontal="center" vertical="center"/>
    </xf>
    <xf numFmtId="1" fontId="53" fillId="40" borderId="153" xfId="24" applyNumberFormat="1" applyFont="1" applyFill="1" applyBorder="1" applyAlignment="1">
      <alignment horizontal="center" vertical="center"/>
    </xf>
    <xf numFmtId="0" fontId="55" fillId="12" borderId="134" xfId="24" applyFont="1" applyFill="1" applyBorder="1"/>
    <xf numFmtId="0" fontId="13" fillId="12" borderId="128" xfId="24" applyFont="1" applyFill="1" applyBorder="1" applyAlignment="1">
      <alignment horizontal="center"/>
    </xf>
    <xf numFmtId="0" fontId="55" fillId="12" borderId="128" xfId="24" applyFont="1" applyFill="1" applyBorder="1"/>
    <xf numFmtId="3" fontId="59" fillId="12" borderId="0" xfId="24" applyNumberFormat="1" applyFont="1" applyFill="1" applyAlignment="1">
      <alignment horizontal="center" vertical="center"/>
    </xf>
    <xf numFmtId="3" fontId="59" fillId="12" borderId="182" xfId="24" applyNumberFormat="1" applyFont="1" applyFill="1" applyBorder="1" applyAlignment="1">
      <alignment horizontal="center" vertical="center"/>
    </xf>
    <xf numFmtId="0" fontId="55" fillId="0" borderId="38" xfId="24" applyFont="1" applyBorder="1" applyAlignment="1">
      <alignment horizontal="center"/>
    </xf>
    <xf numFmtId="1" fontId="53" fillId="40" borderId="156" xfId="24" applyNumberFormat="1" applyFont="1" applyFill="1" applyBorder="1" applyAlignment="1">
      <alignment horizontal="center" vertical="center"/>
    </xf>
    <xf numFmtId="1" fontId="53" fillId="40" borderId="157" xfId="24" applyNumberFormat="1" applyFont="1" applyFill="1" applyBorder="1" applyAlignment="1">
      <alignment horizontal="center" vertical="center"/>
    </xf>
    <xf numFmtId="1" fontId="53" fillId="40" borderId="175" xfId="24" applyNumberFormat="1" applyFont="1" applyFill="1" applyBorder="1" applyAlignment="1">
      <alignment horizontal="center" vertical="center"/>
    </xf>
    <xf numFmtId="1" fontId="8" fillId="0" borderId="156" xfId="24" applyNumberFormat="1" applyBorder="1" applyAlignment="1">
      <alignment horizontal="center" vertical="center"/>
    </xf>
    <xf numFmtId="1" fontId="8" fillId="0" borderId="157" xfId="24" applyNumberFormat="1" applyBorder="1" applyAlignment="1">
      <alignment horizontal="center" vertical="center"/>
    </xf>
    <xf numFmtId="1" fontId="8" fillId="0" borderId="158" xfId="24" applyNumberFormat="1" applyBorder="1" applyAlignment="1">
      <alignment horizontal="center" vertical="center"/>
    </xf>
    <xf numFmtId="1" fontId="8" fillId="0" borderId="188" xfId="24" applyNumberFormat="1" applyBorder="1" applyAlignment="1">
      <alignment horizontal="center" vertical="center"/>
    </xf>
    <xf numFmtId="1" fontId="8" fillId="0" borderId="159" xfId="24" applyNumberFormat="1" applyBorder="1" applyAlignment="1">
      <alignment horizontal="center" vertical="center"/>
    </xf>
    <xf numFmtId="1" fontId="8" fillId="0" borderId="46" xfId="24" applyNumberFormat="1" applyBorder="1" applyAlignment="1">
      <alignment horizontal="center" vertical="center"/>
    </xf>
    <xf numFmtId="1" fontId="8" fillId="0" borderId="150" xfId="24" applyNumberFormat="1" applyBorder="1" applyAlignment="1">
      <alignment horizontal="center" vertical="center"/>
    </xf>
    <xf numFmtId="1" fontId="8" fillId="0" borderId="45" xfId="24" applyNumberFormat="1" applyBorder="1" applyAlignment="1">
      <alignment horizontal="center" vertical="center"/>
    </xf>
    <xf numFmtId="0" fontId="55" fillId="0" borderId="36" xfId="24" applyFont="1" applyBorder="1" applyAlignment="1">
      <alignment horizontal="center"/>
    </xf>
    <xf numFmtId="1" fontId="53" fillId="40" borderId="181" xfId="24" applyNumberFormat="1" applyFont="1" applyFill="1" applyBorder="1" applyAlignment="1">
      <alignment horizontal="center" vertical="center"/>
    </xf>
    <xf numFmtId="1" fontId="53" fillId="40" borderId="3" xfId="24" applyNumberFormat="1" applyFont="1" applyFill="1" applyBorder="1" applyAlignment="1">
      <alignment horizontal="center" vertical="center"/>
    </xf>
    <xf numFmtId="1" fontId="53" fillId="40" borderId="34" xfId="24" applyNumberFormat="1" applyFont="1" applyFill="1" applyBorder="1" applyAlignment="1">
      <alignment horizontal="center" vertical="center"/>
    </xf>
    <xf numFmtId="1" fontId="8" fillId="0" borderId="35" xfId="24" applyNumberFormat="1" applyBorder="1" applyAlignment="1">
      <alignment horizontal="center" vertical="center"/>
    </xf>
    <xf numFmtId="3" fontId="53" fillId="0" borderId="148" xfId="24" applyNumberFormat="1" applyFont="1" applyBorder="1" applyAlignment="1">
      <alignment horizontal="center" vertical="center"/>
    </xf>
    <xf numFmtId="0" fontId="53" fillId="0" borderId="38" xfId="24" applyFont="1" applyBorder="1" applyAlignment="1">
      <alignment horizontal="center" vertical="center"/>
    </xf>
    <xf numFmtId="0" fontId="53" fillId="0" borderId="149" xfId="24" applyFont="1" applyBorder="1" applyAlignment="1">
      <alignment horizontal="center" vertical="center"/>
    </xf>
    <xf numFmtId="1" fontId="53" fillId="0" borderId="148" xfId="24" applyNumberFormat="1" applyFont="1" applyBorder="1" applyAlignment="1">
      <alignment horizontal="center" vertical="center"/>
    </xf>
    <xf numFmtId="1" fontId="53" fillId="0" borderId="2" xfId="24" applyNumberFormat="1" applyFont="1" applyBorder="1" applyAlignment="1">
      <alignment horizontal="center" vertical="center"/>
    </xf>
    <xf numFmtId="1" fontId="53" fillId="0" borderId="179" xfId="24" applyNumberFormat="1" applyFont="1" applyBorder="1" applyAlignment="1">
      <alignment horizontal="center" vertical="center"/>
    </xf>
    <xf numFmtId="1" fontId="53" fillId="0" borderId="38" xfId="24" applyNumberFormat="1" applyFont="1" applyBorder="1" applyAlignment="1">
      <alignment horizontal="center" vertical="center"/>
    </xf>
    <xf numFmtId="1" fontId="53" fillId="0" borderId="235" xfId="24" applyNumberFormat="1" applyFont="1" applyBorder="1" applyAlignment="1">
      <alignment horizontal="center" vertical="center"/>
    </xf>
    <xf numFmtId="3" fontId="53" fillId="0" borderId="38" xfId="24" applyNumberFormat="1" applyFont="1" applyBorder="1" applyAlignment="1">
      <alignment horizontal="center" vertical="center"/>
    </xf>
    <xf numFmtId="3" fontId="53" fillId="8" borderId="149" xfId="24" applyNumberFormat="1" applyFont="1" applyFill="1" applyBorder="1" applyAlignment="1">
      <alignment horizontal="center" vertical="center"/>
    </xf>
    <xf numFmtId="1" fontId="53" fillId="0" borderId="45" xfId="24" applyNumberFormat="1" applyFont="1" applyBorder="1" applyAlignment="1">
      <alignment horizontal="center" vertical="center"/>
    </xf>
    <xf numFmtId="1" fontId="53" fillId="0" borderId="1" xfId="24" applyNumberFormat="1" applyFont="1" applyBorder="1" applyAlignment="1">
      <alignment horizontal="center" vertical="center"/>
    </xf>
    <xf numFmtId="1" fontId="53" fillId="0" borderId="236" xfId="24" applyNumberFormat="1" applyFont="1" applyBorder="1" applyAlignment="1">
      <alignment horizontal="center" vertical="center"/>
    </xf>
    <xf numFmtId="0" fontId="53" fillId="0" borderId="205" xfId="24" applyFont="1" applyBorder="1"/>
    <xf numFmtId="0" fontId="53" fillId="0" borderId="35" xfId="24" applyFont="1" applyBorder="1"/>
    <xf numFmtId="4" fontId="1" fillId="0" borderId="206" xfId="35" applyNumberFormat="1" applyBorder="1" applyAlignment="1">
      <alignment horizontal="center"/>
    </xf>
    <xf numFmtId="4" fontId="1" fillId="0" borderId="159" xfId="35" applyNumberFormat="1" applyBorder="1" applyAlignment="1">
      <alignment horizontal="center"/>
    </xf>
    <xf numFmtId="4" fontId="1" fillId="0" borderId="46" xfId="35" applyNumberFormat="1" applyBorder="1" applyAlignment="1">
      <alignment horizontal="center"/>
    </xf>
    <xf numFmtId="4" fontId="1" fillId="0" borderId="150" xfId="35" applyNumberFormat="1" applyBorder="1" applyAlignment="1">
      <alignment horizontal="center"/>
    </xf>
    <xf numFmtId="4" fontId="1" fillId="0" borderId="45" xfId="35" applyNumberFormat="1" applyBorder="1" applyAlignment="1">
      <alignment horizontal="center"/>
    </xf>
    <xf numFmtId="4" fontId="1" fillId="0" borderId="179" xfId="35" applyNumberFormat="1" applyBorder="1" applyAlignment="1">
      <alignment horizontal="center"/>
    </xf>
    <xf numFmtId="0" fontId="53" fillId="0" borderId="43" xfId="24" applyFont="1" applyBorder="1"/>
    <xf numFmtId="10" fontId="1" fillId="0" borderId="0" xfId="35" quotePrefix="1" applyNumberFormat="1" applyAlignment="1">
      <alignment horizontal="right"/>
    </xf>
    <xf numFmtId="4" fontId="1" fillId="0" borderId="186" xfId="35" applyNumberFormat="1" applyBorder="1" applyAlignment="1">
      <alignment horizontal="center"/>
    </xf>
    <xf numFmtId="4" fontId="1" fillId="0" borderId="181" xfId="35" applyNumberFormat="1" applyBorder="1" applyAlignment="1">
      <alignment horizontal="center"/>
    </xf>
    <xf numFmtId="4" fontId="1" fillId="0" borderId="3" xfId="35" applyNumberFormat="1" applyBorder="1" applyAlignment="1">
      <alignment horizontal="center"/>
    </xf>
    <xf numFmtId="4" fontId="1" fillId="0" borderId="35" xfId="35" applyNumberFormat="1" applyBorder="1" applyAlignment="1">
      <alignment horizontal="center"/>
    </xf>
    <xf numFmtId="167" fontId="8" fillId="0" borderId="0" xfId="24" applyNumberFormat="1"/>
    <xf numFmtId="0" fontId="55" fillId="0" borderId="138" xfId="24" applyFont="1" applyBorder="1" applyAlignment="1">
      <alignment horizontal="center" vertical="center"/>
    </xf>
    <xf numFmtId="0" fontId="55" fillId="0" borderId="121" xfId="24" applyFont="1" applyBorder="1" applyAlignment="1">
      <alignment horizontal="center" vertical="center"/>
    </xf>
    <xf numFmtId="0" fontId="55" fillId="0" borderId="125" xfId="24" applyFont="1" applyBorder="1" applyAlignment="1">
      <alignment horizontal="center" vertical="center"/>
    </xf>
    <xf numFmtId="0" fontId="55" fillId="0" borderId="139" xfId="24" applyFont="1" applyBorder="1" applyAlignment="1">
      <alignment horizontal="center" vertical="center"/>
    </xf>
    <xf numFmtId="0" fontId="65" fillId="0" borderId="0" xfId="24" applyFont="1"/>
    <xf numFmtId="10" fontId="8" fillId="0" borderId="131" xfId="24" applyNumberFormat="1" applyBorder="1" applyAlignment="1">
      <alignment horizontal="center" vertical="center"/>
    </xf>
    <xf numFmtId="10" fontId="8" fillId="0" borderId="135" xfId="24" applyNumberFormat="1" applyBorder="1" applyAlignment="1">
      <alignment horizontal="center" vertical="center"/>
    </xf>
    <xf numFmtId="10" fontId="8" fillId="0" borderId="136" xfId="24" applyNumberFormat="1" applyBorder="1" applyAlignment="1">
      <alignment horizontal="center" vertical="center"/>
    </xf>
    <xf numFmtId="10" fontId="8" fillId="0" borderId="137" xfId="24" applyNumberFormat="1" applyBorder="1" applyAlignment="1">
      <alignment horizontal="center" vertical="center"/>
    </xf>
    <xf numFmtId="0" fontId="53" fillId="0" borderId="183" xfId="24" applyFont="1" applyBorder="1"/>
    <xf numFmtId="0" fontId="55" fillId="0" borderId="123" xfId="24" applyFont="1" applyBorder="1" applyAlignment="1">
      <alignment horizontal="center" vertical="center"/>
    </xf>
    <xf numFmtId="0" fontId="55" fillId="0" borderId="124" xfId="24" applyFont="1" applyBorder="1" applyAlignment="1">
      <alignment horizontal="center" vertical="center"/>
    </xf>
    <xf numFmtId="176" fontId="8" fillId="0" borderId="0" xfId="24" applyNumberFormat="1" applyAlignment="1">
      <alignment horizontal="center"/>
    </xf>
    <xf numFmtId="0" fontId="53" fillId="0" borderId="184" xfId="24" applyFont="1" applyBorder="1"/>
    <xf numFmtId="10" fontId="8" fillId="0" borderId="127" xfId="24" applyNumberFormat="1" applyBorder="1" applyAlignment="1">
      <alignment horizontal="center" vertical="center"/>
    </xf>
    <xf numFmtId="10" fontId="8" fillId="0" borderId="5" xfId="24" applyNumberFormat="1" applyBorder="1" applyAlignment="1">
      <alignment horizontal="center" vertical="center"/>
    </xf>
    <xf numFmtId="0" fontId="53" fillId="0" borderId="122" xfId="24" applyFont="1" applyBorder="1" applyAlignment="1">
      <alignment horizontal="center" vertical="center"/>
    </xf>
    <xf numFmtId="0" fontId="53" fillId="0" borderId="185" xfId="24" applyFont="1" applyBorder="1"/>
    <xf numFmtId="10" fontId="8" fillId="0" borderId="122" xfId="24" applyNumberFormat="1" applyBorder="1" applyAlignment="1">
      <alignment horizontal="center" vertical="center"/>
    </xf>
    <xf numFmtId="10" fontId="8" fillId="0" borderId="120" xfId="24" applyNumberFormat="1" applyBorder="1" applyAlignment="1">
      <alignment horizontal="center" vertical="center"/>
    </xf>
    <xf numFmtId="0" fontId="53" fillId="0" borderId="126" xfId="24" applyFont="1" applyBorder="1" applyAlignment="1">
      <alignment horizontal="center" vertical="center"/>
    </xf>
    <xf numFmtId="0" fontId="53" fillId="0" borderId="178" xfId="24" applyFont="1" applyBorder="1"/>
    <xf numFmtId="10" fontId="8" fillId="0" borderId="126" xfId="24" applyNumberFormat="1" applyBorder="1" applyAlignment="1">
      <alignment horizontal="center" vertical="center"/>
    </xf>
    <xf numFmtId="10" fontId="8" fillId="0" borderId="0" xfId="24" applyNumberFormat="1" applyAlignment="1">
      <alignment horizontal="center" vertical="center"/>
    </xf>
    <xf numFmtId="0" fontId="53" fillId="8" borderId="0" xfId="24" applyFont="1" applyFill="1"/>
    <xf numFmtId="10" fontId="8" fillId="0" borderId="126" xfId="24" quotePrefix="1" applyNumberFormat="1" applyBorder="1" applyAlignment="1">
      <alignment horizontal="center" vertical="center"/>
    </xf>
    <xf numFmtId="10" fontId="8" fillId="0" borderId="0" xfId="24" quotePrefix="1" applyNumberFormat="1" applyAlignment="1">
      <alignment horizontal="center" vertical="center"/>
    </xf>
    <xf numFmtId="0" fontId="57" fillId="42" borderId="0" xfId="24" applyFont="1" applyFill="1"/>
    <xf numFmtId="10" fontId="8" fillId="0" borderId="123" xfId="24" applyNumberFormat="1" applyBorder="1" applyAlignment="1">
      <alignment horizontal="center" vertical="center"/>
    </xf>
    <xf numFmtId="0" fontId="53" fillId="0" borderId="123" xfId="24" applyFont="1" applyBorder="1" applyAlignment="1">
      <alignment horizontal="center" vertical="center"/>
    </xf>
    <xf numFmtId="0" fontId="53" fillId="0" borderId="122" xfId="24" applyFont="1" applyBorder="1"/>
    <xf numFmtId="10" fontId="53" fillId="0" borderId="122" xfId="24" applyNumberFormat="1" applyFont="1" applyBorder="1" applyAlignment="1">
      <alignment horizontal="center" vertical="center"/>
    </xf>
    <xf numFmtId="10" fontId="8" fillId="0" borderId="122" xfId="16" quotePrefix="1" applyNumberFormat="1" applyFont="1" applyFill="1" applyBorder="1" applyAlignment="1">
      <alignment horizontal="center" vertical="center"/>
    </xf>
    <xf numFmtId="10" fontId="8" fillId="0" borderId="122" xfId="24" quotePrefix="1" applyNumberFormat="1" applyBorder="1" applyAlignment="1">
      <alignment horizontal="center" vertical="center"/>
    </xf>
    <xf numFmtId="0" fontId="8" fillId="0" borderId="122" xfId="24" applyBorder="1" applyAlignment="1">
      <alignment horizontal="center" vertical="center"/>
    </xf>
    <xf numFmtId="0" fontId="8" fillId="0" borderId="46" xfId="24" applyBorder="1"/>
    <xf numFmtId="0" fontId="8" fillId="0" borderId="46" xfId="24" applyBorder="1" applyAlignment="1">
      <alignment horizontal="center"/>
    </xf>
    <xf numFmtId="168" fontId="8" fillId="0" borderId="46" xfId="24" applyNumberFormat="1" applyBorder="1" applyAlignment="1">
      <alignment horizontal="center"/>
    </xf>
    <xf numFmtId="0" fontId="1" fillId="0" borderId="46" xfId="24" applyFont="1" applyBorder="1"/>
    <xf numFmtId="167" fontId="1" fillId="0" borderId="46" xfId="24" applyNumberFormat="1" applyFont="1" applyBorder="1" applyAlignment="1">
      <alignment horizontal="center"/>
    </xf>
    <xf numFmtId="0" fontId="64" fillId="0" borderId="0" xfId="24" applyFont="1"/>
    <xf numFmtId="0" fontId="64" fillId="0" borderId="46" xfId="24" applyFont="1" applyBorder="1"/>
    <xf numFmtId="167" fontId="64" fillId="0" borderId="46" xfId="24" applyNumberFormat="1" applyFont="1" applyBorder="1" applyAlignment="1">
      <alignment horizontal="center"/>
    </xf>
    <xf numFmtId="0" fontId="55" fillId="0" borderId="0" xfId="24" applyFont="1" applyAlignment="1">
      <alignment horizontal="center" vertical="center"/>
    </xf>
    <xf numFmtId="167" fontId="1" fillId="0" borderId="0" xfId="24" applyNumberFormat="1" applyFont="1" applyAlignment="1">
      <alignment horizontal="center"/>
    </xf>
    <xf numFmtId="0" fontId="1" fillId="0" borderId="36" xfId="35" applyBorder="1"/>
    <xf numFmtId="0" fontId="64" fillId="0" borderId="0" xfId="35" applyFont="1" applyAlignment="1">
      <alignment horizontal="center" vertical="center"/>
    </xf>
    <xf numFmtId="0" fontId="1" fillId="0" borderId="0" xfId="35"/>
    <xf numFmtId="0" fontId="55" fillId="0" borderId="46" xfId="24" applyFont="1" applyBorder="1"/>
    <xf numFmtId="169" fontId="8" fillId="0" borderId="0" xfId="24" applyNumberFormat="1" applyAlignment="1">
      <alignment horizontal="center"/>
    </xf>
    <xf numFmtId="0" fontId="8" fillId="24" borderId="0" xfId="24" applyFill="1" applyAlignment="1">
      <alignment horizontal="center" vertical="center"/>
    </xf>
    <xf numFmtId="0" fontId="74" fillId="0" borderId="0" xfId="24" applyFont="1" applyAlignment="1">
      <alignment horizontal="center"/>
    </xf>
    <xf numFmtId="10" fontId="75" fillId="46" borderId="0" xfId="16" applyNumberFormat="1" applyFont="1" applyFill="1" applyBorder="1" applyAlignment="1">
      <alignment horizontal="center"/>
    </xf>
    <xf numFmtId="10" fontId="74" fillId="0" borderId="0" xfId="16" applyNumberFormat="1" applyFont="1" applyAlignment="1">
      <alignment horizontal="center"/>
    </xf>
    <xf numFmtId="10" fontId="74" fillId="0" borderId="0" xfId="24" quotePrefix="1" applyNumberFormat="1" applyFont="1" applyAlignment="1">
      <alignment horizontal="center"/>
    </xf>
    <xf numFmtId="2" fontId="8" fillId="0" borderId="0" xfId="24" applyNumberFormat="1"/>
    <xf numFmtId="0" fontId="75" fillId="46" borderId="0" xfId="16" applyNumberFormat="1" applyFont="1" applyFill="1" applyAlignment="1">
      <alignment horizontal="center"/>
    </xf>
    <xf numFmtId="0" fontId="13" fillId="48" borderId="0" xfId="24" applyFont="1" applyFill="1"/>
    <xf numFmtId="0" fontId="8" fillId="17" borderId="0" xfId="24" applyFill="1"/>
    <xf numFmtId="0" fontId="13" fillId="0" borderId="162" xfId="24" applyFont="1" applyBorder="1" applyAlignment="1">
      <alignment horizontal="right"/>
    </xf>
    <xf numFmtId="186" fontId="8" fillId="0" borderId="0" xfId="24" applyNumberFormat="1"/>
    <xf numFmtId="0" fontId="8" fillId="0" borderId="0" xfId="24" applyAlignment="1">
      <alignment horizontal="left" indent="1"/>
    </xf>
    <xf numFmtId="10" fontId="8" fillId="0" borderId="0" xfId="16" applyNumberFormat="1"/>
    <xf numFmtId="0" fontId="8" fillId="0" borderId="0" xfId="24" quotePrefix="1"/>
    <xf numFmtId="0" fontId="8" fillId="0" borderId="0" xfId="24" applyAlignment="1">
      <alignment vertical="top"/>
    </xf>
    <xf numFmtId="0" fontId="8" fillId="0" borderId="0" xfId="24" applyAlignment="1">
      <alignment horizontal="right"/>
    </xf>
    <xf numFmtId="169" fontId="38" fillId="17" borderId="0" xfId="24" applyNumberFormat="1" applyFont="1" applyFill="1"/>
    <xf numFmtId="10" fontId="8" fillId="0" borderId="38" xfId="24" applyNumberFormat="1" applyBorder="1"/>
    <xf numFmtId="164" fontId="8" fillId="0" borderId="0" xfId="24" quotePrefix="1" applyNumberFormat="1"/>
    <xf numFmtId="179" fontId="8" fillId="0" borderId="0" xfId="24" applyNumberFormat="1"/>
    <xf numFmtId="0" fontId="86" fillId="0" borderId="0" xfId="24" applyFont="1"/>
    <xf numFmtId="0" fontId="8" fillId="7" borderId="0" xfId="24" applyFill="1"/>
    <xf numFmtId="10" fontId="8" fillId="7" borderId="0" xfId="24" applyNumberFormat="1" applyFill="1"/>
    <xf numFmtId="175" fontId="8" fillId="0" borderId="0" xfId="24" applyNumberFormat="1"/>
    <xf numFmtId="180" fontId="13" fillId="0" borderId="0" xfId="24" applyNumberFormat="1" applyFont="1"/>
    <xf numFmtId="0" fontId="8" fillId="28" borderId="0" xfId="24" applyFill="1"/>
    <xf numFmtId="0" fontId="8" fillId="49" borderId="0" xfId="24" applyFill="1"/>
    <xf numFmtId="0" fontId="13" fillId="12" borderId="0" xfId="24" applyFont="1" applyFill="1"/>
    <xf numFmtId="186" fontId="8" fillId="0" borderId="32" xfId="24" applyNumberFormat="1" applyBorder="1"/>
    <xf numFmtId="182" fontId="8" fillId="0" borderId="36" xfId="24" applyNumberFormat="1" applyBorder="1"/>
    <xf numFmtId="186" fontId="8" fillId="0" borderId="36" xfId="24" applyNumberFormat="1" applyBorder="1"/>
    <xf numFmtId="10" fontId="8" fillId="0" borderId="0" xfId="16" applyNumberFormat="1" applyFont="1"/>
    <xf numFmtId="10" fontId="8" fillId="0" borderId="36" xfId="16" applyNumberFormat="1" applyFont="1" applyBorder="1"/>
    <xf numFmtId="9" fontId="8" fillId="17" borderId="0" xfId="16" applyFont="1" applyFill="1" applyAlignment="1">
      <alignment horizontal="right"/>
    </xf>
    <xf numFmtId="10" fontId="8" fillId="17" borderId="0" xfId="24" applyNumberFormat="1" applyFill="1"/>
    <xf numFmtId="9" fontId="8" fillId="0" borderId="0" xfId="16" applyFont="1"/>
    <xf numFmtId="180" fontId="13" fillId="0" borderId="0" xfId="24" applyNumberFormat="1" applyFont="1" applyAlignment="1">
      <alignment horizontal="left"/>
    </xf>
    <xf numFmtId="0" fontId="13" fillId="0" borderId="0" xfId="24" applyFont="1" applyAlignment="1">
      <alignment horizontal="left"/>
    </xf>
    <xf numFmtId="14" fontId="13" fillId="0" borderId="0" xfId="24" applyNumberFormat="1" applyFont="1"/>
    <xf numFmtId="10" fontId="13" fillId="0" borderId="0" xfId="24" applyNumberFormat="1" applyFont="1"/>
    <xf numFmtId="14" fontId="74" fillId="0" borderId="0" xfId="24" applyNumberFormat="1" applyFont="1" applyAlignment="1">
      <alignment horizontal="left"/>
    </xf>
    <xf numFmtId="10" fontId="13" fillId="0" borderId="0" xfId="16" applyNumberFormat="1" applyFont="1"/>
    <xf numFmtId="0" fontId="74" fillId="0" borderId="0" xfId="24" applyFont="1" applyAlignment="1">
      <alignment horizontal="left" indent="1"/>
    </xf>
    <xf numFmtId="10" fontId="74" fillId="0" borderId="0" xfId="24" applyNumberFormat="1" applyFont="1"/>
    <xf numFmtId="177" fontId="13" fillId="0" borderId="0" xfId="24" applyNumberFormat="1" applyFont="1"/>
    <xf numFmtId="9" fontId="8" fillId="0" borderId="0" xfId="16"/>
    <xf numFmtId="179" fontId="74" fillId="0" borderId="5" xfId="24" applyNumberFormat="1" applyFont="1" applyBorder="1"/>
    <xf numFmtId="10" fontId="74" fillId="0" borderId="0" xfId="16" applyNumberFormat="1" applyFont="1"/>
    <xf numFmtId="2" fontId="8" fillId="17" borderId="0" xfId="24" applyNumberFormat="1" applyFill="1"/>
    <xf numFmtId="0" fontId="39" fillId="0" borderId="0" xfId="24" applyFont="1" applyAlignment="1">
      <alignment horizontal="center"/>
    </xf>
    <xf numFmtId="3" fontId="8" fillId="0" borderId="0" xfId="24" applyNumberFormat="1"/>
    <xf numFmtId="0" fontId="40" fillId="17" borderId="0" xfId="24" applyFont="1" applyFill="1" applyAlignment="1">
      <alignment horizontal="center"/>
    </xf>
    <xf numFmtId="0" fontId="40" fillId="0" borderId="0" xfId="24" applyFont="1" applyAlignment="1">
      <alignment horizontal="center"/>
    </xf>
    <xf numFmtId="0" fontId="8" fillId="17" borderId="44" xfId="24" applyFill="1" applyBorder="1"/>
    <xf numFmtId="3" fontId="8" fillId="25" borderId="1" xfId="24" applyNumberFormat="1" applyFill="1" applyBorder="1" applyAlignment="1">
      <alignment horizontal="center"/>
    </xf>
    <xf numFmtId="3" fontId="8" fillId="25" borderId="45" xfId="24" applyNumberFormat="1" applyFill="1" applyBorder="1" applyAlignment="1">
      <alignment horizontal="center"/>
    </xf>
    <xf numFmtId="0" fontId="8" fillId="0" borderId="44" xfId="24" applyBorder="1" applyAlignment="1">
      <alignment horizontal="left" indent="1"/>
    </xf>
    <xf numFmtId="0" fontId="8" fillId="0" borderId="44" xfId="24" applyBorder="1" applyAlignment="1">
      <alignment horizontal="left"/>
    </xf>
    <xf numFmtId="3" fontId="38" fillId="0" borderId="0" xfId="24" applyNumberFormat="1" applyFont="1"/>
    <xf numFmtId="0" fontId="41" fillId="0" borderId="0" xfId="24" applyFont="1"/>
    <xf numFmtId="0" fontId="8" fillId="17" borderId="44" xfId="24" applyFill="1" applyBorder="1" applyAlignment="1">
      <alignment horizontal="left" indent="1"/>
    </xf>
    <xf numFmtId="0" fontId="13" fillId="0" borderId="44" xfId="24" applyFont="1" applyBorder="1" applyAlignment="1">
      <alignment horizontal="left"/>
    </xf>
    <xf numFmtId="0" fontId="13" fillId="17" borderId="44" xfId="24" applyFont="1" applyFill="1" applyBorder="1"/>
    <xf numFmtId="0" fontId="8" fillId="0" borderId="44" xfId="24" applyBorder="1"/>
    <xf numFmtId="0" fontId="42" fillId="0" borderId="0" xfId="24" applyFont="1"/>
    <xf numFmtId="0" fontId="39" fillId="0" borderId="0" xfId="24" applyFont="1"/>
    <xf numFmtId="10" fontId="8" fillId="25" borderId="1" xfId="24" applyNumberFormat="1" applyFill="1" applyBorder="1" applyAlignment="1">
      <alignment horizontal="center"/>
    </xf>
    <xf numFmtId="170" fontId="39" fillId="0" borderId="0" xfId="24" applyNumberFormat="1" applyFont="1" applyAlignment="1">
      <alignment horizontal="center"/>
    </xf>
    <xf numFmtId="3" fontId="8" fillId="0" borderId="0" xfId="24" applyNumberFormat="1" applyAlignment="1">
      <alignment horizontal="center"/>
    </xf>
    <xf numFmtId="170" fontId="8" fillId="0" borderId="0" xfId="24" applyNumberFormat="1" applyAlignment="1">
      <alignment horizontal="center"/>
    </xf>
    <xf numFmtId="0" fontId="35" fillId="0" borderId="0" xfId="24" applyFont="1"/>
    <xf numFmtId="0" fontId="23" fillId="0" borderId="0" xfId="24" applyFont="1" applyAlignment="1">
      <alignment horizontal="center"/>
    </xf>
    <xf numFmtId="0" fontId="35" fillId="0" borderId="0" xfId="24" applyFont="1" applyAlignment="1">
      <alignment horizontal="left"/>
    </xf>
    <xf numFmtId="3" fontId="35" fillId="0" borderId="0" xfId="24" applyNumberFormat="1" applyFont="1" applyAlignment="1">
      <alignment horizontal="center"/>
    </xf>
    <xf numFmtId="0" fontId="23" fillId="0" borderId="0" xfId="24" applyFont="1" applyAlignment="1">
      <alignment horizontal="center" vertical="center"/>
    </xf>
    <xf numFmtId="0" fontId="23" fillId="0" borderId="0" xfId="24" applyFont="1"/>
    <xf numFmtId="0" fontId="35" fillId="19" borderId="0" xfId="24" applyFont="1" applyFill="1"/>
    <xf numFmtId="3" fontId="35" fillId="19" borderId="0" xfId="24" applyNumberFormat="1" applyFont="1" applyFill="1" applyAlignment="1">
      <alignment horizontal="center" vertical="center"/>
    </xf>
    <xf numFmtId="3" fontId="35" fillId="19" borderId="0" xfId="36" applyNumberFormat="1" applyFont="1" applyFill="1" applyAlignment="1">
      <alignment horizontal="center" vertical="center"/>
    </xf>
    <xf numFmtId="0" fontId="8" fillId="12" borderId="0" xfId="24" applyFill="1"/>
    <xf numFmtId="3" fontId="35" fillId="0" borderId="0" xfId="24" applyNumberFormat="1" applyFont="1"/>
    <xf numFmtId="3" fontId="35" fillId="19" borderId="0" xfId="24" applyNumberFormat="1" applyFont="1" applyFill="1" applyAlignment="1">
      <alignment horizontal="center"/>
    </xf>
    <xf numFmtId="3" fontId="36" fillId="19" borderId="0" xfId="36" applyNumberFormat="1" applyFont="1" applyFill="1" applyAlignment="1">
      <alignment horizontal="center" vertical="center"/>
    </xf>
    <xf numFmtId="3" fontId="36" fillId="19" borderId="0" xfId="24" applyNumberFormat="1" applyFont="1" applyFill="1" applyAlignment="1">
      <alignment horizontal="center" vertical="center"/>
    </xf>
    <xf numFmtId="3" fontId="35" fillId="12" borderId="0" xfId="24" applyNumberFormat="1" applyFont="1" applyFill="1" applyAlignment="1">
      <alignment horizontal="center"/>
    </xf>
    <xf numFmtId="3" fontId="36" fillId="12" borderId="0" xfId="24" applyNumberFormat="1" applyFont="1" applyFill="1" applyAlignment="1">
      <alignment horizontal="center"/>
    </xf>
    <xf numFmtId="3" fontId="36" fillId="19" borderId="0" xfId="24" applyNumberFormat="1" applyFont="1" applyFill="1" applyAlignment="1">
      <alignment horizontal="center"/>
    </xf>
    <xf numFmtId="3" fontId="35" fillId="0" borderId="0" xfId="24" applyNumberFormat="1" applyFont="1" applyAlignment="1">
      <alignment horizontal="center" vertical="center"/>
    </xf>
    <xf numFmtId="171" fontId="23" fillId="0" borderId="0" xfId="24" applyNumberFormat="1" applyFont="1" applyAlignment="1">
      <alignment horizontal="center" vertical="center"/>
    </xf>
    <xf numFmtId="3" fontId="23" fillId="0" borderId="0" xfId="24" applyNumberFormat="1" applyFont="1" applyAlignment="1">
      <alignment horizontal="center"/>
    </xf>
    <xf numFmtId="4" fontId="35" fillId="19" borderId="0" xfId="24" applyNumberFormat="1" applyFont="1" applyFill="1" applyAlignment="1">
      <alignment horizontal="center" vertical="center"/>
    </xf>
    <xf numFmtId="4" fontId="35" fillId="19" borderId="0" xfId="36" applyNumberFormat="1" applyFont="1" applyFill="1" applyAlignment="1">
      <alignment horizontal="center" vertical="center"/>
    </xf>
    <xf numFmtId="0" fontId="8" fillId="20" borderId="0" xfId="24" applyFill="1"/>
    <xf numFmtId="3" fontId="26" fillId="0" borderId="0" xfId="24" applyNumberFormat="1" applyFont="1" applyAlignment="1">
      <alignment horizontal="center" vertical="center"/>
    </xf>
    <xf numFmtId="0" fontId="26" fillId="0" borderId="0" xfId="24" applyFont="1" applyAlignment="1">
      <alignment horizontal="center" vertical="center"/>
    </xf>
    <xf numFmtId="0" fontId="23" fillId="0" borderId="0" xfId="24" applyFont="1" applyAlignment="1">
      <alignment horizontal="left"/>
    </xf>
    <xf numFmtId="3" fontId="23" fillId="0" borderId="0" xfId="24" applyNumberFormat="1" applyFont="1" applyAlignment="1">
      <alignment horizontal="center" vertical="center"/>
    </xf>
    <xf numFmtId="0" fontId="35" fillId="19" borderId="0" xfId="24" applyFont="1" applyFill="1" applyAlignment="1">
      <alignment horizontal="left" indent="1"/>
    </xf>
    <xf numFmtId="0" fontId="8" fillId="21" borderId="0" xfId="24" applyFill="1"/>
    <xf numFmtId="3" fontId="23" fillId="0" borderId="0" xfId="24" applyNumberFormat="1" applyFont="1"/>
    <xf numFmtId="171" fontId="35" fillId="19" borderId="0" xfId="24" applyNumberFormat="1" applyFont="1" applyFill="1" applyAlignment="1">
      <alignment horizontal="left" indent="1"/>
    </xf>
    <xf numFmtId="0" fontId="35" fillId="12" borderId="0" xfId="24" applyFont="1" applyFill="1"/>
    <xf numFmtId="0" fontId="35" fillId="30" borderId="0" xfId="24" applyFont="1" applyFill="1" applyAlignment="1">
      <alignment horizontal="left" indent="1"/>
    </xf>
    <xf numFmtId="3" fontId="23" fillId="19" borderId="0" xfId="24" applyNumberFormat="1" applyFont="1" applyFill="1" applyAlignment="1">
      <alignment horizontal="center"/>
    </xf>
    <xf numFmtId="0" fontId="23" fillId="19" borderId="0" xfId="24" applyFont="1" applyFill="1"/>
    <xf numFmtId="3" fontId="23" fillId="19" borderId="0" xfId="24" applyNumberFormat="1" applyFont="1" applyFill="1" applyAlignment="1">
      <alignment horizontal="center" vertical="center"/>
    </xf>
    <xf numFmtId="0" fontId="8" fillId="22" borderId="0" xfId="24" applyFill="1"/>
    <xf numFmtId="0" fontId="35" fillId="19" borderId="0" xfId="24" applyFont="1" applyFill="1" applyAlignment="1">
      <alignment horizontal="center"/>
    </xf>
    <xf numFmtId="169" fontId="35" fillId="19" borderId="0" xfId="24" applyNumberFormat="1" applyFont="1" applyFill="1" applyAlignment="1">
      <alignment horizontal="center"/>
    </xf>
    <xf numFmtId="10" fontId="35" fillId="19" borderId="0" xfId="24" applyNumberFormat="1" applyFont="1" applyFill="1" applyAlignment="1">
      <alignment horizontal="center"/>
    </xf>
    <xf numFmtId="171" fontId="35" fillId="0" borderId="0" xfId="24" applyNumberFormat="1" applyFont="1" applyAlignment="1">
      <alignment horizontal="center"/>
    </xf>
    <xf numFmtId="10" fontId="35" fillId="0" borderId="0" xfId="24" applyNumberFormat="1" applyFont="1" applyAlignment="1">
      <alignment horizontal="center" vertical="center"/>
    </xf>
    <xf numFmtId="171" fontId="35" fillId="19" borderId="0" xfId="24" applyNumberFormat="1" applyFont="1" applyFill="1" applyAlignment="1">
      <alignment horizontal="center" vertical="center"/>
    </xf>
    <xf numFmtId="14" fontId="13" fillId="0" borderId="20" xfId="24" applyNumberFormat="1" applyFont="1" applyBorder="1" applyAlignment="1">
      <alignment horizontal="center" vertical="center"/>
    </xf>
    <xf numFmtId="14" fontId="13" fillId="0" borderId="21" xfId="24" applyNumberFormat="1" applyFont="1" applyBorder="1" applyAlignment="1">
      <alignment horizontal="center" vertical="center"/>
    </xf>
    <xf numFmtId="14" fontId="13" fillId="0" borderId="54" xfId="24" applyNumberFormat="1" applyFont="1" applyBorder="1" applyAlignment="1">
      <alignment horizontal="center" vertical="center"/>
    </xf>
    <xf numFmtId="0" fontId="8" fillId="0" borderId="57" xfId="24" applyBorder="1" applyAlignment="1">
      <alignment horizontal="center" vertical="center"/>
    </xf>
    <xf numFmtId="0" fontId="8" fillId="0" borderId="58" xfId="24" applyBorder="1" applyAlignment="1">
      <alignment horizontal="center" vertical="center"/>
    </xf>
    <xf numFmtId="0" fontId="27" fillId="32" borderId="19" xfId="24" applyFont="1" applyFill="1" applyBorder="1" applyAlignment="1">
      <alignment horizontal="center" vertical="center" wrapText="1"/>
    </xf>
    <xf numFmtId="0" fontId="27" fillId="32" borderId="19" xfId="24" applyFont="1" applyFill="1" applyBorder="1" applyAlignment="1">
      <alignment horizontal="center"/>
    </xf>
    <xf numFmtId="0" fontId="8" fillId="8" borderId="19" xfId="24" applyFill="1" applyBorder="1" applyAlignment="1">
      <alignment vertical="center" wrapText="1"/>
    </xf>
    <xf numFmtId="0" fontId="8" fillId="8" borderId="19" xfId="24" applyFill="1" applyBorder="1" applyAlignment="1">
      <alignment horizontal="center" vertical="center" wrapText="1"/>
    </xf>
    <xf numFmtId="0" fontId="39" fillId="8" borderId="23" xfId="24" applyFont="1" applyFill="1" applyBorder="1" applyAlignment="1">
      <alignment horizontal="left" vertical="center" wrapText="1"/>
    </xf>
    <xf numFmtId="0" fontId="34" fillId="8" borderId="19" xfId="24" applyFont="1" applyFill="1" applyBorder="1" applyAlignment="1">
      <alignment horizontal="center" vertical="center" wrapText="1"/>
    </xf>
    <xf numFmtId="0" fontId="8" fillId="8" borderId="23" xfId="24" applyFill="1" applyBorder="1" applyAlignment="1">
      <alignment horizontal="left" vertical="center" wrapText="1"/>
    </xf>
    <xf numFmtId="0" fontId="8" fillId="0" borderId="22" xfId="24" applyBorder="1"/>
    <xf numFmtId="173" fontId="8" fillId="0" borderId="19" xfId="24" applyNumberFormat="1" applyBorder="1" applyAlignment="1">
      <alignment horizontal="center"/>
    </xf>
    <xf numFmtId="0" fontId="8" fillId="0" borderId="19" xfId="24" applyBorder="1" applyAlignment="1">
      <alignment horizontal="left"/>
    </xf>
    <xf numFmtId="174" fontId="8" fillId="24" borderId="19" xfId="24" applyNumberFormat="1" applyFill="1" applyBorder="1" applyAlignment="1">
      <alignment horizontal="center"/>
    </xf>
    <xf numFmtId="0" fontId="27" fillId="32" borderId="28" xfId="24" applyFont="1" applyFill="1" applyBorder="1" applyAlignment="1">
      <alignment horizontal="center"/>
    </xf>
    <xf numFmtId="0" fontId="8" fillId="0" borderId="19" xfId="24" applyBorder="1"/>
    <xf numFmtId="3" fontId="8" fillId="8" borderId="15" xfId="24" applyNumberFormat="1" applyFill="1" applyBorder="1" applyAlignment="1">
      <alignment horizontal="center"/>
    </xf>
    <xf numFmtId="168" fontId="8" fillId="24" borderId="19" xfId="24" applyNumberFormat="1" applyFill="1" applyBorder="1" applyAlignment="1">
      <alignment horizontal="center"/>
    </xf>
    <xf numFmtId="2" fontId="8" fillId="24" borderId="19" xfId="24" applyNumberFormat="1" applyFill="1" applyBorder="1" applyAlignment="1">
      <alignment horizontal="center"/>
    </xf>
    <xf numFmtId="0" fontId="15" fillId="0" borderId="19" xfId="24" applyFont="1" applyBorder="1"/>
    <xf numFmtId="4" fontId="8" fillId="8" borderId="23" xfId="24" applyNumberFormat="1" applyFill="1" applyBorder="1" applyAlignment="1">
      <alignment horizontal="center"/>
    </xf>
    <xf numFmtId="0" fontId="8" fillId="0" borderId="22" xfId="24" quotePrefix="1" applyBorder="1"/>
    <xf numFmtId="168" fontId="8" fillId="7" borderId="19" xfId="24" applyNumberFormat="1" applyFill="1" applyBorder="1" applyAlignment="1">
      <alignment horizontal="center"/>
    </xf>
    <xf numFmtId="0" fontId="27" fillId="32" borderId="25" xfId="24" applyFont="1" applyFill="1" applyBorder="1" applyAlignment="1">
      <alignment horizontal="center"/>
    </xf>
    <xf numFmtId="173" fontId="8" fillId="24" borderId="19" xfId="24" applyNumberFormat="1" applyFill="1" applyBorder="1" applyAlignment="1">
      <alignment horizontal="center"/>
    </xf>
    <xf numFmtId="4" fontId="8" fillId="7" borderId="19" xfId="24" applyNumberFormat="1" applyFill="1" applyBorder="1" applyAlignment="1">
      <alignment horizontal="center"/>
    </xf>
    <xf numFmtId="170" fontId="8" fillId="24" borderId="23" xfId="24" applyNumberFormat="1" applyFill="1" applyBorder="1" applyAlignment="1">
      <alignment horizontal="center"/>
    </xf>
    <xf numFmtId="10" fontId="8" fillId="8" borderId="19" xfId="24" applyNumberFormat="1" applyFill="1" applyBorder="1" applyAlignment="1">
      <alignment horizontal="center"/>
    </xf>
    <xf numFmtId="0" fontId="13" fillId="0" borderId="22" xfId="24" applyFont="1" applyBorder="1" applyAlignment="1">
      <alignment horizontal="center"/>
    </xf>
    <xf numFmtId="0" fontId="8" fillId="7" borderId="19" xfId="24" applyFill="1" applyBorder="1"/>
    <xf numFmtId="0" fontId="8" fillId="8" borderId="26" xfId="24" applyFill="1" applyBorder="1" applyAlignment="1">
      <alignment horizontal="center" vertical="center"/>
    </xf>
    <xf numFmtId="0" fontId="46" fillId="5" borderId="144" xfId="24" applyFont="1" applyFill="1" applyBorder="1" applyAlignment="1">
      <alignment horizontal="center"/>
    </xf>
    <xf numFmtId="0" fontId="27" fillId="32" borderId="10" xfId="24" applyFont="1" applyFill="1" applyBorder="1" applyAlignment="1">
      <alignment horizontal="center"/>
    </xf>
    <xf numFmtId="0" fontId="8" fillId="8" borderId="192" xfId="24" applyFill="1" applyBorder="1" applyAlignment="1">
      <alignment vertical="center" wrapText="1"/>
    </xf>
    <xf numFmtId="0" fontId="8" fillId="8" borderId="189" xfId="24" applyFill="1" applyBorder="1" applyAlignment="1">
      <alignment vertical="center" wrapText="1"/>
    </xf>
    <xf numFmtId="0" fontId="46" fillId="5" borderId="129" xfId="24" applyFont="1" applyFill="1" applyBorder="1" applyAlignment="1">
      <alignment horizontal="center"/>
    </xf>
    <xf numFmtId="0" fontId="27" fillId="32" borderId="192" xfId="24" applyFont="1" applyFill="1" applyBorder="1" applyAlignment="1">
      <alignment horizontal="center"/>
    </xf>
    <xf numFmtId="0" fontId="27" fillId="32" borderId="222" xfId="24" applyFont="1" applyFill="1" applyBorder="1" applyAlignment="1">
      <alignment horizontal="center"/>
    </xf>
    <xf numFmtId="0" fontId="27" fillId="32" borderId="52" xfId="24" applyFont="1" applyFill="1" applyBorder="1" applyAlignment="1">
      <alignment horizontal="center"/>
    </xf>
    <xf numFmtId="0" fontId="48" fillId="32" borderId="52" xfId="24" applyFont="1" applyFill="1" applyBorder="1" applyAlignment="1">
      <alignment horizontal="center"/>
    </xf>
    <xf numFmtId="0" fontId="47" fillId="32" borderId="52" xfId="24" applyFont="1" applyFill="1" applyBorder="1" applyAlignment="1">
      <alignment horizontal="center"/>
    </xf>
    <xf numFmtId="0" fontId="27" fillId="32" borderId="62" xfId="24" applyFont="1" applyFill="1" applyBorder="1" applyAlignment="1">
      <alignment horizontal="center"/>
    </xf>
    <xf numFmtId="0" fontId="13" fillId="0" borderId="222" xfId="24" applyFont="1" applyBorder="1" applyAlignment="1">
      <alignment horizontal="center"/>
    </xf>
    <xf numFmtId="174" fontId="8" fillId="8" borderId="52" xfId="24" applyNumberFormat="1" applyFill="1" applyBorder="1" applyAlignment="1">
      <alignment horizontal="center"/>
    </xf>
    <xf numFmtId="0" fontId="8" fillId="7" borderId="177" xfId="24" applyFill="1" applyBorder="1"/>
    <xf numFmtId="0" fontId="13" fillId="0" borderId="52" xfId="24" applyFont="1" applyBorder="1" applyAlignment="1">
      <alignment horizontal="center"/>
    </xf>
    <xf numFmtId="0" fontId="13" fillId="0" borderId="62" xfId="24" applyFont="1" applyBorder="1" applyAlignment="1">
      <alignment horizontal="center"/>
    </xf>
    <xf numFmtId="168" fontId="8" fillId="24" borderId="23" xfId="24" applyNumberFormat="1" applyFill="1" applyBorder="1" applyAlignment="1">
      <alignment horizontal="center"/>
    </xf>
    <xf numFmtId="0" fontId="26" fillId="8" borderId="0" xfId="24" applyFont="1" applyFill="1" applyAlignment="1">
      <alignment horizontal="center"/>
    </xf>
    <xf numFmtId="0" fontId="33" fillId="0" borderId="0" xfId="24" applyFont="1"/>
    <xf numFmtId="0" fontId="26" fillId="8" borderId="0" xfId="24" applyFont="1" applyFill="1"/>
    <xf numFmtId="0" fontId="8" fillId="0" borderId="222" xfId="24" applyBorder="1" applyAlignment="1">
      <alignment horizontal="center"/>
    </xf>
    <xf numFmtId="168" fontId="13" fillId="24" borderId="19" xfId="24" applyNumberFormat="1" applyFont="1" applyFill="1" applyBorder="1" applyAlignment="1">
      <alignment horizontal="center"/>
    </xf>
    <xf numFmtId="168" fontId="13" fillId="24" borderId="23" xfId="24" applyNumberFormat="1" applyFont="1" applyFill="1" applyBorder="1" applyAlignment="1">
      <alignment horizontal="center"/>
    </xf>
    <xf numFmtId="2" fontId="8" fillId="24" borderId="52" xfId="24" applyNumberFormat="1" applyFill="1" applyBorder="1" applyAlignment="1">
      <alignment horizontal="center"/>
    </xf>
    <xf numFmtId="2" fontId="8" fillId="24" borderId="62" xfId="24" applyNumberFormat="1" applyFill="1" applyBorder="1" applyAlignment="1">
      <alignment horizontal="center"/>
    </xf>
    <xf numFmtId="10" fontId="63" fillId="8" borderId="62" xfId="24" applyNumberFormat="1" applyFont="1" applyFill="1" applyBorder="1" applyAlignment="1">
      <alignment horizontal="center"/>
    </xf>
    <xf numFmtId="0" fontId="8" fillId="0" borderId="12" xfId="24" applyBorder="1"/>
    <xf numFmtId="0" fontId="27" fillId="10" borderId="66" xfId="24" applyFont="1" applyFill="1" applyBorder="1" applyAlignment="1">
      <alignment horizontal="center" vertical="center" wrapText="1"/>
    </xf>
    <xf numFmtId="0" fontId="49" fillId="5" borderId="65" xfId="24" applyFont="1" applyFill="1" applyBorder="1" applyAlignment="1">
      <alignment horizontal="center"/>
    </xf>
    <xf numFmtId="0" fontId="49" fillId="5" borderId="65" xfId="24" applyFont="1" applyFill="1" applyBorder="1"/>
    <xf numFmtId="0" fontId="8" fillId="0" borderId="65" xfId="24" applyBorder="1"/>
    <xf numFmtId="0" fontId="46" fillId="10" borderId="65" xfId="24" applyFont="1" applyFill="1" applyBorder="1" applyAlignment="1">
      <alignment horizontal="center" vertical="center" wrapText="1"/>
    </xf>
    <xf numFmtId="0" fontId="46" fillId="11" borderId="65" xfId="24" applyFont="1" applyFill="1" applyBorder="1" applyAlignment="1">
      <alignment horizontal="center" vertical="center" wrapText="1"/>
    </xf>
    <xf numFmtId="0" fontId="46" fillId="15" borderId="65" xfId="24" applyFont="1" applyFill="1" applyBorder="1" applyAlignment="1">
      <alignment horizontal="center" vertical="center" wrapText="1"/>
    </xf>
    <xf numFmtId="0" fontId="8" fillId="0" borderId="68" xfId="24" applyBorder="1"/>
    <xf numFmtId="0" fontId="46" fillId="9" borderId="73" xfId="24" applyFont="1" applyFill="1" applyBorder="1" applyAlignment="1">
      <alignment horizontal="center" vertical="center" wrapText="1"/>
    </xf>
    <xf numFmtId="0" fontId="46" fillId="10" borderId="74" xfId="24" applyFont="1" applyFill="1" applyBorder="1" applyAlignment="1">
      <alignment horizontal="center" vertical="center" wrapText="1"/>
    </xf>
    <xf numFmtId="0" fontId="46" fillId="11" borderId="74" xfId="24" applyFont="1" applyFill="1" applyBorder="1" applyAlignment="1">
      <alignment horizontal="center" vertical="center" wrapText="1"/>
    </xf>
    <xf numFmtId="0" fontId="46" fillId="15" borderId="74" xfId="24" applyFont="1" applyFill="1" applyBorder="1" applyAlignment="1">
      <alignment horizontal="center" vertical="center" wrapText="1"/>
    </xf>
    <xf numFmtId="0" fontId="72" fillId="36" borderId="75" xfId="24" applyFont="1" applyFill="1" applyBorder="1" applyAlignment="1">
      <alignment horizontal="center" vertical="center" wrapText="1"/>
    </xf>
    <xf numFmtId="0" fontId="46" fillId="5" borderId="73" xfId="24" applyFont="1" applyFill="1" applyBorder="1" applyAlignment="1">
      <alignment horizontal="left" vertical="center"/>
    </xf>
    <xf numFmtId="0" fontId="8" fillId="31" borderId="74" xfId="24" applyFill="1" applyBorder="1"/>
    <xf numFmtId="0" fontId="27" fillId="31" borderId="74" xfId="24" applyFont="1" applyFill="1" applyBorder="1" applyAlignment="1">
      <alignment horizontal="left"/>
    </xf>
    <xf numFmtId="172" fontId="27" fillId="31" borderId="75" xfId="24" applyNumberFormat="1" applyFont="1" applyFill="1" applyBorder="1" applyAlignment="1">
      <alignment horizontal="center" vertical="center"/>
    </xf>
    <xf numFmtId="0" fontId="57" fillId="36" borderId="77" xfId="24" applyFont="1" applyFill="1" applyBorder="1" applyAlignment="1">
      <alignment horizontal="center" vertical="center"/>
    </xf>
    <xf numFmtId="0" fontId="13" fillId="0" borderId="104" xfId="24" applyFont="1" applyBorder="1" applyAlignment="1">
      <alignment horizontal="left" vertical="center"/>
    </xf>
    <xf numFmtId="174" fontId="8" fillId="0" borderId="101" xfId="24" applyNumberFormat="1" applyBorder="1" applyAlignment="1">
      <alignment horizontal="center"/>
    </xf>
    <xf numFmtId="174" fontId="26" fillId="18" borderId="202" xfId="24" applyNumberFormat="1" applyFont="1" applyFill="1" applyBorder="1" applyAlignment="1">
      <alignment horizontal="center"/>
    </xf>
    <xf numFmtId="174" fontId="8" fillId="0" borderId="202" xfId="24" applyNumberFormat="1" applyBorder="1" applyAlignment="1">
      <alignment horizontal="center"/>
    </xf>
    <xf numFmtId="0" fontId="13" fillId="17" borderId="105" xfId="24" applyFont="1" applyFill="1" applyBorder="1" applyAlignment="1">
      <alignment horizontal="left" vertical="center"/>
    </xf>
    <xf numFmtId="174" fontId="8" fillId="23" borderId="102" xfId="24" applyNumberFormat="1" applyFill="1" applyBorder="1" applyAlignment="1">
      <alignment horizontal="center"/>
    </xf>
    <xf numFmtId="174" fontId="8" fillId="17" borderId="102" xfId="24" applyNumberFormat="1" applyFill="1" applyBorder="1" applyAlignment="1">
      <alignment horizontal="center"/>
    </xf>
    <xf numFmtId="174" fontId="26" fillId="18" borderId="203" xfId="24" applyNumberFormat="1" applyFont="1" applyFill="1" applyBorder="1" applyAlignment="1">
      <alignment horizontal="center"/>
    </xf>
    <xf numFmtId="174" fontId="8" fillId="17" borderId="203" xfId="24" applyNumberFormat="1" applyFill="1" applyBorder="1" applyAlignment="1">
      <alignment horizontal="center"/>
    </xf>
    <xf numFmtId="0" fontId="8" fillId="31" borderId="74" xfId="24" applyFill="1" applyBorder="1" applyAlignment="1">
      <alignment horizontal="center"/>
    </xf>
    <xf numFmtId="0" fontId="8" fillId="31" borderId="75" xfId="24" applyFill="1" applyBorder="1" applyAlignment="1">
      <alignment horizontal="center"/>
    </xf>
    <xf numFmtId="0" fontId="13" fillId="17" borderId="106" xfId="24" applyFont="1" applyFill="1" applyBorder="1" applyAlignment="1">
      <alignment horizontal="left" vertical="center"/>
    </xf>
    <xf numFmtId="0" fontId="13" fillId="0" borderId="106" xfId="24" applyFont="1" applyBorder="1" applyAlignment="1">
      <alignment horizontal="left" vertical="center"/>
    </xf>
    <xf numFmtId="0" fontId="26" fillId="31" borderId="75" xfId="24" applyFont="1" applyFill="1" applyBorder="1" applyAlignment="1">
      <alignment horizontal="center" vertical="center"/>
    </xf>
    <xf numFmtId="2" fontId="8" fillId="0" borderId="101" xfId="24" applyNumberFormat="1" applyBorder="1" applyAlignment="1">
      <alignment horizontal="center"/>
    </xf>
    <xf numFmtId="2" fontId="26" fillId="18" borderId="107" xfId="24" applyNumberFormat="1" applyFont="1" applyFill="1" applyBorder="1" applyAlignment="1">
      <alignment horizontal="center"/>
    </xf>
    <xf numFmtId="2" fontId="8" fillId="0" borderId="202" xfId="24" applyNumberFormat="1" applyBorder="1" applyAlignment="1">
      <alignment horizontal="center"/>
    </xf>
    <xf numFmtId="2" fontId="8" fillId="23" borderId="103" xfId="24" applyNumberFormat="1" applyFill="1" applyBorder="1" applyAlignment="1">
      <alignment horizontal="center" vertical="center"/>
    </xf>
    <xf numFmtId="2" fontId="8" fillId="17" borderId="103" xfId="24" applyNumberFormat="1" applyFill="1" applyBorder="1" applyAlignment="1">
      <alignment horizontal="center"/>
    </xf>
    <xf numFmtId="2" fontId="8" fillId="17" borderId="107" xfId="24" applyNumberFormat="1" applyFill="1" applyBorder="1" applyAlignment="1">
      <alignment horizontal="center"/>
    </xf>
    <xf numFmtId="0" fontId="13" fillId="0" borderId="105" xfId="24" applyFont="1" applyBorder="1" applyAlignment="1">
      <alignment horizontal="left" vertical="center"/>
    </xf>
    <xf numFmtId="2" fontId="8" fillId="0" borderId="102" xfId="24" applyNumberFormat="1" applyBorder="1" applyAlignment="1">
      <alignment horizontal="center"/>
    </xf>
    <xf numFmtId="2" fontId="26" fillId="18" borderId="203" xfId="24" applyNumberFormat="1" applyFont="1" applyFill="1" applyBorder="1" applyAlignment="1">
      <alignment horizontal="center"/>
    </xf>
    <xf numFmtId="2" fontId="8" fillId="0" borderId="203" xfId="24" applyNumberFormat="1" applyBorder="1" applyAlignment="1">
      <alignment horizontal="center"/>
    </xf>
    <xf numFmtId="0" fontId="13" fillId="17" borderId="104" xfId="24" applyFont="1" applyFill="1" applyBorder="1" applyAlignment="1">
      <alignment horizontal="left" vertical="center"/>
    </xf>
    <xf numFmtId="2" fontId="34" fillId="12" borderId="101" xfId="24" applyNumberFormat="1" applyFont="1" applyFill="1" applyBorder="1" applyAlignment="1">
      <alignment horizontal="center"/>
    </xf>
    <xf numFmtId="2" fontId="8" fillId="17" borderId="101" xfId="24" applyNumberFormat="1" applyFill="1" applyBorder="1" applyAlignment="1">
      <alignment horizontal="center"/>
    </xf>
    <xf numFmtId="2" fontId="26" fillId="18" borderId="202" xfId="24" applyNumberFormat="1" applyFont="1" applyFill="1" applyBorder="1" applyAlignment="1">
      <alignment horizontal="center"/>
    </xf>
    <xf numFmtId="2" fontId="8" fillId="17" borderId="202" xfId="24" applyNumberFormat="1" applyFill="1" applyBorder="1" applyAlignment="1">
      <alignment horizontal="center"/>
    </xf>
    <xf numFmtId="2" fontId="8" fillId="12" borderId="103" xfId="24" applyNumberFormat="1" applyFill="1" applyBorder="1" applyAlignment="1">
      <alignment horizontal="center"/>
    </xf>
    <xf numFmtId="2" fontId="8" fillId="0" borderId="103" xfId="24" applyNumberFormat="1" applyBorder="1" applyAlignment="1">
      <alignment horizontal="center"/>
    </xf>
    <xf numFmtId="2" fontId="8" fillId="0" borderId="107" xfId="24" applyNumberFormat="1" applyBorder="1" applyAlignment="1">
      <alignment horizontal="center"/>
    </xf>
    <xf numFmtId="2" fontId="8" fillId="17" borderId="102" xfId="24" applyNumberFormat="1" applyFill="1" applyBorder="1" applyAlignment="1">
      <alignment horizontal="center"/>
    </xf>
    <xf numFmtId="2" fontId="8" fillId="17" borderId="203" xfId="24" applyNumberFormat="1" applyFill="1" applyBorder="1" applyAlignment="1">
      <alignment horizontal="center"/>
    </xf>
    <xf numFmtId="0" fontId="46" fillId="31" borderId="73" xfId="24" applyFont="1" applyFill="1" applyBorder="1" applyAlignment="1">
      <alignment horizontal="left" vertical="center"/>
    </xf>
    <xf numFmtId="10" fontId="26" fillId="31" borderId="75" xfId="24" applyNumberFormat="1" applyFont="1" applyFill="1" applyBorder="1" applyAlignment="1">
      <alignment horizontal="center" vertical="center"/>
    </xf>
    <xf numFmtId="170" fontId="8" fillId="0" borderId="101" xfId="24" applyNumberFormat="1" applyBorder="1" applyAlignment="1">
      <alignment horizontal="center"/>
    </xf>
    <xf numFmtId="170" fontId="8" fillId="0" borderId="202" xfId="24" applyNumberFormat="1" applyBorder="1" applyAlignment="1">
      <alignment horizontal="center"/>
    </xf>
    <xf numFmtId="170" fontId="8" fillId="12" borderId="103" xfId="24" applyNumberFormat="1" applyFill="1" applyBorder="1" applyAlignment="1">
      <alignment horizontal="center"/>
    </xf>
    <xf numFmtId="170" fontId="8" fillId="17" borderId="103" xfId="24" applyNumberFormat="1" applyFill="1" applyBorder="1" applyAlignment="1">
      <alignment horizontal="center"/>
    </xf>
    <xf numFmtId="170" fontId="8" fillId="17" borderId="107" xfId="24" applyNumberFormat="1" applyFill="1" applyBorder="1" applyAlignment="1">
      <alignment horizontal="center"/>
    </xf>
    <xf numFmtId="170" fontId="8" fillId="0" borderId="103" xfId="24" applyNumberFormat="1" applyBorder="1" applyAlignment="1">
      <alignment horizontal="center"/>
    </xf>
    <xf numFmtId="170" fontId="8" fillId="0" borderId="107" xfId="24" applyNumberFormat="1" applyBorder="1" applyAlignment="1">
      <alignment horizontal="center"/>
    </xf>
    <xf numFmtId="170" fontId="8" fillId="0" borderId="102" xfId="24" applyNumberFormat="1" applyBorder="1" applyAlignment="1">
      <alignment horizontal="center"/>
    </xf>
    <xf numFmtId="170" fontId="8" fillId="0" borderId="203" xfId="24" applyNumberFormat="1" applyBorder="1" applyAlignment="1">
      <alignment horizontal="center"/>
    </xf>
    <xf numFmtId="172" fontId="26" fillId="31" borderId="75" xfId="37" applyNumberFormat="1" applyFont="1" applyFill="1" applyBorder="1" applyAlignment="1">
      <alignment horizontal="center" vertical="center"/>
    </xf>
    <xf numFmtId="0" fontId="14" fillId="17" borderId="106" xfId="24" applyFont="1" applyFill="1" applyBorder="1" applyAlignment="1">
      <alignment horizontal="left" vertical="center"/>
    </xf>
    <xf numFmtId="0" fontId="26" fillId="31" borderId="75" xfId="24" applyFont="1" applyFill="1" applyBorder="1" applyAlignment="1">
      <alignment horizontal="center"/>
    </xf>
    <xf numFmtId="0" fontId="13" fillId="8" borderId="104" xfId="24" applyFont="1" applyFill="1" applyBorder="1" applyAlignment="1">
      <alignment horizontal="left" vertical="center"/>
    </xf>
    <xf numFmtId="10" fontId="8" fillId="0" borderId="51" xfId="24" applyNumberFormat="1" applyBorder="1" applyAlignment="1">
      <alignment horizontal="center" vertical="center"/>
    </xf>
    <xf numFmtId="0" fontId="13" fillId="8" borderId="106" xfId="24" applyFont="1" applyFill="1" applyBorder="1" applyAlignment="1">
      <alignment horizontal="left" vertical="center"/>
    </xf>
    <xf numFmtId="167" fontId="8" fillId="0" borderId="103" xfId="24" applyNumberFormat="1" applyBorder="1" applyAlignment="1">
      <alignment horizontal="center" wrapText="1"/>
    </xf>
    <xf numFmtId="2" fontId="8" fillId="8" borderId="107" xfId="24" applyNumberFormat="1" applyFill="1" applyBorder="1" applyAlignment="1">
      <alignment horizontal="center" vertical="center"/>
    </xf>
    <xf numFmtId="0" fontId="13" fillId="0" borderId="108" xfId="24" applyFont="1" applyBorder="1" applyAlignment="1">
      <alignment horizontal="left" vertical="center"/>
    </xf>
    <xf numFmtId="0" fontId="46" fillId="31" borderId="66" xfId="24" applyFont="1" applyFill="1" applyBorder="1" applyAlignment="1">
      <alignment horizontal="left" vertical="center"/>
    </xf>
    <xf numFmtId="0" fontId="46" fillId="0" borderId="0" xfId="24" applyFont="1" applyAlignment="1">
      <alignment horizontal="left" vertical="center"/>
    </xf>
    <xf numFmtId="0" fontId="13" fillId="8" borderId="108" xfId="24" applyFont="1" applyFill="1" applyBorder="1" applyAlignment="1">
      <alignment horizontal="left" vertical="center"/>
    </xf>
    <xf numFmtId="0" fontId="46" fillId="31" borderId="73" xfId="24" applyFont="1" applyFill="1" applyBorder="1" applyAlignment="1">
      <alignment horizontal="center" vertical="center"/>
    </xf>
    <xf numFmtId="0" fontId="27" fillId="32" borderId="111" xfId="24" applyFont="1" applyFill="1" applyBorder="1" applyAlignment="1">
      <alignment horizontal="center"/>
    </xf>
    <xf numFmtId="0" fontId="8" fillId="32" borderId="112" xfId="24" applyFill="1" applyBorder="1"/>
    <xf numFmtId="0" fontId="13" fillId="17" borderId="106" xfId="24" applyFont="1" applyFill="1" applyBorder="1"/>
    <xf numFmtId="174" fontId="8" fillId="24" borderId="103" xfId="24" applyNumberFormat="1" applyFill="1" applyBorder="1" applyAlignment="1">
      <alignment horizontal="center"/>
    </xf>
    <xf numFmtId="174" fontId="8" fillId="0" borderId="103" xfId="24" applyNumberFormat="1" applyBorder="1" applyAlignment="1">
      <alignment horizontal="center"/>
    </xf>
    <xf numFmtId="174" fontId="34" fillId="24" borderId="103" xfId="24" applyNumberFormat="1" applyFont="1" applyFill="1" applyBorder="1" applyAlignment="1">
      <alignment horizontal="center"/>
    </xf>
    <xf numFmtId="174" fontId="8" fillId="0" borderId="103" xfId="24" applyNumberFormat="1" applyBorder="1" applyAlignment="1">
      <alignment horizontal="center" wrapText="1"/>
    </xf>
    <xf numFmtId="0" fontId="27" fillId="32" borderId="106" xfId="24" applyFont="1" applyFill="1" applyBorder="1" applyAlignment="1">
      <alignment horizontal="center"/>
    </xf>
    <xf numFmtId="0" fontId="8" fillId="32" borderId="103" xfId="24" applyFill="1" applyBorder="1"/>
    <xf numFmtId="174" fontId="8" fillId="0" borderId="0" xfId="24" applyNumberFormat="1" applyAlignment="1">
      <alignment horizontal="center"/>
    </xf>
    <xf numFmtId="174" fontId="8" fillId="0" borderId="0" xfId="24" applyNumberFormat="1"/>
    <xf numFmtId="0" fontId="13" fillId="17" borderId="108" xfId="24" applyFont="1" applyFill="1" applyBorder="1"/>
    <xf numFmtId="174" fontId="8" fillId="24" borderId="109" xfId="24" applyNumberFormat="1" applyFill="1" applyBorder="1" applyAlignment="1">
      <alignment horizontal="center"/>
    </xf>
    <xf numFmtId="174" fontId="8" fillId="0" borderId="109" xfId="24" applyNumberFormat="1" applyBorder="1" applyAlignment="1">
      <alignment horizontal="center"/>
    </xf>
    <xf numFmtId="0" fontId="8" fillId="33" borderId="73" xfId="24" applyFill="1" applyBorder="1"/>
    <xf numFmtId="0" fontId="8" fillId="33" borderId="75" xfId="24" applyFill="1" applyBorder="1"/>
    <xf numFmtId="0" fontId="8" fillId="33" borderId="92" xfId="24" applyFill="1" applyBorder="1"/>
    <xf numFmtId="0" fontId="13" fillId="14" borderId="66" xfId="24" applyFont="1" applyFill="1" applyBorder="1" applyAlignment="1">
      <alignment horizontal="center"/>
    </xf>
    <xf numFmtId="0" fontId="13" fillId="0" borderId="66" xfId="24" applyFont="1" applyBorder="1" applyAlignment="1">
      <alignment horizontal="center"/>
    </xf>
    <xf numFmtId="0" fontId="8" fillId="33" borderId="93" xfId="24" applyFill="1" applyBorder="1"/>
    <xf numFmtId="0" fontId="13" fillId="0" borderId="73" xfId="24" applyFont="1" applyBorder="1" applyAlignment="1">
      <alignment horizontal="center"/>
    </xf>
    <xf numFmtId="0" fontId="13" fillId="0" borderId="95" xfId="24" applyFont="1" applyBorder="1"/>
    <xf numFmtId="168" fontId="8" fillId="0" borderId="96" xfId="24" applyNumberFormat="1" applyBorder="1" applyAlignment="1">
      <alignment horizontal="center"/>
    </xf>
    <xf numFmtId="10" fontId="8" fillId="33" borderId="93" xfId="24" applyNumberFormat="1" applyFill="1" applyBorder="1"/>
    <xf numFmtId="9" fontId="8" fillId="0" borderId="96" xfId="24" applyNumberFormat="1" applyBorder="1" applyAlignment="1">
      <alignment horizontal="center"/>
    </xf>
    <xf numFmtId="0" fontId="13" fillId="0" borderId="90" xfId="24" applyFont="1" applyBorder="1" applyAlignment="1">
      <alignment horizontal="left"/>
    </xf>
    <xf numFmtId="168" fontId="8" fillId="0" borderId="84" xfId="24" applyNumberFormat="1" applyBorder="1" applyAlignment="1">
      <alignment horizontal="center"/>
    </xf>
    <xf numFmtId="168" fontId="8" fillId="0" borderId="85" xfId="24" applyNumberFormat="1" applyBorder="1" applyAlignment="1">
      <alignment horizontal="center"/>
    </xf>
    <xf numFmtId="0" fontId="13" fillId="0" borderId="98" xfId="24" applyFont="1" applyBorder="1"/>
    <xf numFmtId="168" fontId="8" fillId="0" borderId="87" xfId="24" applyNumberFormat="1" applyBorder="1" applyAlignment="1">
      <alignment horizontal="center"/>
    </xf>
    <xf numFmtId="168" fontId="8" fillId="0" borderId="88" xfId="24" applyNumberFormat="1" applyBorder="1" applyAlignment="1">
      <alignment horizontal="center"/>
    </xf>
    <xf numFmtId="9" fontId="8" fillId="0" borderId="67" xfId="24" applyNumberFormat="1" applyBorder="1"/>
    <xf numFmtId="0" fontId="13" fillId="0" borderId="97" xfId="24" applyFont="1" applyBorder="1" applyAlignment="1">
      <alignment horizontal="center"/>
    </xf>
    <xf numFmtId="168" fontId="13" fillId="0" borderId="76" xfId="24" applyNumberFormat="1" applyFont="1" applyBorder="1" applyAlignment="1">
      <alignment horizontal="center"/>
    </xf>
    <xf numFmtId="10" fontId="8" fillId="33" borderId="94" xfId="24" applyNumberFormat="1" applyFill="1" applyBorder="1"/>
    <xf numFmtId="9" fontId="13" fillId="0" borderId="74" xfId="24" applyNumberFormat="1" applyFont="1" applyBorder="1" applyAlignment="1">
      <alignment horizontal="center"/>
    </xf>
    <xf numFmtId="9" fontId="8" fillId="0" borderId="0" xfId="24" applyNumberFormat="1"/>
    <xf numFmtId="168" fontId="13" fillId="0" borderId="0" xfId="24" applyNumberFormat="1" applyFont="1" applyAlignment="1">
      <alignment horizontal="center"/>
    </xf>
    <xf numFmtId="0" fontId="13" fillId="14" borderId="94" xfId="24" applyFont="1" applyFill="1" applyBorder="1" applyAlignment="1">
      <alignment horizontal="center"/>
    </xf>
    <xf numFmtId="0" fontId="13" fillId="14" borderId="12" xfId="24" applyFont="1" applyFill="1" applyBorder="1" applyAlignment="1">
      <alignment horizontal="center"/>
    </xf>
    <xf numFmtId="0" fontId="13" fillId="0" borderId="89" xfId="24" applyFont="1" applyBorder="1" applyAlignment="1">
      <alignment horizontal="center"/>
    </xf>
    <xf numFmtId="0" fontId="13" fillId="8" borderId="39" xfId="24" applyFont="1" applyFill="1" applyBorder="1" applyAlignment="1">
      <alignment horizontal="center"/>
    </xf>
    <xf numFmtId="0" fontId="13" fillId="8" borderId="9" xfId="24" applyFont="1" applyFill="1" applyBorder="1" applyAlignment="1">
      <alignment horizontal="center"/>
    </xf>
    <xf numFmtId="0" fontId="13" fillId="0" borderId="89" xfId="24" applyFont="1" applyBorder="1" applyAlignment="1">
      <alignment horizontal="left"/>
    </xf>
    <xf numFmtId="9" fontId="8" fillId="0" borderId="78" xfId="24" applyNumberFormat="1" applyBorder="1" applyAlignment="1">
      <alignment horizontal="center"/>
    </xf>
    <xf numFmtId="0" fontId="13" fillId="0" borderId="95" xfId="24" applyFont="1" applyBorder="1" applyAlignment="1">
      <alignment horizontal="left"/>
    </xf>
    <xf numFmtId="9" fontId="8" fillId="0" borderId="204" xfId="24" applyNumberFormat="1" applyBorder="1" applyAlignment="1">
      <alignment horizontal="center"/>
    </xf>
    <xf numFmtId="9" fontId="8" fillId="0" borderId="83" xfId="24" applyNumberFormat="1" applyBorder="1" applyAlignment="1">
      <alignment horizontal="center"/>
    </xf>
    <xf numFmtId="9" fontId="13" fillId="0" borderId="73" xfId="24" applyNumberFormat="1" applyFont="1" applyBorder="1" applyAlignment="1">
      <alignment horizontal="center"/>
    </xf>
    <xf numFmtId="168" fontId="8" fillId="0" borderId="237" xfId="24" applyNumberFormat="1" applyBorder="1" applyAlignment="1">
      <alignment horizontal="center"/>
    </xf>
    <xf numFmtId="0" fontId="8" fillId="0" borderId="89" xfId="24" applyBorder="1" applyAlignment="1">
      <alignment horizontal="left" indent="1"/>
    </xf>
    <xf numFmtId="9" fontId="8" fillId="0" borderId="238" xfId="24" applyNumberFormat="1" applyBorder="1" applyAlignment="1">
      <alignment horizontal="center"/>
    </xf>
    <xf numFmtId="0" fontId="8" fillId="0" borderId="50" xfId="24" applyBorder="1"/>
    <xf numFmtId="0" fontId="8" fillId="0" borderId="51" xfId="24" applyBorder="1"/>
    <xf numFmtId="0" fontId="8" fillId="0" borderId="43" xfId="24" applyBorder="1"/>
    <xf numFmtId="0" fontId="8" fillId="0" borderId="71" xfId="24" applyBorder="1"/>
    <xf numFmtId="0" fontId="8" fillId="0" borderId="76" xfId="24" applyBorder="1"/>
    <xf numFmtId="0" fontId="8" fillId="0" borderId="77" xfId="24" applyBorder="1"/>
    <xf numFmtId="0" fontId="8" fillId="0" borderId="69" xfId="24" applyBorder="1"/>
    <xf numFmtId="0" fontId="8" fillId="0" borderId="70" xfId="24" applyBorder="1"/>
    <xf numFmtId="0" fontId="13" fillId="0" borderId="50" xfId="24" applyFont="1" applyBorder="1" applyAlignment="1">
      <alignment horizontal="center"/>
    </xf>
    <xf numFmtId="0" fontId="13" fillId="0" borderId="51" xfId="24" applyFont="1" applyBorder="1" applyAlignment="1">
      <alignment horizontal="center"/>
    </xf>
    <xf numFmtId="0" fontId="8" fillId="0" borderId="76" xfId="24" applyBorder="1" applyAlignment="1">
      <alignment horizontal="center"/>
    </xf>
    <xf numFmtId="0" fontId="13" fillId="0" borderId="230" xfId="0" applyFont="1" applyBorder="1" applyAlignment="1">
      <alignment horizontal="center" vertical="center"/>
    </xf>
    <xf numFmtId="0" fontId="13" fillId="0" borderId="123" xfId="0" applyFont="1" applyBorder="1" applyAlignment="1">
      <alignment horizontal="center" vertical="center"/>
    </xf>
    <xf numFmtId="0" fontId="13" fillId="0" borderId="183" xfId="0" applyFont="1" applyBorder="1" applyAlignment="1">
      <alignment horizontal="center" vertical="center"/>
    </xf>
    <xf numFmtId="9" fontId="64" fillId="12" borderId="123" xfId="16" applyFont="1" applyFill="1" applyBorder="1" applyAlignment="1">
      <alignment horizontal="center" vertical="center" wrapText="1"/>
    </xf>
    <xf numFmtId="0" fontId="13" fillId="0" borderId="122" xfId="0" applyFont="1" applyBorder="1" applyAlignment="1">
      <alignment horizontal="center" vertical="center"/>
    </xf>
    <xf numFmtId="0" fontId="64" fillId="12" borderId="123" xfId="16" applyNumberFormat="1" applyFont="1" applyFill="1" applyBorder="1" applyAlignment="1">
      <alignment horizontal="center" vertical="center" wrapText="1"/>
    </xf>
    <xf numFmtId="9" fontId="53" fillId="0" borderId="178" xfId="31" applyFont="1" applyBorder="1"/>
    <xf numFmtId="0" fontId="84" fillId="0" borderId="178" xfId="0" applyFont="1" applyBorder="1"/>
    <xf numFmtId="10" fontId="0" fillId="0" borderId="231" xfId="31" applyNumberFormat="1" applyFont="1" applyBorder="1"/>
    <xf numFmtId="10" fontId="53" fillId="0" borderId="231" xfId="31" applyNumberFormat="1" applyFont="1" applyBorder="1"/>
    <xf numFmtId="10" fontId="53" fillId="0" borderId="126" xfId="31" applyNumberFormat="1" applyFont="1" applyBorder="1"/>
    <xf numFmtId="10" fontId="55" fillId="42" borderId="126" xfId="16" applyNumberFormat="1" applyFont="1" applyFill="1" applyBorder="1"/>
    <xf numFmtId="10" fontId="53" fillId="0" borderId="126" xfId="16" applyNumberFormat="1" applyFont="1" applyBorder="1"/>
    <xf numFmtId="3" fontId="85" fillId="42" borderId="126" xfId="0" applyNumberFormat="1" applyFont="1" applyFill="1" applyBorder="1"/>
    <xf numFmtId="3" fontId="84" fillId="0" borderId="126" xfId="0" applyNumberFormat="1" applyFont="1" applyBorder="1"/>
    <xf numFmtId="2" fontId="55" fillId="42" borderId="126" xfId="0" applyNumberFormat="1" applyFont="1" applyFill="1" applyBorder="1"/>
    <xf numFmtId="2" fontId="53" fillId="0" borderId="126" xfId="0" applyNumberFormat="1" applyFont="1" applyBorder="1"/>
    <xf numFmtId="2" fontId="53" fillId="0" borderId="0" xfId="0" applyNumberFormat="1" applyFont="1"/>
    <xf numFmtId="2" fontId="0" fillId="0" borderId="125" xfId="0" applyNumberFormat="1" applyBorder="1"/>
    <xf numFmtId="2" fontId="0" fillId="0" borderId="230" xfId="0" applyNumberFormat="1" applyBorder="1"/>
    <xf numFmtId="2" fontId="0" fillId="0" borderId="122" xfId="0" applyNumberFormat="1" applyBorder="1"/>
    <xf numFmtId="2" fontId="0" fillId="0" borderId="185" xfId="0" applyNumberFormat="1" applyBorder="1"/>
    <xf numFmtId="0" fontId="0" fillId="0" borderId="46" xfId="0" applyBorder="1" applyAlignment="1">
      <alignment horizontal="center" vertical="center" wrapText="1"/>
    </xf>
    <xf numFmtId="0" fontId="46" fillId="13" borderId="75" xfId="24" applyFont="1" applyFill="1" applyBorder="1" applyAlignment="1">
      <alignment horizontal="center" vertical="center"/>
    </xf>
    <xf numFmtId="2" fontId="0" fillId="0" borderId="251" xfId="0" applyNumberFormat="1" applyBorder="1" applyAlignment="1">
      <alignment horizontal="center" vertical="center"/>
    </xf>
    <xf numFmtId="2" fontId="0" fillId="8" borderId="251" xfId="0" applyNumberFormat="1" applyFill="1" applyBorder="1" applyAlignment="1">
      <alignment horizontal="center" vertical="center"/>
    </xf>
    <xf numFmtId="0" fontId="80" fillId="0" borderId="252" xfId="0" applyFont="1" applyBorder="1" applyAlignment="1">
      <alignment horizontal="center" vertical="center"/>
    </xf>
    <xf numFmtId="9" fontId="76" fillId="35" borderId="253" xfId="16" applyFont="1" applyFill="1" applyBorder="1" applyAlignment="1">
      <alignment horizontal="center" vertical="center" wrapText="1"/>
    </xf>
    <xf numFmtId="170" fontId="8" fillId="9" borderId="101" xfId="24" applyNumberFormat="1" applyFill="1" applyBorder="1" applyAlignment="1">
      <alignment horizontal="center"/>
    </xf>
    <xf numFmtId="170" fontId="8" fillId="9" borderId="102" xfId="24" applyNumberFormat="1" applyFill="1" applyBorder="1" applyAlignment="1">
      <alignment horizontal="center"/>
    </xf>
    <xf numFmtId="10" fontId="8" fillId="12" borderId="102" xfId="16" applyNumberFormat="1" applyFont="1" applyFill="1" applyBorder="1" applyAlignment="1">
      <alignment horizontal="center"/>
    </xf>
    <xf numFmtId="10" fontId="53" fillId="8" borderId="126" xfId="16" applyNumberFormat="1" applyFont="1" applyFill="1" applyBorder="1"/>
    <xf numFmtId="2" fontId="53" fillId="8" borderId="126" xfId="0" applyNumberFormat="1" applyFont="1" applyFill="1" applyBorder="1"/>
    <xf numFmtId="0" fontId="8" fillId="12" borderId="19" xfId="24" applyFill="1" applyBorder="1" applyAlignment="1">
      <alignment horizontal="center"/>
    </xf>
    <xf numFmtId="187" fontId="8" fillId="0" borderId="0" xfId="24" applyNumberFormat="1"/>
    <xf numFmtId="188" fontId="8" fillId="0" borderId="0" xfId="24" applyNumberFormat="1"/>
    <xf numFmtId="188" fontId="0" fillId="0" borderId="0" xfId="24" applyNumberFormat="1" applyFont="1"/>
    <xf numFmtId="189" fontId="63" fillId="8" borderId="62" xfId="24" applyNumberFormat="1" applyFont="1" applyFill="1" applyBorder="1" applyAlignment="1">
      <alignment horizontal="center"/>
    </xf>
    <xf numFmtId="10" fontId="39" fillId="0" borderId="0" xfId="24" applyNumberFormat="1" applyFont="1" applyAlignment="1">
      <alignment horizontal="center" vertical="center"/>
    </xf>
    <xf numFmtId="3" fontId="23" fillId="12" borderId="0" xfId="24" applyNumberFormat="1" applyFont="1" applyFill="1" applyAlignment="1">
      <alignment horizontal="center" vertical="center"/>
    </xf>
    <xf numFmtId="0" fontId="87" fillId="3" borderId="0" xfId="0" applyFont="1" applyFill="1"/>
    <xf numFmtId="4" fontId="25" fillId="9" borderId="116" xfId="7" applyFont="1" applyFill="1" applyBorder="1" applyAlignment="1">
      <alignment horizontal="right" vertical="center"/>
    </xf>
    <xf numFmtId="0" fontId="25" fillId="28" borderId="19" xfId="24" applyFont="1" applyFill="1" applyBorder="1" applyAlignment="1">
      <alignment horizontal="center"/>
    </xf>
    <xf numFmtId="0" fontId="8" fillId="8" borderId="192" xfId="24" applyFill="1" applyBorder="1" applyAlignment="1">
      <alignment horizontal="left" vertical="center"/>
    </xf>
    <xf numFmtId="0" fontId="8" fillId="8" borderId="189" xfId="24" applyFill="1" applyBorder="1" applyAlignment="1">
      <alignment horizontal="left" vertical="center"/>
    </xf>
    <xf numFmtId="9" fontId="8" fillId="9" borderId="103" xfId="16" applyFont="1" applyFill="1" applyBorder="1" applyAlignment="1">
      <alignment horizontal="center"/>
    </xf>
    <xf numFmtId="0" fontId="85" fillId="42" borderId="254" xfId="0" applyFont="1" applyFill="1" applyBorder="1"/>
    <xf numFmtId="0" fontId="84" fillId="0" borderId="255" xfId="0" applyFont="1" applyBorder="1"/>
    <xf numFmtId="9" fontId="0" fillId="23" borderId="0" xfId="16" applyFont="1" applyFill="1" applyBorder="1" applyAlignment="1">
      <alignment horizontal="center" vertical="center"/>
    </xf>
    <xf numFmtId="2" fontId="8" fillId="23" borderId="102" xfId="24" applyNumberFormat="1" applyFill="1" applyBorder="1" applyAlignment="1">
      <alignment horizontal="center"/>
    </xf>
    <xf numFmtId="0" fontId="0" fillId="0" borderId="19" xfId="24" applyFont="1" applyBorder="1" applyAlignment="1">
      <alignment vertical="center" wrapText="1"/>
    </xf>
    <xf numFmtId="0" fontId="8" fillId="0" borderId="19" xfId="24" applyBorder="1" applyAlignment="1">
      <alignment vertical="center" wrapText="1"/>
    </xf>
    <xf numFmtId="0" fontId="9" fillId="0" borderId="55" xfId="24" applyFont="1" applyBorder="1" applyAlignment="1">
      <alignment horizontal="center" vertical="center"/>
    </xf>
    <xf numFmtId="0" fontId="9" fillId="0" borderId="18" xfId="24" applyFont="1" applyBorder="1" applyAlignment="1">
      <alignment horizontal="center" vertical="center"/>
    </xf>
    <xf numFmtId="0" fontId="9" fillId="0" borderId="56" xfId="24" applyFont="1" applyBorder="1" applyAlignment="1">
      <alignment horizontal="center" vertical="center"/>
    </xf>
    <xf numFmtId="0" fontId="21" fillId="0" borderId="22" xfId="24" applyFont="1" applyBorder="1" applyAlignment="1">
      <alignment horizontal="center" vertical="center" wrapText="1"/>
    </xf>
    <xf numFmtId="0" fontId="21" fillId="0" borderId="26" xfId="24" applyFont="1" applyBorder="1" applyAlignment="1">
      <alignment horizontal="center" vertical="center" wrapText="1"/>
    </xf>
    <xf numFmtId="0" fontId="46" fillId="31" borderId="29" xfId="24" applyFont="1" applyFill="1" applyBorder="1" applyAlignment="1">
      <alignment horizontal="center" vertical="center" wrapText="1"/>
    </xf>
    <xf numFmtId="0" fontId="46" fillId="31" borderId="53" xfId="24" applyFont="1" applyFill="1" applyBorder="1" applyAlignment="1">
      <alignment horizontal="center" vertical="center" wrapText="1"/>
    </xf>
    <xf numFmtId="0" fontId="35" fillId="8" borderId="19" xfId="24" applyFont="1" applyFill="1" applyBorder="1" applyAlignment="1">
      <alignment horizontal="center" vertical="center" wrapText="1"/>
    </xf>
    <xf numFmtId="0" fontId="27" fillId="32" borderId="26" xfId="24" applyFont="1" applyFill="1" applyBorder="1" applyAlignment="1">
      <alignment horizontal="center"/>
    </xf>
    <xf numFmtId="0" fontId="27" fillId="32" borderId="24" xfId="24" applyFont="1" applyFill="1" applyBorder="1" applyAlignment="1">
      <alignment horizontal="center"/>
    </xf>
    <xf numFmtId="0" fontId="27" fillId="32" borderId="246" xfId="24" applyFont="1" applyFill="1" applyBorder="1" applyAlignment="1">
      <alignment horizontal="center"/>
    </xf>
    <xf numFmtId="0" fontId="8" fillId="8" borderId="26" xfId="24" applyFill="1" applyBorder="1" applyAlignment="1">
      <alignment horizontal="center" vertical="center" wrapText="1"/>
    </xf>
    <xf numFmtId="0" fontId="8" fillId="8" borderId="24" xfId="24" applyFill="1" applyBorder="1" applyAlignment="1">
      <alignment horizontal="center" vertical="center" wrapText="1"/>
    </xf>
    <xf numFmtId="0" fontId="8" fillId="8" borderId="246" xfId="24" applyFill="1" applyBorder="1" applyAlignment="1">
      <alignment horizontal="center" vertical="center" wrapText="1"/>
    </xf>
    <xf numFmtId="0" fontId="21" fillId="0" borderId="22" xfId="24" applyFont="1" applyBorder="1" applyAlignment="1">
      <alignment horizontal="center" wrapText="1"/>
    </xf>
    <xf numFmtId="0" fontId="21" fillId="0" borderId="26" xfId="24" applyFont="1" applyBorder="1" applyAlignment="1">
      <alignment horizontal="center" wrapText="1"/>
    </xf>
    <xf numFmtId="0" fontId="45" fillId="18" borderId="10" xfId="24" applyFont="1" applyFill="1" applyBorder="1" applyAlignment="1">
      <alignment horizontal="center"/>
    </xf>
    <xf numFmtId="0" fontId="45" fillId="18" borderId="0" xfId="24" applyFont="1" applyFill="1" applyAlignment="1">
      <alignment horizontal="center"/>
    </xf>
    <xf numFmtId="0" fontId="45" fillId="18" borderId="12" xfId="24" applyFont="1" applyFill="1" applyBorder="1" applyAlignment="1">
      <alignment horizontal="center"/>
    </xf>
    <xf numFmtId="0" fontId="46" fillId="5" borderId="22" xfId="24" applyFont="1" applyFill="1" applyBorder="1" applyAlignment="1">
      <alignment horizontal="center"/>
    </xf>
    <xf numFmtId="0" fontId="46" fillId="5" borderId="19" xfId="24" applyFont="1" applyFill="1" applyBorder="1" applyAlignment="1">
      <alignment horizontal="center"/>
    </xf>
    <xf numFmtId="0" fontId="46" fillId="5" borderId="33" xfId="24" applyFont="1" applyFill="1" applyBorder="1" applyAlignment="1">
      <alignment horizontal="center"/>
    </xf>
    <xf numFmtId="0" fontId="46" fillId="5" borderId="28" xfId="24" applyFont="1" applyFill="1" applyBorder="1" applyAlignment="1">
      <alignment horizontal="center"/>
    </xf>
    <xf numFmtId="0" fontId="46" fillId="5" borderId="47" xfId="24" applyFont="1" applyFill="1" applyBorder="1" applyAlignment="1">
      <alignment horizontal="center"/>
    </xf>
    <xf numFmtId="0" fontId="46" fillId="5" borderId="48" xfId="24" applyFont="1" applyFill="1" applyBorder="1" applyAlignment="1">
      <alignment horizontal="center"/>
    </xf>
    <xf numFmtId="0" fontId="46" fillId="5" borderId="49" xfId="24" applyFont="1" applyFill="1" applyBorder="1" applyAlignment="1">
      <alignment horizontal="center"/>
    </xf>
    <xf numFmtId="0" fontId="46" fillId="5" borderId="27" xfId="24" applyFont="1" applyFill="1" applyBorder="1" applyAlignment="1">
      <alignment horizontal="center"/>
    </xf>
    <xf numFmtId="0" fontId="46" fillId="5" borderId="42" xfId="24" applyFont="1" applyFill="1" applyBorder="1" applyAlignment="1">
      <alignment horizontal="center"/>
    </xf>
    <xf numFmtId="9" fontId="13" fillId="8" borderId="26" xfId="16" applyFont="1" applyFill="1" applyBorder="1" applyAlignment="1">
      <alignment horizontal="left"/>
    </xf>
    <xf numFmtId="9" fontId="13" fillId="8" borderId="25" xfId="16" applyFont="1" applyFill="1" applyBorder="1" applyAlignment="1">
      <alignment horizontal="left"/>
    </xf>
    <xf numFmtId="0" fontId="8" fillId="0" borderId="19" xfId="24" quotePrefix="1" applyBorder="1" applyAlignment="1">
      <alignment horizontal="left"/>
    </xf>
    <xf numFmtId="0" fontId="8" fillId="0" borderId="19" xfId="24" applyBorder="1" applyAlignment="1">
      <alignment horizontal="left"/>
    </xf>
    <xf numFmtId="0" fontId="27" fillId="32" borderId="33" xfId="24" applyFont="1" applyFill="1" applyBorder="1" applyAlignment="1">
      <alignment horizontal="center"/>
    </xf>
    <xf numFmtId="0" fontId="27" fillId="32" borderId="27" xfId="24" applyFont="1" applyFill="1" applyBorder="1" applyAlignment="1">
      <alignment horizontal="center"/>
    </xf>
    <xf numFmtId="0" fontId="13" fillId="0" borderId="24" xfId="24" applyFont="1" applyBorder="1" applyAlignment="1">
      <alignment horizontal="center"/>
    </xf>
    <xf numFmtId="0" fontId="13" fillId="0" borderId="25" xfId="24" applyFont="1" applyBorder="1" applyAlignment="1">
      <alignment horizontal="center"/>
    </xf>
    <xf numFmtId="14" fontId="13" fillId="0" borderId="26" xfId="24" applyNumberFormat="1" applyFont="1" applyBorder="1" applyAlignment="1">
      <alignment horizontal="center"/>
    </xf>
    <xf numFmtId="14" fontId="13" fillId="0" borderId="25" xfId="24" applyNumberFormat="1" applyFont="1" applyBorder="1" applyAlignment="1">
      <alignment horizontal="center"/>
    </xf>
    <xf numFmtId="0" fontId="8" fillId="8" borderId="26" xfId="24" applyFill="1" applyBorder="1" applyAlignment="1">
      <alignment horizontal="left" vertical="center"/>
    </xf>
    <xf numFmtId="0" fontId="8" fillId="8" borderId="25" xfId="24" applyFill="1" applyBorder="1" applyAlignment="1">
      <alignment horizontal="left" vertical="center"/>
    </xf>
    <xf numFmtId="0" fontId="46" fillId="5" borderId="189" xfId="24" applyFont="1" applyFill="1" applyBorder="1" applyAlignment="1">
      <alignment horizontal="center"/>
    </xf>
    <xf numFmtId="0" fontId="46" fillId="5" borderId="128" xfId="24" applyFont="1" applyFill="1" applyBorder="1" applyAlignment="1">
      <alignment horizontal="center"/>
    </xf>
    <xf numFmtId="0" fontId="46" fillId="5" borderId="134" xfId="24" applyFont="1" applyFill="1" applyBorder="1" applyAlignment="1">
      <alignment horizontal="center"/>
    </xf>
    <xf numFmtId="0" fontId="46" fillId="5" borderId="190" xfId="24" applyFont="1" applyFill="1" applyBorder="1" applyAlignment="1">
      <alignment horizontal="center"/>
    </xf>
    <xf numFmtId="0" fontId="46" fillId="5" borderId="191" xfId="24" applyFont="1" applyFill="1" applyBorder="1" applyAlignment="1">
      <alignment horizontal="center"/>
    </xf>
    <xf numFmtId="0" fontId="27" fillId="32" borderId="131" xfId="24" applyFont="1" applyFill="1" applyBorder="1" applyAlignment="1">
      <alignment horizontal="center"/>
    </xf>
    <xf numFmtId="0" fontId="27" fillId="32" borderId="145" xfId="24" applyFont="1" applyFill="1" applyBorder="1" applyAlignment="1">
      <alignment horizontal="center"/>
    </xf>
    <xf numFmtId="0" fontId="27" fillId="32" borderId="155" xfId="24" applyFont="1" applyFill="1" applyBorder="1" applyAlignment="1">
      <alignment horizontal="center"/>
    </xf>
    <xf numFmtId="0" fontId="9" fillId="9" borderId="0" xfId="24" applyFont="1" applyFill="1" applyAlignment="1">
      <alignment horizontal="center" vertical="center" wrapText="1"/>
    </xf>
    <xf numFmtId="0" fontId="9" fillId="9" borderId="145" xfId="24" applyFont="1" applyFill="1" applyBorder="1" applyAlignment="1">
      <alignment horizontal="center" vertical="center" wrapText="1"/>
    </xf>
    <xf numFmtId="0" fontId="13" fillId="0" borderId="134" xfId="24" applyFont="1" applyBorder="1" applyAlignment="1">
      <alignment horizontal="center" vertical="center" wrapText="1"/>
    </xf>
    <xf numFmtId="0" fontId="13" fillId="0" borderId="190" xfId="24" applyFont="1" applyBorder="1" applyAlignment="1">
      <alignment horizontal="center" vertical="center" wrapText="1"/>
    </xf>
    <xf numFmtId="0" fontId="13" fillId="0" borderId="191" xfId="24" applyFont="1" applyBorder="1" applyAlignment="1">
      <alignment horizontal="center" vertical="center" wrapText="1"/>
    </xf>
    <xf numFmtId="0" fontId="13" fillId="0" borderId="132" xfId="24" applyFont="1" applyBorder="1" applyAlignment="1">
      <alignment horizontal="center" vertical="center" wrapText="1"/>
    </xf>
    <xf numFmtId="0" fontId="13" fillId="0" borderId="0" xfId="24" applyFont="1" applyAlignment="1">
      <alignment horizontal="center" vertical="center" wrapText="1"/>
    </xf>
    <xf numFmtId="0" fontId="13" fillId="0" borderId="12" xfId="24" applyFont="1" applyBorder="1" applyAlignment="1">
      <alignment horizontal="center" vertical="center" wrapText="1"/>
    </xf>
    <xf numFmtId="0" fontId="13" fillId="0" borderId="131" xfId="24" applyFont="1" applyBorder="1" applyAlignment="1">
      <alignment horizontal="center" vertical="center" wrapText="1"/>
    </xf>
    <xf numFmtId="0" fontId="13" fillId="0" borderId="145" xfId="24" applyFont="1" applyBorder="1" applyAlignment="1">
      <alignment horizontal="center" vertical="center" wrapText="1"/>
    </xf>
    <xf numFmtId="0" fontId="13" fillId="0" borderId="196" xfId="24" applyFont="1" applyBorder="1" applyAlignment="1">
      <alignment horizontal="center" vertical="center" wrapText="1"/>
    </xf>
    <xf numFmtId="0" fontId="34" fillId="8" borderId="193" xfId="24" applyFont="1" applyFill="1" applyBorder="1" applyAlignment="1">
      <alignment horizontal="center" vertical="center" wrapText="1"/>
    </xf>
    <xf numFmtId="0" fontId="8" fillId="8" borderId="194" xfId="24" applyFill="1" applyBorder="1" applyAlignment="1">
      <alignment horizontal="center" vertical="center" wrapText="1"/>
    </xf>
    <xf numFmtId="0" fontId="8" fillId="8" borderId="195" xfId="24" applyFill="1" applyBorder="1" applyAlignment="1">
      <alignment horizontal="center" vertical="center" wrapText="1"/>
    </xf>
    <xf numFmtId="0" fontId="34" fillId="8" borderId="131" xfId="24" applyFont="1" applyFill="1" applyBorder="1" applyAlignment="1">
      <alignment horizontal="center" vertical="center" wrapText="1"/>
    </xf>
    <xf numFmtId="0" fontId="34" fillId="8" borderId="145" xfId="24" applyFont="1" applyFill="1" applyBorder="1" applyAlignment="1">
      <alignment horizontal="center" vertical="center" wrapText="1"/>
    </xf>
    <xf numFmtId="0" fontId="34" fillId="8" borderId="155" xfId="24" applyFont="1" applyFill="1" applyBorder="1" applyAlignment="1">
      <alignment horizontal="center" vertical="center" wrapText="1"/>
    </xf>
    <xf numFmtId="0" fontId="8" fillId="8" borderId="193" xfId="24" applyFill="1" applyBorder="1" applyAlignment="1">
      <alignment horizontal="center" vertical="center"/>
    </xf>
    <xf numFmtId="0" fontId="8" fillId="8" borderId="194" xfId="24" applyFill="1" applyBorder="1" applyAlignment="1">
      <alignment horizontal="center" vertical="center"/>
    </xf>
    <xf numFmtId="0" fontId="8" fillId="8" borderId="195" xfId="24" applyFill="1" applyBorder="1" applyAlignment="1">
      <alignment horizontal="center" vertical="center"/>
    </xf>
    <xf numFmtId="0" fontId="46" fillId="5" borderId="10" xfId="24" applyFont="1" applyFill="1" applyBorder="1" applyAlignment="1">
      <alignment horizontal="center"/>
    </xf>
    <xf numFmtId="0" fontId="46" fillId="5" borderId="0" xfId="24" applyFont="1" applyFill="1" applyAlignment="1">
      <alignment horizontal="center"/>
    </xf>
    <xf numFmtId="0" fontId="46" fillId="5" borderId="129" xfId="24" applyFont="1" applyFill="1" applyBorder="1" applyAlignment="1">
      <alignment horizontal="center"/>
    </xf>
    <xf numFmtId="0" fontId="46" fillId="5" borderId="145" xfId="24" applyFont="1" applyFill="1" applyBorder="1" applyAlignment="1">
      <alignment horizontal="center"/>
    </xf>
    <xf numFmtId="0" fontId="46" fillId="5" borderId="196" xfId="24" applyFont="1" applyFill="1" applyBorder="1" applyAlignment="1">
      <alignment horizontal="center"/>
    </xf>
    <xf numFmtId="0" fontId="27" fillId="32" borderId="144" xfId="24" applyFont="1" applyFill="1" applyBorder="1" applyAlignment="1">
      <alignment horizontal="center"/>
    </xf>
    <xf numFmtId="0" fontId="27" fillId="32" borderId="128" xfId="24" applyFont="1" applyFill="1" applyBorder="1" applyAlignment="1">
      <alignment horizontal="center"/>
    </xf>
    <xf numFmtId="0" fontId="27" fillId="32" borderId="197" xfId="24" applyFont="1" applyFill="1" applyBorder="1" applyAlignment="1">
      <alignment horizontal="center"/>
    </xf>
    <xf numFmtId="168" fontId="9" fillId="12" borderId="154" xfId="24" applyNumberFormat="1" applyFont="1" applyFill="1" applyBorder="1" applyAlignment="1">
      <alignment horizontal="center" vertical="center"/>
    </xf>
    <xf numFmtId="168" fontId="9" fillId="12" borderId="129" xfId="24" applyNumberFormat="1" applyFont="1" applyFill="1" applyBorder="1" applyAlignment="1">
      <alignment horizontal="center" vertical="center"/>
    </xf>
    <xf numFmtId="168" fontId="9" fillId="12" borderId="155" xfId="24" applyNumberFormat="1" applyFont="1" applyFill="1" applyBorder="1" applyAlignment="1">
      <alignment horizontal="center" vertical="center"/>
    </xf>
    <xf numFmtId="0" fontId="9" fillId="8" borderId="133" xfId="24" applyFont="1" applyFill="1" applyBorder="1" applyAlignment="1">
      <alignment horizontal="center" vertical="center" wrapText="1"/>
    </xf>
    <xf numFmtId="0" fontId="9" fillId="8" borderId="130" xfId="24" applyFont="1" applyFill="1" applyBorder="1" applyAlignment="1">
      <alignment horizontal="center" vertical="center" wrapText="1"/>
    </xf>
    <xf numFmtId="169" fontId="44" fillId="12" borderId="134" xfId="16" applyNumberFormat="1" applyFont="1" applyFill="1" applyBorder="1" applyAlignment="1">
      <alignment horizontal="center" vertical="center"/>
    </xf>
    <xf numFmtId="169" fontId="44" fillId="12" borderId="154" xfId="16" applyNumberFormat="1" applyFont="1" applyFill="1" applyBorder="1" applyAlignment="1">
      <alignment horizontal="center" vertical="center"/>
    </xf>
    <xf numFmtId="169" fontId="44" fillId="12" borderId="131" xfId="16" applyNumberFormat="1" applyFont="1" applyFill="1" applyBorder="1" applyAlignment="1">
      <alignment horizontal="center" vertical="center"/>
    </xf>
    <xf numFmtId="169" fontId="44" fillId="12" borderId="155" xfId="16" applyNumberFormat="1" applyFont="1" applyFill="1" applyBorder="1" applyAlignment="1">
      <alignment horizontal="center" vertical="center"/>
    </xf>
    <xf numFmtId="169" fontId="9" fillId="0" borderId="133" xfId="16" applyNumberFormat="1" applyFont="1" applyBorder="1" applyAlignment="1">
      <alignment horizontal="center" vertical="center" wrapText="1"/>
    </xf>
    <xf numFmtId="169" fontId="9" fillId="0" borderId="234" xfId="16" applyNumberFormat="1" applyFont="1" applyBorder="1" applyAlignment="1">
      <alignment horizontal="center" vertical="center" wrapText="1"/>
    </xf>
    <xf numFmtId="9" fontId="44" fillId="12" borderId="233" xfId="16" applyFont="1" applyFill="1" applyBorder="1" applyAlignment="1">
      <alignment horizontal="center" vertical="center"/>
    </xf>
    <xf numFmtId="9" fontId="44" fillId="12" borderId="201" xfId="16" applyFont="1" applyFill="1" applyBorder="1" applyAlignment="1">
      <alignment horizontal="center" vertical="center"/>
    </xf>
    <xf numFmtId="0" fontId="8" fillId="8" borderId="198" xfId="24" applyFill="1" applyBorder="1" applyAlignment="1">
      <alignment horizontal="center" vertical="center" wrapText="1"/>
    </xf>
    <xf numFmtId="0" fontId="8" fillId="8" borderId="199" xfId="24" applyFill="1" applyBorder="1" applyAlignment="1">
      <alignment horizontal="center" vertical="center" wrapText="1"/>
    </xf>
    <xf numFmtId="0" fontId="8" fillId="8" borderId="200" xfId="24" applyFill="1" applyBorder="1" applyAlignment="1">
      <alignment horizontal="center" vertical="center" wrapText="1"/>
    </xf>
    <xf numFmtId="0" fontId="0" fillId="8" borderId="144" xfId="24" applyFont="1" applyFill="1" applyBorder="1" applyAlignment="1">
      <alignment horizontal="center" vertical="center" wrapText="1"/>
    </xf>
    <xf numFmtId="0" fontId="0" fillId="8" borderId="128" xfId="24" applyFont="1" applyFill="1" applyBorder="1" applyAlignment="1">
      <alignment horizontal="center" vertical="center" wrapText="1"/>
    </xf>
    <xf numFmtId="0" fontId="0" fillId="8" borderId="197" xfId="24" applyFont="1" applyFill="1" applyBorder="1" applyAlignment="1">
      <alignment horizontal="center" vertical="center" wrapText="1"/>
    </xf>
    <xf numFmtId="0" fontId="27" fillId="32" borderId="52" xfId="24" applyFont="1" applyFill="1" applyBorder="1" applyAlignment="1">
      <alignment horizontal="center"/>
    </xf>
    <xf numFmtId="0" fontId="27" fillId="32" borderId="62" xfId="24" applyFont="1" applyFill="1" applyBorder="1" applyAlignment="1">
      <alignment horizontal="center"/>
    </xf>
    <xf numFmtId="0" fontId="8" fillId="0" borderId="63" xfId="24" applyBorder="1" applyAlignment="1">
      <alignment horizontal="left"/>
    </xf>
    <xf numFmtId="0" fontId="8" fillId="0" borderId="64" xfId="24" applyBorder="1" applyAlignment="1">
      <alignment horizontal="left"/>
    </xf>
    <xf numFmtId="0" fontId="8" fillId="0" borderId="63" xfId="24" applyBorder="1" applyAlignment="1">
      <alignment horizontal="left" indent="1"/>
    </xf>
    <xf numFmtId="0" fontId="8" fillId="0" borderId="64" xfId="24" applyBorder="1" applyAlignment="1">
      <alignment horizontal="left" indent="1"/>
    </xf>
    <xf numFmtId="169" fontId="44" fillId="12" borderId="132" xfId="16" applyNumberFormat="1" applyFont="1" applyFill="1" applyBorder="1" applyAlignment="1">
      <alignment horizontal="center" vertical="center"/>
    </xf>
    <xf numFmtId="169" fontId="44" fillId="12" borderId="129" xfId="16" applyNumberFormat="1" applyFont="1" applyFill="1" applyBorder="1" applyAlignment="1">
      <alignment horizontal="center" vertical="center"/>
    </xf>
    <xf numFmtId="169" fontId="9" fillId="0" borderId="130" xfId="16" applyNumberFormat="1" applyFont="1" applyBorder="1" applyAlignment="1">
      <alignment horizontal="center" vertical="center" wrapText="1"/>
    </xf>
    <xf numFmtId="169" fontId="9" fillId="0" borderId="232" xfId="16" applyNumberFormat="1" applyFont="1" applyBorder="1" applyAlignment="1">
      <alignment horizontal="center" vertical="center" wrapText="1"/>
    </xf>
    <xf numFmtId="0" fontId="8" fillId="16" borderId="63" xfId="24" applyFill="1" applyBorder="1" applyAlignment="1">
      <alignment horizontal="left"/>
    </xf>
    <xf numFmtId="0" fontId="8" fillId="16" borderId="64" xfId="24" applyFill="1" applyBorder="1" applyAlignment="1">
      <alignment horizontal="left"/>
    </xf>
    <xf numFmtId="0" fontId="46" fillId="5" borderId="222" xfId="24" applyFont="1" applyFill="1" applyBorder="1" applyAlignment="1">
      <alignment horizontal="center"/>
    </xf>
    <xf numFmtId="0" fontId="46" fillId="5" borderId="52" xfId="24" applyFont="1" applyFill="1" applyBorder="1" applyAlignment="1">
      <alignment horizontal="center"/>
    </xf>
    <xf numFmtId="0" fontId="46" fillId="5" borderId="62" xfId="24" applyFont="1" applyFill="1" applyBorder="1" applyAlignment="1">
      <alignment horizontal="center"/>
    </xf>
    <xf numFmtId="0" fontId="27" fillId="32" borderId="222" xfId="24" applyFont="1" applyFill="1" applyBorder="1" applyAlignment="1">
      <alignment horizontal="center"/>
    </xf>
    <xf numFmtId="0" fontId="13" fillId="0" borderId="63" xfId="24" applyFont="1" applyBorder="1" applyAlignment="1">
      <alignment horizontal="left"/>
    </xf>
    <xf numFmtId="0" fontId="13" fillId="0" borderId="64" xfId="24" applyFont="1" applyBorder="1" applyAlignment="1">
      <alignment horizontal="left"/>
    </xf>
    <xf numFmtId="0" fontId="62" fillId="8" borderId="52" xfId="24" applyFont="1" applyFill="1" applyBorder="1" applyAlignment="1">
      <alignment horizontal="center"/>
    </xf>
    <xf numFmtId="0" fontId="27" fillId="8" borderId="52" xfId="24" applyFont="1" applyFill="1" applyBorder="1" applyAlignment="1">
      <alignment horizontal="center"/>
    </xf>
    <xf numFmtId="0" fontId="34" fillId="0" borderId="223" xfId="24" applyFont="1" applyBorder="1" applyAlignment="1">
      <alignment horizontal="left" vertical="center" wrapText="1"/>
    </xf>
    <xf numFmtId="0" fontId="68" fillId="0" borderId="164" xfId="24" applyFont="1" applyBorder="1" applyAlignment="1">
      <alignment horizontal="left" vertical="center"/>
    </xf>
    <xf numFmtId="0" fontId="68" fillId="0" borderId="165" xfId="24" applyFont="1" applyBorder="1" applyAlignment="1">
      <alignment horizontal="left" vertical="center"/>
    </xf>
    <xf numFmtId="0" fontId="68" fillId="0" borderId="10" xfId="24" applyFont="1" applyBorder="1" applyAlignment="1">
      <alignment horizontal="left" vertical="center"/>
    </xf>
    <xf numFmtId="0" fontId="68" fillId="0" borderId="0" xfId="24" applyFont="1" applyAlignment="1">
      <alignment horizontal="left" vertical="center"/>
    </xf>
    <xf numFmtId="0" fontId="68" fillId="0" borderId="166" xfId="24" applyFont="1" applyBorder="1" applyAlignment="1">
      <alignment horizontal="left" vertical="center"/>
    </xf>
    <xf numFmtId="0" fontId="68" fillId="0" borderId="224" xfId="24" applyFont="1" applyBorder="1" applyAlignment="1">
      <alignment horizontal="left" vertical="center"/>
    </xf>
    <xf numFmtId="0" fontId="68" fillId="0" borderId="167" xfId="24" applyFont="1" applyBorder="1" applyAlignment="1">
      <alignment horizontal="left" vertical="center"/>
    </xf>
    <xf numFmtId="0" fontId="68" fillId="0" borderId="168" xfId="24" applyFont="1" applyBorder="1" applyAlignment="1">
      <alignment horizontal="left" vertical="center"/>
    </xf>
    <xf numFmtId="0" fontId="34" fillId="0" borderId="169" xfId="24" applyFont="1" applyBorder="1" applyAlignment="1">
      <alignment horizontal="left" vertical="center" wrapText="1"/>
    </xf>
    <xf numFmtId="0" fontId="68" fillId="0" borderId="170" xfId="24" applyFont="1" applyBorder="1" applyAlignment="1">
      <alignment horizontal="left" vertical="center"/>
    </xf>
    <xf numFmtId="0" fontId="68" fillId="0" borderId="171" xfId="24" applyFont="1" applyBorder="1" applyAlignment="1">
      <alignment horizontal="left" vertical="center"/>
    </xf>
    <xf numFmtId="0" fontId="34" fillId="0" borderId="223" xfId="24" quotePrefix="1" applyFont="1" applyBorder="1" applyAlignment="1">
      <alignment horizontal="left" vertical="center" wrapText="1"/>
    </xf>
    <xf numFmtId="0" fontId="8" fillId="0" borderId="164" xfId="24" applyBorder="1" applyAlignment="1">
      <alignment horizontal="left" vertical="center"/>
    </xf>
    <xf numFmtId="0" fontId="8" fillId="0" borderId="165" xfId="24" applyBorder="1" applyAlignment="1">
      <alignment horizontal="left" vertical="center"/>
    </xf>
    <xf numFmtId="0" fontId="8" fillId="0" borderId="10" xfId="24" applyBorder="1" applyAlignment="1">
      <alignment horizontal="left" vertical="center"/>
    </xf>
    <xf numFmtId="0" fontId="8" fillId="0" borderId="0" xfId="24" applyAlignment="1">
      <alignment horizontal="left" vertical="center"/>
    </xf>
    <xf numFmtId="0" fontId="8" fillId="0" borderId="166" xfId="24" applyBorder="1" applyAlignment="1">
      <alignment horizontal="left" vertical="center"/>
    </xf>
    <xf numFmtId="0" fontId="8" fillId="0" borderId="224" xfId="24" applyBorder="1" applyAlignment="1">
      <alignment horizontal="left" vertical="center"/>
    </xf>
    <xf numFmtId="0" fontId="8" fillId="0" borderId="167" xfId="24" applyBorder="1" applyAlignment="1">
      <alignment horizontal="left" vertical="center"/>
    </xf>
    <xf numFmtId="0" fontId="8" fillId="0" borderId="168" xfId="24" applyBorder="1" applyAlignment="1">
      <alignment horizontal="left" vertical="center"/>
    </xf>
    <xf numFmtId="0" fontId="8" fillId="0" borderId="170" xfId="24" applyBorder="1" applyAlignment="1">
      <alignment horizontal="left" vertical="center"/>
    </xf>
    <xf numFmtId="0" fontId="8" fillId="0" borderId="171" xfId="24" applyBorder="1" applyAlignment="1">
      <alignment horizontal="left" vertical="center"/>
    </xf>
    <xf numFmtId="0" fontId="62" fillId="8" borderId="52" xfId="24" applyFont="1" applyFill="1" applyBorder="1" applyAlignment="1">
      <alignment horizontal="center" vertical="center"/>
    </xf>
    <xf numFmtId="0" fontId="27" fillId="8" borderId="52" xfId="24" applyFont="1" applyFill="1" applyBorder="1" applyAlignment="1">
      <alignment horizontal="center" vertical="center"/>
    </xf>
    <xf numFmtId="14" fontId="62" fillId="8" borderId="52" xfId="24" applyNumberFormat="1" applyFont="1" applyFill="1" applyBorder="1" applyAlignment="1">
      <alignment horizontal="center"/>
    </xf>
    <xf numFmtId="0" fontId="46" fillId="31" borderId="222" xfId="24" applyFont="1" applyFill="1" applyBorder="1" applyAlignment="1">
      <alignment horizontal="center"/>
    </xf>
    <xf numFmtId="0" fontId="46" fillId="31" borderId="52" xfId="24" applyFont="1" applyFill="1" applyBorder="1" applyAlignment="1">
      <alignment horizontal="center"/>
    </xf>
    <xf numFmtId="0" fontId="8" fillId="0" borderId="10" xfId="24" applyBorder="1" applyAlignment="1">
      <alignment vertical="center" wrapText="1"/>
    </xf>
    <xf numFmtId="0" fontId="8" fillId="0" borderId="2" xfId="24" applyBorder="1" applyAlignment="1">
      <alignment horizontal="left" vertical="center" wrapText="1"/>
    </xf>
    <xf numFmtId="0" fontId="8" fillId="0" borderId="61" xfId="24" applyBorder="1" applyAlignment="1">
      <alignment horizontal="left" vertical="center" wrapText="1"/>
    </xf>
    <xf numFmtId="0" fontId="8" fillId="0" borderId="225" xfId="24" applyBorder="1" applyAlignment="1">
      <alignment horizontal="left" vertical="center" wrapText="1"/>
    </xf>
    <xf numFmtId="0" fontId="8" fillId="0" borderId="46" xfId="24" applyBorder="1" applyAlignment="1">
      <alignment horizontal="left" vertical="center" wrapText="1"/>
    </xf>
    <xf numFmtId="0" fontId="8" fillId="0" borderId="59" xfId="24" applyBorder="1" applyAlignment="1">
      <alignment horizontal="left" vertical="center" wrapText="1"/>
    </xf>
    <xf numFmtId="0" fontId="8" fillId="0" borderId="226" xfId="24" applyBorder="1" applyAlignment="1">
      <alignment horizontal="left" vertical="center" wrapText="1"/>
    </xf>
    <xf numFmtId="0" fontId="8" fillId="0" borderId="227" xfId="24" applyBorder="1" applyAlignment="1">
      <alignment horizontal="left" vertical="center" wrapText="1"/>
    </xf>
    <xf numFmtId="0" fontId="8" fillId="0" borderId="228" xfId="24" applyBorder="1" applyAlignment="1">
      <alignment horizontal="left" vertical="center" wrapText="1"/>
    </xf>
    <xf numFmtId="0" fontId="27" fillId="9" borderId="66" xfId="24" applyFont="1" applyFill="1" applyBorder="1" applyAlignment="1">
      <alignment horizontal="center" vertical="center"/>
    </xf>
    <xf numFmtId="0" fontId="62" fillId="8" borderId="60" xfId="24" applyFont="1" applyFill="1" applyBorder="1" applyAlignment="1">
      <alignment horizontal="center"/>
    </xf>
    <xf numFmtId="0" fontId="27" fillId="8" borderId="60" xfId="24" applyFont="1" applyFill="1" applyBorder="1" applyAlignment="1">
      <alignment horizontal="center"/>
    </xf>
    <xf numFmtId="0" fontId="27" fillId="11" borderId="73" xfId="24" applyFont="1" applyFill="1" applyBorder="1" applyAlignment="1">
      <alignment horizontal="center" vertical="center" wrapText="1"/>
    </xf>
    <xf numFmtId="0" fontId="27" fillId="11" borderId="75" xfId="24" applyFont="1" applyFill="1" applyBorder="1" applyAlignment="1">
      <alignment horizontal="center" vertical="center" wrapText="1"/>
    </xf>
    <xf numFmtId="180" fontId="27" fillId="28" borderId="73" xfId="24" applyNumberFormat="1" applyFont="1" applyFill="1" applyBorder="1" applyAlignment="1">
      <alignment horizontal="center" vertical="center" wrapText="1"/>
    </xf>
    <xf numFmtId="180" fontId="27" fillId="28" borderId="75" xfId="24" applyNumberFormat="1" applyFont="1" applyFill="1" applyBorder="1" applyAlignment="1">
      <alignment horizontal="center" vertical="center" wrapText="1"/>
    </xf>
    <xf numFmtId="0" fontId="9" fillId="0" borderId="73" xfId="24" applyFont="1" applyBorder="1" applyAlignment="1">
      <alignment horizontal="center" vertical="center"/>
    </xf>
    <xf numFmtId="0" fontId="9" fillId="0" borderId="75" xfId="24" applyFont="1" applyBorder="1" applyAlignment="1">
      <alignment horizontal="center" vertical="center"/>
    </xf>
    <xf numFmtId="0" fontId="8" fillId="0" borderId="99" xfId="24" applyBorder="1" applyAlignment="1">
      <alignment horizontal="center" vertical="center" wrapText="1"/>
    </xf>
    <xf numFmtId="0" fontId="8" fillId="0" borderId="40" xfId="24" applyBorder="1" applyAlignment="1">
      <alignment horizontal="center" vertical="center" wrapText="1"/>
    </xf>
    <xf numFmtId="0" fontId="31" fillId="18" borderId="50" xfId="24" applyFont="1" applyFill="1" applyBorder="1" applyAlignment="1">
      <alignment horizontal="center"/>
    </xf>
    <xf numFmtId="0" fontId="31" fillId="18" borderId="0" xfId="24" applyFont="1" applyFill="1" applyAlignment="1">
      <alignment horizontal="center"/>
    </xf>
    <xf numFmtId="0" fontId="31" fillId="5" borderId="50" xfId="24" applyFont="1" applyFill="1" applyBorder="1" applyAlignment="1">
      <alignment horizontal="center"/>
    </xf>
    <xf numFmtId="0" fontId="31" fillId="5" borderId="0" xfId="24" applyFont="1" applyFill="1" applyAlignment="1">
      <alignment horizontal="center"/>
    </xf>
    <xf numFmtId="0" fontId="31" fillId="5" borderId="51" xfId="24" applyFont="1" applyFill="1" applyBorder="1" applyAlignment="1">
      <alignment horizontal="center"/>
    </xf>
    <xf numFmtId="0" fontId="45" fillId="5" borderId="74" xfId="24" applyFont="1" applyFill="1" applyBorder="1" applyAlignment="1">
      <alignment horizontal="center"/>
    </xf>
    <xf numFmtId="0" fontId="45" fillId="5" borderId="75" xfId="24" applyFont="1" applyFill="1" applyBorder="1" applyAlignment="1">
      <alignment horizontal="center"/>
    </xf>
    <xf numFmtId="0" fontId="45" fillId="5" borderId="0" xfId="24" applyFont="1" applyFill="1" applyAlignment="1">
      <alignment horizontal="center"/>
    </xf>
    <xf numFmtId="0" fontId="81" fillId="0" borderId="50" xfId="24" applyFont="1" applyBorder="1" applyAlignment="1">
      <alignment horizontal="center" vertical="top" wrapText="1"/>
    </xf>
    <xf numFmtId="0" fontId="8" fillId="0" borderId="0" xfId="24" applyAlignment="1">
      <alignment horizontal="center" vertical="top" wrapText="1"/>
    </xf>
    <xf numFmtId="0" fontId="8" fillId="0" borderId="51" xfId="24" applyBorder="1" applyAlignment="1">
      <alignment horizontal="center" vertical="top" wrapText="1"/>
    </xf>
    <xf numFmtId="0" fontId="8" fillId="0" borderId="50" xfId="24" applyBorder="1" applyAlignment="1">
      <alignment horizontal="center" vertical="top" wrapText="1"/>
    </xf>
    <xf numFmtId="0" fontId="31" fillId="5" borderId="73" xfId="24" applyFont="1" applyFill="1" applyBorder="1" applyAlignment="1">
      <alignment horizontal="center"/>
    </xf>
    <xf numFmtId="0" fontId="31" fillId="5" borderId="74" xfId="24" applyFont="1" applyFill="1" applyBorder="1" applyAlignment="1">
      <alignment horizontal="center"/>
    </xf>
    <xf numFmtId="0" fontId="31" fillId="5" borderId="75" xfId="24" applyFont="1" applyFill="1" applyBorder="1" applyAlignment="1">
      <alignment horizontal="center"/>
    </xf>
    <xf numFmtId="0" fontId="45" fillId="5" borderId="68" xfId="24" applyFont="1" applyFill="1" applyBorder="1" applyAlignment="1">
      <alignment horizontal="center"/>
    </xf>
    <xf numFmtId="0" fontId="45" fillId="5" borderId="69" xfId="24" applyFont="1" applyFill="1" applyBorder="1" applyAlignment="1">
      <alignment horizontal="center"/>
    </xf>
    <xf numFmtId="0" fontId="31" fillId="5" borderId="68" xfId="24" applyFont="1" applyFill="1" applyBorder="1" applyAlignment="1">
      <alignment horizontal="center"/>
    </xf>
    <xf numFmtId="0" fontId="31" fillId="5" borderId="69" xfId="24" applyFont="1" applyFill="1" applyBorder="1" applyAlignment="1">
      <alignment horizontal="center"/>
    </xf>
    <xf numFmtId="0" fontId="34" fillId="0" borderId="99" xfId="24" applyFont="1" applyBorder="1" applyAlignment="1">
      <alignment horizontal="center" vertical="center" wrapText="1"/>
    </xf>
    <xf numFmtId="0" fontId="8" fillId="0" borderId="100" xfId="24" applyBorder="1" applyAlignment="1">
      <alignment horizontal="center" vertical="center" wrapText="1"/>
    </xf>
    <xf numFmtId="0" fontId="8" fillId="0" borderId="72" xfId="24" applyBorder="1" applyAlignment="1">
      <alignment horizontal="center" vertical="center" wrapText="1"/>
    </xf>
    <xf numFmtId="0" fontId="13" fillId="24" borderId="78" xfId="24" applyFont="1" applyFill="1" applyBorder="1" applyAlignment="1">
      <alignment horizontal="center"/>
    </xf>
    <xf numFmtId="0" fontId="13" fillId="24" borderId="79" xfId="24" applyFont="1" applyFill="1" applyBorder="1" applyAlignment="1">
      <alignment horizontal="center"/>
    </xf>
    <xf numFmtId="0" fontId="13" fillId="24" borderId="80" xfId="24" applyFont="1" applyFill="1" applyBorder="1" applyAlignment="1">
      <alignment horizontal="center"/>
    </xf>
    <xf numFmtId="0" fontId="13" fillId="24" borderId="81" xfId="24" applyFont="1" applyFill="1" applyBorder="1" applyAlignment="1">
      <alignment horizontal="center"/>
    </xf>
    <xf numFmtId="0" fontId="13" fillId="24" borderId="82" xfId="24" applyFont="1" applyFill="1" applyBorder="1" applyAlignment="1">
      <alignment horizontal="center"/>
    </xf>
    <xf numFmtId="0" fontId="31" fillId="5" borderId="73" xfId="24" applyFont="1" applyFill="1" applyBorder="1" applyAlignment="1">
      <alignment horizontal="center" vertical="center"/>
    </xf>
    <xf numFmtId="0" fontId="31" fillId="5" borderId="74" xfId="24" applyFont="1" applyFill="1" applyBorder="1" applyAlignment="1">
      <alignment horizontal="center" vertical="center"/>
    </xf>
    <xf numFmtId="0" fontId="31" fillId="5" borderId="77" xfId="24" applyFont="1" applyFill="1" applyBorder="1" applyAlignment="1">
      <alignment horizontal="center" vertical="center"/>
    </xf>
    <xf numFmtId="0" fontId="13" fillId="14" borderId="73" xfId="24" applyFont="1" applyFill="1" applyBorder="1" applyAlignment="1">
      <alignment horizontal="center"/>
    </xf>
    <xf numFmtId="0" fontId="13" fillId="14" borderId="75" xfId="24" applyFont="1" applyFill="1" applyBorder="1" applyAlignment="1">
      <alignment horizontal="center"/>
    </xf>
    <xf numFmtId="0" fontId="13" fillId="14" borderId="74" xfId="24" applyFont="1" applyFill="1" applyBorder="1" applyAlignment="1">
      <alignment horizontal="center"/>
    </xf>
    <xf numFmtId="0" fontId="8" fillId="0" borderId="83" xfId="24" applyBorder="1" applyAlignment="1">
      <alignment horizontal="center" vertical="center"/>
    </xf>
    <xf numFmtId="0" fontId="8" fillId="0" borderId="84" xfId="24" applyBorder="1" applyAlignment="1">
      <alignment horizontal="center" vertical="center"/>
    </xf>
    <xf numFmtId="0" fontId="8" fillId="0" borderId="83" xfId="24" applyBorder="1" applyAlignment="1">
      <alignment horizontal="center" wrapText="1"/>
    </xf>
    <xf numFmtId="0" fontId="8" fillId="0" borderId="85" xfId="24" applyBorder="1" applyAlignment="1">
      <alignment horizontal="center" wrapText="1"/>
    </xf>
    <xf numFmtId="0" fontId="8" fillId="0" borderId="84" xfId="24" applyBorder="1" applyAlignment="1">
      <alignment horizontal="center" wrapText="1"/>
    </xf>
    <xf numFmtId="0" fontId="8" fillId="0" borderId="83" xfId="24" applyBorder="1" applyAlignment="1">
      <alignment horizontal="center" vertical="center" wrapText="1"/>
    </xf>
    <xf numFmtId="0" fontId="8" fillId="0" borderId="85" xfId="24" applyBorder="1" applyAlignment="1">
      <alignment horizontal="center" vertical="center" wrapText="1"/>
    </xf>
    <xf numFmtId="0" fontId="8" fillId="0" borderId="84" xfId="24" applyBorder="1" applyAlignment="1">
      <alignment horizontal="center" vertical="center" wrapText="1"/>
    </xf>
    <xf numFmtId="0" fontId="8" fillId="0" borderId="86" xfId="24" applyBorder="1" applyAlignment="1">
      <alignment horizontal="center" vertical="center"/>
    </xf>
    <xf numFmtId="0" fontId="8" fillId="0" borderId="87" xfId="24" applyBorder="1" applyAlignment="1">
      <alignment horizontal="center" vertical="center"/>
    </xf>
    <xf numFmtId="0" fontId="10" fillId="0" borderId="83" xfId="11" applyBorder="1" applyAlignment="1" applyProtection="1">
      <alignment horizontal="center"/>
    </xf>
    <xf numFmtId="0" fontId="10" fillId="0" borderId="84" xfId="11" applyBorder="1" applyAlignment="1" applyProtection="1">
      <alignment horizontal="center"/>
    </xf>
    <xf numFmtId="10" fontId="13" fillId="0" borderId="83" xfId="16" applyNumberFormat="1" applyFont="1" applyBorder="1" applyAlignment="1">
      <alignment horizontal="center"/>
    </xf>
    <xf numFmtId="10" fontId="13" fillId="0" borderId="85" xfId="16" applyNumberFormat="1" applyFont="1" applyBorder="1" applyAlignment="1">
      <alignment horizontal="center"/>
    </xf>
    <xf numFmtId="10" fontId="13" fillId="0" borderId="84" xfId="16" applyNumberFormat="1" applyFont="1" applyBorder="1" applyAlignment="1">
      <alignment horizontal="center"/>
    </xf>
    <xf numFmtId="0" fontId="13" fillId="0" borderId="83" xfId="24" applyFont="1" applyBorder="1" applyAlignment="1">
      <alignment horizontal="center"/>
    </xf>
    <xf numFmtId="0" fontId="13" fillId="0" borderId="85" xfId="24" applyFont="1" applyBorder="1" applyAlignment="1">
      <alignment horizontal="center"/>
    </xf>
    <xf numFmtId="0" fontId="13" fillId="0" borderId="84" xfId="24" applyFont="1" applyBorder="1" applyAlignment="1">
      <alignment horizontal="center"/>
    </xf>
    <xf numFmtId="0" fontId="10" fillId="0" borderId="239" xfId="11" applyBorder="1" applyAlignment="1" applyProtection="1">
      <alignment horizontal="center"/>
    </xf>
    <xf numFmtId="0" fontId="10" fillId="0" borderId="240" xfId="11" applyBorder="1" applyAlignment="1" applyProtection="1">
      <alignment horizontal="center"/>
    </xf>
    <xf numFmtId="10" fontId="13" fillId="0" borderId="239" xfId="16" applyNumberFormat="1" applyFont="1" applyBorder="1" applyAlignment="1">
      <alignment horizontal="center"/>
    </xf>
    <xf numFmtId="10" fontId="13" fillId="0" borderId="241" xfId="16" applyNumberFormat="1" applyFont="1" applyBorder="1" applyAlignment="1">
      <alignment horizontal="center"/>
    </xf>
    <xf numFmtId="10" fontId="13" fillId="0" borderId="240" xfId="16" applyNumberFormat="1" applyFont="1" applyBorder="1" applyAlignment="1">
      <alignment horizontal="center"/>
    </xf>
    <xf numFmtId="0" fontId="13" fillId="0" borderId="239" xfId="24" applyFont="1" applyBorder="1" applyAlignment="1">
      <alignment horizontal="center"/>
    </xf>
    <xf numFmtId="0" fontId="13" fillId="0" borderId="241" xfId="24" applyFont="1" applyBorder="1" applyAlignment="1">
      <alignment horizontal="center"/>
    </xf>
    <xf numFmtId="0" fontId="13" fillId="0" borderId="240" xfId="24" applyFont="1" applyBorder="1" applyAlignment="1">
      <alignment horizontal="center"/>
    </xf>
    <xf numFmtId="0" fontId="10" fillId="0" borderId="242" xfId="11" applyBorder="1" applyAlignment="1" applyProtection="1">
      <alignment horizontal="center"/>
    </xf>
    <xf numFmtId="0" fontId="10" fillId="0" borderId="243" xfId="11" applyBorder="1" applyAlignment="1" applyProtection="1">
      <alignment horizontal="center"/>
    </xf>
    <xf numFmtId="10" fontId="13" fillId="0" borderId="242" xfId="16" applyNumberFormat="1" applyFont="1" applyBorder="1" applyAlignment="1">
      <alignment horizontal="center"/>
    </xf>
    <xf numFmtId="10" fontId="13" fillId="0" borderId="244" xfId="16" applyNumberFormat="1" applyFont="1" applyBorder="1" applyAlignment="1">
      <alignment horizontal="center"/>
    </xf>
    <xf numFmtId="10" fontId="13" fillId="0" borderId="243" xfId="16" applyNumberFormat="1" applyFont="1" applyBorder="1" applyAlignment="1">
      <alignment horizontal="center"/>
    </xf>
    <xf numFmtId="10" fontId="13" fillId="0" borderId="86" xfId="16" applyNumberFormat="1" applyFont="1" applyBorder="1" applyAlignment="1">
      <alignment horizontal="center"/>
    </xf>
    <xf numFmtId="10" fontId="13" fillId="0" borderId="88" xfId="16" applyNumberFormat="1" applyFont="1" applyBorder="1" applyAlignment="1">
      <alignment horizontal="center"/>
    </xf>
    <xf numFmtId="10" fontId="13" fillId="0" borderId="87" xfId="16" applyNumberFormat="1" applyFont="1" applyBorder="1" applyAlignment="1">
      <alignment horizontal="center"/>
    </xf>
    <xf numFmtId="0" fontId="13" fillId="0" borderId="86" xfId="24" applyFont="1" applyBorder="1" applyAlignment="1">
      <alignment horizontal="center"/>
    </xf>
    <xf numFmtId="0" fontId="13" fillId="0" borderId="88" xfId="24" applyFont="1" applyBorder="1" applyAlignment="1">
      <alignment horizontal="center"/>
    </xf>
    <xf numFmtId="0" fontId="13" fillId="0" borderId="87" xfId="24" applyFont="1" applyBorder="1" applyAlignment="1">
      <alignment horizontal="center"/>
    </xf>
    <xf numFmtId="0" fontId="8" fillId="0" borderId="68" xfId="24" quotePrefix="1" applyBorder="1" applyAlignment="1">
      <alignment horizontal="left" vertical="center" wrapText="1"/>
    </xf>
    <xf numFmtId="0" fontId="8" fillId="0" borderId="69" xfId="24" applyBorder="1" applyAlignment="1">
      <alignment horizontal="left" vertical="center" wrapText="1"/>
    </xf>
    <xf numFmtId="0" fontId="8" fillId="0" borderId="70" xfId="24" applyBorder="1" applyAlignment="1">
      <alignment horizontal="left" vertical="center" wrapText="1"/>
    </xf>
    <xf numFmtId="0" fontId="8" fillId="0" borderId="50" xfId="24" applyBorder="1" applyAlignment="1">
      <alignment horizontal="left" vertical="center" wrapText="1"/>
    </xf>
    <xf numFmtId="0" fontId="8" fillId="0" borderId="0" xfId="24" applyAlignment="1">
      <alignment horizontal="left" vertical="center" wrapText="1"/>
    </xf>
    <xf numFmtId="0" fontId="8" fillId="0" borderId="51" xfId="24" applyBorder="1" applyAlignment="1">
      <alignment horizontal="left" vertical="center" wrapText="1"/>
    </xf>
    <xf numFmtId="0" fontId="79" fillId="31" borderId="34" xfId="0" applyFont="1" applyFill="1" applyBorder="1" applyAlignment="1">
      <alignment horizontal="center" vertical="center"/>
    </xf>
    <xf numFmtId="0" fontId="79" fillId="31" borderId="5" xfId="0" applyFont="1" applyFill="1" applyBorder="1" applyAlignment="1">
      <alignment horizontal="center" vertical="center"/>
    </xf>
    <xf numFmtId="0" fontId="79" fillId="31" borderId="35" xfId="0" applyFont="1" applyFill="1" applyBorder="1" applyAlignment="1">
      <alignment horizontal="center" vertical="center"/>
    </xf>
    <xf numFmtId="9" fontId="76" fillId="12" borderId="38" xfId="16" applyFont="1" applyFill="1" applyBorder="1" applyAlignment="1">
      <alignment horizontal="center" vertical="center"/>
    </xf>
    <xf numFmtId="9" fontId="76" fillId="12" borderId="2" xfId="16" applyFont="1" applyFill="1" applyBorder="1" applyAlignment="1">
      <alignment horizontal="center" vertical="center"/>
    </xf>
    <xf numFmtId="0" fontId="79" fillId="31" borderId="3" xfId="0" applyFont="1" applyFill="1" applyBorder="1" applyAlignment="1">
      <alignment horizontal="center" vertical="center"/>
    </xf>
    <xf numFmtId="0" fontId="79" fillId="31" borderId="3" xfId="0" quotePrefix="1" applyFont="1" applyFill="1" applyBorder="1" applyAlignment="1">
      <alignment horizontal="center" vertical="center"/>
    </xf>
    <xf numFmtId="2" fontId="76" fillId="12" borderId="2" xfId="0" applyNumberFormat="1" applyFont="1" applyFill="1" applyBorder="1" applyAlignment="1">
      <alignment horizontal="center" vertical="center"/>
    </xf>
    <xf numFmtId="0" fontId="79" fillId="31" borderId="46" xfId="0" applyFont="1" applyFill="1" applyBorder="1" applyAlignment="1">
      <alignment horizontal="center" vertical="center"/>
    </xf>
    <xf numFmtId="0" fontId="79" fillId="31" borderId="46" xfId="33" applyFont="1" applyFill="1" applyBorder="1" applyAlignment="1">
      <alignment horizontal="center" vertical="center"/>
    </xf>
    <xf numFmtId="9" fontId="76" fillId="35" borderId="44" xfId="16" quotePrefix="1" applyFont="1" applyFill="1" applyBorder="1" applyAlignment="1">
      <alignment horizontal="center" vertical="center" wrapText="1"/>
    </xf>
    <xf numFmtId="9" fontId="76" fillId="35" borderId="45" xfId="16" applyFont="1" applyFill="1" applyBorder="1" applyAlignment="1">
      <alignment horizontal="center" vertical="center" wrapText="1"/>
    </xf>
    <xf numFmtId="178" fontId="0" fillId="0" borderId="44" xfId="0" applyNumberFormat="1" applyBorder="1" applyAlignment="1">
      <alignment horizontal="center" vertical="center"/>
    </xf>
    <xf numFmtId="178" fontId="0" fillId="0" borderId="45" xfId="0" applyNumberFormat="1" applyBorder="1" applyAlignment="1">
      <alignment horizontal="center" vertical="center"/>
    </xf>
    <xf numFmtId="0" fontId="64" fillId="0" borderId="44" xfId="0" applyFont="1" applyBorder="1" applyAlignment="1">
      <alignment horizontal="center" vertical="center"/>
    </xf>
    <xf numFmtId="0" fontId="64" fillId="0" borderId="1" xfId="0" applyFont="1" applyBorder="1" applyAlignment="1">
      <alignment horizontal="center" vertical="center"/>
    </xf>
    <xf numFmtId="0" fontId="64" fillId="0" borderId="45" xfId="0" applyFont="1" applyBorder="1" applyAlignment="1">
      <alignment horizontal="center" vertical="center"/>
    </xf>
    <xf numFmtId="9" fontId="79" fillId="31" borderId="185" xfId="16" applyFont="1" applyFill="1" applyBorder="1" applyAlignment="1">
      <alignment horizontal="center" vertical="center"/>
    </xf>
    <xf numFmtId="9" fontId="79" fillId="31" borderId="120" xfId="16" applyFont="1" applyFill="1" applyBorder="1" applyAlignment="1">
      <alignment horizontal="center" vertical="center"/>
    </xf>
    <xf numFmtId="9" fontId="79" fillId="31" borderId="230" xfId="16" applyFont="1" applyFill="1" applyBorder="1" applyAlignment="1">
      <alignment horizontal="center" vertical="center"/>
    </xf>
    <xf numFmtId="9" fontId="79" fillId="31" borderId="121" xfId="16" applyFont="1" applyFill="1" applyBorder="1" applyAlignment="1">
      <alignment horizontal="center" vertical="center"/>
    </xf>
    <xf numFmtId="9" fontId="79" fillId="31" borderId="229" xfId="16" applyFont="1" applyFill="1" applyBorder="1" applyAlignment="1">
      <alignment horizontal="center" vertical="center"/>
    </xf>
    <xf numFmtId="9" fontId="79" fillId="31" borderId="187" xfId="16" applyFont="1" applyFill="1" applyBorder="1" applyAlignment="1">
      <alignment horizontal="center" vertical="center"/>
    </xf>
    <xf numFmtId="0" fontId="79" fillId="31" borderId="121" xfId="0" applyFont="1" applyFill="1" applyBorder="1" applyAlignment="1">
      <alignment horizontal="center" vertical="center"/>
    </xf>
    <xf numFmtId="0" fontId="79" fillId="31" borderId="229" xfId="0" applyFont="1" applyFill="1" applyBorder="1" applyAlignment="1">
      <alignment horizontal="center" vertical="center"/>
    </xf>
    <xf numFmtId="0" fontId="49" fillId="5" borderId="65" xfId="24" applyFont="1" applyFill="1" applyBorder="1" applyAlignment="1">
      <alignment horizontal="center"/>
    </xf>
    <xf numFmtId="0" fontId="66" fillId="0" borderId="113" xfId="24" applyFont="1" applyBorder="1" applyAlignment="1">
      <alignment horizontal="center" vertical="center" wrapText="1"/>
    </xf>
    <xf numFmtId="0" fontId="23" fillId="0" borderId="114" xfId="24" applyFont="1" applyBorder="1" applyAlignment="1">
      <alignment horizontal="center" vertical="center" wrapText="1"/>
    </xf>
    <xf numFmtId="0" fontId="23" fillId="0" borderId="115" xfId="24" applyFont="1" applyBorder="1" applyAlignment="1">
      <alignment horizontal="center" vertical="center" wrapText="1"/>
    </xf>
    <xf numFmtId="0" fontId="8" fillId="44" borderId="217" xfId="24" applyFill="1" applyBorder="1" applyAlignment="1">
      <alignment horizontal="center" vertical="center" wrapText="1"/>
    </xf>
    <xf numFmtId="0" fontId="8" fillId="44" borderId="219" xfId="24" applyFill="1" applyBorder="1" applyAlignment="1">
      <alignment horizontal="center" vertical="center" wrapText="1"/>
    </xf>
    <xf numFmtId="0" fontId="71" fillId="0" borderId="65" xfId="24" applyFont="1" applyBorder="1" applyAlignment="1">
      <alignment horizontal="center" vertical="center" wrapText="1"/>
    </xf>
    <xf numFmtId="0" fontId="71" fillId="0" borderId="218" xfId="24" applyFont="1" applyBorder="1" applyAlignment="1">
      <alignment horizontal="center" vertical="center" wrapText="1"/>
    </xf>
    <xf numFmtId="0" fontId="71" fillId="0" borderId="220" xfId="24" applyFont="1" applyBorder="1" applyAlignment="1">
      <alignment horizontal="center" vertical="center" wrapText="1"/>
    </xf>
    <xf numFmtId="0" fontId="71" fillId="0" borderId="221" xfId="24" applyFont="1" applyBorder="1" applyAlignment="1">
      <alignment horizontal="center" vertical="center" wrapText="1"/>
    </xf>
    <xf numFmtId="0" fontId="27" fillId="5" borderId="214" xfId="26" applyFont="1" applyFill="1" applyBorder="1" applyAlignment="1">
      <alignment horizontal="center" vertical="center"/>
    </xf>
    <xf numFmtId="0" fontId="27" fillId="5" borderId="215" xfId="26" applyFont="1" applyFill="1" applyBorder="1" applyAlignment="1">
      <alignment horizontal="center" vertical="center"/>
    </xf>
    <xf numFmtId="0" fontId="27" fillId="5" borderId="216" xfId="26" applyFont="1" applyFill="1" applyBorder="1" applyAlignment="1">
      <alignment horizontal="center" vertical="center"/>
    </xf>
    <xf numFmtId="0" fontId="8" fillId="45" borderId="217" xfId="24" applyFill="1" applyBorder="1" applyAlignment="1">
      <alignment horizontal="center" vertical="center" wrapText="1"/>
    </xf>
    <xf numFmtId="0" fontId="8" fillId="39" borderId="217" xfId="24" applyFill="1" applyBorder="1" applyAlignment="1">
      <alignment horizontal="center" vertical="center" wrapText="1"/>
    </xf>
    <xf numFmtId="0" fontId="8" fillId="0" borderId="0" xfId="26" applyAlignment="1">
      <alignment horizontal="center"/>
    </xf>
    <xf numFmtId="0" fontId="13" fillId="0" borderId="0" xfId="26" applyFont="1" applyAlignment="1">
      <alignment horizontal="center" vertical="center"/>
    </xf>
    <xf numFmtId="9" fontId="13" fillId="0" borderId="0" xfId="26" applyNumberFormat="1" applyFont="1" applyAlignment="1">
      <alignment horizontal="center" vertical="center"/>
    </xf>
    <xf numFmtId="43" fontId="13" fillId="0" borderId="0" xfId="26" applyNumberFormat="1" applyFont="1" applyAlignment="1">
      <alignment horizontal="center" vertical="center"/>
    </xf>
    <xf numFmtId="2" fontId="0" fillId="0" borderId="0" xfId="26" applyNumberFormat="1" applyFont="1" applyAlignment="1">
      <alignment horizontal="center"/>
    </xf>
    <xf numFmtId="0" fontId="16" fillId="18" borderId="116" xfId="1" applyFill="1" applyBorder="1" applyAlignment="1">
      <alignment horizontal="center" vertical="center" readingOrder="1"/>
    </xf>
    <xf numFmtId="0" fontId="52" fillId="18" borderId="116" xfId="26" applyFont="1" applyFill="1" applyBorder="1" applyAlignment="1">
      <alignment horizontal="center"/>
    </xf>
    <xf numFmtId="0" fontId="0" fillId="0" borderId="0" xfId="26" applyFont="1" applyAlignment="1">
      <alignment horizontal="center"/>
    </xf>
    <xf numFmtId="0" fontId="27" fillId="5" borderId="140" xfId="26" applyFont="1" applyFill="1" applyBorder="1" applyAlignment="1">
      <alignment horizontal="center" vertical="center"/>
    </xf>
    <xf numFmtId="0" fontId="27" fillId="5" borderId="30" xfId="26" applyFont="1" applyFill="1" applyBorder="1" applyAlignment="1">
      <alignment horizontal="center" vertical="center"/>
    </xf>
    <xf numFmtId="0" fontId="27" fillId="5" borderId="31" xfId="26" applyFont="1" applyFill="1" applyBorder="1" applyAlignment="1">
      <alignment horizontal="center" vertical="center"/>
    </xf>
    <xf numFmtId="0" fontId="29" fillId="0" borderId="141" xfId="26" applyFont="1" applyBorder="1" applyAlignment="1">
      <alignment horizontal="center" vertical="center" wrapText="1"/>
    </xf>
    <xf numFmtId="0" fontId="29" fillId="0" borderId="142" xfId="26" applyFont="1" applyBorder="1" applyAlignment="1">
      <alignment horizontal="center" vertical="center" wrapText="1"/>
    </xf>
    <xf numFmtId="0" fontId="29" fillId="0" borderId="143" xfId="26" applyFont="1" applyBorder="1" applyAlignment="1">
      <alignment horizontal="center" vertical="center" wrapText="1"/>
    </xf>
    <xf numFmtId="0" fontId="8" fillId="39" borderId="208" xfId="24" applyFill="1" applyBorder="1" applyAlignment="1">
      <alignment horizontal="center"/>
    </xf>
    <xf numFmtId="0" fontId="8" fillId="39" borderId="209" xfId="24" applyFill="1" applyBorder="1" applyAlignment="1">
      <alignment horizontal="center"/>
    </xf>
    <xf numFmtId="0" fontId="8" fillId="39" borderId="182" xfId="24" applyFill="1" applyBorder="1" applyAlignment="1">
      <alignment horizontal="center"/>
    </xf>
    <xf numFmtId="0" fontId="54" fillId="36" borderId="0" xfId="24" applyFont="1" applyFill="1" applyAlignment="1">
      <alignment horizontal="left" vertical="center"/>
    </xf>
    <xf numFmtId="0" fontId="54" fillId="36" borderId="145" xfId="24" applyFont="1" applyFill="1" applyBorder="1" applyAlignment="1">
      <alignment horizontal="left" vertical="center"/>
    </xf>
    <xf numFmtId="0" fontId="60" fillId="28" borderId="132" xfId="24" applyFont="1" applyFill="1" applyBorder="1" applyAlignment="1">
      <alignment horizontal="center"/>
    </xf>
    <xf numFmtId="0" fontId="60" fillId="28" borderId="0" xfId="24" applyFont="1" applyFill="1" applyAlignment="1">
      <alignment horizontal="center"/>
    </xf>
    <xf numFmtId="0" fontId="60" fillId="28" borderId="144" xfId="24" applyFont="1" applyFill="1" applyBorder="1" applyAlignment="1">
      <alignment horizontal="center"/>
    </xf>
    <xf numFmtId="0" fontId="60" fillId="28" borderId="128" xfId="24" applyFont="1" applyFill="1" applyBorder="1" applyAlignment="1">
      <alignment horizontal="center"/>
    </xf>
    <xf numFmtId="0" fontId="60" fillId="28" borderId="197" xfId="24" applyFont="1" applyFill="1" applyBorder="1" applyAlignment="1">
      <alignment horizontal="center"/>
    </xf>
    <xf numFmtId="0" fontId="55" fillId="0" borderId="133" xfId="24" applyFont="1" applyBorder="1" applyAlignment="1">
      <alignment horizontal="center" vertical="center" wrapText="1"/>
    </xf>
    <xf numFmtId="0" fontId="55" fillId="0" borderId="130" xfId="24" applyFont="1" applyBorder="1" applyAlignment="1">
      <alignment horizontal="center" vertical="center" wrapText="1"/>
    </xf>
    <xf numFmtId="0" fontId="55" fillId="0" borderId="122" xfId="24" applyFont="1" applyBorder="1" applyAlignment="1">
      <alignment horizontal="center" vertical="center"/>
    </xf>
    <xf numFmtId="0" fontId="55" fillId="0" borderId="3" xfId="24" applyFont="1" applyBorder="1" applyAlignment="1">
      <alignment horizontal="center" vertical="center"/>
    </xf>
    <xf numFmtId="0" fontId="55" fillId="0" borderId="4" xfId="24" applyFont="1" applyBorder="1" applyAlignment="1">
      <alignment horizontal="center" vertical="center"/>
    </xf>
    <xf numFmtId="0" fontId="55" fillId="0" borderId="2" xfId="24" applyFont="1" applyBorder="1" applyAlignment="1">
      <alignment horizontal="center" vertical="center"/>
    </xf>
    <xf numFmtId="0" fontId="64" fillId="0" borderId="3" xfId="35" applyFont="1" applyBorder="1" applyAlignment="1">
      <alignment horizontal="center" vertical="center"/>
    </xf>
    <xf numFmtId="0" fontId="64" fillId="0" borderId="2" xfId="35" applyFont="1" applyBorder="1" applyAlignment="1">
      <alignment horizontal="center" vertical="center"/>
    </xf>
    <xf numFmtId="0" fontId="55" fillId="0" borderId="130" xfId="24" applyFont="1" applyBorder="1" applyAlignment="1">
      <alignment horizontal="center" vertical="center"/>
    </xf>
    <xf numFmtId="0" fontId="55" fillId="0" borderId="133" xfId="24" applyFont="1" applyBorder="1" applyAlignment="1">
      <alignment horizontal="center" vertical="center"/>
    </xf>
    <xf numFmtId="0" fontId="53" fillId="12" borderId="208" xfId="24" applyFont="1" applyFill="1" applyBorder="1" applyAlignment="1">
      <alignment horizontal="center"/>
    </xf>
    <xf numFmtId="0" fontId="53" fillId="12" borderId="209" xfId="24" applyFont="1" applyFill="1" applyBorder="1" applyAlignment="1">
      <alignment horizontal="center"/>
    </xf>
    <xf numFmtId="0" fontId="53" fillId="12" borderId="182" xfId="24" applyFont="1" applyFill="1" applyBorder="1" applyAlignment="1">
      <alignment horizontal="center"/>
    </xf>
    <xf numFmtId="0" fontId="53" fillId="39" borderId="208" xfId="24" applyFont="1" applyFill="1" applyBorder="1" applyAlignment="1">
      <alignment horizontal="center"/>
    </xf>
    <xf numFmtId="0" fontId="53" fillId="39" borderId="209" xfId="24" applyFont="1" applyFill="1" applyBorder="1" applyAlignment="1">
      <alignment horizontal="center"/>
    </xf>
    <xf numFmtId="0" fontId="53" fillId="39" borderId="182" xfId="24" applyFont="1" applyFill="1" applyBorder="1" applyAlignment="1">
      <alignment horizontal="center"/>
    </xf>
    <xf numFmtId="0" fontId="55" fillId="0" borderId="210" xfId="24" applyFont="1" applyBorder="1" applyAlignment="1">
      <alignment horizontal="center" vertical="center"/>
    </xf>
    <xf numFmtId="0" fontId="55" fillId="0" borderId="172" xfId="24" applyFont="1" applyBorder="1" applyAlignment="1">
      <alignment horizontal="center" vertical="center"/>
    </xf>
    <xf numFmtId="0" fontId="8" fillId="0" borderId="0" xfId="24" applyAlignment="1">
      <alignment vertical="top" wrapText="1"/>
    </xf>
    <xf numFmtId="0" fontId="76" fillId="7" borderId="0" xfId="24" applyFont="1" applyFill="1" applyAlignment="1">
      <alignment horizontal="center"/>
    </xf>
    <xf numFmtId="0" fontId="8" fillId="47" borderId="44" xfId="24" applyFill="1" applyBorder="1" applyAlignment="1"/>
    <xf numFmtId="0" fontId="8" fillId="47" borderId="1" xfId="24" applyFill="1" applyBorder="1" applyAlignment="1"/>
    <xf numFmtId="0" fontId="8" fillId="47" borderId="245" xfId="24" applyFill="1" applyBorder="1" applyAlignment="1"/>
    <xf numFmtId="0" fontId="8" fillId="41" borderId="44" xfId="24" applyFill="1" applyBorder="1" applyAlignment="1"/>
    <xf numFmtId="0" fontId="8" fillId="41" borderId="1" xfId="24" applyFill="1" applyBorder="1" applyAlignment="1"/>
    <xf numFmtId="0" fontId="8" fillId="41" borderId="245" xfId="24" applyFill="1" applyBorder="1" applyAlignment="1"/>
    <xf numFmtId="0" fontId="43" fillId="0" borderId="0" xfId="24" applyFont="1" applyAlignment="1">
      <alignment horizontal="center"/>
    </xf>
    <xf numFmtId="0" fontId="9" fillId="0" borderId="0" xfId="24" applyFont="1" applyAlignment="1">
      <alignment horizontal="center"/>
    </xf>
    <xf numFmtId="0" fontId="39" fillId="0" borderId="0" xfId="24" applyFont="1" applyAlignment="1">
      <alignment horizontal="center"/>
    </xf>
    <xf numFmtId="0" fontId="35" fillId="19" borderId="0" xfId="24" applyFont="1" applyFill="1" applyAlignment="1">
      <alignment horizontal="center"/>
    </xf>
    <xf numFmtId="4" fontId="35" fillId="19" borderId="0" xfId="24" applyNumberFormat="1" applyFont="1" applyFill="1" applyAlignment="1">
      <alignment horizontal="center"/>
    </xf>
    <xf numFmtId="0" fontId="35" fillId="0" borderId="0" xfId="24" applyFont="1" applyAlignment="1">
      <alignment horizontal="center"/>
    </xf>
    <xf numFmtId="0" fontId="23" fillId="0" borderId="0" xfId="24" applyFont="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34" xfId="0" applyFont="1" applyBorder="1" applyAlignment="1">
      <alignment horizontal="center"/>
    </xf>
    <xf numFmtId="0" fontId="13" fillId="0" borderId="5" xfId="0" applyFont="1" applyBorder="1" applyAlignment="1">
      <alignment horizontal="center"/>
    </xf>
    <xf numFmtId="0" fontId="13" fillId="0" borderId="35" xfId="0" applyFont="1" applyBorder="1" applyAlignment="1">
      <alignment horizontal="center"/>
    </xf>
  </cellXfs>
  <cellStyles count="38">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Hiperlink" xfId="11" builtinId="8"/>
    <cellStyle name="Moneda 2" xfId="12" xr:uid="{00000000-0005-0000-0000-00000B000000}"/>
    <cellStyle name="Moneda 2 2" xfId="13" xr:uid="{00000000-0005-0000-0000-00000C000000}"/>
    <cellStyle name="Normal" xfId="0" builtinId="0"/>
    <cellStyle name="Normal 2" xfId="14" xr:uid="{00000000-0005-0000-0000-00000E000000}"/>
    <cellStyle name="Normal 2 2" xfId="15" xr:uid="{00000000-0005-0000-0000-00000F000000}"/>
    <cellStyle name="Normal 2 3" xfId="20" xr:uid="{00000000-0005-0000-0000-000010000000}"/>
    <cellStyle name="Normal 2 3 2" xfId="27" xr:uid="{6A4611F8-31D7-4EA6-B27B-70EB4E34E8FD}"/>
    <cellStyle name="Normal 2 4" xfId="21" xr:uid="{DBC68614-B0BC-4348-8A0D-C96562B201CF}"/>
    <cellStyle name="Normal 2 4 2" xfId="36" xr:uid="{99A3D5AE-7010-4F4E-81BA-35C50FBF8023}"/>
    <cellStyle name="Normal 3" xfId="24" xr:uid="{371B90F0-6B8E-40BF-8358-D28B574437C9}"/>
    <cellStyle name="Normal 3 2" xfId="26" xr:uid="{41BD78A2-6B23-4ADD-839D-9D86F14E11A2}"/>
    <cellStyle name="Normal 3 3" xfId="29" xr:uid="{4CBFF9A4-05AD-4A91-8AF0-FA0B5B39E2EC}"/>
    <cellStyle name="Normal 3 3 2" xfId="35" xr:uid="{B1257C20-7313-FE4A-8220-8DD291412D3C}"/>
    <cellStyle name="Normal 5" xfId="30" xr:uid="{E3BE1569-E214-4855-8BF5-B868B88B5743}"/>
    <cellStyle name="Normal 5 2" xfId="34" xr:uid="{6D6F7CAD-3032-4F47-A14C-B1F110D538F6}"/>
    <cellStyle name="Normal 9" xfId="33" xr:uid="{CACD4D4E-2C7F-4816-9692-26D0FDD559DC}"/>
    <cellStyle name="Porcentagem" xfId="16" builtinId="5"/>
    <cellStyle name="Porcentaje 2" xfId="17" xr:uid="{00000000-0005-0000-0000-000012000000}"/>
    <cellStyle name="Porcentaje 2 2" xfId="18" xr:uid="{00000000-0005-0000-0000-000013000000}"/>
    <cellStyle name="Porcentaje 2 2 2" xfId="25" xr:uid="{924DB8B0-6B9C-4A78-9CB6-7EC8F42C7C6B}"/>
    <cellStyle name="Porcentaje 2 3" xfId="23" xr:uid="{1FF2580F-E450-433A-8AB5-6E1CABCA8FC9}"/>
    <cellStyle name="Porcentaje 2 4" xfId="28" xr:uid="{3D812F63-E4F6-4F6D-A613-EF79E76ACE35}"/>
    <cellStyle name="Porcentaje 3" xfId="19" xr:uid="{00000000-0005-0000-0000-000014000000}"/>
    <cellStyle name="Porcentaje 3 2" xfId="22" xr:uid="{59E732CE-B697-4AF7-8CEE-0C42EB60E78B}"/>
    <cellStyle name="Porcentaje 3 3" xfId="37" xr:uid="{1B55895B-F99A-6F4F-B364-2899A8589015}"/>
    <cellStyle name="Porcentaje 4 2" xfId="32" xr:uid="{C6A0E8B8-33DC-4334-89A4-99FF669E5EA8}"/>
    <cellStyle name="Porcentaje 5" xfId="31" xr:uid="{F07CEC0B-CE59-4BBC-A0C7-9B77A84167BF}"/>
  </cellStyles>
  <dxfs count="36">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s>
  <tableStyles count="1" defaultTableStyle="TableStyleMedium9" defaultPivotStyle="PivotStyleLight16">
    <tableStyle name="Invisible" pivot="0" table="0" count="0" xr9:uid="{7B8256E5-5961-45BC-8E74-75040304E975}"/>
  </tableStyles>
  <colors>
    <mruColors>
      <color rgb="FFBBF0FB"/>
      <color rgb="FF9AFCBB"/>
      <color rgb="FFC5D9F1"/>
      <color rgb="FF63CB97"/>
      <color rgb="FF1B7087"/>
      <color rgb="FF1F497D"/>
      <color rgb="FF3174C5"/>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externalLink" Target="externalLinks/externalLink2.xml" /><Relationship Id="rId18" Type="http://schemas.microsoft.com/office/2017/06/relationships/rdRichValue" Target="richData/rdrichvalue.xml" /><Relationship Id="rId26" Type="http://schemas.openxmlformats.org/officeDocument/2006/relationships/customXml" Target="../customXml/item1.xml" /><Relationship Id="rId3" Type="http://schemas.openxmlformats.org/officeDocument/2006/relationships/worksheet" Target="worksheets/sheet3.xml" /><Relationship Id="rId21" Type="http://schemas.microsoft.com/office/2017/06/relationships/rdSupportingPropertyBagStructure" Target="richData/rdsupportingpropertybagstructure.xml" /><Relationship Id="rId7" Type="http://schemas.openxmlformats.org/officeDocument/2006/relationships/worksheet" Target="worksheets/sheet7.xml" /><Relationship Id="rId12" Type="http://schemas.openxmlformats.org/officeDocument/2006/relationships/externalLink" Target="externalLinks/externalLink1.xml" /><Relationship Id="rId17" Type="http://schemas.openxmlformats.org/officeDocument/2006/relationships/sheetMetadata" Target="metadata.xml" /><Relationship Id="rId25"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sharedStrings" Target="sharedStrings.xml" /><Relationship Id="rId20" Type="http://schemas.microsoft.com/office/2017/06/relationships/richStyles" Target="richData/rich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microsoft.com/office/2017/10/relationships/person" Target="persons/person.xml" /><Relationship Id="rId5" Type="http://schemas.openxmlformats.org/officeDocument/2006/relationships/worksheet" Target="worksheets/sheet5.xml" /><Relationship Id="rId15" Type="http://schemas.openxmlformats.org/officeDocument/2006/relationships/styles" Target="styles.xml" /><Relationship Id="rId23" Type="http://schemas.microsoft.com/office/2017/06/relationships/rdRichValueTypes" Target="richData/rdRichValueTypes.xml" /><Relationship Id="rId28" Type="http://schemas.openxmlformats.org/officeDocument/2006/relationships/customXml" Target="../customXml/item3.xml" /><Relationship Id="rId10" Type="http://schemas.openxmlformats.org/officeDocument/2006/relationships/worksheet" Target="worksheets/sheet10.xml" /><Relationship Id="rId19" Type="http://schemas.microsoft.com/office/2017/06/relationships/rdRichValueStructure" Target="richData/rdrichvaluestructure.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theme" Target="theme/theme1.xml" /><Relationship Id="rId22" Type="http://schemas.microsoft.com/office/2017/06/relationships/rdSupportingPropertyBag" Target="richData/rdsupportingpropertybag.xml" /><Relationship Id="rId27" Type="http://schemas.openxmlformats.org/officeDocument/2006/relationships/customXml" Target="../customXml/item2.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2.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3.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6.xml" /><Relationship Id="rId2" Type="http://schemas.microsoft.com/office/2011/relationships/chartColorStyle" Target="colors14.xml" /><Relationship Id="rId1" Type="http://schemas.microsoft.com/office/2011/relationships/chartStyle" Target="style14.xml" /></Relationships>
</file>

<file path=xl/charts/_rels/chart15.xml.rels><?xml version="1.0" encoding="UTF-8" standalone="yes"?>
<Relationships xmlns="http://schemas.openxmlformats.org/package/2006/relationships"><Relationship Id="rId2" Type="http://schemas.microsoft.com/office/2011/relationships/chartColorStyle" Target="colors15.xml" /><Relationship Id="rId1" Type="http://schemas.microsoft.com/office/2011/relationships/chartStyle" Target="style15.xml" /></Relationships>
</file>

<file path=xl/charts/_rels/chart16.xml.rels><?xml version="1.0" encoding="UTF-8" standalone="yes"?>
<Relationships xmlns="http://schemas.openxmlformats.org/package/2006/relationships"><Relationship Id="rId2" Type="http://schemas.microsoft.com/office/2011/relationships/chartColorStyle" Target="colors16.xml" /><Relationship Id="rId1" Type="http://schemas.microsoft.com/office/2011/relationships/chartStyle" Target="style16.xml" /></Relationships>
</file>

<file path=xl/charts/_rels/chart17.xml.rels><?xml version="1.0" encoding="UTF-8" standalone="yes"?>
<Relationships xmlns="http://schemas.openxmlformats.org/package/2006/relationships"><Relationship Id="rId2" Type="http://schemas.microsoft.com/office/2011/relationships/chartColorStyle" Target="colors17.xml" /><Relationship Id="rId1" Type="http://schemas.microsoft.com/office/2011/relationships/chartStyle" Target="style17.xml" /></Relationships>
</file>

<file path=xl/charts/_rels/chart18.xml.rels><?xml version="1.0" encoding="UTF-8" standalone="yes"?>
<Relationships xmlns="http://schemas.openxmlformats.org/package/2006/relationships"><Relationship Id="rId2" Type="http://schemas.microsoft.com/office/2011/relationships/chartColorStyle" Target="colors18.xml" /><Relationship Id="rId1" Type="http://schemas.microsoft.com/office/2011/relationships/chartStyle" Target="style18.xml" /></Relationships>
</file>

<file path=xl/charts/_rels/chart19.xml.rels><?xml version="1.0" encoding="UTF-8" standalone="yes"?>
<Relationships xmlns="http://schemas.openxmlformats.org/package/2006/relationships"><Relationship Id="rId2" Type="http://schemas.microsoft.com/office/2011/relationships/chartColorStyle" Target="colors19.xml" /><Relationship Id="rId1" Type="http://schemas.microsoft.com/office/2011/relationships/chartStyle" Target="style19.xml" /></Relationships>
</file>

<file path=xl/charts/_rels/chart20.xml.rels><?xml version="1.0" encoding="UTF-8" standalone="yes"?>
<Relationships xmlns="http://schemas.openxmlformats.org/package/2006/relationships"><Relationship Id="rId2" Type="http://schemas.microsoft.com/office/2011/relationships/chartColorStyle" Target="colors20.xml" /><Relationship Id="rId1" Type="http://schemas.microsoft.com/office/2011/relationships/chartStyle" Target="style20.xml" /></Relationships>
</file>

<file path=xl/charts/_rels/chart21.xml.rels><?xml version="1.0" encoding="UTF-8" standalone="yes"?>
<Relationships xmlns="http://schemas.openxmlformats.org/package/2006/relationships"><Relationship Id="rId2" Type="http://schemas.microsoft.com/office/2011/relationships/chartColorStyle" Target="colors21.xml" /><Relationship Id="rId1" Type="http://schemas.microsoft.com/office/2011/relationships/chartStyle" Target="style2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9D-A340-A15D-E5EF93DC1B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9D-A340-A15D-E5EF93DC1B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9D-A340-A15D-E5EF93DC1B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9D-A340-A15D-E5EF93DC1B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Segments!$C$14:$C$17</c:f>
              <c:strCache>
                <c:ptCount val="4"/>
                <c:pt idx="0">
                  <c:v>UnitedHealthcare</c:v>
                </c:pt>
                <c:pt idx="1">
                  <c:v>Optum Health</c:v>
                </c:pt>
                <c:pt idx="2">
                  <c:v>Optum Insight</c:v>
                </c:pt>
                <c:pt idx="3">
                  <c:v>Optum Rx</c:v>
                </c:pt>
              </c:strCache>
            </c:strRef>
          </c:cat>
          <c:val>
            <c:numRef>
              <c:f>Segments!$D$14:$D$17</c:f>
              <c:numCache>
                <c:formatCode>"$"#,##0</c:formatCode>
                <c:ptCount val="4"/>
                <c:pt idx="0">
                  <c:v>249741</c:v>
                </c:pt>
                <c:pt idx="1">
                  <c:v>112057</c:v>
                </c:pt>
                <c:pt idx="2">
                  <c:v>23869</c:v>
                </c:pt>
                <c:pt idx="3">
                  <c:v>160709</c:v>
                </c:pt>
              </c:numCache>
            </c:numRef>
          </c:val>
          <c:extLst>
            <c:ext xmlns:c16="http://schemas.microsoft.com/office/drawing/2014/chart" uri="{C3380CC4-5D6E-409C-BE32-E72D297353CC}">
              <c16:uniqueId val="{00000008-FB9D-A340-A15D-E5EF93DC1B9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43-A24E-8A6C-81AA046C27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43-A24E-8A6C-81AA046C27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Segments!$C$5:$C$6</c:f>
              <c:strCache>
                <c:ptCount val="2"/>
                <c:pt idx="0">
                  <c:v>USA</c:v>
                </c:pt>
                <c:pt idx="1">
                  <c:v>Global</c:v>
                </c:pt>
              </c:strCache>
            </c:strRef>
          </c:cat>
          <c:val>
            <c:numRef>
              <c:f>Segments!$D$5:$D$6</c:f>
              <c:numCache>
                <c:formatCode>"$"#,##0</c:formatCode>
                <c:ptCount val="2"/>
                <c:pt idx="0">
                  <c:v>290551.23841764196</c:v>
                </c:pt>
                <c:pt idx="1">
                  <c:v>33610.761582358064</c:v>
                </c:pt>
              </c:numCache>
            </c:numRef>
          </c:val>
          <c:extLst>
            <c:ext xmlns:c16="http://schemas.microsoft.com/office/drawing/2014/chart" uri="{C3380CC4-5D6E-409C-BE32-E72D297353CC}">
              <c16:uniqueId val="{00000004-8B43-A24E-8A6C-81AA046C27D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Peers!$C$6</c:f>
              <c:strCache>
                <c:ptCount val="1"/>
                <c:pt idx="0">
                  <c:v>UNITEDHEALTH GROUP INCORPORATED (XNYS:UNH)</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Peers!$C$19</c:f>
              <c:numCache>
                <c:formatCode>0.00</c:formatCode>
                <c:ptCount val="1"/>
                <c:pt idx="0">
                  <c:v>1.1168839327783886</c:v>
                </c:pt>
              </c:numCache>
            </c:numRef>
          </c:xVal>
          <c:yVal>
            <c:numRef>
              <c:f>Peers!$C$35</c:f>
              <c:numCache>
                <c:formatCode>0.0</c:formatCode>
                <c:ptCount val="1"/>
                <c:pt idx="0">
                  <c:v>16.320116569310507</c:v>
                </c:pt>
              </c:numCache>
            </c:numRef>
          </c:yVal>
          <c:smooth val="0"/>
          <c:extLst>
            <c:ext xmlns:c16="http://schemas.microsoft.com/office/drawing/2014/chart" uri="{C3380CC4-5D6E-409C-BE32-E72D297353CC}">
              <c16:uniqueId val="{00000000-806E-A148-B4D1-6CB7D39F9394}"/>
            </c:ext>
          </c:extLst>
        </c:ser>
        <c:ser>
          <c:idx val="1"/>
          <c:order val="1"/>
          <c:tx>
            <c:strRef>
              <c:f>Peers!$D$6</c:f>
              <c:strCache>
                <c:ptCount val="1"/>
                <c:pt idx="0">
                  <c:v>ELEVANCE HEALTH, INC. (XNYS:ELV)</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Peers!$D$19</c:f>
              <c:numCache>
                <c:formatCode>0.00</c:formatCode>
                <c:ptCount val="1"/>
                <c:pt idx="0">
                  <c:v>1.7819324597848087</c:v>
                </c:pt>
              </c:numCache>
            </c:numRef>
          </c:xVal>
          <c:yVal>
            <c:numRef>
              <c:f>Peers!$D$35</c:f>
              <c:numCache>
                <c:formatCode>0.0</c:formatCode>
                <c:ptCount val="1"/>
                <c:pt idx="0">
                  <c:v>15.389261744966444</c:v>
                </c:pt>
              </c:numCache>
            </c:numRef>
          </c:yVal>
          <c:smooth val="0"/>
          <c:extLst>
            <c:ext xmlns:c16="http://schemas.microsoft.com/office/drawing/2014/chart" uri="{C3380CC4-5D6E-409C-BE32-E72D297353CC}">
              <c16:uniqueId val="{00000001-806E-A148-B4D1-6CB7D39F9394}"/>
            </c:ext>
          </c:extLst>
        </c:ser>
        <c:ser>
          <c:idx val="2"/>
          <c:order val="2"/>
          <c:tx>
            <c:strRef>
              <c:f>Peers!$E$6</c:f>
              <c:strCache>
                <c:ptCount val="1"/>
                <c:pt idx="0">
                  <c:v>CVS HEALTH CORPORATION (XNYS:CVS)</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Peers!$E$19</c:f>
              <c:numCache>
                <c:formatCode>0.00</c:formatCode>
                <c:ptCount val="1"/>
                <c:pt idx="0">
                  <c:v>4.7514389080743298</c:v>
                </c:pt>
              </c:numCache>
            </c:numRef>
          </c:xVal>
          <c:yVal>
            <c:numRef>
              <c:f>Peers!$E$35</c:f>
              <c:numCache>
                <c:formatCode>0.0</c:formatCode>
                <c:ptCount val="1"/>
                <c:pt idx="0">
                  <c:v>10.748613714849533</c:v>
                </c:pt>
              </c:numCache>
            </c:numRef>
          </c:yVal>
          <c:smooth val="0"/>
          <c:extLst>
            <c:ext xmlns:c16="http://schemas.microsoft.com/office/drawing/2014/chart" uri="{C3380CC4-5D6E-409C-BE32-E72D297353CC}">
              <c16:uniqueId val="{00000002-806E-A148-B4D1-6CB7D39F9394}"/>
            </c:ext>
          </c:extLst>
        </c:ser>
        <c:ser>
          <c:idx val="3"/>
          <c:order val="3"/>
          <c:tx>
            <c:strRef>
              <c:f>Peers!$F$6</c:f>
              <c:strCache>
                <c:ptCount val="1"/>
                <c:pt idx="0">
                  <c:v>HUMANA INC. (XNYS:HUM)</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Peers!$F$19</c:f>
              <c:numCache>
                <c:formatCode>0.00</c:formatCode>
                <c:ptCount val="1"/>
                <c:pt idx="0">
                  <c:v>1.3457529385673099</c:v>
                </c:pt>
              </c:numCache>
            </c:numRef>
          </c:xVal>
          <c:yVal>
            <c:numRef>
              <c:f>Peers!$F$35</c:f>
              <c:numCache>
                <c:formatCode>0.0</c:formatCode>
                <c:ptCount val="1"/>
                <c:pt idx="0">
                  <c:v>9.9322155688622757</c:v>
                </c:pt>
              </c:numCache>
            </c:numRef>
          </c:yVal>
          <c:smooth val="0"/>
          <c:extLst>
            <c:ext xmlns:c16="http://schemas.microsoft.com/office/drawing/2014/chart" uri="{C3380CC4-5D6E-409C-BE32-E72D297353CC}">
              <c16:uniqueId val="{00000003-806E-A148-B4D1-6CB7D39F9394}"/>
            </c:ext>
          </c:extLst>
        </c:ser>
        <c:dLbls>
          <c:showLegendKey val="0"/>
          <c:showVal val="0"/>
          <c:showCatName val="0"/>
          <c:showSerName val="0"/>
          <c:showPercent val="0"/>
          <c:showBubbleSize val="0"/>
        </c:dLbls>
        <c:axId val="1571673951"/>
        <c:axId val="1289766175"/>
        <c:extLst>
          <c:ext xmlns:c15="http://schemas.microsoft.com/office/drawing/2012/chart" uri="{02D57815-91ED-43cb-92C2-25804820EDAC}">
            <c15:filteredScatterSeries>
              <c15:ser>
                <c:idx val="4"/>
                <c:order val="4"/>
                <c:tx>
                  <c:strRef>
                    <c:extLst>
                      <c:ext uri="{02D57815-91ED-43cb-92C2-25804820EDAC}">
                        <c15:formulaRef>
                          <c15:sqref>Peers!$G$6</c15:sqref>
                        </c15:formulaRef>
                      </c:ext>
                    </c:extLst>
                    <c:strCache>
                      <c:ptCount val="1"/>
                      <c:pt idx="0">
                        <c:v>AVERAGE</c:v>
                      </c:pt>
                    </c:strCache>
                  </c:strRef>
                </c:tx>
                <c:spPr>
                  <a:ln w="25400" cap="rnd">
                    <a:noFill/>
                    <a:round/>
                  </a:ln>
                  <a:effectLst/>
                </c:spPr>
                <c:marker>
                  <c:symbol val="circle"/>
                  <c:size val="5"/>
                  <c:spPr>
                    <a:solidFill>
                      <a:schemeClr val="accent5"/>
                    </a:solidFill>
                    <a:ln w="9525">
                      <a:solidFill>
                        <a:schemeClr val="accent5"/>
                      </a:solidFill>
                    </a:ln>
                    <a:effectLst/>
                  </c:spPr>
                </c:marker>
                <c:xVal>
                  <c:numRef>
                    <c:extLst>
                      <c:ext uri="{02D57815-91ED-43cb-92C2-25804820EDAC}">
                        <c15:formulaRef>
                          <c15:sqref>Peers!$G$19</c15:sqref>
                        </c15:formulaRef>
                      </c:ext>
                    </c:extLst>
                    <c:numCache>
                      <c:formatCode>0.00</c:formatCode>
                      <c:ptCount val="1"/>
                      <c:pt idx="0">
                        <c:v>2.2490020598012093</c:v>
                      </c:pt>
                    </c:numCache>
                  </c:numRef>
                </c:xVal>
                <c:yVal>
                  <c:numRef>
                    <c:extLst>
                      <c:ext uri="{02D57815-91ED-43cb-92C2-25804820EDAC}">
                        <c15:formulaRef>
                          <c15:sqref>Peers!$G$35</c15:sqref>
                        </c15:formulaRef>
                      </c:ext>
                    </c:extLst>
                    <c:numCache>
                      <c:formatCode>0.00</c:formatCode>
                      <c:ptCount val="1"/>
                      <c:pt idx="0">
                        <c:v>13.097551899497191</c:v>
                      </c:pt>
                    </c:numCache>
                  </c:numRef>
                </c:yVal>
                <c:smooth val="0"/>
                <c:extLst>
                  <c:ext xmlns:c16="http://schemas.microsoft.com/office/drawing/2014/chart" uri="{C3380CC4-5D6E-409C-BE32-E72D297353CC}">
                    <c16:uniqueId val="{00000004-806E-A148-B4D1-6CB7D39F9394}"/>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Peers!$H$6</c15:sqref>
                        </c15:formulaRef>
                      </c:ext>
                    </c:extLst>
                    <c:strCache>
                      <c:ptCount val="1"/>
                      <c:pt idx="0">
                        <c:v>Deviation from Average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Peers!$H$19</c15:sqref>
                        </c15:formulaRef>
                      </c:ext>
                    </c:extLst>
                    <c:numCache>
                      <c:formatCode>0.00</c:formatCode>
                      <c:ptCount val="1"/>
                      <c:pt idx="0">
                        <c:v>1.1321181270228207</c:v>
                      </c:pt>
                    </c:numCache>
                  </c:numRef>
                </c:xVal>
                <c:yVal>
                  <c:numRef>
                    <c:extLst xmlns:c15="http://schemas.microsoft.com/office/drawing/2012/chart">
                      <c:ext xmlns:c15="http://schemas.microsoft.com/office/drawing/2012/chart" uri="{02D57815-91ED-43cb-92C2-25804820EDAC}">
                        <c15:formulaRef>
                          <c15:sqref>Peers!$H$35</c15:sqref>
                        </c15:formulaRef>
                      </c:ext>
                    </c:extLst>
                    <c:numCache>
                      <c:formatCode>0.0</c:formatCode>
                      <c:ptCount val="1"/>
                      <c:pt idx="0">
                        <c:v>3.2225646698133161</c:v>
                      </c:pt>
                    </c:numCache>
                  </c:numRef>
                </c:yVal>
                <c:smooth val="0"/>
                <c:extLst xmlns:c15="http://schemas.microsoft.com/office/drawing/2012/chart">
                  <c:ext xmlns:c16="http://schemas.microsoft.com/office/drawing/2014/chart" uri="{C3380CC4-5D6E-409C-BE32-E72D297353CC}">
                    <c16:uniqueId val="{00000005-806E-A148-B4D1-6CB7D39F9394}"/>
                  </c:ext>
                </c:extLst>
              </c15:ser>
            </c15:filteredScatterSeries>
          </c:ext>
        </c:extLst>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63878394189050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Peers!$C$6</c:f>
              <c:strCache>
                <c:ptCount val="1"/>
                <c:pt idx="0">
                  <c:v>UNITEDHEALTH GROUP INCORPORATED (XNYS:UNH)</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Peers!$C$42</c:f>
              <c:numCache>
                <c:formatCode>0%</c:formatCode>
                <c:ptCount val="1"/>
                <c:pt idx="0">
                  <c:v>1.59</c:v>
                </c:pt>
              </c:numCache>
            </c:numRef>
          </c:xVal>
          <c:yVal>
            <c:numRef>
              <c:f>Peers!$C$47</c:f>
              <c:numCache>
                <c:formatCode>0%</c:formatCode>
                <c:ptCount val="1"/>
                <c:pt idx="0">
                  <c:v>0.41937929913881816</c:v>
                </c:pt>
              </c:numCache>
            </c:numRef>
          </c:yVal>
          <c:smooth val="0"/>
          <c:extLst>
            <c:ext xmlns:c16="http://schemas.microsoft.com/office/drawing/2014/chart" uri="{C3380CC4-5D6E-409C-BE32-E72D297353CC}">
              <c16:uniqueId val="{00000000-02A9-794F-A82F-913D91CEE55F}"/>
            </c:ext>
          </c:extLst>
        </c:ser>
        <c:ser>
          <c:idx val="1"/>
          <c:order val="1"/>
          <c:tx>
            <c:strRef>
              <c:f>Peers!$D$6</c:f>
              <c:strCache>
                <c:ptCount val="1"/>
                <c:pt idx="0">
                  <c:v>ELEVANCE HEALTH, INC. (XNYS:ELV)</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Peers!$D$42</c:f>
              <c:numCache>
                <c:formatCode>0.00%</c:formatCode>
                <c:ptCount val="1"/>
                <c:pt idx="0">
                  <c:v>0.92986021090985527</c:v>
                </c:pt>
              </c:numCache>
            </c:numRef>
          </c:xVal>
          <c:yVal>
            <c:numRef>
              <c:f>Peers!$D$47</c:f>
              <c:numCache>
                <c:formatCode>0.00%</c:formatCode>
                <c:ptCount val="1"/>
                <c:pt idx="0">
                  <c:v>0.38574492657977233</c:v>
                </c:pt>
              </c:numCache>
            </c:numRef>
          </c:yVal>
          <c:smooth val="0"/>
          <c:extLst>
            <c:ext xmlns:c16="http://schemas.microsoft.com/office/drawing/2014/chart" uri="{C3380CC4-5D6E-409C-BE32-E72D297353CC}">
              <c16:uniqueId val="{00000001-02A9-794F-A82F-913D91CEE55F}"/>
            </c:ext>
          </c:extLst>
        </c:ser>
        <c:ser>
          <c:idx val="2"/>
          <c:order val="2"/>
          <c:tx>
            <c:strRef>
              <c:f>Peers!$E$6</c:f>
              <c:strCache>
                <c:ptCount val="1"/>
                <c:pt idx="0">
                  <c:v>CVS HEALTH CORPORATION (XNYS:CVS)</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Peers!$E$42</c:f>
              <c:numCache>
                <c:formatCode>0.00%</c:formatCode>
                <c:ptCount val="1"/>
                <c:pt idx="0">
                  <c:v>-0.17735527809307616</c:v>
                </c:pt>
              </c:numCache>
            </c:numRef>
          </c:xVal>
          <c:yVal>
            <c:numRef>
              <c:f>Peers!$E$47</c:f>
              <c:numCache>
                <c:formatCode>0.00%</c:formatCode>
                <c:ptCount val="1"/>
                <c:pt idx="0">
                  <c:v>0.25910647571606477</c:v>
                </c:pt>
              </c:numCache>
            </c:numRef>
          </c:yVal>
          <c:smooth val="0"/>
          <c:extLst>
            <c:ext xmlns:c16="http://schemas.microsoft.com/office/drawing/2014/chart" uri="{C3380CC4-5D6E-409C-BE32-E72D297353CC}">
              <c16:uniqueId val="{00000002-02A9-794F-A82F-913D91CEE55F}"/>
            </c:ext>
          </c:extLst>
        </c:ser>
        <c:ser>
          <c:idx val="3"/>
          <c:order val="3"/>
          <c:tx>
            <c:strRef>
              <c:f>Peers!$F$6</c:f>
              <c:strCache>
                <c:ptCount val="1"/>
                <c:pt idx="0">
                  <c:v>HUMANA INC. (XNYS:HUM)</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Peers!$F$42</c:f>
              <c:numCache>
                <c:formatCode>0.00%</c:formatCode>
                <c:ptCount val="1"/>
                <c:pt idx="0">
                  <c:v>-0.1358469269839564</c:v>
                </c:pt>
              </c:numCache>
            </c:numRef>
          </c:xVal>
          <c:yVal>
            <c:numRef>
              <c:f>Peers!$F$47</c:f>
              <c:numCache>
                <c:formatCode>0.00%</c:formatCode>
                <c:ptCount val="1"/>
                <c:pt idx="0">
                  <c:v>-0.13190764572293717</c:v>
                </c:pt>
              </c:numCache>
            </c:numRef>
          </c:yVal>
          <c:smooth val="0"/>
          <c:extLst>
            <c:ext xmlns:c16="http://schemas.microsoft.com/office/drawing/2014/chart" uri="{C3380CC4-5D6E-409C-BE32-E72D297353CC}">
              <c16:uniqueId val="{00000003-02A9-794F-A82F-913D91CEE55F}"/>
            </c:ext>
          </c:extLst>
        </c:ser>
        <c:dLbls>
          <c:showLegendKey val="0"/>
          <c:showVal val="0"/>
          <c:showCatName val="0"/>
          <c:showSerName val="0"/>
          <c:showPercent val="0"/>
          <c:showBubbleSize val="0"/>
        </c:dLbls>
        <c:axId val="581212960"/>
        <c:axId val="581217120"/>
        <c:extLst>
          <c:ext xmlns:c15="http://schemas.microsoft.com/office/drawing/2012/chart" uri="{02D57815-91ED-43cb-92C2-25804820EDAC}">
            <c15:filteredScatterSeries>
              <c15:ser>
                <c:idx val="5"/>
                <c:order val="4"/>
                <c:tx>
                  <c:strRef>
                    <c:extLst>
                      <c:ext uri="{02D57815-91ED-43cb-92C2-25804820EDAC}">
                        <c15:formulaRef>
                          <c15:sqref>Peers!$G$6</c15:sqref>
                        </c15:formulaRef>
                      </c:ext>
                    </c:extLst>
                    <c:strCache>
                      <c:ptCount val="1"/>
                      <c:pt idx="0">
                        <c:v>AVERAGE</c:v>
                      </c:pt>
                    </c:strCache>
                  </c:strRef>
                </c:tx>
                <c:spPr>
                  <a:ln w="25400" cap="rnd">
                    <a:noFill/>
                    <a:round/>
                  </a:ln>
                  <a:effectLst/>
                </c:spPr>
                <c:marker>
                  <c:symbol val="circle"/>
                  <c:size val="5"/>
                  <c:spPr>
                    <a:solidFill>
                      <a:schemeClr val="accent6"/>
                    </a:solidFill>
                    <a:ln w="9525">
                      <a:solidFill>
                        <a:schemeClr val="accent6"/>
                      </a:solidFill>
                    </a:ln>
                    <a:effectLst/>
                  </c:spPr>
                </c:marker>
                <c:xVal>
                  <c:numRef>
                    <c:extLst>
                      <c:ext uri="{02D57815-91ED-43cb-92C2-25804820EDAC}">
                        <c15:formulaRef>
                          <c15:sqref>Peers!$G$42</c15:sqref>
                        </c15:formulaRef>
                      </c:ext>
                    </c:extLst>
                    <c:numCache>
                      <c:formatCode>0%</c:formatCode>
                      <c:ptCount val="1"/>
                      <c:pt idx="0">
                        <c:v>0.55166450145820578</c:v>
                      </c:pt>
                    </c:numCache>
                  </c:numRef>
                </c:xVal>
                <c:yVal>
                  <c:numRef>
                    <c:extLst>
                      <c:ext uri="{02D57815-91ED-43cb-92C2-25804820EDAC}">
                        <c15:formulaRef>
                          <c15:sqref>Peers!$G$47</c15:sqref>
                        </c15:formulaRef>
                      </c:ext>
                    </c:extLst>
                    <c:numCache>
                      <c:formatCode>0%</c:formatCode>
                      <c:ptCount val="1"/>
                      <c:pt idx="0">
                        <c:v>0.23308076392792954</c:v>
                      </c:pt>
                    </c:numCache>
                  </c:numRef>
                </c:yVal>
                <c:smooth val="0"/>
                <c:extLst>
                  <c:ext xmlns:c16="http://schemas.microsoft.com/office/drawing/2014/chart" uri="{C3380CC4-5D6E-409C-BE32-E72D297353CC}">
                    <c16:uniqueId val="{00000004-02A9-794F-A82F-913D91CEE55F}"/>
                  </c:ext>
                </c:extLst>
              </c15:ser>
            </c15:filteredScatterSeries>
            <c15:filteredScatterSeries>
              <c15:ser>
                <c:idx val="6"/>
                <c:order val="5"/>
                <c:tx>
                  <c:strRef>
                    <c:extLst xmlns:c15="http://schemas.microsoft.com/office/drawing/2012/chart">
                      <c:ext xmlns:c15="http://schemas.microsoft.com/office/drawing/2012/chart" uri="{02D57815-91ED-43cb-92C2-25804820EDAC}">
                        <c15:formulaRef>
                          <c15:sqref>Peers!$H$6</c15:sqref>
                        </c15:formulaRef>
                      </c:ext>
                    </c:extLst>
                    <c:strCache>
                      <c:ptCount val="1"/>
                      <c:pt idx="0">
                        <c:v>Deviation from Average</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Peers!$H$42</c15:sqref>
                        </c15:formulaRef>
                      </c:ext>
                    </c:extLst>
                    <c:numCache>
                      <c:formatCode>0.00%</c:formatCode>
                      <c:ptCount val="1"/>
                      <c:pt idx="0">
                        <c:v>1.0383354985417943</c:v>
                      </c:pt>
                    </c:numCache>
                  </c:numRef>
                </c:xVal>
                <c:yVal>
                  <c:numRef>
                    <c:extLst xmlns:c15="http://schemas.microsoft.com/office/drawing/2012/chart">
                      <c:ext xmlns:c15="http://schemas.microsoft.com/office/drawing/2012/chart" uri="{02D57815-91ED-43cb-92C2-25804820EDAC}">
                        <c15:formulaRef>
                          <c15:sqref>Peers!$H$47</c15:sqref>
                        </c15:formulaRef>
                      </c:ext>
                    </c:extLst>
                    <c:numCache>
                      <c:formatCode>0.00%</c:formatCode>
                      <c:ptCount val="1"/>
                      <c:pt idx="0">
                        <c:v>0.18629853521088863</c:v>
                      </c:pt>
                    </c:numCache>
                  </c:numRef>
                </c:yVal>
                <c:smooth val="0"/>
                <c:extLst xmlns:c15="http://schemas.microsoft.com/office/drawing/2012/chart">
                  <c:ext xmlns:c16="http://schemas.microsoft.com/office/drawing/2014/chart" uri="{C3380CC4-5D6E-409C-BE32-E72D297353CC}">
                    <c16:uniqueId val="{00000005-02A9-794F-A82F-913D91CEE55F}"/>
                  </c:ext>
                </c:extLst>
              </c15:ser>
            </c15:filteredScatterSeries>
          </c:ext>
        </c:extLst>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687768038429158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ESG!$AK$91:$AK$92</c:f>
              <c:strCache>
                <c:ptCount val="2"/>
                <c:pt idx="0">
                  <c:v>Total Waste Production / Net Sales ($M)</c:v>
                </c:pt>
                <c:pt idx="1">
                  <c:v>UNH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ESG!$AJ$93:$AJ$103</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f>ESG!$AK$93:$AK$103</c:f>
              <c:numCache>
                <c:formatCode>0.00000%</c:formatCode>
                <c:ptCount val="11"/>
                <c:pt idx="2">
                  <c:v>1.0270245412879195E-4</c:v>
                </c:pt>
                <c:pt idx="3">
                  <c:v>8.2109645018999797E-5</c:v>
                </c:pt>
                <c:pt idx="4">
                  <c:v>7.3036139363774071E-5</c:v>
                </c:pt>
                <c:pt idx="5">
                  <c:v>7.9041951888804383E-5</c:v>
                </c:pt>
                <c:pt idx="6">
                  <c:v>6.8509195702042453E-5</c:v>
                </c:pt>
                <c:pt idx="7">
                  <c:v>6.3595630897565612E-5</c:v>
                </c:pt>
                <c:pt idx="8">
                  <c:v>5.6000404447365456E-5</c:v>
                </c:pt>
                <c:pt idx="9">
                  <c:v>6.1196744055049264E-5</c:v>
                </c:pt>
                <c:pt idx="10">
                  <c:v>3.0848773144292053E-4</c:v>
                </c:pt>
              </c:numCache>
            </c:numRef>
          </c:val>
          <c:smooth val="0"/>
          <c:extLst>
            <c:ext xmlns:c16="http://schemas.microsoft.com/office/drawing/2014/chart" uri="{C3380CC4-5D6E-409C-BE32-E72D297353CC}">
              <c16:uniqueId val="{0000000A-1735-475A-B0C6-24927AED82CC}"/>
            </c:ext>
          </c:extLst>
        </c:ser>
        <c:ser>
          <c:idx val="1"/>
          <c:order val="1"/>
          <c:tx>
            <c:strRef>
              <c:f>ESG!$AL$91:$AL$92</c:f>
              <c:strCache>
                <c:ptCount val="2"/>
                <c:pt idx="0">
                  <c:v>Total Waste Production / Net Sales ($M)</c:v>
                </c:pt>
                <c:pt idx="1">
                  <c:v>ELV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ESG!$AJ$93:$AJ$103</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f>ESG!$AL$93:$AL$103</c:f>
              <c:numCache>
                <c:formatCode>0.00000%</c:formatCode>
                <c:ptCount val="11"/>
                <c:pt idx="5">
                  <c:v>4.4424700133274104E-5</c:v>
                </c:pt>
                <c:pt idx="6">
                  <c:v>4.4514412898322562E-5</c:v>
                </c:pt>
                <c:pt idx="7">
                  <c:v>3.9342500455797257E-5</c:v>
                </c:pt>
                <c:pt idx="8">
                  <c:v>1.4770200300327406E-5</c:v>
                </c:pt>
                <c:pt idx="9">
                  <c:v>7.9342753482064943E-6</c:v>
                </c:pt>
                <c:pt idx="10">
                  <c:v>7.6630799195376601E-6</c:v>
                </c:pt>
              </c:numCache>
            </c:numRef>
          </c:val>
          <c:smooth val="0"/>
          <c:extLst>
            <c:ext xmlns:c16="http://schemas.microsoft.com/office/drawing/2014/chart" uri="{C3380CC4-5D6E-409C-BE32-E72D297353CC}">
              <c16:uniqueId val="{0000000C-1735-475A-B0C6-24927AED82CC}"/>
            </c:ext>
          </c:extLst>
        </c:ser>
        <c:ser>
          <c:idx val="2"/>
          <c:order val="2"/>
          <c:tx>
            <c:strRef>
              <c:f>ESG!$AM$91:$AM$92</c:f>
              <c:strCache>
                <c:ptCount val="2"/>
                <c:pt idx="0">
                  <c:v>Total Waste Production / Net Sales ($M)</c:v>
                </c:pt>
                <c:pt idx="1">
                  <c:v>CVS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ESG!$AJ$93:$AJ$103</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f>ESG!$AM$93:$AM$103</c:f>
              <c:numCache>
                <c:formatCode>0.00000%</c:formatCode>
                <c:ptCount val="11"/>
                <c:pt idx="3">
                  <c:v>2.2180181355600494E-5</c:v>
                </c:pt>
                <c:pt idx="4">
                  <c:v>1.9152124195892434E-5</c:v>
                </c:pt>
                <c:pt idx="5">
                  <c:v>2.5434827313757537E-5</c:v>
                </c:pt>
                <c:pt idx="6">
                  <c:v>2.621043380837603E-5</c:v>
                </c:pt>
                <c:pt idx="7">
                  <c:v>1.7135557840296601E-5</c:v>
                </c:pt>
                <c:pt idx="8">
                  <c:v>1.6002619963826634E-5</c:v>
                </c:pt>
                <c:pt idx="9">
                  <c:v>1.9170794663672371E-5</c:v>
                </c:pt>
                <c:pt idx="10">
                  <c:v>2.9770488142972768E-5</c:v>
                </c:pt>
              </c:numCache>
            </c:numRef>
          </c:val>
          <c:smooth val="0"/>
          <c:extLst>
            <c:ext xmlns:c16="http://schemas.microsoft.com/office/drawing/2014/chart" uri="{C3380CC4-5D6E-409C-BE32-E72D297353CC}">
              <c16:uniqueId val="{0000000E-1735-475A-B0C6-24927AED82CC}"/>
            </c:ext>
          </c:extLst>
        </c:ser>
        <c:ser>
          <c:idx val="3"/>
          <c:order val="3"/>
          <c:tx>
            <c:strRef>
              <c:f>ESG!$AN$91:$AN$92</c:f>
              <c:strCache>
                <c:ptCount val="2"/>
                <c:pt idx="0">
                  <c:v>Total Waste Production / Net Sales ($M)</c:v>
                </c:pt>
                <c:pt idx="1">
                  <c:v>HUM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ESG!$AJ$93:$AJ$103</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f>ESG!$AN$93:$AN$103</c:f>
              <c:numCache>
                <c:formatCode>0.00000%</c:formatCode>
                <c:ptCount val="11"/>
                <c:pt idx="0">
                  <c:v>1.3801564177273425E-4</c:v>
                </c:pt>
                <c:pt idx="1">
                  <c:v>2.0090528405102511E-4</c:v>
                </c:pt>
                <c:pt idx="2">
                  <c:v>1.7731958762886598E-4</c:v>
                </c:pt>
                <c:pt idx="3">
                  <c:v>1.6946342721361601E-4</c:v>
                </c:pt>
                <c:pt idx="4">
                  <c:v>1.599882307508413E-4</c:v>
                </c:pt>
                <c:pt idx="5">
                  <c:v>1.6924879572972269E-4</c:v>
                </c:pt>
                <c:pt idx="6">
                  <c:v>1.1948271014900196E-4</c:v>
                </c:pt>
                <c:pt idx="7">
                  <c:v>1.0171372210578227E-4</c:v>
                </c:pt>
                <c:pt idx="8">
                  <c:v>5.4435875834359406E-5</c:v>
                </c:pt>
                <c:pt idx="9">
                  <c:v>8.7884041221227008E-5</c:v>
                </c:pt>
                <c:pt idx="10">
                  <c:v>9.5832884677506192E-5</c:v>
                </c:pt>
              </c:numCache>
            </c:numRef>
          </c:val>
          <c:smooth val="0"/>
          <c:extLst>
            <c:ext xmlns:c16="http://schemas.microsoft.com/office/drawing/2014/chart" uri="{C3380CC4-5D6E-409C-BE32-E72D297353CC}">
              <c16:uniqueId val="{00000010-1735-475A-B0C6-24927AED82CC}"/>
            </c:ext>
          </c:extLst>
        </c:ser>
        <c:dLbls>
          <c:showLegendKey val="0"/>
          <c:showVal val="0"/>
          <c:showCatName val="0"/>
          <c:showSerName val="0"/>
          <c:showPercent val="0"/>
          <c:showBubbleSize val="0"/>
        </c:dLbls>
        <c:marker val="1"/>
        <c:smooth val="0"/>
        <c:axId val="365962591"/>
        <c:axId val="365934271"/>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Energy Consumption (Gigajoules)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ESG!$AK$76:$AK$77</c:f>
              <c:strCache>
                <c:ptCount val="2"/>
                <c:pt idx="0">
                  <c:v>Total Energy Consumption / Net Sales ($M)</c:v>
                </c:pt>
                <c:pt idx="1">
                  <c:v>UNH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ESG!$AJ$78:$AJ$89</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ESG!$AK$78:$AK$89</c:f>
              <c:numCache>
                <c:formatCode>0.000%</c:formatCode>
                <c:ptCount val="12"/>
                <c:pt idx="4">
                  <c:v>2.3690860369047846E-3</c:v>
                </c:pt>
                <c:pt idx="5">
                  <c:v>2.0174204717593592E-3</c:v>
                </c:pt>
                <c:pt idx="6">
                  <c:v>1.8219418469966543E-3</c:v>
                </c:pt>
                <c:pt idx="7">
                  <c:v>1.6119550756474119E-3</c:v>
                </c:pt>
                <c:pt idx="8">
                  <c:v>1.5514856187152856E-3</c:v>
                </c:pt>
                <c:pt idx="9">
                  <c:v>1.4843996095527357E-3</c:v>
                </c:pt>
                <c:pt idx="10">
                  <c:v>4.9958796510394749E-3</c:v>
                </c:pt>
                <c:pt idx="11">
                  <c:v>4.8876796169816331E-3</c:v>
                </c:pt>
              </c:numCache>
            </c:numRef>
          </c:val>
          <c:smooth val="0"/>
          <c:extLst>
            <c:ext xmlns:c16="http://schemas.microsoft.com/office/drawing/2014/chart" uri="{C3380CC4-5D6E-409C-BE32-E72D297353CC}">
              <c16:uniqueId val="{00000002-19A1-4F35-9ED1-F1281B8CC7DB}"/>
            </c:ext>
          </c:extLst>
        </c:ser>
        <c:ser>
          <c:idx val="1"/>
          <c:order val="1"/>
          <c:tx>
            <c:strRef>
              <c:f>ESG!$AL$76:$AL$77</c:f>
              <c:strCache>
                <c:ptCount val="2"/>
                <c:pt idx="0">
                  <c:v>Total Energy Consumption / Net Sales ($M)</c:v>
                </c:pt>
                <c:pt idx="1">
                  <c:v>ELV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ESG!$AJ$78:$AJ$89</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ESG!$AL$78:$AL$89</c:f>
              <c:numCache>
                <c:formatCode>0.000%</c:formatCode>
                <c:ptCount val="12"/>
                <c:pt idx="7">
                  <c:v>3.0671516204332011E-3</c:v>
                </c:pt>
                <c:pt idx="8">
                  <c:v>2.8067515569074877E-3</c:v>
                </c:pt>
                <c:pt idx="9">
                  <c:v>2.2573789459000388E-3</c:v>
                </c:pt>
                <c:pt idx="10">
                  <c:v>1.5370855242752761E-3</c:v>
                </c:pt>
                <c:pt idx="11">
                  <c:v>1.5715699734985152E-3</c:v>
                </c:pt>
              </c:numCache>
            </c:numRef>
          </c:val>
          <c:smooth val="0"/>
          <c:extLst>
            <c:ext xmlns:c16="http://schemas.microsoft.com/office/drawing/2014/chart" uri="{C3380CC4-5D6E-409C-BE32-E72D297353CC}">
              <c16:uniqueId val="{00000004-19A1-4F35-9ED1-F1281B8CC7DB}"/>
            </c:ext>
          </c:extLst>
        </c:ser>
        <c:ser>
          <c:idx val="2"/>
          <c:order val="2"/>
          <c:tx>
            <c:strRef>
              <c:f>ESG!$AM$76:$AM$77</c:f>
              <c:strCache>
                <c:ptCount val="2"/>
                <c:pt idx="0">
                  <c:v>Total Energy Consumption / Net Sales ($M)</c:v>
                </c:pt>
                <c:pt idx="1">
                  <c:v>CVS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ESG!$AJ$78:$AJ$89</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ESG!$AM$78:$AM$89</c:f>
              <c:numCache>
                <c:formatCode>0.000%</c:formatCode>
                <c:ptCount val="12"/>
                <c:pt idx="4">
                  <c:v>2.4243590579946506E-2</c:v>
                </c:pt>
                <c:pt idx="5">
                  <c:v>2.0591913297207168E-2</c:v>
                </c:pt>
                <c:pt idx="6">
                  <c:v>1.9066920654162114E-2</c:v>
                </c:pt>
                <c:pt idx="7">
                  <c:v>1.655574342554952E-2</c:v>
                </c:pt>
                <c:pt idx="8">
                  <c:v>1.2595413901610742E-2</c:v>
                </c:pt>
                <c:pt idx="9">
                  <c:v>1.1322039701383669E-2</c:v>
                </c:pt>
                <c:pt idx="10">
                  <c:v>1.034058970733728E-2</c:v>
                </c:pt>
                <c:pt idx="11">
                  <c:v>9.6217597459585004E-3</c:v>
                </c:pt>
              </c:numCache>
            </c:numRef>
          </c:val>
          <c:smooth val="0"/>
          <c:extLst>
            <c:ext xmlns:c16="http://schemas.microsoft.com/office/drawing/2014/chart" uri="{C3380CC4-5D6E-409C-BE32-E72D297353CC}">
              <c16:uniqueId val="{00000006-19A1-4F35-9ED1-F1281B8CC7DB}"/>
            </c:ext>
          </c:extLst>
        </c:ser>
        <c:ser>
          <c:idx val="3"/>
          <c:order val="3"/>
          <c:tx>
            <c:strRef>
              <c:f>ESG!$AN$76:$AN$77</c:f>
              <c:strCache>
                <c:ptCount val="2"/>
                <c:pt idx="0">
                  <c:v>Total Energy Consumption / Net Sales ($M)</c:v>
                </c:pt>
                <c:pt idx="1">
                  <c:v>HUM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ESG!$AJ$78:$AJ$89</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ESG!$AN$78:$AN$89</c:f>
              <c:numCache>
                <c:formatCode>0.000%</c:formatCode>
                <c:ptCount val="12"/>
                <c:pt idx="0">
                  <c:v>5.3105994787141612E-3</c:v>
                </c:pt>
                <c:pt idx="1">
                  <c:v>1.4466083933956961E-3</c:v>
                </c:pt>
                <c:pt idx="2">
                  <c:v>1.9921090213734175E-3</c:v>
                </c:pt>
                <c:pt idx="3">
                  <c:v>5.3546391752577315E-3</c:v>
                </c:pt>
                <c:pt idx="4">
                  <c:v>4.6399823168597693E-3</c:v>
                </c:pt>
                <c:pt idx="5">
                  <c:v>4.6727597050331927E-3</c:v>
                </c:pt>
                <c:pt idx="6">
                  <c:v>4.8654379080104899E-3</c:v>
                </c:pt>
                <c:pt idx="7">
                  <c:v>4.2152797301096435E-3</c:v>
                </c:pt>
                <c:pt idx="8">
                  <c:v>3.3134015534459376E-3</c:v>
                </c:pt>
                <c:pt idx="9">
                  <c:v>2.5740392715961377E-3</c:v>
                </c:pt>
                <c:pt idx="10">
                  <c:v>3.1084464990850428E-3</c:v>
                </c:pt>
                <c:pt idx="11">
                  <c:v>3.8699257025950249E-3</c:v>
                </c:pt>
              </c:numCache>
            </c:numRef>
          </c:val>
          <c:smooth val="0"/>
          <c:extLst>
            <c:ext xmlns:c16="http://schemas.microsoft.com/office/drawing/2014/chart" uri="{C3380CC4-5D6E-409C-BE32-E72D297353CC}">
              <c16:uniqueId val="{00000008-19A1-4F35-9ED1-F1281B8CC7DB}"/>
            </c:ext>
          </c:extLst>
        </c:ser>
        <c:dLbls>
          <c:showLegendKey val="0"/>
          <c:showVal val="0"/>
          <c:showCatName val="0"/>
          <c:showSerName val="0"/>
          <c:showPercent val="0"/>
          <c:showBubbleSize val="0"/>
        </c:dLbls>
        <c:marker val="1"/>
        <c:smooth val="0"/>
        <c:axId val="365962591"/>
        <c:axId val="365934271"/>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Water Consumption (Cubic Meters)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ESG!$AK$63:$AK$64</c:f>
              <c:strCache>
                <c:ptCount val="2"/>
                <c:pt idx="0">
                  <c:v>Total Water Consumption / Net Sales ($M)</c:v>
                </c:pt>
                <c:pt idx="1">
                  <c:v>UNH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ESG!$AJ$65:$AJ$74</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ESG!$AK$65:$AK$74</c:f>
              <c:numCache>
                <c:formatCode>0.000%</c:formatCode>
                <c:ptCount val="10"/>
                <c:pt idx="2">
                  <c:v>4.3919112452023143E-3</c:v>
                </c:pt>
                <c:pt idx="3">
                  <c:v>5.1011685782298205E-3</c:v>
                </c:pt>
                <c:pt idx="4">
                  <c:v>4.0574868636252918E-3</c:v>
                </c:pt>
                <c:pt idx="5">
                  <c:v>3.2566177673074115E-3</c:v>
                </c:pt>
                <c:pt idx="6">
                  <c:v>2.6784497532572112E-3</c:v>
                </c:pt>
                <c:pt idx="7">
                  <c:v>2.0969040331957956E-3</c:v>
                </c:pt>
                <c:pt idx="8">
                  <c:v>7.2740675319979018E-4</c:v>
                </c:pt>
                <c:pt idx="9">
                  <c:v>1.3184765641870426E-3</c:v>
                </c:pt>
              </c:numCache>
            </c:numRef>
          </c:val>
          <c:smooth val="0"/>
          <c:extLst>
            <c:ext xmlns:c16="http://schemas.microsoft.com/office/drawing/2014/chart" uri="{C3380CC4-5D6E-409C-BE32-E72D297353CC}">
              <c16:uniqueId val="{00000002-8973-4DAC-9D38-EC38050A1B6F}"/>
            </c:ext>
          </c:extLst>
        </c:ser>
        <c:ser>
          <c:idx val="1"/>
          <c:order val="1"/>
          <c:tx>
            <c:strRef>
              <c:f>ESG!$AL$63:$AL$64</c:f>
              <c:strCache>
                <c:ptCount val="2"/>
                <c:pt idx="0">
                  <c:v>Total Water Consumption / Net Sales ($M)</c:v>
                </c:pt>
                <c:pt idx="1">
                  <c:v>ELV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ESG!$AJ$65:$AJ$74</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ESG!$AL$65:$AL$74</c:f>
              <c:numCache>
                <c:formatCode>0.000%</c:formatCode>
                <c:ptCount val="10"/>
                <c:pt idx="2">
                  <c:v>8.3214897070992278E-3</c:v>
                </c:pt>
                <c:pt idx="3">
                  <c:v>6.301921921214192E-3</c:v>
                </c:pt>
                <c:pt idx="4">
                  <c:v>5.4353620613060861E-3</c:v>
                </c:pt>
                <c:pt idx="5">
                  <c:v>5.3515010042885832E-3</c:v>
                </c:pt>
                <c:pt idx="6">
                  <c:v>5.1759377428919617E-3</c:v>
                </c:pt>
                <c:pt idx="7">
                  <c:v>2.4846759171884103E-3</c:v>
                </c:pt>
                <c:pt idx="8">
                  <c:v>1.6467227836323114E-3</c:v>
                </c:pt>
                <c:pt idx="9">
                  <c:v>1.031961429164405E-3</c:v>
                </c:pt>
              </c:numCache>
            </c:numRef>
          </c:val>
          <c:smooth val="0"/>
          <c:extLst>
            <c:ext xmlns:c16="http://schemas.microsoft.com/office/drawing/2014/chart" uri="{C3380CC4-5D6E-409C-BE32-E72D297353CC}">
              <c16:uniqueId val="{00000004-8973-4DAC-9D38-EC38050A1B6F}"/>
            </c:ext>
          </c:extLst>
        </c:ser>
        <c:ser>
          <c:idx val="2"/>
          <c:order val="2"/>
          <c:tx>
            <c:strRef>
              <c:f>ESG!$AM$63:$AM$64</c:f>
              <c:strCache>
                <c:ptCount val="2"/>
                <c:pt idx="0">
                  <c:v>Total Water Consumption / Net Sales ($M)</c:v>
                </c:pt>
                <c:pt idx="1">
                  <c:v>CVS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ESG!$AJ$65:$AJ$74</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ESG!$AM$65:$AM$74</c:f>
              <c:numCache>
                <c:formatCode>0.000%</c:formatCode>
                <c:ptCount val="10"/>
                <c:pt idx="7">
                  <c:v>4.4435181946067452E-3</c:v>
                </c:pt>
                <c:pt idx="8">
                  <c:v>4.0361369479410226E-3</c:v>
                </c:pt>
                <c:pt idx="9">
                  <c:v>5.4734282887861398E-3</c:v>
                </c:pt>
              </c:numCache>
            </c:numRef>
          </c:val>
          <c:smooth val="0"/>
          <c:extLst>
            <c:ext xmlns:c16="http://schemas.microsoft.com/office/drawing/2014/chart" uri="{C3380CC4-5D6E-409C-BE32-E72D297353CC}">
              <c16:uniqueId val="{00000006-8973-4DAC-9D38-EC38050A1B6F}"/>
            </c:ext>
          </c:extLst>
        </c:ser>
        <c:ser>
          <c:idx val="3"/>
          <c:order val="3"/>
          <c:tx>
            <c:strRef>
              <c:f>ESG!$AN$63:$AN$64</c:f>
              <c:strCache>
                <c:ptCount val="2"/>
                <c:pt idx="0">
                  <c:v>Total Water Consumption / Net Sales ($M)</c:v>
                </c:pt>
                <c:pt idx="1">
                  <c:v>HUM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ESG!$AJ$65:$AJ$74</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ESG!$AN$65:$AN$74</c:f>
              <c:numCache>
                <c:formatCode>0.000%</c:formatCode>
                <c:ptCount val="10"/>
                <c:pt idx="1">
                  <c:v>8.3402061855670107E-3</c:v>
                </c:pt>
                <c:pt idx="2">
                  <c:v>6.5980216986866579E-3</c:v>
                </c:pt>
                <c:pt idx="3">
                  <c:v>7.7529928832821499E-3</c:v>
                </c:pt>
                <c:pt idx="4">
                  <c:v>7.3855710751948222E-3</c:v>
                </c:pt>
                <c:pt idx="5">
                  <c:v>5.9231796457689069E-3</c:v>
                </c:pt>
                <c:pt idx="6">
                  <c:v>4.6248921218098879E-3</c:v>
                </c:pt>
                <c:pt idx="7">
                  <c:v>9.1218974791005113E-3</c:v>
                </c:pt>
                <c:pt idx="8">
                  <c:v>8.156361359915246E-3</c:v>
                </c:pt>
                <c:pt idx="9">
                  <c:v>8.122106169914935E-3</c:v>
                </c:pt>
              </c:numCache>
            </c:numRef>
          </c:val>
          <c:smooth val="0"/>
          <c:extLst>
            <c:ext xmlns:c16="http://schemas.microsoft.com/office/drawing/2014/chart" uri="{C3380CC4-5D6E-409C-BE32-E72D297353CC}">
              <c16:uniqueId val="{00000008-8973-4DAC-9D38-EC38050A1B6F}"/>
            </c:ext>
          </c:extLst>
        </c:ser>
        <c:dLbls>
          <c:showLegendKey val="0"/>
          <c:showVal val="0"/>
          <c:showCatName val="0"/>
          <c:showSerName val="0"/>
          <c:showPercent val="0"/>
          <c:showBubbleSize val="0"/>
        </c:dLbls>
        <c:marker val="1"/>
        <c:smooth val="0"/>
        <c:axId val="365962591"/>
        <c:axId val="365934271"/>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GHG Scope 1 Emissions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ESG!$AK$48:$AK$49</c:f>
              <c:strCache>
                <c:ptCount val="2"/>
                <c:pt idx="0">
                  <c:v>GHG Scope 1 Emissions / Net Sales ($M)</c:v>
                </c:pt>
                <c:pt idx="1">
                  <c:v>UNH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ESG!$AJ$50:$AJ$61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ESG!$AK$50:$AK$61</c:f>
              <c:numCache>
                <c:formatCode>General</c:formatCode>
                <c:ptCount val="12"/>
                <c:pt idx="4" formatCode="0.0000%">
                  <c:v>1.0566047343530206E-4</c:v>
                </c:pt>
                <c:pt idx="5" formatCode="0.0000%">
                  <c:v>8.5479333477602248E-5</c:v>
                </c:pt>
                <c:pt idx="6" formatCode="0.0000%">
                  <c:v>8.2521786248688855E-5</c:v>
                </c:pt>
                <c:pt idx="7" formatCode="0.0000%">
                  <c:v>6.1437278726347749E-5</c:v>
                </c:pt>
                <c:pt idx="8" formatCode="0.0000%">
                  <c:v>7.3093679667981252E-5</c:v>
                </c:pt>
                <c:pt idx="9" formatCode="0.0000%">
                  <c:v>9.5278465900031504E-5</c:v>
                </c:pt>
                <c:pt idx="10" formatCode="0.0000%">
                  <c:v>4.2281386801670389E-4</c:v>
                </c:pt>
                <c:pt idx="11" formatCode="0.0000%">
                  <c:v>3.7758898328613474E-4</c:v>
                </c:pt>
              </c:numCache>
            </c:numRef>
          </c:val>
          <c:smooth val="0"/>
          <c:extLst>
            <c:ext xmlns:c16="http://schemas.microsoft.com/office/drawing/2014/chart" uri="{C3380CC4-5D6E-409C-BE32-E72D297353CC}">
              <c16:uniqueId val="{00000002-C0B0-4E22-951F-440C2943B972}"/>
            </c:ext>
          </c:extLst>
        </c:ser>
        <c:ser>
          <c:idx val="1"/>
          <c:order val="1"/>
          <c:tx>
            <c:strRef>
              <c:f>ESG!$AL$48:$AL$49</c:f>
              <c:strCache>
                <c:ptCount val="2"/>
                <c:pt idx="0">
                  <c:v>GHG Scope 1 Emissions / Net Sales ($M)</c:v>
                </c:pt>
                <c:pt idx="1">
                  <c:v>ELV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ESG!$AJ$50:$AJ$61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ESG!$AL$50:$AL$61</c:f>
              <c:numCache>
                <c:formatCode>General</c:formatCode>
                <c:ptCount val="12"/>
                <c:pt idx="6" formatCode="0.0000%">
                  <c:v>6.6637050199911156E-5</c:v>
                </c:pt>
                <c:pt idx="7" formatCode="0.0000%">
                  <c:v>1.2160034742956408E-4</c:v>
                </c:pt>
                <c:pt idx="8" formatCode="0.0000%">
                  <c:v>1.6408701409613007E-4</c:v>
                </c:pt>
                <c:pt idx="9" formatCode="0.0000%">
                  <c:v>1.0010913536888575E-4</c:v>
                </c:pt>
                <c:pt idx="10" formatCode="0.0000%">
                  <c:v>8.5113135553487837E-5</c:v>
                </c:pt>
                <c:pt idx="11" formatCode="0.0000%">
                  <c:v>1.0025862894728439E-4</c:v>
                </c:pt>
              </c:numCache>
            </c:numRef>
          </c:val>
          <c:smooth val="0"/>
          <c:extLst>
            <c:ext xmlns:c16="http://schemas.microsoft.com/office/drawing/2014/chart" uri="{C3380CC4-5D6E-409C-BE32-E72D297353CC}">
              <c16:uniqueId val="{00000004-C0B0-4E22-951F-440C2943B972}"/>
            </c:ext>
          </c:extLst>
        </c:ser>
        <c:ser>
          <c:idx val="2"/>
          <c:order val="2"/>
          <c:tx>
            <c:strRef>
              <c:f>ESG!$AM$48:$AM$49</c:f>
              <c:strCache>
                <c:ptCount val="2"/>
                <c:pt idx="0">
                  <c:v>GHG Scope 1 Emissions / Net Sales ($M)</c:v>
                </c:pt>
                <c:pt idx="1">
                  <c:v>CVS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ESG!$AJ$50:$AJ$61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ESG!$AM$50:$AM$61</c:f>
              <c:numCache>
                <c:formatCode>0.0000%</c:formatCode>
                <c:ptCount val="12"/>
                <c:pt idx="0">
                  <c:v>2.1858076563958917E-3</c:v>
                </c:pt>
                <c:pt idx="1">
                  <c:v>1.2677348882915221E-3</c:v>
                </c:pt>
                <c:pt idx="2">
                  <c:v>1.9375044374847154E-3</c:v>
                </c:pt>
                <c:pt idx="3">
                  <c:v>1.3525440025257056E-3</c:v>
                </c:pt>
                <c:pt idx="4">
                  <c:v>1.3973514254028313E-3</c:v>
                </c:pt>
                <c:pt idx="5">
                  <c:v>1.2426348816511384E-3</c:v>
                </c:pt>
                <c:pt idx="6">
                  <c:v>1.1153442360351973E-3</c:v>
                </c:pt>
                <c:pt idx="7">
                  <c:v>9.1119802239707269E-4</c:v>
                </c:pt>
                <c:pt idx="8">
                  <c:v>6.1220674829423301E-4</c:v>
                </c:pt>
                <c:pt idx="9">
                  <c:v>6.1554263767835485E-4</c:v>
                </c:pt>
                <c:pt idx="10">
                  <c:v>6.4461797056598348E-4</c:v>
                </c:pt>
                <c:pt idx="11">
                  <c:v>7.7527312872324923E-4</c:v>
                </c:pt>
              </c:numCache>
            </c:numRef>
          </c:val>
          <c:smooth val="0"/>
          <c:extLst>
            <c:ext xmlns:c16="http://schemas.microsoft.com/office/drawing/2014/chart" uri="{C3380CC4-5D6E-409C-BE32-E72D297353CC}">
              <c16:uniqueId val="{00000006-C0B0-4E22-951F-440C2943B972}"/>
            </c:ext>
          </c:extLst>
        </c:ser>
        <c:ser>
          <c:idx val="3"/>
          <c:order val="3"/>
          <c:tx>
            <c:strRef>
              <c:f>ESG!$AN$48:$AN$49</c:f>
              <c:strCache>
                <c:ptCount val="2"/>
                <c:pt idx="0">
                  <c:v>GHG Scope 1 Emissions / Net Sales ($M)</c:v>
                </c:pt>
                <c:pt idx="1">
                  <c:v>HUM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ESG!$AJ$50:$AJ$61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ESG!$AN$50:$AN$61</c:f>
              <c:numCache>
                <c:formatCode>0.0000%</c:formatCode>
                <c:ptCount val="12"/>
                <c:pt idx="1">
                  <c:v>3.2459234268772684E-4</c:v>
                </c:pt>
                <c:pt idx="2">
                  <c:v>4.2359547842083607E-4</c:v>
                </c:pt>
                <c:pt idx="3">
                  <c:v>3.4845360824742268E-4</c:v>
                </c:pt>
                <c:pt idx="4">
                  <c:v>2.8919302252758384E-4</c:v>
                </c:pt>
                <c:pt idx="5">
                  <c:v>2.960701741481087E-4</c:v>
                </c:pt>
                <c:pt idx="6">
                  <c:v>3.0501980768873096E-4</c:v>
                </c:pt>
                <c:pt idx="7">
                  <c:v>2.8816418330053414E-4</c:v>
                </c:pt>
                <c:pt idx="8">
                  <c:v>2.3116755024041424E-4</c:v>
                </c:pt>
                <c:pt idx="9">
                  <c:v>1.3997796643120991E-4</c:v>
                </c:pt>
                <c:pt idx="10">
                  <c:v>1.8901088317441973E-4</c:v>
                </c:pt>
                <c:pt idx="11">
                  <c:v>5.10390868956606E-4</c:v>
                </c:pt>
              </c:numCache>
            </c:numRef>
          </c:val>
          <c:smooth val="0"/>
          <c:extLst>
            <c:ext xmlns:c16="http://schemas.microsoft.com/office/drawing/2014/chart" uri="{C3380CC4-5D6E-409C-BE32-E72D297353CC}">
              <c16:uniqueId val="{00000008-C0B0-4E22-951F-440C2943B972}"/>
            </c:ext>
          </c:extLst>
        </c:ser>
        <c:dLbls>
          <c:showLegendKey val="0"/>
          <c:showVal val="0"/>
          <c:showCatName val="0"/>
          <c:showSerName val="0"/>
          <c:showPercent val="0"/>
          <c:showBubbleSize val="0"/>
        </c:dLbls>
        <c:marker val="1"/>
        <c:smooth val="0"/>
        <c:axId val="365962591"/>
        <c:axId val="365934271"/>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max val="2.5000000000000001E-3"/>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ESG!$AC$48:$AC$49</c:f>
              <c:strCache>
                <c:ptCount val="2"/>
                <c:pt idx="0">
                  <c:v>Net Sales ($M)</c:v>
                </c:pt>
                <c:pt idx="1">
                  <c:v>UNH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ESG!$AB$50:$AB$61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ESG!$AC$50:$AC$61</c:f>
              <c:numCache>
                <c:formatCode>_(* #,##0.00_);_(* \(#,##0.00\);_(* "-"??_);_(@_)</c:formatCode>
                <c:ptCount val="12"/>
                <c:pt idx="0">
                  <c:v>101862</c:v>
                </c:pt>
                <c:pt idx="1">
                  <c:v>110618</c:v>
                </c:pt>
                <c:pt idx="2">
                  <c:v>122489</c:v>
                </c:pt>
                <c:pt idx="3">
                  <c:v>130474</c:v>
                </c:pt>
                <c:pt idx="4">
                  <c:v>157107</c:v>
                </c:pt>
                <c:pt idx="5">
                  <c:v>184840</c:v>
                </c:pt>
                <c:pt idx="6">
                  <c:v>201159</c:v>
                </c:pt>
                <c:pt idx="7">
                  <c:v>226247</c:v>
                </c:pt>
                <c:pt idx="8">
                  <c:v>242155</c:v>
                </c:pt>
                <c:pt idx="9">
                  <c:v>257141</c:v>
                </c:pt>
                <c:pt idx="10">
                  <c:v>287597</c:v>
                </c:pt>
                <c:pt idx="11">
                  <c:v>324162</c:v>
                </c:pt>
              </c:numCache>
            </c:numRef>
          </c:val>
          <c:smooth val="0"/>
          <c:extLst>
            <c:ext xmlns:c16="http://schemas.microsoft.com/office/drawing/2014/chart" uri="{C3380CC4-5D6E-409C-BE32-E72D297353CC}">
              <c16:uniqueId val="{00000022-3DB5-45DC-B104-7B7045004AD1}"/>
            </c:ext>
          </c:extLst>
        </c:ser>
        <c:ser>
          <c:idx val="1"/>
          <c:order val="1"/>
          <c:tx>
            <c:strRef>
              <c:f>ESG!$AD$48:$AD$49</c:f>
              <c:strCache>
                <c:ptCount val="2"/>
                <c:pt idx="0">
                  <c:v>Net Sales ($M)</c:v>
                </c:pt>
                <c:pt idx="1">
                  <c:v>ELV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ESG!$AB$50:$AB$61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ESG!$AD$50:$AD$61</c:f>
              <c:numCache>
                <c:formatCode>_(* #,##0.00_);_(* \(#,##0.00\);_(* "-"??_);_(@_)</c:formatCode>
                <c:ptCount val="12"/>
                <c:pt idx="0">
                  <c:v>60710.7</c:v>
                </c:pt>
                <c:pt idx="1">
                  <c:v>61497.2</c:v>
                </c:pt>
                <c:pt idx="2">
                  <c:v>71023.5</c:v>
                </c:pt>
                <c:pt idx="3">
                  <c:v>73874.100000000006</c:v>
                </c:pt>
                <c:pt idx="4">
                  <c:v>79156.5</c:v>
                </c:pt>
                <c:pt idx="5">
                  <c:v>84863</c:v>
                </c:pt>
                <c:pt idx="6">
                  <c:v>90040</c:v>
                </c:pt>
                <c:pt idx="7">
                  <c:v>92105</c:v>
                </c:pt>
                <c:pt idx="8">
                  <c:v>104213</c:v>
                </c:pt>
                <c:pt idx="9">
                  <c:v>121867</c:v>
                </c:pt>
                <c:pt idx="10">
                  <c:v>138639</c:v>
                </c:pt>
                <c:pt idx="11">
                  <c:v>156595</c:v>
                </c:pt>
              </c:numCache>
            </c:numRef>
          </c:val>
          <c:smooth val="0"/>
          <c:extLst>
            <c:ext xmlns:c16="http://schemas.microsoft.com/office/drawing/2014/chart" uri="{C3380CC4-5D6E-409C-BE32-E72D297353CC}">
              <c16:uniqueId val="{00000024-3DB5-45DC-B104-7B7045004AD1}"/>
            </c:ext>
          </c:extLst>
        </c:ser>
        <c:ser>
          <c:idx val="2"/>
          <c:order val="2"/>
          <c:tx>
            <c:strRef>
              <c:f>ESG!$AE$48:$AE$49</c:f>
              <c:strCache>
                <c:ptCount val="2"/>
                <c:pt idx="0">
                  <c:v>Net Sales ($M)</c:v>
                </c:pt>
                <c:pt idx="1">
                  <c:v>CVS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ESG!$AB$50:$AB$61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ESG!$AE$50:$AE$61</c:f>
              <c:numCache>
                <c:formatCode>_(* #,##0.00_);_(* \(#,##0.00\);_(* "-"??_);_(@_)</c:formatCode>
                <c:ptCount val="12"/>
                <c:pt idx="0">
                  <c:v>107100</c:v>
                </c:pt>
                <c:pt idx="1">
                  <c:v>123133</c:v>
                </c:pt>
                <c:pt idx="2">
                  <c:v>126761</c:v>
                </c:pt>
                <c:pt idx="3">
                  <c:v>139367</c:v>
                </c:pt>
                <c:pt idx="4">
                  <c:v>153290</c:v>
                </c:pt>
                <c:pt idx="5">
                  <c:v>177526</c:v>
                </c:pt>
                <c:pt idx="6">
                  <c:v>184786</c:v>
                </c:pt>
                <c:pt idx="7">
                  <c:v>194579</c:v>
                </c:pt>
                <c:pt idx="8">
                  <c:v>256776</c:v>
                </c:pt>
                <c:pt idx="9">
                  <c:v>268706</c:v>
                </c:pt>
                <c:pt idx="10">
                  <c:v>292111</c:v>
                </c:pt>
                <c:pt idx="11">
                  <c:v>322467</c:v>
                </c:pt>
              </c:numCache>
            </c:numRef>
          </c:val>
          <c:smooth val="0"/>
          <c:extLst>
            <c:ext xmlns:c16="http://schemas.microsoft.com/office/drawing/2014/chart" uri="{C3380CC4-5D6E-409C-BE32-E72D297353CC}">
              <c16:uniqueId val="{00000026-3DB5-45DC-B104-7B7045004AD1}"/>
            </c:ext>
          </c:extLst>
        </c:ser>
        <c:ser>
          <c:idx val="3"/>
          <c:order val="3"/>
          <c:tx>
            <c:strRef>
              <c:f>ESG!$AF$48:$AF$49</c:f>
              <c:strCache>
                <c:ptCount val="2"/>
                <c:pt idx="0">
                  <c:v>Net Sales ($M)</c:v>
                </c:pt>
                <c:pt idx="1">
                  <c:v>HUM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ESG!$AB$50:$AB$61</c:f>
              <c:numCache>
                <c:formatCode>General</c:formatCode>
                <c:ptCount val="12"/>
                <c:pt idx="0">
                  <c:v>2011</c:v>
                </c:pt>
                <c:pt idx="1">
                  <c:v>2012</c:v>
                </c:pt>
                <c:pt idx="2">
                  <c:v>2013</c:v>
                </c:pt>
                <c:pt idx="3">
                  <c:v>2014</c:v>
                </c:pt>
                <c:pt idx="4">
                  <c:v>2015</c:v>
                </c:pt>
                <c:pt idx="5">
                  <c:v>2016</c:v>
                </c:pt>
                <c:pt idx="6">
                  <c:v>2017</c:v>
                </c:pt>
                <c:pt idx="7">
                  <c:v>2018</c:v>
                </c:pt>
                <c:pt idx="8">
                  <c:v>2019</c:v>
                </c:pt>
                <c:pt idx="9">
                  <c:v>2020</c:v>
                </c:pt>
                <c:pt idx="10">
                  <c:v>2021</c:v>
                </c:pt>
                <c:pt idx="11">
                  <c:v>2022</c:v>
                </c:pt>
              </c:numCache>
            </c:numRef>
          </c:cat>
          <c:val>
            <c:numRef>
              <c:f>ESG!$AF$50:$AF$61</c:f>
              <c:numCache>
                <c:formatCode>_(* #,##0.00_);_(* \(#,##0.00\);_(* "-"??_);_(@_)</c:formatCode>
                <c:ptCount val="12"/>
                <c:pt idx="0">
                  <c:v>36832</c:v>
                </c:pt>
                <c:pt idx="1">
                  <c:v>39126</c:v>
                </c:pt>
                <c:pt idx="2">
                  <c:v>41313</c:v>
                </c:pt>
                <c:pt idx="3">
                  <c:v>48500</c:v>
                </c:pt>
                <c:pt idx="4">
                  <c:v>54289</c:v>
                </c:pt>
                <c:pt idx="5">
                  <c:v>54379</c:v>
                </c:pt>
                <c:pt idx="6">
                  <c:v>53767</c:v>
                </c:pt>
                <c:pt idx="7">
                  <c:v>56912</c:v>
                </c:pt>
                <c:pt idx="8">
                  <c:v>64888</c:v>
                </c:pt>
                <c:pt idx="9">
                  <c:v>77155</c:v>
                </c:pt>
                <c:pt idx="10">
                  <c:v>83064</c:v>
                </c:pt>
                <c:pt idx="11">
                  <c:v>92870</c:v>
                </c:pt>
              </c:numCache>
            </c:numRef>
          </c:val>
          <c:smooth val="0"/>
          <c:extLst>
            <c:ext xmlns:c16="http://schemas.microsoft.com/office/drawing/2014/chart" uri="{C3380CC4-5D6E-409C-BE32-E72D297353CC}">
              <c16:uniqueId val="{00000028-3DB5-45DC-B104-7B7045004AD1}"/>
            </c:ext>
          </c:extLst>
        </c:ser>
        <c:dLbls>
          <c:showLegendKey val="0"/>
          <c:showVal val="0"/>
          <c:showCatName val="0"/>
          <c:showSerName val="0"/>
          <c:showPercent val="0"/>
          <c:showBubbleSize val="0"/>
        </c:dLbls>
        <c:marker val="1"/>
        <c:smooth val="0"/>
        <c:axId val="365962591"/>
        <c:axId val="365934271"/>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UnitedHealth Group Quarterly Revenues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Assumptions!$B$55:$B$101</c:f>
              <c:strCache>
                <c:ptCount val="47"/>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strCache>
            </c:strRef>
          </c:cat>
          <c:val>
            <c:numRef>
              <c:f>Assumptions!$C$55:$C$101</c:f>
              <c:numCache>
                <c:formatCode>_([$$-409]* #,##0.00_);_([$$-409]* \(#,##0.00\);_([$$-409]* "-"??_);_(@_)</c:formatCode>
                <c:ptCount val="47"/>
                <c:pt idx="0">
                  <c:v>27282</c:v>
                </c:pt>
                <c:pt idx="1">
                  <c:v>27265</c:v>
                </c:pt>
                <c:pt idx="2">
                  <c:v>27302</c:v>
                </c:pt>
                <c:pt idx="3">
                  <c:v>28769</c:v>
                </c:pt>
                <c:pt idx="4">
                  <c:v>30340</c:v>
                </c:pt>
                <c:pt idx="5">
                  <c:v>30408</c:v>
                </c:pt>
                <c:pt idx="6">
                  <c:v>30624</c:v>
                </c:pt>
                <c:pt idx="7">
                  <c:v>31117</c:v>
                </c:pt>
                <c:pt idx="8">
                  <c:v>31708</c:v>
                </c:pt>
                <c:pt idx="9">
                  <c:v>32574</c:v>
                </c:pt>
                <c:pt idx="10">
                  <c:v>32759</c:v>
                </c:pt>
                <c:pt idx="11">
                  <c:v>33433</c:v>
                </c:pt>
                <c:pt idx="12">
                  <c:v>35756</c:v>
                </c:pt>
                <c:pt idx="13">
                  <c:v>36263</c:v>
                </c:pt>
                <c:pt idx="14">
                  <c:v>41489</c:v>
                </c:pt>
                <c:pt idx="15">
                  <c:v>43599</c:v>
                </c:pt>
                <c:pt idx="16">
                  <c:v>44527</c:v>
                </c:pt>
                <c:pt idx="17">
                  <c:v>46485</c:v>
                </c:pt>
                <c:pt idx="18">
                  <c:v>46305</c:v>
                </c:pt>
                <c:pt idx="19">
                  <c:v>47523</c:v>
                </c:pt>
                <c:pt idx="20">
                  <c:v>48723</c:v>
                </c:pt>
                <c:pt idx="21">
                  <c:v>50053</c:v>
                </c:pt>
                <c:pt idx="22">
                  <c:v>50322</c:v>
                </c:pt>
                <c:pt idx="23">
                  <c:v>52061</c:v>
                </c:pt>
                <c:pt idx="24">
                  <c:v>55188</c:v>
                </c:pt>
                <c:pt idx="25">
                  <c:v>56086</c:v>
                </c:pt>
                <c:pt idx="26">
                  <c:v>56556</c:v>
                </c:pt>
                <c:pt idx="27">
                  <c:v>58417</c:v>
                </c:pt>
                <c:pt idx="28">
                  <c:v>60308</c:v>
                </c:pt>
                <c:pt idx="29">
                  <c:v>60595</c:v>
                </c:pt>
                <c:pt idx="30">
                  <c:v>60351</c:v>
                </c:pt>
                <c:pt idx="31">
                  <c:v>60901</c:v>
                </c:pt>
                <c:pt idx="32">
                  <c:v>64421</c:v>
                </c:pt>
                <c:pt idx="33">
                  <c:v>62138</c:v>
                </c:pt>
                <c:pt idx="34">
                  <c:v>65115</c:v>
                </c:pt>
                <c:pt idx="35">
                  <c:v>65467</c:v>
                </c:pt>
                <c:pt idx="36">
                  <c:v>70196</c:v>
                </c:pt>
                <c:pt idx="37">
                  <c:v>71321</c:v>
                </c:pt>
                <c:pt idx="38">
                  <c:v>72337</c:v>
                </c:pt>
                <c:pt idx="39">
                  <c:v>73743</c:v>
                </c:pt>
                <c:pt idx="40">
                  <c:v>80149</c:v>
                </c:pt>
                <c:pt idx="41">
                  <c:v>80332</c:v>
                </c:pt>
                <c:pt idx="42">
                  <c:v>80894</c:v>
                </c:pt>
                <c:pt idx="43">
                  <c:v>82787</c:v>
                </c:pt>
                <c:pt idx="44">
                  <c:v>91931</c:v>
                </c:pt>
                <c:pt idx="45">
                  <c:v>92903</c:v>
                </c:pt>
                <c:pt idx="46">
                  <c:v>92361</c:v>
                </c:pt>
              </c:numCache>
            </c:numRef>
          </c:val>
          <c:smooth val="0"/>
          <c:extLst>
            <c:ext xmlns:c16="http://schemas.microsoft.com/office/drawing/2014/chart" uri="{C3380CC4-5D6E-409C-BE32-E72D297353CC}">
              <c16:uniqueId val="{00000000-90F8-1249-AA24-C48738EBAA09}"/>
            </c:ext>
          </c:extLst>
        </c:ser>
        <c:dLbls>
          <c:showLegendKey val="0"/>
          <c:showVal val="0"/>
          <c:showCatName val="0"/>
          <c:showSerName val="0"/>
          <c:showPercent val="0"/>
          <c:showBubbleSize val="0"/>
        </c:dLbls>
        <c:smooth val="0"/>
        <c:axId val="1593096711"/>
        <c:axId val="1593677831"/>
      </c:lineChart>
      <c:catAx>
        <c:axId val="1593096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677831"/>
        <c:crosses val="autoZero"/>
        <c:auto val="1"/>
        <c:lblAlgn val="ctr"/>
        <c:lblOffset val="100"/>
        <c:noMultiLvlLbl val="0"/>
      </c:catAx>
      <c:valAx>
        <c:axId val="159367783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096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 Quarterly Real GDP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Assumptions!$AC$57:$AC$100</c:f>
              <c:strCache>
                <c:ptCount val="44"/>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strCache>
            </c:strRef>
          </c:cat>
          <c:val>
            <c:numRef>
              <c:f>Assumptions!$AD$57:$AD$100</c:f>
              <c:numCache>
                <c:formatCode>"$"#,##0_);[Red]\("$"#,##0\)</c:formatCode>
                <c:ptCount val="44"/>
                <c:pt idx="0">
                  <c:v>4279816</c:v>
                </c:pt>
                <c:pt idx="1">
                  <c:v>4345706</c:v>
                </c:pt>
                <c:pt idx="2">
                  <c:v>4376682</c:v>
                </c:pt>
                <c:pt idx="3">
                  <c:v>4440555</c:v>
                </c:pt>
                <c:pt idx="4">
                  <c:v>4320262</c:v>
                </c:pt>
                <c:pt idx="5">
                  <c:v>4419140</c:v>
                </c:pt>
                <c:pt idx="6">
                  <c:v>4486445</c:v>
                </c:pt>
                <c:pt idx="7">
                  <c:v>4586321</c:v>
                </c:pt>
                <c:pt idx="8">
                  <c:v>4403178</c:v>
                </c:pt>
                <c:pt idx="9">
                  <c:v>4532342</c:v>
                </c:pt>
                <c:pt idx="10">
                  <c:v>4616610</c:v>
                </c:pt>
                <c:pt idx="11">
                  <c:v>4709584</c:v>
                </c:pt>
                <c:pt idx="12">
                  <c:v>4562381</c:v>
                </c:pt>
                <c:pt idx="13">
                  <c:v>4696817</c:v>
                </c:pt>
                <c:pt idx="14">
                  <c:v>4741070</c:v>
                </c:pt>
                <c:pt idx="15">
                  <c:v>4799354</c:v>
                </c:pt>
                <c:pt idx="16">
                  <c:v>4641851</c:v>
                </c:pt>
                <c:pt idx="17">
                  <c:v>4768308</c:v>
                </c:pt>
                <c:pt idx="18">
                  <c:v>4819182</c:v>
                </c:pt>
                <c:pt idx="19">
                  <c:v>4912331</c:v>
                </c:pt>
                <c:pt idx="20">
                  <c:v>4698367</c:v>
                </c:pt>
                <c:pt idx="21">
                  <c:v>4893234</c:v>
                </c:pt>
                <c:pt idx="22">
                  <c:v>4950878</c:v>
                </c:pt>
                <c:pt idx="23">
                  <c:v>5069624</c:v>
                </c:pt>
                <c:pt idx="24">
                  <c:v>4890817</c:v>
                </c:pt>
                <c:pt idx="25">
                  <c:v>5039983</c:v>
                </c:pt>
                <c:pt idx="26">
                  <c:v>5092532</c:v>
                </c:pt>
                <c:pt idx="27">
                  <c:v>5170563</c:v>
                </c:pt>
                <c:pt idx="28">
                  <c:v>4968926</c:v>
                </c:pt>
                <c:pt idx="29">
                  <c:v>5157365</c:v>
                </c:pt>
                <c:pt idx="30">
                  <c:v>5223895</c:v>
                </c:pt>
                <c:pt idx="31">
                  <c:v>5341901</c:v>
                </c:pt>
                <c:pt idx="32">
                  <c:v>5044763</c:v>
                </c:pt>
                <c:pt idx="33">
                  <c:v>4773286</c:v>
                </c:pt>
                <c:pt idx="34">
                  <c:v>5129120</c:v>
                </c:pt>
                <c:pt idx="35">
                  <c:v>5286905</c:v>
                </c:pt>
                <c:pt idx="36">
                  <c:v>5116102</c:v>
                </c:pt>
                <c:pt idx="37">
                  <c:v>5337036</c:v>
                </c:pt>
                <c:pt idx="38">
                  <c:v>5386212</c:v>
                </c:pt>
                <c:pt idx="39">
                  <c:v>5568342</c:v>
                </c:pt>
                <c:pt idx="40">
                  <c:v>5303774</c:v>
                </c:pt>
                <c:pt idx="41">
                  <c:v>5434749</c:v>
                </c:pt>
                <c:pt idx="42">
                  <c:v>5487022</c:v>
                </c:pt>
                <c:pt idx="43">
                  <c:v>5596492</c:v>
                </c:pt>
              </c:numCache>
            </c:numRef>
          </c:val>
          <c:smooth val="0"/>
          <c:extLst>
            <c:ext xmlns:c16="http://schemas.microsoft.com/office/drawing/2014/chart" uri="{C3380CC4-5D6E-409C-BE32-E72D297353CC}">
              <c16:uniqueId val="{00000000-186E-F041-A1D4-14606C50BF4D}"/>
            </c:ext>
          </c:extLst>
        </c:ser>
        <c:dLbls>
          <c:showLegendKey val="0"/>
          <c:showVal val="0"/>
          <c:showCatName val="0"/>
          <c:showSerName val="0"/>
          <c:showPercent val="0"/>
          <c:showBubbleSize val="0"/>
        </c:dLbls>
        <c:smooth val="0"/>
        <c:axId val="846705671"/>
        <c:axId val="1252923400"/>
      </c:lineChart>
      <c:catAx>
        <c:axId val="846705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923400"/>
        <c:crosses val="autoZero"/>
        <c:auto val="1"/>
        <c:lblAlgn val="ctr"/>
        <c:lblOffset val="100"/>
        <c:noMultiLvlLbl val="0"/>
      </c:catAx>
      <c:valAx>
        <c:axId val="1252923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05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Global Quarterly Real GDP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Assumptions!$AC$57:$AC$100</c:f>
              <c:strCache>
                <c:ptCount val="44"/>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strCache>
            </c:strRef>
          </c:cat>
          <c:val>
            <c:numRef>
              <c:f>Assumptions!$AJ$57:$AJ$100</c:f>
              <c:numCache>
                <c:formatCode>"$"#,##0_);[Red]\("$"#,##0\)</c:formatCode>
                <c:ptCount val="44"/>
                <c:pt idx="0">
                  <c:v>980441.63063892815</c:v>
                </c:pt>
                <c:pt idx="1">
                  <c:v>974569.07351877319</c:v>
                </c:pt>
                <c:pt idx="2">
                  <c:v>999508.70015972399</c:v>
                </c:pt>
                <c:pt idx="3">
                  <c:v>958540.9484065643</c:v>
                </c:pt>
                <c:pt idx="4">
                  <c:v>988290.45716746373</c:v>
                </c:pt>
                <c:pt idx="5">
                  <c:v>987104.36625751981</c:v>
                </c:pt>
                <c:pt idx="6">
                  <c:v>1016101.2506974471</c:v>
                </c:pt>
                <c:pt idx="7">
                  <c:v>982375.37294434954</c:v>
                </c:pt>
                <c:pt idx="8">
                  <c:v>1007544.3854314251</c:v>
                </c:pt>
                <c:pt idx="9">
                  <c:v>1009686.0488209568</c:v>
                </c:pt>
                <c:pt idx="10">
                  <c:v>1039925.8808093453</c:v>
                </c:pt>
                <c:pt idx="11">
                  <c:v>1005387.2798170362</c:v>
                </c:pt>
                <c:pt idx="12">
                  <c:v>1033572.4078769784</c:v>
                </c:pt>
                <c:pt idx="13">
                  <c:v>1037239.4310003907</c:v>
                </c:pt>
                <c:pt idx="14">
                  <c:v>1070608.8174471685</c:v>
                </c:pt>
                <c:pt idx="15">
                  <c:v>1029289.9264234758</c:v>
                </c:pt>
                <c:pt idx="16">
                  <c:v>1064230.5826106945</c:v>
                </c:pt>
                <c:pt idx="17">
                  <c:v>1058650.1680539714</c:v>
                </c:pt>
                <c:pt idx="18">
                  <c:v>1095866.1880128717</c:v>
                </c:pt>
                <c:pt idx="19">
                  <c:v>1063199.9695986446</c:v>
                </c:pt>
                <c:pt idx="20">
                  <c:v>1091538.5940627009</c:v>
                </c:pt>
                <c:pt idx="21">
                  <c:v>1092365.6353081358</c:v>
                </c:pt>
                <c:pt idx="22">
                  <c:v>1127760.5377173461</c:v>
                </c:pt>
                <c:pt idx="23">
                  <c:v>1090270.5544968084</c:v>
                </c:pt>
                <c:pt idx="24">
                  <c:v>1123100.8337959335</c:v>
                </c:pt>
                <c:pt idx="25">
                  <c:v>1117219.9979418966</c:v>
                </c:pt>
                <c:pt idx="26">
                  <c:v>1153565.5248817848</c:v>
                </c:pt>
                <c:pt idx="27">
                  <c:v>1114995.0575822105</c:v>
                </c:pt>
                <c:pt idx="28">
                  <c:v>1145258.1625977398</c:v>
                </c:pt>
                <c:pt idx="29">
                  <c:v>1144595.8774255225</c:v>
                </c:pt>
                <c:pt idx="30">
                  <c:v>1174781.2375882829</c:v>
                </c:pt>
                <c:pt idx="31">
                  <c:v>1178483.2248339932</c:v>
                </c:pt>
                <c:pt idx="32">
                  <c:v>1158093.4583581181</c:v>
                </c:pt>
                <c:pt idx="33">
                  <c:v>996561.06147045433</c:v>
                </c:pt>
                <c:pt idx="34">
                  <c:v>1127796.9876185008</c:v>
                </c:pt>
                <c:pt idx="35">
                  <c:v>1143786.7092565324</c:v>
                </c:pt>
                <c:pt idx="36">
                  <c:v>1159474.9360731405</c:v>
                </c:pt>
                <c:pt idx="37">
                  <c:v>1163395.2407897741</c:v>
                </c:pt>
                <c:pt idx="38">
                  <c:v>1198870.1574916944</c:v>
                </c:pt>
                <c:pt idx="39">
                  <c:v>1215596.3211535304</c:v>
                </c:pt>
                <c:pt idx="40">
                  <c:v>1232206.5475311775</c:v>
                </c:pt>
                <c:pt idx="41">
                  <c:v>1227285.8506059675</c:v>
                </c:pt>
                <c:pt idx="42">
                  <c:v>1236827.9282422969</c:v>
                </c:pt>
                <c:pt idx="43">
                  <c:v>1241223.304072696</c:v>
                </c:pt>
              </c:numCache>
            </c:numRef>
          </c:val>
          <c:smooth val="0"/>
          <c:extLst>
            <c:ext xmlns:c16="http://schemas.microsoft.com/office/drawing/2014/chart" uri="{C3380CC4-5D6E-409C-BE32-E72D297353CC}">
              <c16:uniqueId val="{00000000-75F3-8F4C-BC38-140E57FAB9CF}"/>
            </c:ext>
          </c:extLst>
        </c:ser>
        <c:dLbls>
          <c:showLegendKey val="0"/>
          <c:showVal val="0"/>
          <c:showCatName val="0"/>
          <c:showSerName val="0"/>
          <c:showPercent val="0"/>
          <c:showBubbleSize val="0"/>
        </c:dLbls>
        <c:smooth val="0"/>
        <c:axId val="1969262600"/>
        <c:axId val="1969265672"/>
      </c:lineChart>
      <c:catAx>
        <c:axId val="1969262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265672"/>
        <c:crosses val="autoZero"/>
        <c:auto val="1"/>
        <c:lblAlgn val="ctr"/>
        <c:lblOffset val="100"/>
        <c:noMultiLvlLbl val="0"/>
      </c:catAx>
      <c:valAx>
        <c:axId val="1969265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262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Weighted Average Quarterly Real GDP of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Assumptions!$AU$58:$AU$101</c:f>
              <c:numCache>
                <c:formatCode>"$"#,##0_);[Red]\("$"#,##0\)</c:formatCode>
                <c:ptCount val="44"/>
                <c:pt idx="0">
                  <c:v>3919524.3188657714</c:v>
                </c:pt>
                <c:pt idx="1">
                  <c:v>3977577.8476282503</c:v>
                </c:pt>
                <c:pt idx="2">
                  <c:v>4007894.6756574418</c:v>
                </c:pt>
                <c:pt idx="3">
                  <c:v>4060319.0655659973</c:v>
                </c:pt>
                <c:pt idx="4">
                  <c:v>3956410.7075226875</c:v>
                </c:pt>
                <c:pt idx="5">
                  <c:v>4044361.7087953212</c:v>
                </c:pt>
                <c:pt idx="6">
                  <c:v>4107483.4625761616</c:v>
                </c:pt>
                <c:pt idx="7">
                  <c:v>4192770.1375255231</c:v>
                </c:pt>
                <c:pt idx="8">
                  <c:v>4032374.8092891118</c:v>
                </c:pt>
                <c:pt idx="9">
                  <c:v>4147667.9701312482</c:v>
                </c:pt>
                <c:pt idx="10">
                  <c:v>4226036.094184381</c:v>
                </c:pt>
                <c:pt idx="11">
                  <c:v>4305085.7181560202</c:v>
                </c:pt>
                <c:pt idx="12">
                  <c:v>4177035.1017401661</c:v>
                </c:pt>
                <c:pt idx="13">
                  <c:v>4297191.1294652428</c:v>
                </c:pt>
                <c:pt idx="14">
                  <c:v>4340255.6388652315</c:v>
                </c:pt>
                <c:pt idx="15">
                  <c:v>4387663.0031654434</c:v>
                </c:pt>
                <c:pt idx="16">
                  <c:v>4251174.8504210878</c:v>
                </c:pt>
                <c:pt idx="17">
                  <c:v>4363213.3647514936</c:v>
                </c:pt>
                <c:pt idx="18">
                  <c:v>4412595.9133310057</c:v>
                </c:pt>
                <c:pt idx="19">
                  <c:v>4492005.8914801721</c:v>
                </c:pt>
                <c:pt idx="20">
                  <c:v>4304501.3380716471</c:v>
                </c:pt>
                <c:pt idx="21">
                  <c:v>4478179.1745756483</c:v>
                </c:pt>
                <c:pt idx="22">
                  <c:v>4533393.5731187342</c:v>
                </c:pt>
                <c:pt idx="23">
                  <c:v>4635078.6037510512</c:v>
                </c:pt>
                <c:pt idx="24">
                  <c:v>4479382.3946505161</c:v>
                </c:pt>
                <c:pt idx="25">
                  <c:v>4611617.2801752547</c:v>
                </c:pt>
                <c:pt idx="26">
                  <c:v>4662396.8609170904</c:v>
                </c:pt>
                <c:pt idx="27">
                  <c:v>4727694.9806879768</c:v>
                </c:pt>
                <c:pt idx="28">
                  <c:v>4551381.4721556734</c:v>
                </c:pt>
                <c:pt idx="29">
                  <c:v>4719170.6118148677</c:v>
                </c:pt>
                <c:pt idx="30">
                  <c:v>4781731.7771446407</c:v>
                </c:pt>
                <c:pt idx="31">
                  <c:v>4887255.7789518731</c:v>
                </c:pt>
                <c:pt idx="32">
                  <c:v>4620338.686052707</c:v>
                </c:pt>
                <c:pt idx="33">
                  <c:v>4360867.6367125735</c:v>
                </c:pt>
                <c:pt idx="34">
                  <c:v>4692175.5270479405</c:v>
                </c:pt>
                <c:pt idx="35">
                  <c:v>4834476.4826508136</c:v>
                </c:pt>
                <c:pt idx="36">
                  <c:v>4684038.324619187</c:v>
                </c:pt>
                <c:pt idx="37">
                  <c:v>4881274.4290942438</c:v>
                </c:pt>
                <c:pt idx="38">
                  <c:v>4928954.2707980927</c:v>
                </c:pt>
                <c:pt idx="39">
                  <c:v>5093022.1718699653</c:v>
                </c:pt>
                <c:pt idx="40">
                  <c:v>4859158.834190405</c:v>
                </c:pt>
                <c:pt idx="41">
                  <c:v>4975294.0240861718</c:v>
                </c:pt>
                <c:pt idx="42">
                  <c:v>5022900.8073640596</c:v>
                </c:pt>
                <c:pt idx="43">
                  <c:v>5120896.6584047377</c:v>
                </c:pt>
              </c:numCache>
            </c:numRef>
          </c:val>
          <c:smooth val="0"/>
          <c:extLst>
            <c:ext xmlns:c16="http://schemas.microsoft.com/office/drawing/2014/chart" uri="{C3380CC4-5D6E-409C-BE32-E72D297353CC}">
              <c16:uniqueId val="{00000000-F4A9-494F-8B7B-D8D187FFD4FA}"/>
            </c:ext>
          </c:extLst>
        </c:ser>
        <c:dLbls>
          <c:showLegendKey val="0"/>
          <c:showVal val="0"/>
          <c:showCatName val="0"/>
          <c:showSerName val="0"/>
          <c:showPercent val="0"/>
          <c:showBubbleSize val="0"/>
        </c:dLbls>
        <c:smooth val="0"/>
        <c:axId val="500851720"/>
        <c:axId val="500853768"/>
      </c:lineChart>
      <c:catAx>
        <c:axId val="500851720"/>
        <c:scaling>
          <c:orientation val="minMax"/>
        </c:scaling>
        <c:delete val="1"/>
        <c:axPos val="b"/>
        <c:majorTickMark val="none"/>
        <c:minorTickMark val="none"/>
        <c:tickLblPos val="nextTo"/>
        <c:crossAx val="500853768"/>
        <c:crosses val="autoZero"/>
        <c:auto val="1"/>
        <c:lblAlgn val="ctr"/>
        <c:lblOffset val="100"/>
        <c:noMultiLvlLbl val="0"/>
      </c:catAx>
      <c:valAx>
        <c:axId val="500853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51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 Quarterly Real GDP Growth with Quarterly Revenues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[2]Assumptions1!$M$107:$M$149</c:f>
              <c:strCache>
                <c:ptCount val="43"/>
                <c:pt idx="0">
                  <c:v>0,0148113709827111</c:v>
                </c:pt>
                <c:pt idx="1">
                  <c:v>0,00762193203767692</c:v>
                </c:pt>
                <c:pt idx="2">
                  <c:v>0,013080281332482</c:v>
                </c:pt>
                <c:pt idx="3">
                  <c:v>-0,0255911804873948</c:v>
                </c:pt>
                <c:pt idx="4">
                  <c:v>0,0222299977869851</c:v>
                </c:pt>
                <c:pt idx="5">
                  <c:v>0,0156073463072228</c:v>
                </c:pt>
                <c:pt idx="6">
                  <c:v>0,020763729355558</c:v>
                </c:pt>
                <c:pt idx="7">
                  <c:v>-0,0382552162354106</c:v>
                </c:pt>
                <c:pt idx="8">
                  <c:v>0,0285918760767336</c:v>
                </c:pt>
                <c:pt idx="9">
                  <c:v>0,0188945027947001</c:v>
                </c:pt>
                <c:pt idx="10">
                  <c:v>0,0187053830610728</c:v>
                </c:pt>
                <c:pt idx="11">
                  <c:v>-0,0297440341026941</c:v>
                </c:pt>
                <c:pt idx="12">
                  <c:v>0,0287658649732245</c:v>
                </c:pt>
                <c:pt idx="13">
                  <c:v>0,0100215485191482</c:v>
                </c:pt>
                <c:pt idx="14">
                  <c:v>0,0109227124494</c:v>
                </c:pt>
                <c:pt idx="15">
                  <c:v>-0,0311072551939124</c:v>
                </c:pt>
                <c:pt idx="16">
                  <c:v>0,0263547179950285</c:v>
                </c:pt>
                <c:pt idx="17">
                  <c:v>0,0113179311785327</c:v>
                </c:pt>
                <c:pt idx="18">
                  <c:v>0,0179962044358648</c:v>
                </c:pt>
                <c:pt idx="19">
                  <c:v>-0,0417418315866768</c:v>
                </c:pt>
                <c:pt idx="20">
                  <c:v>0,040347957373805</c:v>
                </c:pt>
                <c:pt idx="21">
                  <c:v>0,0123296537254605</c:v>
                </c:pt>
                <c:pt idx="22">
                  <c:v>0,0224302234059865</c:v>
                </c:pt>
                <c:pt idx="23">
                  <c:v>-0,033590845465821</c:v>
                </c:pt>
                <c:pt idx="24">
                  <c:v>0,0295207852052684</c:v>
                </c:pt>
                <c:pt idx="25">
                  <c:v>0,0110112304765901</c:v>
                </c:pt>
                <c:pt idx="26">
                  <c:v>0,0140052684743019</c:v>
                </c:pt>
                <c:pt idx="27">
                  <c:v>-0,0372937571591486</c:v>
                </c:pt>
                <c:pt idx="28">
                  <c:v>0,0368655408661502</c:v>
                </c:pt>
                <c:pt idx="29">
                  <c:v>0,0132568136386393</c:v>
                </c:pt>
                <c:pt idx="30">
                  <c:v>0,0220681557906715</c:v>
                </c:pt>
                <c:pt idx="31">
                  <c:v>-0,0546149219463217</c:v>
                </c:pt>
                <c:pt idx="32">
                  <c:v>-0,0561584478911453</c:v>
                </c:pt>
                <c:pt idx="33">
                  <c:v>0,0759729296863325</c:v>
                </c:pt>
                <c:pt idx="34">
                  <c:v>0,0303272873707692</c:v>
                </c:pt>
                <c:pt idx="35">
                  <c:v>-0,0311177763655475</c:v>
                </c:pt>
                <c:pt idx="36">
                  <c:v>0,0421081320873036</c:v>
                </c:pt>
                <c:pt idx="37">
                  <c:v>0,00976790844203701</c:v>
                </c:pt>
                <c:pt idx="38">
                  <c:v>0,0332865537105718</c:v>
                </c:pt>
                <c:pt idx="39">
                  <c:v>-0,0459183820112243</c:v>
                </c:pt>
                <c:pt idx="40">
                  <c:v>0,0239002662515593</c:v>
                </c:pt>
                <c:pt idx="41">
                  <c:v>0,00956863715941525</c:v>
                </c:pt>
                <c:pt idx="42">
                  <c:v>0,0195098121183295</c:v>
                </c:pt>
              </c:strCache>
            </c:strRef>
          </c:xVal>
          <c:yVal>
            <c:numRef>
              <c:f>[2]Assumptions1!$N$107:$N$149</c:f>
              <c:numCache>
                <c:formatCode>General</c:formatCode>
                <c:ptCount val="43"/>
                <c:pt idx="0">
                  <c:v>-6.2312147203280599E-4</c:v>
                </c:pt>
                <c:pt idx="1">
                  <c:v>1.3570511644966921E-3</c:v>
                </c:pt>
                <c:pt idx="2">
                  <c:v>5.3732327302029148E-2</c:v>
                </c:pt>
                <c:pt idx="3">
                  <c:v>5.4607389898849501E-2</c:v>
                </c:pt>
                <c:pt idx="4">
                  <c:v>2.2412656558998822E-3</c:v>
                </c:pt>
                <c:pt idx="5">
                  <c:v>7.1033938437252697E-3</c:v>
                </c:pt>
                <c:pt idx="6">
                  <c:v>1.6098484848484862E-2</c:v>
                </c:pt>
                <c:pt idx="7">
                  <c:v>1.8992833499373418E-2</c:v>
                </c:pt>
                <c:pt idx="8">
                  <c:v>2.7311719439889082E-2</c:v>
                </c:pt>
                <c:pt idx="9">
                  <c:v>5.6793761895990169E-3</c:v>
                </c:pt>
                <c:pt idx="10">
                  <c:v>2.0574498611068748E-2</c:v>
                </c:pt>
                <c:pt idx="11">
                  <c:v>6.9482248078245989E-2</c:v>
                </c:pt>
                <c:pt idx="12">
                  <c:v>1.4179438415930168E-2</c:v>
                </c:pt>
                <c:pt idx="13">
                  <c:v>0.14411383503846897</c:v>
                </c:pt>
                <c:pt idx="14">
                  <c:v>5.0856853623852061E-2</c:v>
                </c:pt>
                <c:pt idx="15">
                  <c:v>2.1284891855317678E-2</c:v>
                </c:pt>
                <c:pt idx="16">
                  <c:v>4.3973319558919366E-2</c:v>
                </c:pt>
                <c:pt idx="17">
                  <c:v>-3.8722168441432947E-3</c:v>
                </c:pt>
                <c:pt idx="18">
                  <c:v>2.6303854875283417E-2</c:v>
                </c:pt>
                <c:pt idx="19">
                  <c:v>2.5250931128085297E-2</c:v>
                </c:pt>
                <c:pt idx="20">
                  <c:v>2.7297169714508573E-2</c:v>
                </c:pt>
                <c:pt idx="21">
                  <c:v>5.3743032385671352E-3</c:v>
                </c:pt>
                <c:pt idx="22">
                  <c:v>3.4557450021859282E-2</c:v>
                </c:pt>
                <c:pt idx="23">
                  <c:v>6.0064155509882644E-2</c:v>
                </c:pt>
                <c:pt idx="24">
                  <c:v>1.6271653257954544E-2</c:v>
                </c:pt>
                <c:pt idx="25">
                  <c:v>8.3799878757622182E-3</c:v>
                </c:pt>
                <c:pt idx="26">
                  <c:v>3.2905438857061986E-2</c:v>
                </c:pt>
                <c:pt idx="27">
                  <c:v>3.2370714004485102E-2</c:v>
                </c:pt>
                <c:pt idx="28">
                  <c:v>4.7589042913045443E-3</c:v>
                </c:pt>
                <c:pt idx="29">
                  <c:v>-4.0267348791154234E-3</c:v>
                </c:pt>
                <c:pt idx="30">
                  <c:v>9.113353548408476E-3</c:v>
                </c:pt>
                <c:pt idx="31">
                  <c:v>5.7798722516871681E-2</c:v>
                </c:pt>
                <c:pt idx="32">
                  <c:v>-3.5438754443426812E-2</c:v>
                </c:pt>
                <c:pt idx="33">
                  <c:v>4.7909491776368718E-2</c:v>
                </c:pt>
                <c:pt idx="34">
                  <c:v>5.4058204714735325E-3</c:v>
                </c:pt>
                <c:pt idx="35">
                  <c:v>7.2234866421250432E-2</c:v>
                </c:pt>
                <c:pt idx="36">
                  <c:v>1.6026554219613631E-2</c:v>
                </c:pt>
                <c:pt idx="37">
                  <c:v>1.4245453653201734E-2</c:v>
                </c:pt>
                <c:pt idx="38">
                  <c:v>1.9436802742718085E-2</c:v>
                </c:pt>
                <c:pt idx="39">
                  <c:v>8.6869262167256656E-2</c:v>
                </c:pt>
                <c:pt idx="40">
                  <c:v>2.2832474516214507E-3</c:v>
                </c:pt>
                <c:pt idx="41">
                  <c:v>6.9959667380370405E-3</c:v>
                </c:pt>
                <c:pt idx="42">
                  <c:v>2.3400993893242905E-2</c:v>
                </c:pt>
              </c:numCache>
            </c:numRef>
          </c:yVal>
          <c:smooth val="0"/>
          <c:extLst>
            <c:ext xmlns:c16="http://schemas.microsoft.com/office/drawing/2014/chart" uri="{C3380CC4-5D6E-409C-BE32-E72D297353CC}">
              <c16:uniqueId val="{00000001-9FFF-4242-9C99-B6B22CB6AC22}"/>
            </c:ext>
          </c:extLst>
        </c:ser>
        <c:dLbls>
          <c:showLegendKey val="0"/>
          <c:showVal val="0"/>
          <c:showCatName val="0"/>
          <c:showSerName val="0"/>
          <c:showPercent val="0"/>
          <c:showBubbleSize val="0"/>
        </c:dLbls>
        <c:axId val="1425117192"/>
        <c:axId val="391259143"/>
      </c:scatterChart>
      <c:valAx>
        <c:axId val="1425117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259143"/>
        <c:crosses val="autoZero"/>
        <c:crossBetween val="midCat"/>
      </c:valAx>
      <c:valAx>
        <c:axId val="391259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171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Linear</a:t>
            </a:r>
            <a:r>
              <a:rPr lang="en-GB" baseline="0"/>
              <a:t> Regression Annual Revenues vs  National Health Expenditure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[2]Assumptions1!$Q$108:$Q$118</c:f>
              <c:strCache>
                <c:ptCount val="11"/>
                <c:pt idx="0">
                  <c:v>2783,3</c:v>
                </c:pt>
                <c:pt idx="1">
                  <c:v>2856,6</c:v>
                </c:pt>
                <c:pt idx="2">
                  <c:v>3002,6</c:v>
                </c:pt>
                <c:pt idx="3">
                  <c:v>3165,4</c:v>
                </c:pt>
                <c:pt idx="4">
                  <c:v>3307,4</c:v>
                </c:pt>
                <c:pt idx="5">
                  <c:v>3446,5</c:v>
                </c:pt>
                <c:pt idx="6">
                  <c:v>3604,4</c:v>
                </c:pt>
                <c:pt idx="7">
                  <c:v>3757,4</c:v>
                </c:pt>
                <c:pt idx="8">
                  <c:v>4144,1</c:v>
                </c:pt>
                <c:pt idx="9">
                  <c:v>4255,1</c:v>
                </c:pt>
                <c:pt idx="10">
                  <c:v>4400</c:v>
                </c:pt>
              </c:strCache>
            </c:strRef>
          </c:xVal>
          <c:yVal>
            <c:numRef>
              <c:f>[2]Assumptions1!$S$108:$S$118</c:f>
              <c:numCache>
                <c:formatCode>General</c:formatCode>
                <c:ptCount val="11"/>
                <c:pt idx="0">
                  <c:v>110.61799999999999</c:v>
                </c:pt>
                <c:pt idx="1">
                  <c:v>122.489</c:v>
                </c:pt>
                <c:pt idx="2">
                  <c:v>130.47399999999999</c:v>
                </c:pt>
                <c:pt idx="3">
                  <c:v>157.107</c:v>
                </c:pt>
                <c:pt idx="4">
                  <c:v>184.84</c:v>
                </c:pt>
                <c:pt idx="5">
                  <c:v>201.15899999999999</c:v>
                </c:pt>
                <c:pt idx="6">
                  <c:v>226.24700000000001</c:v>
                </c:pt>
                <c:pt idx="7">
                  <c:v>242.155</c:v>
                </c:pt>
                <c:pt idx="8">
                  <c:v>257.14100000000002</c:v>
                </c:pt>
                <c:pt idx="9">
                  <c:v>287.59699999999998</c:v>
                </c:pt>
                <c:pt idx="10">
                  <c:v>324.16199999999998</c:v>
                </c:pt>
              </c:numCache>
            </c:numRef>
          </c:yVal>
          <c:smooth val="0"/>
          <c:extLst>
            <c:ext xmlns:c16="http://schemas.microsoft.com/office/drawing/2014/chart" uri="{C3380CC4-5D6E-409C-BE32-E72D297353CC}">
              <c16:uniqueId val="{00000001-864E-4E47-A859-31670CDEF75A}"/>
            </c:ext>
          </c:extLst>
        </c:ser>
        <c:dLbls>
          <c:showLegendKey val="0"/>
          <c:showVal val="0"/>
          <c:showCatName val="0"/>
          <c:showSerName val="0"/>
          <c:showPercent val="0"/>
          <c:showBubbleSize val="0"/>
        </c:dLbls>
        <c:axId val="50056303"/>
        <c:axId val="50058031"/>
      </c:scatterChart>
      <c:valAx>
        <c:axId val="500563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8031"/>
        <c:crosses val="autoZero"/>
        <c:crossBetween val="midCat"/>
      </c:valAx>
      <c:valAx>
        <c:axId val="500580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63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Linear</a:t>
            </a:r>
            <a:r>
              <a:rPr lang="en-GB" baseline="0"/>
              <a:t> Regression of Annual Revenues vs Net Cost of Insurance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5822383581255333E-2"/>
                  <c:y val="-7.1438960852184886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[2]Assumptions1!$R$108:$R$118</c:f>
              <c:strCache>
                <c:ptCount val="11"/>
                <c:pt idx="0">
                  <c:v>162,4</c:v>
                </c:pt>
                <c:pt idx="1">
                  <c:v>169,3</c:v>
                </c:pt>
                <c:pt idx="2">
                  <c:v>189,7</c:v>
                </c:pt>
                <c:pt idx="3">
                  <c:v>200,7</c:v>
                </c:pt>
                <c:pt idx="4">
                  <c:v>211,5</c:v>
                </c:pt>
                <c:pt idx="5">
                  <c:v>222,6</c:v>
                </c:pt>
                <c:pt idx="6">
                  <c:v>249</c:v>
                </c:pt>
                <c:pt idx="7">
                  <c:v>235,6</c:v>
                </c:pt>
                <c:pt idx="8">
                  <c:v>296,8</c:v>
                </c:pt>
                <c:pt idx="9">
                  <c:v>255,7</c:v>
                </c:pt>
                <c:pt idx="10">
                  <c:v>264</c:v>
                </c:pt>
              </c:strCache>
            </c:strRef>
          </c:xVal>
          <c:yVal>
            <c:numRef>
              <c:f>[2]Assumptions1!$S$108:$S$118</c:f>
              <c:numCache>
                <c:formatCode>General</c:formatCode>
                <c:ptCount val="11"/>
                <c:pt idx="0">
                  <c:v>110.61799999999999</c:v>
                </c:pt>
                <c:pt idx="1">
                  <c:v>122.489</c:v>
                </c:pt>
                <c:pt idx="2">
                  <c:v>130.47399999999999</c:v>
                </c:pt>
                <c:pt idx="3">
                  <c:v>157.107</c:v>
                </c:pt>
                <c:pt idx="4">
                  <c:v>184.84</c:v>
                </c:pt>
                <c:pt idx="5">
                  <c:v>201.15899999999999</c:v>
                </c:pt>
                <c:pt idx="6">
                  <c:v>226.24700000000001</c:v>
                </c:pt>
                <c:pt idx="7">
                  <c:v>242.155</c:v>
                </c:pt>
                <c:pt idx="8">
                  <c:v>257.14100000000002</c:v>
                </c:pt>
                <c:pt idx="9">
                  <c:v>287.59699999999998</c:v>
                </c:pt>
                <c:pt idx="10">
                  <c:v>324.16199999999998</c:v>
                </c:pt>
              </c:numCache>
            </c:numRef>
          </c:yVal>
          <c:smooth val="0"/>
          <c:extLst>
            <c:ext xmlns:c16="http://schemas.microsoft.com/office/drawing/2014/chart" uri="{C3380CC4-5D6E-409C-BE32-E72D297353CC}">
              <c16:uniqueId val="{00000001-6870-A345-AE95-7DEA8DA30412}"/>
            </c:ext>
          </c:extLst>
        </c:ser>
        <c:dLbls>
          <c:showLegendKey val="0"/>
          <c:showVal val="0"/>
          <c:showCatName val="0"/>
          <c:showSerName val="0"/>
          <c:showPercent val="0"/>
          <c:showBubbleSize val="0"/>
        </c:dLbls>
        <c:axId val="2073490416"/>
        <c:axId val="67298751"/>
      </c:scatterChart>
      <c:valAx>
        <c:axId val="207349041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98751"/>
        <c:crosses val="autoZero"/>
        <c:crossBetween val="midCat"/>
      </c:valAx>
      <c:valAx>
        <c:axId val="672987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4904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Annual</a:t>
            </a:r>
            <a:r>
              <a:rPr lang="en-GB" baseline="0"/>
              <a:t> Revenues Growth vs Net Health Expenditure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[2]Assumptions1!$V$109:$V$118</c:f>
              <c:strCache>
                <c:ptCount val="10"/>
                <c:pt idx="0">
                  <c:v>0,0263356447382603</c:v>
                </c:pt>
                <c:pt idx="1">
                  <c:v>0,0511097108450607</c:v>
                </c:pt>
                <c:pt idx="2">
                  <c:v>0,0542196762805569</c:v>
                </c:pt>
                <c:pt idx="3">
                  <c:v>0,044860049282871</c:v>
                </c:pt>
                <c:pt idx="4">
                  <c:v>0,0420572050553305</c:v>
                </c:pt>
                <c:pt idx="5">
                  <c:v>0,0458145945161759</c:v>
                </c:pt>
                <c:pt idx="6">
                  <c:v>0,0424481189657087</c:v>
                </c:pt>
                <c:pt idx="7">
                  <c:v>0,102916910629691</c:v>
                </c:pt>
                <c:pt idx="8">
                  <c:v>0,0267850679278976</c:v>
                </c:pt>
                <c:pt idx="9">
                  <c:v>0,0340532537425677</c:v>
                </c:pt>
              </c:strCache>
            </c:strRef>
          </c:xVal>
          <c:yVal>
            <c:numRef>
              <c:f>[2]Assumptions1!$X$109:$X$118</c:f>
              <c:numCache>
                <c:formatCode>General</c:formatCode>
                <c:ptCount val="10"/>
                <c:pt idx="0">
                  <c:v>0.10731526514672107</c:v>
                </c:pt>
                <c:pt idx="1">
                  <c:v>6.518952722285265E-2</c:v>
                </c:pt>
                <c:pt idx="2">
                  <c:v>0.20412495976209821</c:v>
                </c:pt>
                <c:pt idx="3">
                  <c:v>0.1765230066133272</c:v>
                </c:pt>
                <c:pt idx="4">
                  <c:v>8.8287167279809564E-2</c:v>
                </c:pt>
                <c:pt idx="5">
                  <c:v>0.1247172634582594</c:v>
                </c:pt>
                <c:pt idx="6">
                  <c:v>7.0312534530844628E-2</c:v>
                </c:pt>
                <c:pt idx="7">
                  <c:v>6.1885982118890848E-2</c:v>
                </c:pt>
                <c:pt idx="8">
                  <c:v>0.11844085540617799</c:v>
                </c:pt>
                <c:pt idx="9">
                  <c:v>0.12713971286209524</c:v>
                </c:pt>
              </c:numCache>
            </c:numRef>
          </c:yVal>
          <c:smooth val="0"/>
          <c:extLst>
            <c:ext xmlns:c16="http://schemas.microsoft.com/office/drawing/2014/chart" uri="{C3380CC4-5D6E-409C-BE32-E72D297353CC}">
              <c16:uniqueId val="{00000001-1485-7F4B-AAC4-F4B162025D3E}"/>
            </c:ext>
          </c:extLst>
        </c:ser>
        <c:dLbls>
          <c:showLegendKey val="0"/>
          <c:showVal val="0"/>
          <c:showCatName val="0"/>
          <c:showSerName val="0"/>
          <c:showPercent val="0"/>
          <c:showBubbleSize val="0"/>
        </c:dLbls>
        <c:axId val="77430223"/>
        <c:axId val="76880783"/>
      </c:scatterChart>
      <c:valAx>
        <c:axId val="774302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80783"/>
        <c:crosses val="autoZero"/>
        <c:crossBetween val="midCat"/>
      </c:valAx>
      <c:valAx>
        <c:axId val="768807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02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Annual Revenue</a:t>
            </a:r>
            <a:r>
              <a:rPr lang="en-GB" baseline="0"/>
              <a:t> Growth vs Net Insurance Cost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2.9973004769320139E-3"/>
                  <c:y val="-0.1026095859111360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[2]Assumptions1!$W$109:$W$118</c:f>
              <c:strCache>
                <c:ptCount val="10"/>
                <c:pt idx="0">
                  <c:v>0,0424876847290641</c:v>
                </c:pt>
                <c:pt idx="1">
                  <c:v>0,120496160661547</c:v>
                </c:pt>
                <c:pt idx="2">
                  <c:v>0,0579862941486557</c:v>
                </c:pt>
                <c:pt idx="3">
                  <c:v>0,0538116591928253</c:v>
                </c:pt>
                <c:pt idx="4">
                  <c:v>0,0524822695035461</c:v>
                </c:pt>
                <c:pt idx="5">
                  <c:v>0,118598382749326</c:v>
                </c:pt>
                <c:pt idx="6">
                  <c:v>-0,0538152610441768</c:v>
                </c:pt>
                <c:pt idx="7">
                  <c:v>0,259762308998302</c:v>
                </c:pt>
                <c:pt idx="8">
                  <c:v>-0,138477088948787</c:v>
                </c:pt>
                <c:pt idx="9">
                  <c:v>0,0324599139616739</c:v>
                </c:pt>
              </c:strCache>
            </c:strRef>
          </c:xVal>
          <c:yVal>
            <c:numRef>
              <c:f>[2]Assumptions1!$X$109:$X$118</c:f>
              <c:numCache>
                <c:formatCode>General</c:formatCode>
                <c:ptCount val="10"/>
                <c:pt idx="0">
                  <c:v>0.10731526514672107</c:v>
                </c:pt>
                <c:pt idx="1">
                  <c:v>6.518952722285265E-2</c:v>
                </c:pt>
                <c:pt idx="2">
                  <c:v>0.20412495976209821</c:v>
                </c:pt>
                <c:pt idx="3">
                  <c:v>0.1765230066133272</c:v>
                </c:pt>
                <c:pt idx="4">
                  <c:v>8.8287167279809564E-2</c:v>
                </c:pt>
                <c:pt idx="5">
                  <c:v>0.1247172634582594</c:v>
                </c:pt>
                <c:pt idx="6">
                  <c:v>7.0312534530844628E-2</c:v>
                </c:pt>
                <c:pt idx="7">
                  <c:v>6.1885982118890848E-2</c:v>
                </c:pt>
                <c:pt idx="8">
                  <c:v>0.11844085540617799</c:v>
                </c:pt>
                <c:pt idx="9">
                  <c:v>0.12713971286209524</c:v>
                </c:pt>
              </c:numCache>
            </c:numRef>
          </c:yVal>
          <c:smooth val="0"/>
          <c:extLst>
            <c:ext xmlns:c16="http://schemas.microsoft.com/office/drawing/2014/chart" uri="{C3380CC4-5D6E-409C-BE32-E72D297353CC}">
              <c16:uniqueId val="{00000001-E58E-604E-B15D-FDFE8C18780A}"/>
            </c:ext>
          </c:extLst>
        </c:ser>
        <c:dLbls>
          <c:showLegendKey val="0"/>
          <c:showVal val="0"/>
          <c:showCatName val="0"/>
          <c:showSerName val="0"/>
          <c:showPercent val="0"/>
          <c:showBubbleSize val="0"/>
        </c:dLbls>
        <c:axId val="52579423"/>
        <c:axId val="70312383"/>
      </c:scatterChart>
      <c:valAx>
        <c:axId val="525794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12383"/>
        <c:crosses val="autoZero"/>
        <c:crossBetween val="midCat"/>
      </c:valAx>
      <c:valAx>
        <c:axId val="703123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94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263728151059122E-2"/>
                  <c:y val="-0.25276150519478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[2]Assumptions1!$C$145:$C$190</c:f>
              <c:strCache>
                <c:ptCount val="46"/>
                <c:pt idx="0">
                  <c:v>0,00178450223540771</c:v>
                </c:pt>
                <c:pt idx="1">
                  <c:v>0,00208987413041184</c:v>
                </c:pt>
                <c:pt idx="2">
                  <c:v>0,00207916706345435</c:v>
                </c:pt>
                <c:pt idx="3">
                  <c:v>0,00161870218730709</c:v>
                </c:pt>
                <c:pt idx="4">
                  <c:v>0,00169831370415818</c:v>
                </c:pt>
                <c:pt idx="5">
                  <c:v>0,0020932457306313</c:v>
                </c:pt>
                <c:pt idx="6">
                  <c:v>0,0021298315038627</c:v>
                </c:pt>
                <c:pt idx="7">
                  <c:v>0,00180147891043525</c:v>
                </c:pt>
                <c:pt idx="8">
                  <c:v>0,00182962230695605</c:v>
                </c:pt>
                <c:pt idx="9">
                  <c:v>0,00216459709048067</c:v>
                </c:pt>
                <c:pt idx="10">
                  <c:v>0,00216304752140384</c:v>
                </c:pt>
                <c:pt idx="11">
                  <c:v>0,00173730782786619</c:v>
                </c:pt>
                <c:pt idx="12">
                  <c:v>0,00179345389328955</c:v>
                </c:pt>
                <c:pt idx="13">
                  <c:v>0,00212591376995364</c:v>
                </c:pt>
                <c:pt idx="14">
                  <c:v>0,00211520091307205</c:v>
                </c:pt>
                <c:pt idx="15">
                  <c:v>0,00179195939463339</c:v>
                </c:pt>
                <c:pt idx="16">
                  <c:v>0,00177948586451793</c:v>
                </c:pt>
                <c:pt idx="17">
                  <c:v>0,00203845620094678</c:v>
                </c:pt>
                <c:pt idx="18">
                  <c:v>0,00194198063559092</c:v>
                </c:pt>
                <c:pt idx="19">
                  <c:v>0,00152354272830868</c:v>
                </c:pt>
                <c:pt idx="20">
                  <c:v>0,00153656000711533</c:v>
                </c:pt>
                <c:pt idx="21">
                  <c:v>0,0017944964691905</c:v>
                </c:pt>
                <c:pt idx="22">
                  <c:v>0,00168735098123141</c:v>
                </c:pt>
                <c:pt idx="23">
                  <c:v>0,00121760677709548</c:v>
                </c:pt>
                <c:pt idx="24">
                  <c:v>0,00132585166920163</c:v>
                </c:pt>
                <c:pt idx="25">
                  <c:v>0,00156456414408601</c:v>
                </c:pt>
                <c:pt idx="26">
                  <c:v>0,00146486749331376</c:v>
                </c:pt>
                <c:pt idx="27">
                  <c:v>0,00105000576592773</c:v>
                </c:pt>
                <c:pt idx="28">
                  <c:v>0,00114288139498231</c:v>
                </c:pt>
                <c:pt idx="29">
                  <c:v>0,00146557858559548</c:v>
                </c:pt>
                <c:pt idx="30">
                  <c:v>0,00144831569048987</c:v>
                </c:pt>
                <c:pt idx="31">
                  <c:v>0,000984275742131668</c:v>
                </c:pt>
                <c:pt idx="32">
                  <c:v>0,000497686511790718</c:v>
                </c:pt>
                <c:pt idx="33">
                  <c:v>0,000521557194926636</c:v>
                </c:pt>
                <c:pt idx="34">
                  <c:v>0,000521285314820208</c:v>
                </c:pt>
                <c:pt idx="35">
                  <c:v>-0,000168651839359213</c:v>
                </c:pt>
                <c:pt idx="36">
                  <c:v>0,000481943678857011</c:v>
                </c:pt>
                <c:pt idx="37">
                  <c:v>0,000996540709139682</c:v>
                </c:pt>
                <c:pt idx="38">
                  <c:v>0,000920356111645759</c:v>
                </c:pt>
                <c:pt idx="39">
                  <c:v>0,000576947347544765</c:v>
                </c:pt>
                <c:pt idx="40">
                  <c:v>0,00103009808455812</c:v>
                </c:pt>
                <c:pt idx="41">
                  <c:v>0,00143405305996303</c:v>
                </c:pt>
                <c:pt idx="42">
                  <c:v>0,00144697857093634</c:v>
                </c:pt>
                <c:pt idx="43">
                  <c:v>0,00107394355663781</c:v>
                </c:pt>
                <c:pt idx="44">
                  <c:v>0,00112956870198211</c:v>
                </c:pt>
                <c:pt idx="45">
                  <c:v>0,00143872437085646</c:v>
                </c:pt>
              </c:strCache>
            </c:strRef>
          </c:xVal>
          <c:yVal>
            <c:numRef>
              <c:f>[2]Assumptions1!$E$145:$E$190</c:f>
              <c:numCache>
                <c:formatCode>General</c:formatCode>
                <c:ptCount val="46"/>
                <c:pt idx="0">
                  <c:v>-6.2312147203280599E-4</c:v>
                </c:pt>
                <c:pt idx="1">
                  <c:v>1.3570511644966921E-3</c:v>
                </c:pt>
                <c:pt idx="2">
                  <c:v>5.3732327302029148E-2</c:v>
                </c:pt>
                <c:pt idx="3">
                  <c:v>5.4607389898849501E-2</c:v>
                </c:pt>
                <c:pt idx="4">
                  <c:v>2.2412656558998822E-3</c:v>
                </c:pt>
                <c:pt idx="5">
                  <c:v>7.1033938437252697E-3</c:v>
                </c:pt>
                <c:pt idx="6">
                  <c:v>1.6098484848484862E-2</c:v>
                </c:pt>
                <c:pt idx="7">
                  <c:v>1.8992833499373418E-2</c:v>
                </c:pt>
                <c:pt idx="8">
                  <c:v>2.7311719439889082E-2</c:v>
                </c:pt>
                <c:pt idx="9">
                  <c:v>5.6793761895990169E-3</c:v>
                </c:pt>
                <c:pt idx="10">
                  <c:v>2.0574498611068748E-2</c:v>
                </c:pt>
                <c:pt idx="11">
                  <c:v>6.9482248078245989E-2</c:v>
                </c:pt>
                <c:pt idx="12">
                  <c:v>1.4179438415930168E-2</c:v>
                </c:pt>
                <c:pt idx="13">
                  <c:v>0.14411383503846897</c:v>
                </c:pt>
                <c:pt idx="14">
                  <c:v>5.0856853623852061E-2</c:v>
                </c:pt>
                <c:pt idx="15">
                  <c:v>2.1284891855317678E-2</c:v>
                </c:pt>
                <c:pt idx="16">
                  <c:v>4.3973319558919366E-2</c:v>
                </c:pt>
                <c:pt idx="17">
                  <c:v>-3.8722168441432947E-3</c:v>
                </c:pt>
                <c:pt idx="18">
                  <c:v>2.6303854875283417E-2</c:v>
                </c:pt>
                <c:pt idx="19">
                  <c:v>2.5250931128085297E-2</c:v>
                </c:pt>
                <c:pt idx="20">
                  <c:v>2.7297169714508573E-2</c:v>
                </c:pt>
                <c:pt idx="21">
                  <c:v>5.3743032385671352E-3</c:v>
                </c:pt>
                <c:pt idx="22">
                  <c:v>3.4557450021859282E-2</c:v>
                </c:pt>
                <c:pt idx="23">
                  <c:v>6.0064155509882644E-2</c:v>
                </c:pt>
                <c:pt idx="24">
                  <c:v>1.6271653257954544E-2</c:v>
                </c:pt>
                <c:pt idx="25">
                  <c:v>8.3799878757622182E-3</c:v>
                </c:pt>
                <c:pt idx="26">
                  <c:v>3.2905438857061986E-2</c:v>
                </c:pt>
                <c:pt idx="27">
                  <c:v>3.2370714004485102E-2</c:v>
                </c:pt>
                <c:pt idx="28">
                  <c:v>4.7589042913045443E-3</c:v>
                </c:pt>
                <c:pt idx="29">
                  <c:v>-4.0267348791154234E-3</c:v>
                </c:pt>
                <c:pt idx="30">
                  <c:v>9.113353548408476E-3</c:v>
                </c:pt>
                <c:pt idx="31">
                  <c:v>5.7798722516871681E-2</c:v>
                </c:pt>
                <c:pt idx="32">
                  <c:v>-3.5438754443426812E-2</c:v>
                </c:pt>
                <c:pt idx="33">
                  <c:v>4.7909491776368718E-2</c:v>
                </c:pt>
                <c:pt idx="34">
                  <c:v>5.4058204714735325E-3</c:v>
                </c:pt>
                <c:pt idx="35">
                  <c:v>7.2234866421250432E-2</c:v>
                </c:pt>
                <c:pt idx="36">
                  <c:v>1.6026554219613631E-2</c:v>
                </c:pt>
                <c:pt idx="37">
                  <c:v>1.4245453653201734E-2</c:v>
                </c:pt>
                <c:pt idx="38">
                  <c:v>1.9436802742718085E-2</c:v>
                </c:pt>
                <c:pt idx="39">
                  <c:v>8.6869262167256656E-2</c:v>
                </c:pt>
                <c:pt idx="40">
                  <c:v>2.2832474516214507E-3</c:v>
                </c:pt>
                <c:pt idx="41">
                  <c:v>6.9959667380370405E-3</c:v>
                </c:pt>
                <c:pt idx="42">
                  <c:v>2.3400993893242905E-2</c:v>
                </c:pt>
                <c:pt idx="43">
                  <c:v>0.11045212412576855</c:v>
                </c:pt>
                <c:pt idx="44">
                  <c:v>1.0573147251743187E-2</c:v>
                </c:pt>
                <c:pt idx="45">
                  <c:v>-5.8340419577408431E-3</c:v>
                </c:pt>
              </c:numCache>
            </c:numRef>
          </c:yVal>
          <c:smooth val="0"/>
          <c:extLst>
            <c:ext xmlns:c16="http://schemas.microsoft.com/office/drawing/2014/chart" uri="{C3380CC4-5D6E-409C-BE32-E72D297353CC}">
              <c16:uniqueId val="{00000001-6BB9-1444-8053-8CC86F2F2C6D}"/>
            </c:ext>
          </c:extLst>
        </c:ser>
        <c:dLbls>
          <c:showLegendKey val="0"/>
          <c:showVal val="0"/>
          <c:showCatName val="0"/>
          <c:showSerName val="0"/>
          <c:showPercent val="0"/>
          <c:showBubbleSize val="0"/>
        </c:dLbls>
        <c:axId val="54036447"/>
        <c:axId val="37417359"/>
      </c:scatterChart>
      <c:valAx>
        <c:axId val="540364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7359"/>
        <c:crosses val="autoZero"/>
        <c:crossBetween val="midCat"/>
      </c:valAx>
      <c:valAx>
        <c:axId val="3741735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364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UnitedHealth Group</a:t>
            </a:r>
            <a:r>
              <a:rPr lang="en-GB" baseline="0"/>
              <a:t> Forecasted Annual Revenues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Assumptions!$Q$297</c:f>
              <c:strCache>
                <c:ptCount val="1"/>
                <c:pt idx="0">
                  <c:v>Bear</c:v>
                </c:pt>
              </c:strCache>
            </c:strRef>
          </c:tx>
          <c:spPr>
            <a:ln w="28575" cap="rnd">
              <a:solidFill>
                <a:schemeClr val="accent1"/>
              </a:solidFill>
              <a:round/>
            </a:ln>
            <a:effectLst/>
          </c:spPr>
          <c:marker>
            <c:symbol val="none"/>
          </c:marker>
          <c:cat>
            <c:numRef>
              <c:f>Assumptions!$P$298:$P$319</c:f>
              <c:numCache>
                <c:formatCode>General</c:formatCode>
                <c:ptCount val="22"/>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numCache>
            </c:numRef>
          </c:cat>
          <c:val>
            <c:numRef>
              <c:f>Assumptions!$Q$298:$Q$319</c:f>
              <c:numCache>
                <c:formatCode>_-[$$-409]* #,##0_ ;_-[$$-409]* \-#,##0\ ;_-[$$-409]* "-"??_ ;_-@_ </c:formatCode>
                <c:ptCount val="22"/>
                <c:pt idx="0">
                  <c:v>110618</c:v>
                </c:pt>
                <c:pt idx="1">
                  <c:v>122489</c:v>
                </c:pt>
                <c:pt idx="2">
                  <c:v>130474</c:v>
                </c:pt>
                <c:pt idx="3">
                  <c:v>157107</c:v>
                </c:pt>
                <c:pt idx="4">
                  <c:v>184840</c:v>
                </c:pt>
                <c:pt idx="5">
                  <c:v>201159</c:v>
                </c:pt>
                <c:pt idx="6">
                  <c:v>226247</c:v>
                </c:pt>
                <c:pt idx="7">
                  <c:v>242155</c:v>
                </c:pt>
                <c:pt idx="8">
                  <c:v>257141</c:v>
                </c:pt>
                <c:pt idx="9">
                  <c:v>287597</c:v>
                </c:pt>
                <c:pt idx="10">
                  <c:v>324162</c:v>
                </c:pt>
                <c:pt idx="11" formatCode="_([$$-409]* #,##0_);_([$$-409]* \(#,##0\);_([$$-409]* &quot;-&quot;??_);_(@_)">
                  <c:v>370336.5066516691</c:v>
                </c:pt>
                <c:pt idx="12" formatCode="_([$$-409]* #,##0_);_([$$-409]* \(#,##0\);_([$$-409]* &quot;-&quot;??_);_(@_)">
                  <c:v>380503.8471486679</c:v>
                </c:pt>
                <c:pt idx="13" formatCode="_([$$-409]* #,##0_);_([$$-409]* \(#,##0\);_([$$-409]* &quot;-&quot;??_);_(@_)">
                  <c:v>393529.7608115857</c:v>
                </c:pt>
                <c:pt idx="14" formatCode="_([$$-409]* #,##0_);_([$$-409]* \(#,##0\);_([$$-409]* &quot;-&quot;??_);_(@_)">
                  <c:v>407001.59487195872</c:v>
                </c:pt>
                <c:pt idx="15" formatCode="_([$$-409]* #,##0_);_([$$-409]* \(#,##0\);_([$$-409]* &quot;-&quot;??_);_(@_)">
                  <c:v>420934.61466978624</c:v>
                </c:pt>
                <c:pt idx="16" formatCode="_([$$-409]* #,##0_);_([$$-409]* \(#,##0\);_([$$-409]* &quot;-&quot;??_);_(@_)">
                  <c:v>435344.60812848533</c:v>
                </c:pt>
                <c:pt idx="17" formatCode="_([$$-409]* #,##0_);_([$$-409]* \(#,##0\);_([$$-409]* &quot;-&quot;??_);_(@_)">
                  <c:v>450247.90364466113</c:v>
                </c:pt>
                <c:pt idx="18" formatCode="_([$$-409]* #,##0_);_([$$-409]* \(#,##0\);_([$$-409]* &quot;-&quot;??_);_(@_)">
                  <c:v>465661.3885903036</c:v>
                </c:pt>
                <c:pt idx="19" formatCode="_([$$-409]* #,##0_);_([$$-409]* \(#,##0\);_([$$-409]* &quot;-&quot;??_);_(@_)">
                  <c:v>481602.52844837634</c:v>
                </c:pt>
                <c:pt idx="20" formatCode="_([$$-409]* #,##0_);_([$$-409]* \(#,##0\);_([$$-409]* &quot;-&quot;??_);_(@_)">
                  <c:v>498089.38660348026</c:v>
                </c:pt>
                <c:pt idx="21" formatCode="_([$$-409]* #,##0_);_([$$-409]* \(#,##0\);_([$$-409]* &quot;-&quot;??_);_(@_)">
                  <c:v>515140.64481001708</c:v>
                </c:pt>
              </c:numCache>
            </c:numRef>
          </c:val>
          <c:smooth val="0"/>
          <c:extLst>
            <c:ext xmlns:c16="http://schemas.microsoft.com/office/drawing/2014/chart" uri="{C3380CC4-5D6E-409C-BE32-E72D297353CC}">
              <c16:uniqueId val="{00000000-9708-8D4F-B9B1-C1D01DFAFEE1}"/>
            </c:ext>
          </c:extLst>
        </c:ser>
        <c:ser>
          <c:idx val="1"/>
          <c:order val="1"/>
          <c:tx>
            <c:strRef>
              <c:f>Assumptions!$R$297</c:f>
              <c:strCache>
                <c:ptCount val="1"/>
                <c:pt idx="0">
                  <c:v>Bull</c:v>
                </c:pt>
              </c:strCache>
            </c:strRef>
          </c:tx>
          <c:spPr>
            <a:ln w="28575" cap="rnd">
              <a:solidFill>
                <a:schemeClr val="accent2"/>
              </a:solidFill>
              <a:round/>
            </a:ln>
            <a:effectLst/>
          </c:spPr>
          <c:marker>
            <c:symbol val="none"/>
          </c:marker>
          <c:cat>
            <c:numRef>
              <c:f>Assumptions!$P$298:$P$319</c:f>
              <c:numCache>
                <c:formatCode>General</c:formatCode>
                <c:ptCount val="22"/>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numCache>
            </c:numRef>
          </c:cat>
          <c:val>
            <c:numRef>
              <c:f>Assumptions!$R$298:$R$319</c:f>
              <c:numCache>
                <c:formatCode>_-[$$-409]* #,##0_ ;_-[$$-409]* \-#,##0\ ;_-[$$-409]* "-"??_ ;_-@_ </c:formatCode>
                <c:ptCount val="22"/>
                <c:pt idx="0">
                  <c:v>110618</c:v>
                </c:pt>
                <c:pt idx="1">
                  <c:v>122489</c:v>
                </c:pt>
                <c:pt idx="2">
                  <c:v>130474</c:v>
                </c:pt>
                <c:pt idx="3">
                  <c:v>157107</c:v>
                </c:pt>
                <c:pt idx="4">
                  <c:v>184840</c:v>
                </c:pt>
                <c:pt idx="5">
                  <c:v>201159</c:v>
                </c:pt>
                <c:pt idx="6">
                  <c:v>226247</c:v>
                </c:pt>
                <c:pt idx="7">
                  <c:v>242155</c:v>
                </c:pt>
                <c:pt idx="8">
                  <c:v>257141</c:v>
                </c:pt>
                <c:pt idx="9">
                  <c:v>287597</c:v>
                </c:pt>
                <c:pt idx="10">
                  <c:v>324162</c:v>
                </c:pt>
                <c:pt idx="11" formatCode="_([$$-409]* #,##0_);_([$$-409]* \(#,##0\);_([$$-409]* &quot;-&quot;??_);_(@_)">
                  <c:v>375606.94180870312</c:v>
                </c:pt>
                <c:pt idx="12" formatCode="_([$$-409]* #,##0_);_([$$-409]* \(#,##0\);_([$$-409]* &quot;-&quot;??_);_(@_)">
                  <c:v>462485.50564551173</c:v>
                </c:pt>
                <c:pt idx="13" formatCode="_([$$-409]* #,##0_);_([$$-409]* \(#,##0\);_([$$-409]* &quot;-&quot;??_);_(@_)">
                  <c:v>596121.55461772624</c:v>
                </c:pt>
                <c:pt idx="14" formatCode="_([$$-409]* #,##0_);_([$$-409]* \(#,##0\);_([$$-409]* &quot;-&quot;??_);_(@_)">
                  <c:v>768371.98905047122</c:v>
                </c:pt>
                <c:pt idx="15" formatCode="_([$$-409]* #,##0_);_([$$-409]* \(#,##0\);_([$$-409]* &quot;-&quot;??_);_(@_)">
                  <c:v>990394.50760336849</c:v>
                </c:pt>
                <c:pt idx="16" formatCode="_([$$-409]* #,##0_);_([$$-409]* \(#,##0\);_([$$-409]* &quot;-&quot;??_);_(@_)">
                  <c:v>1276570.8467627245</c:v>
                </c:pt>
                <c:pt idx="17" formatCode="_([$$-409]* #,##0_);_([$$-409]* \(#,##0\);_([$$-409]* &quot;-&quot;??_);_(@_)">
                  <c:v>1645438.3725814556</c:v>
                </c:pt>
                <c:pt idx="18" formatCode="_([$$-409]* #,##0_);_([$$-409]* \(#,##0\);_([$$-409]* &quot;-&quot;??_);_(@_)">
                  <c:v>2120890.8575888425</c:v>
                </c:pt>
                <c:pt idx="19" formatCode="_([$$-409]* #,##0_);_([$$-409]* \(#,##0\);_([$$-409]* &quot;-&quot;??_);_(@_)">
                  <c:v>2733726.2244267114</c:v>
                </c:pt>
                <c:pt idx="20" formatCode="_([$$-409]* #,##0_);_([$$-409]* \(#,##0\);_([$$-409]* &quot;-&quot;??_);_(@_)">
                  <c:v>3523641.5128944353</c:v>
                </c:pt>
                <c:pt idx="21" formatCode="_([$$-409]* #,##0_);_([$$-409]* \(#,##0\);_([$$-409]* &quot;-&quot;??_);_(@_)">
                  <c:v>4541804.2964403825</c:v>
                </c:pt>
              </c:numCache>
            </c:numRef>
          </c:val>
          <c:smooth val="0"/>
          <c:extLst>
            <c:ext xmlns:c16="http://schemas.microsoft.com/office/drawing/2014/chart" uri="{C3380CC4-5D6E-409C-BE32-E72D297353CC}">
              <c16:uniqueId val="{00000001-9708-8D4F-B9B1-C1D01DFAFEE1}"/>
            </c:ext>
          </c:extLst>
        </c:ser>
        <c:ser>
          <c:idx val="2"/>
          <c:order val="2"/>
          <c:tx>
            <c:strRef>
              <c:f>Assumptions!$S$297</c:f>
              <c:strCache>
                <c:ptCount val="1"/>
                <c:pt idx="0">
                  <c:v>Base</c:v>
                </c:pt>
              </c:strCache>
            </c:strRef>
          </c:tx>
          <c:spPr>
            <a:ln w="28575" cap="rnd">
              <a:solidFill>
                <a:schemeClr val="accent3"/>
              </a:solidFill>
              <a:round/>
            </a:ln>
            <a:effectLst/>
          </c:spPr>
          <c:marker>
            <c:symbol val="none"/>
          </c:marker>
          <c:cat>
            <c:numRef>
              <c:f>Assumptions!$P$298:$P$319</c:f>
              <c:numCache>
                <c:formatCode>General</c:formatCode>
                <c:ptCount val="22"/>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pt idx="21">
                  <c:v>2033</c:v>
                </c:pt>
              </c:numCache>
            </c:numRef>
          </c:cat>
          <c:val>
            <c:numRef>
              <c:f>Assumptions!$S$298:$S$319</c:f>
              <c:numCache>
                <c:formatCode>_-[$$-409]* #,##0_ ;_-[$$-409]* \-#,##0\ ;_-[$$-409]* "-"??_ ;_-@_ </c:formatCode>
                <c:ptCount val="22"/>
                <c:pt idx="0">
                  <c:v>110618</c:v>
                </c:pt>
                <c:pt idx="1">
                  <c:v>122489</c:v>
                </c:pt>
                <c:pt idx="2">
                  <c:v>130474</c:v>
                </c:pt>
                <c:pt idx="3">
                  <c:v>157107</c:v>
                </c:pt>
                <c:pt idx="4">
                  <c:v>184840</c:v>
                </c:pt>
                <c:pt idx="5">
                  <c:v>201159</c:v>
                </c:pt>
                <c:pt idx="6">
                  <c:v>226247</c:v>
                </c:pt>
                <c:pt idx="7">
                  <c:v>242155</c:v>
                </c:pt>
                <c:pt idx="8">
                  <c:v>257141</c:v>
                </c:pt>
                <c:pt idx="9">
                  <c:v>287597</c:v>
                </c:pt>
                <c:pt idx="10">
                  <c:v>324162</c:v>
                </c:pt>
                <c:pt idx="11" formatCode="_([$$-409]* #,##0_);_([$$-409]* \(#,##0\);_([$$-409]* &quot;-&quot;??_);_(@_)">
                  <c:v>372169.81630000001</c:v>
                </c:pt>
                <c:pt idx="12" formatCode="_([$$-409]* #,##0_);_([$$-409]* \(#,##0\);_([$$-409]* &quot;-&quot;??_);_(@_)">
                  <c:v>404589.37365594448</c:v>
                </c:pt>
                <c:pt idx="13" formatCode="_([$$-409]* #,##0_);_([$$-409]* \(#,##0\);_([$$-409]* &quot;-&quot;??_);_(@_)">
                  <c:v>443039.80077157693</c:v>
                </c:pt>
                <c:pt idx="14" formatCode="_([$$-409]* #,##0_);_([$$-409]* \(#,##0\);_([$$-409]* &quot;-&quot;??_);_(@_)">
                  <c:v>495282.04057572316</c:v>
                </c:pt>
                <c:pt idx="15" formatCode="_([$$-409]* #,##0_);_([$$-409]* \(#,##0\);_([$$-409]* &quot;-&quot;??_);_(@_)">
                  <c:v>553684.5657876383</c:v>
                </c:pt>
                <c:pt idx="16" formatCode="_([$$-409]* #,##0_);_([$$-409]* \(#,##0\);_([$$-409]* &quot;-&quot;??_);_(@_)">
                  <c:v>618973.78317026794</c:v>
                </c:pt>
                <c:pt idx="17" formatCode="_([$$-409]* #,##0_);_([$$-409]* \(#,##0\);_([$$-409]* &quot;-&quot;??_);_(@_)">
                  <c:v>691961.75571030832</c:v>
                </c:pt>
                <c:pt idx="18" formatCode="_([$$-409]* #,##0_);_([$$-409]* \(#,##0\);_([$$-409]* &quot;-&quot;??_);_(@_)">
                  <c:v>773556.30300416227</c:v>
                </c:pt>
                <c:pt idx="19" formatCode="_([$$-409]* #,##0_);_([$$-409]* \(#,##0\);_([$$-409]* &quot;-&quot;??_);_(@_)">
                  <c:v>864772.29265830212</c:v>
                </c:pt>
                <c:pt idx="20" formatCode="_([$$-409]* #,##0_);_([$$-409]* \(#,##0\);_([$$-409]* &quot;-&quot;??_);_(@_)">
                  <c:v>966744.26314573269</c:v>
                </c:pt>
                <c:pt idx="21" formatCode="_([$$-409]* #,##0_);_([$$-409]* \(#,##0\);_([$$-409]* &quot;-&quot;??_);_(@_)">
                  <c:v>1080740.5351208127</c:v>
                </c:pt>
              </c:numCache>
            </c:numRef>
          </c:val>
          <c:smooth val="0"/>
          <c:extLst>
            <c:ext xmlns:c16="http://schemas.microsoft.com/office/drawing/2014/chart" uri="{C3380CC4-5D6E-409C-BE32-E72D297353CC}">
              <c16:uniqueId val="{00000002-9708-8D4F-B9B1-C1D01DFAFEE1}"/>
            </c:ext>
          </c:extLst>
        </c:ser>
        <c:dLbls>
          <c:showLegendKey val="0"/>
          <c:showVal val="0"/>
          <c:showCatName val="0"/>
          <c:showSerName val="0"/>
          <c:showPercent val="0"/>
          <c:showBubbleSize val="0"/>
        </c:dLbls>
        <c:smooth val="0"/>
        <c:axId val="1263289456"/>
        <c:axId val="1262927584"/>
      </c:lineChart>
      <c:catAx>
        <c:axId val="126328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27584"/>
        <c:crosses val="autoZero"/>
        <c:auto val="1"/>
        <c:lblAlgn val="ctr"/>
        <c:lblOffset val="100"/>
        <c:noMultiLvlLbl val="0"/>
      </c:catAx>
      <c:valAx>
        <c:axId val="126292758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289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'Fin. Data'!$AI$7</c:f>
              <c:strCache>
                <c:ptCount val="1"/>
                <c:pt idx="0">
                  <c:v>Operating Margin</c:v>
                </c:pt>
              </c:strCache>
            </c:strRef>
          </c:tx>
          <c:spPr>
            <a:ln w="28575" cap="rnd">
              <a:solidFill>
                <a:schemeClr val="accent1"/>
              </a:solidFill>
              <a:round/>
            </a:ln>
            <a:effectLst/>
          </c:spPr>
          <c:marker>
            <c:symbol val="none"/>
          </c:marker>
          <c:cat>
            <c:numRef>
              <c:f>'Fin. Data'!$AJ$6:$AU$6</c:f>
              <c:numCache>
                <c:formatCode>General</c:formatCode>
                <c:ptCount val="12"/>
                <c:pt idx="0">
                  <c:v>2022</c:v>
                </c:pt>
                <c:pt idx="1">
                  <c:v>2021</c:v>
                </c:pt>
                <c:pt idx="2">
                  <c:v>2020</c:v>
                </c:pt>
                <c:pt idx="3">
                  <c:v>2019</c:v>
                </c:pt>
                <c:pt idx="4">
                  <c:v>2018</c:v>
                </c:pt>
                <c:pt idx="5">
                  <c:v>2017</c:v>
                </c:pt>
                <c:pt idx="6">
                  <c:v>2016</c:v>
                </c:pt>
                <c:pt idx="7">
                  <c:v>2015</c:v>
                </c:pt>
                <c:pt idx="8">
                  <c:v>2014</c:v>
                </c:pt>
                <c:pt idx="9">
                  <c:v>2013</c:v>
                </c:pt>
                <c:pt idx="10">
                  <c:v>2012</c:v>
                </c:pt>
                <c:pt idx="11">
                  <c:v>2011</c:v>
                </c:pt>
              </c:numCache>
            </c:numRef>
          </c:cat>
          <c:val>
            <c:numRef>
              <c:f>'Fin. Data'!$AJ$7:$AU$7</c:f>
              <c:numCache>
                <c:formatCode>0.00%</c:formatCode>
                <c:ptCount val="12"/>
                <c:pt idx="0">
                  <c:v>8.7718486435794454E-2</c:v>
                </c:pt>
                <c:pt idx="1">
                  <c:v>8.3345792897700596E-2</c:v>
                </c:pt>
                <c:pt idx="2">
                  <c:v>8.7131184836334932E-2</c:v>
                </c:pt>
                <c:pt idx="3">
                  <c:v>8.1290908715492147E-2</c:v>
                </c:pt>
                <c:pt idx="4">
                  <c:v>7.6659580016530601E-2</c:v>
                </c:pt>
                <c:pt idx="5">
                  <c:v>7.5606858256404133E-2</c:v>
                </c:pt>
                <c:pt idx="6">
                  <c:v>6.9952391257303612E-2</c:v>
                </c:pt>
                <c:pt idx="7">
                  <c:v>7.0149643236774931E-2</c:v>
                </c:pt>
                <c:pt idx="8">
                  <c:v>7.8743657740239434E-2</c:v>
                </c:pt>
                <c:pt idx="9">
                  <c:v>7.8562156601817312E-2</c:v>
                </c:pt>
                <c:pt idx="10">
                  <c:v>8.3657270968558461E-2</c:v>
                </c:pt>
                <c:pt idx="11">
                  <c:v>8.3092811843474501E-2</c:v>
                </c:pt>
              </c:numCache>
            </c:numRef>
          </c:val>
          <c:smooth val="0"/>
          <c:extLst>
            <c:ext xmlns:c16="http://schemas.microsoft.com/office/drawing/2014/chart" uri="{C3380CC4-5D6E-409C-BE32-E72D297353CC}">
              <c16:uniqueId val="{00000001-8B88-4DAD-AF8D-DAA372A641F2}"/>
            </c:ext>
          </c:extLst>
        </c:ser>
        <c:ser>
          <c:idx val="1"/>
          <c:order val="1"/>
          <c:tx>
            <c:strRef>
              <c:f>'Fin. Data'!$AI$8</c:f>
              <c:strCache>
                <c:ptCount val="1"/>
                <c:pt idx="0">
                  <c:v>Net Income Margin</c:v>
                </c:pt>
              </c:strCache>
            </c:strRef>
          </c:tx>
          <c:spPr>
            <a:ln w="28575" cap="rnd">
              <a:solidFill>
                <a:schemeClr val="accent2"/>
              </a:solidFill>
              <a:round/>
            </a:ln>
            <a:effectLst/>
          </c:spPr>
          <c:marker>
            <c:symbol val="none"/>
          </c:marker>
          <c:cat>
            <c:numRef>
              <c:f>'Fin. Data'!$AJ$6:$AU$6</c:f>
              <c:numCache>
                <c:formatCode>General</c:formatCode>
                <c:ptCount val="12"/>
                <c:pt idx="0">
                  <c:v>2022</c:v>
                </c:pt>
                <c:pt idx="1">
                  <c:v>2021</c:v>
                </c:pt>
                <c:pt idx="2">
                  <c:v>2020</c:v>
                </c:pt>
                <c:pt idx="3">
                  <c:v>2019</c:v>
                </c:pt>
                <c:pt idx="4">
                  <c:v>2018</c:v>
                </c:pt>
                <c:pt idx="5">
                  <c:v>2017</c:v>
                </c:pt>
                <c:pt idx="6">
                  <c:v>2016</c:v>
                </c:pt>
                <c:pt idx="7">
                  <c:v>2015</c:v>
                </c:pt>
                <c:pt idx="8">
                  <c:v>2014</c:v>
                </c:pt>
                <c:pt idx="9">
                  <c:v>2013</c:v>
                </c:pt>
                <c:pt idx="10">
                  <c:v>2012</c:v>
                </c:pt>
                <c:pt idx="11">
                  <c:v>2011</c:v>
                </c:pt>
              </c:numCache>
            </c:numRef>
          </c:cat>
          <c:val>
            <c:numRef>
              <c:f>'Fin. Data'!$AJ$8:$AU$8</c:f>
              <c:numCache>
                <c:formatCode>0.00%</c:formatCode>
                <c:ptCount val="12"/>
                <c:pt idx="0">
                  <c:v>6.3668782892504369E-2</c:v>
                </c:pt>
                <c:pt idx="1">
                  <c:v>6.1655719635462125E-2</c:v>
                </c:pt>
                <c:pt idx="2">
                  <c:v>6.1324331786840686E-2</c:v>
                </c:pt>
                <c:pt idx="3">
                  <c:v>5.8801181061716667E-2</c:v>
                </c:pt>
                <c:pt idx="4">
                  <c:v>5.4727797495657399E-2</c:v>
                </c:pt>
                <c:pt idx="5">
                  <c:v>4.7837780064526068E-2</c:v>
                </c:pt>
                <c:pt idx="6">
                  <c:v>3.8265526942220296E-2</c:v>
                </c:pt>
                <c:pt idx="7">
                  <c:v>3.7350340850503164E-2</c:v>
                </c:pt>
                <c:pt idx="8">
                  <c:v>4.3066051473856858E-2</c:v>
                </c:pt>
                <c:pt idx="9">
                  <c:v>4.6314362922384868E-2</c:v>
                </c:pt>
                <c:pt idx="10">
                  <c:v>4.9955703411741305E-2</c:v>
                </c:pt>
                <c:pt idx="11">
                  <c:v>5.0480061259350888E-2</c:v>
                </c:pt>
              </c:numCache>
            </c:numRef>
          </c:val>
          <c:smooth val="0"/>
          <c:extLst>
            <c:ext xmlns:c16="http://schemas.microsoft.com/office/drawing/2014/chart" uri="{C3380CC4-5D6E-409C-BE32-E72D297353CC}">
              <c16:uniqueId val="{00000003-8B88-4DAD-AF8D-DAA372A641F2}"/>
            </c:ext>
          </c:extLst>
        </c:ser>
        <c:dLbls>
          <c:showLegendKey val="0"/>
          <c:showVal val="0"/>
          <c:showCatName val="0"/>
          <c:showSerName val="0"/>
          <c:showPercent val="0"/>
          <c:showBubbleSize val="0"/>
        </c:dLbls>
        <c:smooth val="0"/>
        <c:axId val="59625479"/>
        <c:axId val="59627527"/>
      </c:lineChart>
      <c:catAx>
        <c:axId val="59625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7527"/>
        <c:crosses val="autoZero"/>
        <c:auto val="1"/>
        <c:lblAlgn val="ctr"/>
        <c:lblOffset val="100"/>
        <c:noMultiLvlLbl val="0"/>
      </c:catAx>
      <c:valAx>
        <c:axId val="59627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5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 /><Relationship Id="rId2" Type="http://schemas.openxmlformats.org/officeDocument/2006/relationships/image" Target="../media/image2.png"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3" Type="http://schemas.openxmlformats.org/officeDocument/2006/relationships/image" Target="../media/image4.png"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image" Target="../media/image7.png" /><Relationship Id="rId5" Type="http://schemas.openxmlformats.org/officeDocument/2006/relationships/image" Target="../media/image6.png" /><Relationship Id="rId4" Type="http://schemas.openxmlformats.org/officeDocument/2006/relationships/image" Target="../media/image5.png" /></Relationships>
</file>

<file path=xl/drawings/_rels/drawing3.xml.rels><?xml version="1.0" encoding="UTF-8" standalone="yes"?>
<Relationships xmlns="http://schemas.openxmlformats.org/package/2006/relationships"><Relationship Id="rId3" Type="http://schemas.openxmlformats.org/officeDocument/2006/relationships/image" Target="../media/image8.png" /><Relationship Id="rId2" Type="http://schemas.openxmlformats.org/officeDocument/2006/relationships/chart" Target="../charts/chart4.xml" /><Relationship Id="rId1" Type="http://schemas.openxmlformats.org/officeDocument/2006/relationships/chart" Target="../charts/chart3.xml" /><Relationship Id="rId5" Type="http://schemas.openxmlformats.org/officeDocument/2006/relationships/image" Target="../media/image10.png" /><Relationship Id="rId4" Type="http://schemas.openxmlformats.org/officeDocument/2006/relationships/image" Target="../media/image9.png" /></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 /><Relationship Id="rId2" Type="http://schemas.openxmlformats.org/officeDocument/2006/relationships/chart" Target="../charts/chart6.xml" /><Relationship Id="rId1" Type="http://schemas.openxmlformats.org/officeDocument/2006/relationships/chart" Target="../charts/chart5.xml" /><Relationship Id="rId5" Type="http://schemas.openxmlformats.org/officeDocument/2006/relationships/chart" Target="../charts/chart9.xml" /><Relationship Id="rId4" Type="http://schemas.openxmlformats.org/officeDocument/2006/relationships/chart" Target="../charts/chart8.xml" /></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 /><Relationship Id="rId3" Type="http://schemas.openxmlformats.org/officeDocument/2006/relationships/chart" Target="../charts/chart12.xml" /><Relationship Id="rId7" Type="http://schemas.openxmlformats.org/officeDocument/2006/relationships/chart" Target="../charts/chart16.xml" /><Relationship Id="rId2" Type="http://schemas.openxmlformats.org/officeDocument/2006/relationships/chart" Target="../charts/chart11.xml" /><Relationship Id="rId1" Type="http://schemas.openxmlformats.org/officeDocument/2006/relationships/chart" Target="../charts/chart10.xml" /><Relationship Id="rId6" Type="http://schemas.openxmlformats.org/officeDocument/2006/relationships/chart" Target="../charts/chart15.xml" /><Relationship Id="rId11" Type="http://schemas.openxmlformats.org/officeDocument/2006/relationships/chart" Target="../charts/chart20.xml" /><Relationship Id="rId5" Type="http://schemas.openxmlformats.org/officeDocument/2006/relationships/chart" Target="../charts/chart14.xml" /><Relationship Id="rId10" Type="http://schemas.openxmlformats.org/officeDocument/2006/relationships/chart" Target="../charts/chart19.xml" /><Relationship Id="rId4" Type="http://schemas.openxmlformats.org/officeDocument/2006/relationships/chart" Target="../charts/chart13.xml" /><Relationship Id="rId9" Type="http://schemas.openxmlformats.org/officeDocument/2006/relationships/chart" Target="../charts/chart18.xml" /></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 /></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17</xdr:row>
      <xdr:rowOff>1773</xdr:rowOff>
    </xdr:to>
    <xdr:sp macro="" textlink="">
      <xdr:nvSpPr>
        <xdr:cNvPr id="2" name="AutoShape 48" descr="Resultado de imagen para heidelbergcement">
          <a:extLst>
            <a:ext uri="{FF2B5EF4-FFF2-40B4-BE49-F238E27FC236}">
              <a16:creationId xmlns:a16="http://schemas.microsoft.com/office/drawing/2014/main" id="{8117037B-F73D-B54C-A181-1CC868E75EF3}"/>
            </a:ext>
          </a:extLst>
        </xdr:cNvPr>
        <xdr:cNvSpPr>
          <a:spLocks noChangeAspect="1" noChangeArrowheads="1"/>
        </xdr:cNvSpPr>
      </xdr:nvSpPr>
      <xdr:spPr bwMode="auto">
        <a:xfrm>
          <a:off x="18986500" y="3238500"/>
          <a:ext cx="304800" cy="33197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3" name="AutoShape 49" descr="Resultado de imagen para heidelbergcement">
          <a:extLst>
            <a:ext uri="{FF2B5EF4-FFF2-40B4-BE49-F238E27FC236}">
              <a16:creationId xmlns:a16="http://schemas.microsoft.com/office/drawing/2014/main" id="{F2CF78D8-1A5F-684E-BA61-A70F0BC11852}"/>
            </a:ext>
          </a:extLst>
        </xdr:cNvPr>
        <xdr:cNvSpPr>
          <a:spLocks noChangeAspect="1" noChangeArrowheads="1"/>
        </xdr:cNvSpPr>
      </xdr:nvSpPr>
      <xdr:spPr bwMode="auto">
        <a:xfrm>
          <a:off x="18986500" y="3238500"/>
          <a:ext cx="304800" cy="33197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17</xdr:row>
      <xdr:rowOff>1773</xdr:rowOff>
    </xdr:to>
    <xdr:sp macro="" textlink="">
      <xdr:nvSpPr>
        <xdr:cNvPr id="4" name="AutoShape 48" descr="Resultado de imagen para heidelbergcement">
          <a:extLst>
            <a:ext uri="{FF2B5EF4-FFF2-40B4-BE49-F238E27FC236}">
              <a16:creationId xmlns:a16="http://schemas.microsoft.com/office/drawing/2014/main" id="{64AFECA5-3F3F-674A-8957-21E13254B93C}"/>
            </a:ext>
          </a:extLst>
        </xdr:cNvPr>
        <xdr:cNvSpPr>
          <a:spLocks noChangeAspect="1" noChangeArrowheads="1"/>
        </xdr:cNvSpPr>
      </xdr:nvSpPr>
      <xdr:spPr bwMode="auto">
        <a:xfrm>
          <a:off x="18986500" y="3238500"/>
          <a:ext cx="304800" cy="33197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5" name="AutoShape 51" descr="Resultado de imagen para heidelbergcement">
          <a:extLst>
            <a:ext uri="{FF2B5EF4-FFF2-40B4-BE49-F238E27FC236}">
              <a16:creationId xmlns:a16="http://schemas.microsoft.com/office/drawing/2014/main" id="{8EE0B8A3-546C-EA4C-9162-B99C95FC0D66}"/>
            </a:ext>
          </a:extLst>
        </xdr:cNvPr>
        <xdr:cNvSpPr>
          <a:spLocks noChangeAspect="1" noChangeArrowheads="1"/>
        </xdr:cNvSpPr>
      </xdr:nvSpPr>
      <xdr:spPr bwMode="auto">
        <a:xfrm>
          <a:off x="189865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6" name="AutoShape 52" descr="Resultado de imagen para heidelbergcement">
          <a:extLst>
            <a:ext uri="{FF2B5EF4-FFF2-40B4-BE49-F238E27FC236}">
              <a16:creationId xmlns:a16="http://schemas.microsoft.com/office/drawing/2014/main" id="{0DDD6259-AD22-4A4E-A92B-B61571D5390B}"/>
            </a:ext>
          </a:extLst>
        </xdr:cNvPr>
        <xdr:cNvSpPr>
          <a:spLocks noChangeAspect="1" noChangeArrowheads="1"/>
        </xdr:cNvSpPr>
      </xdr:nvSpPr>
      <xdr:spPr bwMode="auto">
        <a:xfrm>
          <a:off x="189865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0</xdr:rowOff>
    </xdr:from>
    <xdr:to>
      <xdr:col>3</xdr:col>
      <xdr:colOff>123825</xdr:colOff>
      <xdr:row>13</xdr:row>
      <xdr:rowOff>78815</xdr:rowOff>
    </xdr:to>
    <xdr:pic>
      <xdr:nvPicPr>
        <xdr:cNvPr id="9" name="Picture 6">
          <a:extLst>
            <a:ext uri="{FF2B5EF4-FFF2-40B4-BE49-F238E27FC236}">
              <a16:creationId xmlns:a16="http://schemas.microsoft.com/office/drawing/2014/main" id="{B4BEA847-F272-710C-A3EA-D16F87117F46}"/>
            </a:ext>
            <a:ext uri="{147F2762-F138-4A5C-976F-8EAC2B608ADB}">
              <a16:predDERef xmlns:a16="http://schemas.microsoft.com/office/drawing/2014/main" pred="{0DDD6259-AD22-4A4E-A92B-B61571D5390B}"/>
            </a:ext>
          </a:extLst>
        </xdr:cNvPr>
        <xdr:cNvPicPr>
          <a:picLocks noChangeAspect="1"/>
        </xdr:cNvPicPr>
      </xdr:nvPicPr>
      <xdr:blipFill>
        <a:blip xmlns:r="http://schemas.openxmlformats.org/officeDocument/2006/relationships" r:embed="rId1"/>
        <a:stretch>
          <a:fillRect/>
        </a:stretch>
      </xdr:blipFill>
      <xdr:spPr>
        <a:xfrm>
          <a:off x="0" y="666750"/>
          <a:ext cx="3124200" cy="2085975"/>
        </a:xfrm>
        <a:prstGeom prst="rect">
          <a:avLst/>
        </a:prstGeom>
      </xdr:spPr>
    </xdr:pic>
    <xdr:clientData/>
  </xdr:twoCellAnchor>
  <xdr:twoCellAnchor editAs="oneCell">
    <xdr:from>
      <xdr:col>6</xdr:col>
      <xdr:colOff>9525</xdr:colOff>
      <xdr:row>82</xdr:row>
      <xdr:rowOff>0</xdr:rowOff>
    </xdr:from>
    <xdr:to>
      <xdr:col>12</xdr:col>
      <xdr:colOff>2038350</xdr:colOff>
      <xdr:row>106</xdr:row>
      <xdr:rowOff>57150</xdr:rowOff>
    </xdr:to>
    <xdr:pic>
      <xdr:nvPicPr>
        <xdr:cNvPr id="7" name="Picture 6">
          <a:extLst>
            <a:ext uri="{FF2B5EF4-FFF2-40B4-BE49-F238E27FC236}">
              <a16:creationId xmlns:a16="http://schemas.microsoft.com/office/drawing/2014/main" id="{2EAF0B95-68FB-5E13-2B6B-45C01F0614B6}"/>
            </a:ext>
            <a:ext uri="{147F2762-F138-4A5C-976F-8EAC2B608ADB}">
              <a16:predDERef xmlns:a16="http://schemas.microsoft.com/office/drawing/2014/main" pred="{B4BEA847-F272-710C-A3EA-D16F87117F46}"/>
            </a:ext>
          </a:extLst>
        </xdr:cNvPr>
        <xdr:cNvPicPr>
          <a:picLocks noChangeAspect="1"/>
        </xdr:cNvPicPr>
      </xdr:nvPicPr>
      <xdr:blipFill>
        <a:blip xmlns:r="http://schemas.openxmlformats.org/officeDocument/2006/relationships" r:embed="rId2"/>
        <a:stretch>
          <a:fillRect/>
        </a:stretch>
      </xdr:blipFill>
      <xdr:spPr>
        <a:xfrm>
          <a:off x="7543800" y="16478250"/>
          <a:ext cx="9867900" cy="3905250"/>
        </a:xfrm>
        <a:prstGeom prst="rect">
          <a:avLst/>
        </a:prstGeom>
      </xdr:spPr>
    </xdr:pic>
    <xdr:clientData/>
  </xdr:twoCellAnchor>
  <xdr:twoCellAnchor editAs="oneCell">
    <xdr:from>
      <xdr:col>6</xdr:col>
      <xdr:colOff>0</xdr:colOff>
      <xdr:row>82</xdr:row>
      <xdr:rowOff>0</xdr:rowOff>
    </xdr:from>
    <xdr:to>
      <xdr:col>12</xdr:col>
      <xdr:colOff>2057400</xdr:colOff>
      <xdr:row>106</xdr:row>
      <xdr:rowOff>57150</xdr:rowOff>
    </xdr:to>
    <xdr:pic>
      <xdr:nvPicPr>
        <xdr:cNvPr id="8" name="Picture 7">
          <a:extLst>
            <a:ext uri="{FF2B5EF4-FFF2-40B4-BE49-F238E27FC236}">
              <a16:creationId xmlns:a16="http://schemas.microsoft.com/office/drawing/2014/main" id="{00B4AD12-6740-6BCB-16A2-EE2B337BEFD5}"/>
            </a:ext>
            <a:ext uri="{147F2762-F138-4A5C-976F-8EAC2B608ADB}">
              <a16:predDERef xmlns:a16="http://schemas.microsoft.com/office/drawing/2014/main" pred="{2EAF0B95-68FB-5E13-2B6B-45C01F0614B6}"/>
            </a:ext>
          </a:extLst>
        </xdr:cNvPr>
        <xdr:cNvPicPr>
          <a:picLocks noChangeAspect="1"/>
        </xdr:cNvPicPr>
      </xdr:nvPicPr>
      <xdr:blipFill>
        <a:blip xmlns:r="http://schemas.openxmlformats.org/officeDocument/2006/relationships" r:embed="rId3"/>
        <a:stretch>
          <a:fillRect/>
        </a:stretch>
      </xdr:blipFill>
      <xdr:spPr>
        <a:xfrm>
          <a:off x="7534275" y="16725900"/>
          <a:ext cx="9896475" cy="3905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23</xdr:row>
      <xdr:rowOff>76200</xdr:rowOff>
    </xdr:from>
    <xdr:to>
      <xdr:col>11</xdr:col>
      <xdr:colOff>666750</xdr:colOff>
      <xdr:row>29</xdr:row>
      <xdr:rowOff>666750</xdr:rowOff>
    </xdr:to>
    <xdr:graphicFrame macro="">
      <xdr:nvGraphicFramePr>
        <xdr:cNvPr id="2" name="Chart 4">
          <a:extLst>
            <a:ext uri="{FF2B5EF4-FFF2-40B4-BE49-F238E27FC236}">
              <a16:creationId xmlns:a16="http://schemas.microsoft.com/office/drawing/2014/main" id="{C6B99A06-5E79-4C41-9C28-86D8B1EA5533}"/>
            </a:ext>
            <a:ext uri="{147F2762-F138-4A5C-976F-8EAC2B608ADB}">
              <a16:predDERef xmlns:a16="http://schemas.microsoft.com/office/drawing/2014/main" pred="{2D8AEC4D-5853-421C-8616-2A1885050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723900</xdr:colOff>
      <xdr:row>23</xdr:row>
      <xdr:rowOff>66675</xdr:rowOff>
    </xdr:from>
    <xdr:to>
      <xdr:col>15</xdr:col>
      <xdr:colOff>714375</xdr:colOff>
      <xdr:row>29</xdr:row>
      <xdr:rowOff>685800</xdr:rowOff>
    </xdr:to>
    <xdr:graphicFrame macro="">
      <xdr:nvGraphicFramePr>
        <xdr:cNvPr id="3" name="Chart 5">
          <a:extLst>
            <a:ext uri="{FF2B5EF4-FFF2-40B4-BE49-F238E27FC236}">
              <a16:creationId xmlns:a16="http://schemas.microsoft.com/office/drawing/2014/main" id="{F87A14A5-5FE5-C140-B7B7-8D87E317FE0D}"/>
            </a:ext>
            <a:ext uri="{147F2762-F138-4A5C-976F-8EAC2B608ADB}">
              <a16:predDERef xmlns:a16="http://schemas.microsoft.com/office/drawing/2014/main" pred="{9E23D189-C3B7-523A-69E6-128398296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22</xdr:row>
      <xdr:rowOff>247650</xdr:rowOff>
    </xdr:from>
    <xdr:to>
      <xdr:col>11</xdr:col>
      <xdr:colOff>714375</xdr:colOff>
      <xdr:row>30</xdr:row>
      <xdr:rowOff>0</xdr:rowOff>
    </xdr:to>
    <xdr:cxnSp macro="">
      <xdr:nvCxnSpPr>
        <xdr:cNvPr id="4" name="Straight Connector 1">
          <a:extLst>
            <a:ext uri="{FF2B5EF4-FFF2-40B4-BE49-F238E27FC236}">
              <a16:creationId xmlns:a16="http://schemas.microsoft.com/office/drawing/2014/main" id="{A3B1DC8C-4BA0-E94F-A172-AED9A85AEBA6}"/>
            </a:ext>
            <a:ext uri="{147F2762-F138-4A5C-976F-8EAC2B608ADB}">
              <a16:predDERef xmlns:a16="http://schemas.microsoft.com/office/drawing/2014/main" pred="{1471EB7D-83EE-43B1-6F3B-DAB93ADF05E3}"/>
            </a:ext>
          </a:extLst>
        </xdr:cNvPr>
        <xdr:cNvCxnSpPr>
          <a:cxnSpLocks/>
        </xdr:cNvCxnSpPr>
      </xdr:nvCxnSpPr>
      <xdr:spPr bwMode="auto">
        <a:xfrm>
          <a:off x="13823950" y="3803650"/>
          <a:ext cx="9525" cy="3181350"/>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219075</xdr:colOff>
      <xdr:row>44</xdr:row>
      <xdr:rowOff>28575</xdr:rowOff>
    </xdr:from>
    <xdr:to>
      <xdr:col>15</xdr:col>
      <xdr:colOff>742950</xdr:colOff>
      <xdr:row>46</xdr:row>
      <xdr:rowOff>114300</xdr:rowOff>
    </xdr:to>
    <xdr:sp macro="" textlink="">
      <xdr:nvSpPr>
        <xdr:cNvPr id="5" name="Rectangle 9">
          <a:extLst>
            <a:ext uri="{FF2B5EF4-FFF2-40B4-BE49-F238E27FC236}">
              <a16:creationId xmlns:a16="http://schemas.microsoft.com/office/drawing/2014/main" id="{078597A3-93A2-B04A-94E0-E3800E54B11D}"/>
            </a:ext>
            <a:ext uri="{147F2762-F138-4A5C-976F-8EAC2B608ADB}">
              <a16:predDERef xmlns:a16="http://schemas.microsoft.com/office/drawing/2014/main" pred="{2D9F9EFF-8C8B-4839-A102-86B66E9BDF73}"/>
            </a:ext>
          </a:extLst>
        </xdr:cNvPr>
        <xdr:cNvSpPr/>
      </xdr:nvSpPr>
      <xdr:spPr bwMode="auto">
        <a:xfrm>
          <a:off x="15967075" y="10988675"/>
          <a:ext cx="1400175" cy="45402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50</xdr:col>
      <xdr:colOff>0</xdr:colOff>
      <xdr:row>35</xdr:row>
      <xdr:rowOff>152400</xdr:rowOff>
    </xdr:from>
    <xdr:to>
      <xdr:col>51</xdr:col>
      <xdr:colOff>190500</xdr:colOff>
      <xdr:row>41</xdr:row>
      <xdr:rowOff>114300</xdr:rowOff>
    </xdr:to>
    <xdr:sp macro="" textlink="">
      <xdr:nvSpPr>
        <xdr:cNvPr id="6" name="Rectangle 17">
          <a:extLst>
            <a:ext uri="{FF2B5EF4-FFF2-40B4-BE49-F238E27FC236}">
              <a16:creationId xmlns:a16="http://schemas.microsoft.com/office/drawing/2014/main" id="{009952BE-313E-444E-9206-82847BA2CA19}"/>
            </a:ext>
            <a:ext uri="{147F2762-F138-4A5C-976F-8EAC2B608ADB}">
              <a16:predDERef xmlns:a16="http://schemas.microsoft.com/office/drawing/2014/main" pred="{078597A3-93A2-B04A-94E0-E3800E54B11D}"/>
            </a:ext>
          </a:extLst>
        </xdr:cNvPr>
        <xdr:cNvSpPr/>
      </xdr:nvSpPr>
      <xdr:spPr bwMode="auto">
        <a:xfrm>
          <a:off x="41957625" y="9629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9</xdr:col>
      <xdr:colOff>209550</xdr:colOff>
      <xdr:row>31</xdr:row>
      <xdr:rowOff>152400</xdr:rowOff>
    </xdr:from>
    <xdr:to>
      <xdr:col>15</xdr:col>
      <xdr:colOff>19050</xdr:colOff>
      <xdr:row>39</xdr:row>
      <xdr:rowOff>146106</xdr:rowOff>
    </xdr:to>
    <xdr:pic>
      <xdr:nvPicPr>
        <xdr:cNvPr id="7" name="Picture 6">
          <a:extLst>
            <a:ext uri="{FF2B5EF4-FFF2-40B4-BE49-F238E27FC236}">
              <a16:creationId xmlns:a16="http://schemas.microsoft.com/office/drawing/2014/main" id="{D4128D70-29F3-5744-8504-0DA63006D2E3}"/>
            </a:ext>
            <a:ext uri="{147F2762-F138-4A5C-976F-8EAC2B608ADB}">
              <a16:predDERef xmlns:a16="http://schemas.microsoft.com/office/drawing/2014/main" pred="{373BA1AE-84F4-1EA4-7F90-6E6AE589AB0D}"/>
            </a:ext>
          </a:extLst>
        </xdr:cNvPr>
        <xdr:cNvPicPr>
          <a:picLocks noChangeAspect="1"/>
        </xdr:cNvPicPr>
      </xdr:nvPicPr>
      <xdr:blipFill>
        <a:blip xmlns:r="http://schemas.openxmlformats.org/officeDocument/2006/relationships" r:embed="rId3"/>
        <a:stretch>
          <a:fillRect/>
        </a:stretch>
      </xdr:blipFill>
      <xdr:spPr>
        <a:xfrm>
          <a:off x="11576050" y="7404100"/>
          <a:ext cx="5067300" cy="2806700"/>
        </a:xfrm>
        <a:prstGeom prst="rect">
          <a:avLst/>
        </a:prstGeom>
      </xdr:spPr>
    </xdr:pic>
    <xdr:clientData/>
  </xdr:twoCellAnchor>
  <xdr:twoCellAnchor editAs="oneCell">
    <xdr:from>
      <xdr:col>9</xdr:col>
      <xdr:colOff>161925</xdr:colOff>
      <xdr:row>31</xdr:row>
      <xdr:rowOff>19050</xdr:rowOff>
    </xdr:from>
    <xdr:to>
      <xdr:col>15</xdr:col>
      <xdr:colOff>161925</xdr:colOff>
      <xdr:row>32</xdr:row>
      <xdr:rowOff>84011</xdr:rowOff>
    </xdr:to>
    <xdr:pic>
      <xdr:nvPicPr>
        <xdr:cNvPr id="8" name="Picture 7">
          <a:extLst>
            <a:ext uri="{FF2B5EF4-FFF2-40B4-BE49-F238E27FC236}">
              <a16:creationId xmlns:a16="http://schemas.microsoft.com/office/drawing/2014/main" id="{6AA3E24D-BDB0-8D43-9CC8-C156A66FC444}"/>
            </a:ext>
            <a:ext uri="{147F2762-F138-4A5C-976F-8EAC2B608ADB}">
              <a16:predDERef xmlns:a16="http://schemas.microsoft.com/office/drawing/2014/main" pred="{464BB557-A1BE-11C7-C098-3593B51EE7CA}"/>
            </a:ext>
          </a:extLst>
        </xdr:cNvPr>
        <xdr:cNvPicPr>
          <a:picLocks noChangeAspect="1"/>
        </xdr:cNvPicPr>
      </xdr:nvPicPr>
      <xdr:blipFill>
        <a:blip xmlns:r="http://schemas.openxmlformats.org/officeDocument/2006/relationships" r:embed="rId4"/>
        <a:stretch>
          <a:fillRect/>
        </a:stretch>
      </xdr:blipFill>
      <xdr:spPr>
        <a:xfrm>
          <a:off x="11528425" y="7270750"/>
          <a:ext cx="5257800" cy="241300"/>
        </a:xfrm>
        <a:prstGeom prst="rect">
          <a:avLst/>
        </a:prstGeom>
      </xdr:spPr>
    </xdr:pic>
    <xdr:clientData/>
  </xdr:twoCellAnchor>
  <xdr:twoCellAnchor editAs="oneCell">
    <xdr:from>
      <xdr:col>9</xdr:col>
      <xdr:colOff>74705</xdr:colOff>
      <xdr:row>40</xdr:row>
      <xdr:rowOff>106463</xdr:rowOff>
    </xdr:from>
    <xdr:to>
      <xdr:col>16</xdr:col>
      <xdr:colOff>51905</xdr:colOff>
      <xdr:row>54</xdr:row>
      <xdr:rowOff>1108744</xdr:rowOff>
    </xdr:to>
    <xdr:pic>
      <xdr:nvPicPr>
        <xdr:cNvPr id="9" name="Picture 8">
          <a:extLst>
            <a:ext uri="{FF2B5EF4-FFF2-40B4-BE49-F238E27FC236}">
              <a16:creationId xmlns:a16="http://schemas.microsoft.com/office/drawing/2014/main" id="{1BDFDE40-E64B-214E-86DA-6F81ACB98582}"/>
            </a:ext>
            <a:ext uri="{147F2762-F138-4A5C-976F-8EAC2B608ADB}">
              <a16:predDERef xmlns:a16="http://schemas.microsoft.com/office/drawing/2014/main" pred="{5AC693FC-6AAD-AA96-0005-011AA684272A}"/>
            </a:ext>
          </a:extLst>
        </xdr:cNvPr>
        <xdr:cNvPicPr>
          <a:picLocks noChangeAspect="1"/>
        </xdr:cNvPicPr>
      </xdr:nvPicPr>
      <xdr:blipFill>
        <a:blip xmlns:r="http://schemas.openxmlformats.org/officeDocument/2006/relationships" r:embed="rId5"/>
        <a:stretch>
          <a:fillRect/>
        </a:stretch>
      </xdr:blipFill>
      <xdr:spPr>
        <a:xfrm>
          <a:off x="11441205" y="10317263"/>
          <a:ext cx="6111300" cy="3429554"/>
        </a:xfrm>
        <a:prstGeom prst="rect">
          <a:avLst/>
        </a:prstGeom>
      </xdr:spPr>
    </xdr:pic>
    <xdr:clientData/>
  </xdr:twoCellAnchor>
  <xdr:twoCellAnchor editAs="oneCell">
    <xdr:from>
      <xdr:col>9</xdr:col>
      <xdr:colOff>396128</xdr:colOff>
      <xdr:row>40</xdr:row>
      <xdr:rowOff>23159</xdr:rowOff>
    </xdr:from>
    <xdr:to>
      <xdr:col>15</xdr:col>
      <xdr:colOff>396128</xdr:colOff>
      <xdr:row>42</xdr:row>
      <xdr:rowOff>84232</xdr:rowOff>
    </xdr:to>
    <xdr:pic>
      <xdr:nvPicPr>
        <xdr:cNvPr id="10" name="Picture 9">
          <a:extLst>
            <a:ext uri="{FF2B5EF4-FFF2-40B4-BE49-F238E27FC236}">
              <a16:creationId xmlns:a16="http://schemas.microsoft.com/office/drawing/2014/main" id="{ADBCAE39-84BC-7E48-A79D-9A12FA4EE60D}"/>
            </a:ext>
            <a:ext uri="{147F2762-F138-4A5C-976F-8EAC2B608ADB}">
              <a16:predDERef xmlns:a16="http://schemas.microsoft.com/office/drawing/2014/main" pred="{260361B0-F86E-2B51-71DB-52B1C590BA1A}"/>
            </a:ext>
          </a:extLst>
        </xdr:cNvPr>
        <xdr:cNvPicPr>
          <a:picLocks noChangeAspect="1"/>
        </xdr:cNvPicPr>
      </xdr:nvPicPr>
      <xdr:blipFill>
        <a:blip xmlns:r="http://schemas.openxmlformats.org/officeDocument/2006/relationships" r:embed="rId6"/>
        <a:stretch>
          <a:fillRect/>
        </a:stretch>
      </xdr:blipFill>
      <xdr:spPr>
        <a:xfrm>
          <a:off x="11762628" y="10233959"/>
          <a:ext cx="5257800" cy="3912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19</xdr:row>
      <xdr:rowOff>0</xdr:rowOff>
    </xdr:from>
    <xdr:ext cx="304800" cy="308437"/>
    <xdr:sp macro="" textlink="">
      <xdr:nvSpPr>
        <xdr:cNvPr id="2" name="AutoShape 231" descr="Resultado de imagen para beer consumption trend">
          <a:extLst>
            <a:ext uri="{FF2B5EF4-FFF2-40B4-BE49-F238E27FC236}">
              <a16:creationId xmlns:a16="http://schemas.microsoft.com/office/drawing/2014/main" id="{678A10E3-DB89-ED40-A8C1-889FC68284AD}"/>
            </a:ext>
          </a:extLst>
        </xdr:cNvPr>
        <xdr:cNvSpPr>
          <a:spLocks noChangeAspect="1" noChangeArrowheads="1"/>
        </xdr:cNvSpPr>
      </xdr:nvSpPr>
      <xdr:spPr bwMode="auto">
        <a:xfrm>
          <a:off x="14935200" y="9982200"/>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11</xdr:row>
      <xdr:rowOff>0</xdr:rowOff>
    </xdr:from>
    <xdr:ext cx="304800" cy="308437"/>
    <xdr:sp macro="" textlink="">
      <xdr:nvSpPr>
        <xdr:cNvPr id="3" name="AutoShape 232" descr="Resultado de imagen para beer consumption trend">
          <a:extLst>
            <a:ext uri="{FF2B5EF4-FFF2-40B4-BE49-F238E27FC236}">
              <a16:creationId xmlns:a16="http://schemas.microsoft.com/office/drawing/2014/main" id="{E933BF76-CDA6-964C-A0B5-8A9279F2A555}"/>
            </a:ext>
          </a:extLst>
        </xdr:cNvPr>
        <xdr:cNvSpPr>
          <a:spLocks noChangeAspect="1" noChangeArrowheads="1"/>
        </xdr:cNvSpPr>
      </xdr:nvSpPr>
      <xdr:spPr bwMode="auto">
        <a:xfrm>
          <a:off x="14935200" y="8521700"/>
          <a:ext cx="304800" cy="308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33</xdr:row>
      <xdr:rowOff>0</xdr:rowOff>
    </xdr:from>
    <xdr:ext cx="304800" cy="306171"/>
    <xdr:sp macro="" textlink="">
      <xdr:nvSpPr>
        <xdr:cNvPr id="4" name="AutoShape 233" descr="Resultado de imagen para beer consumption trend">
          <a:extLst>
            <a:ext uri="{FF2B5EF4-FFF2-40B4-BE49-F238E27FC236}">
              <a16:creationId xmlns:a16="http://schemas.microsoft.com/office/drawing/2014/main" id="{7F710437-8759-2C46-9E8F-95DC89867F67}"/>
            </a:ext>
          </a:extLst>
        </xdr:cNvPr>
        <xdr:cNvSpPr>
          <a:spLocks noChangeAspect="1" noChangeArrowheads="1"/>
        </xdr:cNvSpPr>
      </xdr:nvSpPr>
      <xdr:spPr bwMode="auto">
        <a:xfrm>
          <a:off x="12484100" y="12585700"/>
          <a:ext cx="304800" cy="306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19</xdr:row>
      <xdr:rowOff>0</xdr:rowOff>
    </xdr:from>
    <xdr:ext cx="304800" cy="305262"/>
    <xdr:sp macro="" textlink="">
      <xdr:nvSpPr>
        <xdr:cNvPr id="5" name="AutoShape 231" descr="Resultado de imagen para beer consumption trend">
          <a:extLst>
            <a:ext uri="{FF2B5EF4-FFF2-40B4-BE49-F238E27FC236}">
              <a16:creationId xmlns:a16="http://schemas.microsoft.com/office/drawing/2014/main" id="{97EFE8F8-1320-9D42-BF68-517CCE8A0DED}"/>
            </a:ext>
          </a:extLst>
        </xdr:cNvPr>
        <xdr:cNvSpPr>
          <a:spLocks noChangeAspect="1" noChangeArrowheads="1"/>
        </xdr:cNvSpPr>
      </xdr:nvSpPr>
      <xdr:spPr bwMode="auto">
        <a:xfrm>
          <a:off x="14935200" y="9982200"/>
          <a:ext cx="304800" cy="305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11</xdr:row>
      <xdr:rowOff>0</xdr:rowOff>
    </xdr:from>
    <xdr:ext cx="304800" cy="309071"/>
    <xdr:sp macro="" textlink="">
      <xdr:nvSpPr>
        <xdr:cNvPr id="6" name="AutoShape 232" descr="Resultado de imagen para beer consumption trend">
          <a:extLst>
            <a:ext uri="{FF2B5EF4-FFF2-40B4-BE49-F238E27FC236}">
              <a16:creationId xmlns:a16="http://schemas.microsoft.com/office/drawing/2014/main" id="{5687069A-1F2D-EC4F-BCE4-8E556C3977FD}"/>
            </a:ext>
          </a:extLst>
        </xdr:cNvPr>
        <xdr:cNvSpPr>
          <a:spLocks noChangeAspect="1" noChangeArrowheads="1"/>
        </xdr:cNvSpPr>
      </xdr:nvSpPr>
      <xdr:spPr bwMode="auto">
        <a:xfrm>
          <a:off x="14935200" y="8521700"/>
          <a:ext cx="304800" cy="309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33</xdr:row>
      <xdr:rowOff>0</xdr:rowOff>
    </xdr:from>
    <xdr:ext cx="304800" cy="301207"/>
    <xdr:sp macro="" textlink="">
      <xdr:nvSpPr>
        <xdr:cNvPr id="7" name="AutoShape 233" descr="Resultado de imagen para beer consumption trend">
          <a:extLst>
            <a:ext uri="{FF2B5EF4-FFF2-40B4-BE49-F238E27FC236}">
              <a16:creationId xmlns:a16="http://schemas.microsoft.com/office/drawing/2014/main" id="{57A19190-1EE8-1045-8F41-E583CDC145C3}"/>
            </a:ext>
          </a:extLst>
        </xdr:cNvPr>
        <xdr:cNvSpPr>
          <a:spLocks noChangeAspect="1" noChangeArrowheads="1"/>
        </xdr:cNvSpPr>
      </xdr:nvSpPr>
      <xdr:spPr bwMode="auto">
        <a:xfrm>
          <a:off x="12484100" y="12585700"/>
          <a:ext cx="304800" cy="301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15</xdr:row>
      <xdr:rowOff>56029</xdr:rowOff>
    </xdr:from>
    <xdr:to>
      <xdr:col>18</xdr:col>
      <xdr:colOff>702468</xdr:colOff>
      <xdr:row>31</xdr:row>
      <xdr:rowOff>114301</xdr:rowOff>
    </xdr:to>
    <xdr:graphicFrame macro="">
      <xdr:nvGraphicFramePr>
        <xdr:cNvPr id="8" name="Chart 7">
          <a:extLst>
            <a:ext uri="{FF2B5EF4-FFF2-40B4-BE49-F238E27FC236}">
              <a16:creationId xmlns:a16="http://schemas.microsoft.com/office/drawing/2014/main" id="{D8997F3A-CCBE-3C40-84BE-EC90E1BDD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31</xdr:row>
      <xdr:rowOff>142875</xdr:rowOff>
    </xdr:from>
    <xdr:to>
      <xdr:col>20</xdr:col>
      <xdr:colOff>273843</xdr:colOff>
      <xdr:row>48</xdr:row>
      <xdr:rowOff>142875</xdr:rowOff>
    </xdr:to>
    <xdr:graphicFrame macro="">
      <xdr:nvGraphicFramePr>
        <xdr:cNvPr id="9" name="Chart 2">
          <a:extLst>
            <a:ext uri="{FF2B5EF4-FFF2-40B4-BE49-F238E27FC236}">
              <a16:creationId xmlns:a16="http://schemas.microsoft.com/office/drawing/2014/main" id="{D95EA1BD-3427-844A-B269-60DE62C3903C}"/>
            </a:ext>
            <a:ext uri="{147F2762-F138-4A5C-976F-8EAC2B608ADB}">
              <a16:predDERef xmlns:a16="http://schemas.microsoft.com/office/drawing/2014/main" pre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38100</xdr:colOff>
      <xdr:row>1</xdr:row>
      <xdr:rowOff>171450</xdr:rowOff>
    </xdr:from>
    <xdr:to>
      <xdr:col>1</xdr:col>
      <xdr:colOff>2028825</xdr:colOff>
      <xdr:row>1</xdr:row>
      <xdr:rowOff>1019175</xdr:rowOff>
    </xdr:to>
    <xdr:pic>
      <xdr:nvPicPr>
        <xdr:cNvPr id="10" name="Picture 3">
          <a:extLst>
            <a:ext uri="{FF2B5EF4-FFF2-40B4-BE49-F238E27FC236}">
              <a16:creationId xmlns:a16="http://schemas.microsoft.com/office/drawing/2014/main" id="{507B83A4-5057-994B-AE4D-3131BFDF0EC5}"/>
            </a:ext>
            <a:ext uri="{147F2762-F138-4A5C-976F-8EAC2B608ADB}">
              <a16:predDERef xmlns:a16="http://schemas.microsoft.com/office/drawing/2014/main" pred="{06EE3DBE-321E-4EF6-A0A4-D90C4883E80D}"/>
            </a:ext>
          </a:extLst>
        </xdr:cNvPr>
        <xdr:cNvPicPr>
          <a:picLocks noChangeAspect="1"/>
        </xdr:cNvPicPr>
      </xdr:nvPicPr>
      <xdr:blipFill>
        <a:blip xmlns:r="http://schemas.openxmlformats.org/officeDocument/2006/relationships" r:embed="rId3"/>
        <a:stretch>
          <a:fillRect/>
        </a:stretch>
      </xdr:blipFill>
      <xdr:spPr>
        <a:xfrm>
          <a:off x="76200" y="412750"/>
          <a:ext cx="1990725" cy="847725"/>
        </a:xfrm>
        <a:prstGeom prst="rect">
          <a:avLst/>
        </a:prstGeom>
      </xdr:spPr>
    </xdr:pic>
    <xdr:clientData/>
  </xdr:twoCellAnchor>
  <xdr:twoCellAnchor editAs="oneCell">
    <xdr:from>
      <xdr:col>1</xdr:col>
      <xdr:colOff>28575</xdr:colOff>
      <xdr:row>2</xdr:row>
      <xdr:rowOff>161925</xdr:rowOff>
    </xdr:from>
    <xdr:to>
      <xdr:col>1</xdr:col>
      <xdr:colOff>2057400</xdr:colOff>
      <xdr:row>2</xdr:row>
      <xdr:rowOff>1190625</xdr:rowOff>
    </xdr:to>
    <xdr:pic>
      <xdr:nvPicPr>
        <xdr:cNvPr id="11" name="Picture 4">
          <a:extLst>
            <a:ext uri="{FF2B5EF4-FFF2-40B4-BE49-F238E27FC236}">
              <a16:creationId xmlns:a16="http://schemas.microsoft.com/office/drawing/2014/main" id="{24A7C742-5713-0349-A5C5-3E0F870D0251}"/>
            </a:ext>
            <a:ext uri="{147F2762-F138-4A5C-976F-8EAC2B608ADB}">
              <a16:predDERef xmlns:a16="http://schemas.microsoft.com/office/drawing/2014/main" pred="{6E78E05E-AC83-8014-B6D8-1C71DDBF26E3}"/>
            </a:ext>
          </a:extLst>
        </xdr:cNvPr>
        <xdr:cNvPicPr>
          <a:picLocks noChangeAspect="1"/>
        </xdr:cNvPicPr>
      </xdr:nvPicPr>
      <xdr:blipFill>
        <a:blip xmlns:r="http://schemas.openxmlformats.org/officeDocument/2006/relationships" r:embed="rId4"/>
        <a:stretch>
          <a:fillRect/>
        </a:stretch>
      </xdr:blipFill>
      <xdr:spPr>
        <a:xfrm>
          <a:off x="66675" y="1787525"/>
          <a:ext cx="2028825" cy="1028700"/>
        </a:xfrm>
        <a:prstGeom prst="rect">
          <a:avLst/>
        </a:prstGeom>
      </xdr:spPr>
    </xdr:pic>
    <xdr:clientData/>
  </xdr:twoCellAnchor>
  <xdr:twoCellAnchor editAs="oneCell">
    <xdr:from>
      <xdr:col>1</xdr:col>
      <xdr:colOff>0</xdr:colOff>
      <xdr:row>3</xdr:row>
      <xdr:rowOff>400050</xdr:rowOff>
    </xdr:from>
    <xdr:to>
      <xdr:col>1</xdr:col>
      <xdr:colOff>2066925</xdr:colOff>
      <xdr:row>3</xdr:row>
      <xdr:rowOff>838200</xdr:rowOff>
    </xdr:to>
    <xdr:pic>
      <xdr:nvPicPr>
        <xdr:cNvPr id="12" name="Picture 5">
          <a:extLst>
            <a:ext uri="{FF2B5EF4-FFF2-40B4-BE49-F238E27FC236}">
              <a16:creationId xmlns:a16="http://schemas.microsoft.com/office/drawing/2014/main" id="{9C0674F5-5764-0F41-8974-5E09AE1572B1}"/>
            </a:ext>
            <a:ext uri="{147F2762-F138-4A5C-976F-8EAC2B608ADB}">
              <a16:predDERef xmlns:a16="http://schemas.microsoft.com/office/drawing/2014/main" pred="{B0B00A5F-6284-E4CE-EF71-3D6AF32793A3}"/>
            </a:ext>
          </a:extLst>
        </xdr:cNvPr>
        <xdr:cNvPicPr>
          <a:picLocks noChangeAspect="1"/>
        </xdr:cNvPicPr>
      </xdr:nvPicPr>
      <xdr:blipFill>
        <a:blip xmlns:r="http://schemas.openxmlformats.org/officeDocument/2006/relationships" r:embed="rId5"/>
        <a:stretch>
          <a:fillRect/>
        </a:stretch>
      </xdr:blipFill>
      <xdr:spPr>
        <a:xfrm>
          <a:off x="38100" y="3435350"/>
          <a:ext cx="2066925" cy="4381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25</xdr:col>
      <xdr:colOff>533400</xdr:colOff>
      <xdr:row>0</xdr:row>
      <xdr:rowOff>38100</xdr:rowOff>
    </xdr:from>
    <xdr:to>
      <xdr:col>34</xdr:col>
      <xdr:colOff>533400</xdr:colOff>
      <xdr:row>9</xdr:row>
      <xdr:rowOff>66675</xdr:rowOff>
    </xdr:to>
    <xdr:graphicFrame macro="">
      <xdr:nvGraphicFramePr>
        <xdr:cNvPr id="271" name="Gráfico 11">
          <a:extLst>
            <a:ext uri="{FF2B5EF4-FFF2-40B4-BE49-F238E27FC236}">
              <a16:creationId xmlns:a16="http://schemas.microsoft.com/office/drawing/2014/main" id="{278A061F-1821-F77F-C4FB-83DCDAE4858D}"/>
            </a:ext>
            <a:ext uri="{147F2762-F138-4A5C-976F-8EAC2B608ADB}">
              <a16:predDERef xmlns:a16="http://schemas.microsoft.com/office/drawing/2014/main" pred="{CF12CB32-795F-7528-355F-ABE1EF8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133350</xdr:colOff>
      <xdr:row>9</xdr:row>
      <xdr:rowOff>180975</xdr:rowOff>
    </xdr:from>
    <xdr:to>
      <xdr:col>25</xdr:col>
      <xdr:colOff>323850</xdr:colOff>
      <xdr:row>18</xdr:row>
      <xdr:rowOff>676275</xdr:rowOff>
    </xdr:to>
    <xdr:graphicFrame macro="">
      <xdr:nvGraphicFramePr>
        <xdr:cNvPr id="2" name="Gráfico 1">
          <a:extLst>
            <a:ext uri="{FF2B5EF4-FFF2-40B4-BE49-F238E27FC236}">
              <a16:creationId xmlns:a16="http://schemas.microsoft.com/office/drawing/2014/main" id="{957C6A36-5481-4D22-85E0-A75A8E24C16E}"/>
            </a:ext>
            <a:ext uri="{147F2762-F138-4A5C-976F-8EAC2B608ADB}">
              <a16:predDERef xmlns:a16="http://schemas.microsoft.com/office/drawing/2014/main" pred="{278A061F-1821-F77F-C4FB-83DCDAE48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542925</xdr:colOff>
      <xdr:row>10</xdr:row>
      <xdr:rowOff>9525</xdr:rowOff>
    </xdr:from>
    <xdr:to>
      <xdr:col>34</xdr:col>
      <xdr:colOff>533400</xdr:colOff>
      <xdr:row>18</xdr:row>
      <xdr:rowOff>714375</xdr:rowOff>
    </xdr:to>
    <xdr:graphicFrame macro="">
      <xdr:nvGraphicFramePr>
        <xdr:cNvPr id="3" name="Gráfico 2">
          <a:extLst>
            <a:ext uri="{FF2B5EF4-FFF2-40B4-BE49-F238E27FC236}">
              <a16:creationId xmlns:a16="http://schemas.microsoft.com/office/drawing/2014/main" id="{244FDEE9-6A07-4B30-B0EF-8EA8DA0CEC6D}"/>
            </a:ext>
            <a:ext uri="{147F2762-F138-4A5C-976F-8EAC2B608ADB}">
              <a16:predDERef xmlns:a16="http://schemas.microsoft.com/office/drawing/2014/main" pred="{957C6A36-5481-4D22-85E0-A75A8E24C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161925</xdr:colOff>
      <xdr:row>0</xdr:row>
      <xdr:rowOff>38100</xdr:rowOff>
    </xdr:from>
    <xdr:to>
      <xdr:col>25</xdr:col>
      <xdr:colOff>323850</xdr:colOff>
      <xdr:row>9</xdr:row>
      <xdr:rowOff>38100</xdr:rowOff>
    </xdr:to>
    <xdr:graphicFrame macro="">
      <xdr:nvGraphicFramePr>
        <xdr:cNvPr id="4" name="Gráfico 3">
          <a:extLst>
            <a:ext uri="{FF2B5EF4-FFF2-40B4-BE49-F238E27FC236}">
              <a16:creationId xmlns:a16="http://schemas.microsoft.com/office/drawing/2014/main" id="{2D8DE5B3-5A10-47FC-A794-A8B1DAE7A53C}"/>
            </a:ext>
            <a:ext uri="{147F2762-F138-4A5C-976F-8EAC2B608ADB}">
              <a16:predDERef xmlns:a16="http://schemas.microsoft.com/office/drawing/2014/main" pred="{244FDEE9-6A07-4B30-B0EF-8EA8DA0CE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142875</xdr:colOff>
      <xdr:row>18</xdr:row>
      <xdr:rowOff>1076325</xdr:rowOff>
    </xdr:from>
    <xdr:to>
      <xdr:col>25</xdr:col>
      <xdr:colOff>352425</xdr:colOff>
      <xdr:row>29</xdr:row>
      <xdr:rowOff>133350</xdr:rowOff>
    </xdr:to>
    <xdr:graphicFrame macro="">
      <xdr:nvGraphicFramePr>
        <xdr:cNvPr id="6" name="Gráfico 5">
          <a:extLst>
            <a:ext uri="{FF2B5EF4-FFF2-40B4-BE49-F238E27FC236}">
              <a16:creationId xmlns:a16="http://schemas.microsoft.com/office/drawing/2014/main" id="{F91904F4-05C7-43A8-8BF3-14C2194380B4}"/>
            </a:ext>
            <a:ext uri="{147F2762-F138-4A5C-976F-8EAC2B608ADB}">
              <a16:predDERef xmlns:a16="http://schemas.microsoft.com/office/drawing/2014/main" pred="{2D8DE5B3-5A10-47FC-A794-A8B1DAE7A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875666</xdr:colOff>
      <xdr:row>53</xdr:row>
      <xdr:rowOff>71120</xdr:rowOff>
    </xdr:from>
    <xdr:to>
      <xdr:col>18</xdr:col>
      <xdr:colOff>426891</xdr:colOff>
      <xdr:row>87</xdr:row>
      <xdr:rowOff>64034</xdr:rowOff>
    </xdr:to>
    <xdr:graphicFrame macro="">
      <xdr:nvGraphicFramePr>
        <xdr:cNvPr id="2" name="Chart 1">
          <a:extLst>
            <a:ext uri="{FF2B5EF4-FFF2-40B4-BE49-F238E27FC236}">
              <a16:creationId xmlns:a16="http://schemas.microsoft.com/office/drawing/2014/main" id="{7CEB5CB7-0877-5942-8FD2-D8B707A48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57150</xdr:colOff>
      <xdr:row>76</xdr:row>
      <xdr:rowOff>133350</xdr:rowOff>
    </xdr:from>
    <xdr:to>
      <xdr:col>44</xdr:col>
      <xdr:colOff>219075</xdr:colOff>
      <xdr:row>96</xdr:row>
      <xdr:rowOff>152400</xdr:rowOff>
    </xdr:to>
    <xdr:graphicFrame macro="">
      <xdr:nvGraphicFramePr>
        <xdr:cNvPr id="3" name="Chart 2">
          <a:extLst>
            <a:ext uri="{FF2B5EF4-FFF2-40B4-BE49-F238E27FC236}">
              <a16:creationId xmlns:a16="http://schemas.microsoft.com/office/drawing/2014/main" id="{81B68BF3-139C-5D4E-A5F3-21408D99F30E}"/>
            </a:ext>
            <a:ext uri="{147F2762-F138-4A5C-976F-8EAC2B608ADB}">
              <a16:predDERef xmlns:a16="http://schemas.microsoft.com/office/drawing/2014/main" pred="{45701A85-0361-D214-9E5C-099C1C0DB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76200</xdr:colOff>
      <xdr:row>56</xdr:row>
      <xdr:rowOff>76200</xdr:rowOff>
    </xdr:from>
    <xdr:to>
      <xdr:col>43</xdr:col>
      <xdr:colOff>581025</xdr:colOff>
      <xdr:row>76</xdr:row>
      <xdr:rowOff>19050</xdr:rowOff>
    </xdr:to>
    <xdr:graphicFrame macro="">
      <xdr:nvGraphicFramePr>
        <xdr:cNvPr id="4" name="Chart 3">
          <a:extLst>
            <a:ext uri="{FF2B5EF4-FFF2-40B4-BE49-F238E27FC236}">
              <a16:creationId xmlns:a16="http://schemas.microsoft.com/office/drawing/2014/main" id="{3569340C-3F4E-BB4D-8F61-542AE552F0BE}"/>
            </a:ext>
            <a:ext uri="{147F2762-F138-4A5C-976F-8EAC2B608ADB}">
              <a16:predDERef xmlns:a16="http://schemas.microsoft.com/office/drawing/2014/main" pred="{7D4AC4AE-400A-ED91-1982-3BD7D2445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9525</xdr:colOff>
      <xdr:row>97</xdr:row>
      <xdr:rowOff>152400</xdr:rowOff>
    </xdr:from>
    <xdr:to>
      <xdr:col>44</xdr:col>
      <xdr:colOff>400050</xdr:colOff>
      <xdr:row>204</xdr:row>
      <xdr:rowOff>85725</xdr:rowOff>
    </xdr:to>
    <xdr:graphicFrame macro="">
      <xdr:nvGraphicFramePr>
        <xdr:cNvPr id="5" name="Chart 4">
          <a:extLst>
            <a:ext uri="{FF2B5EF4-FFF2-40B4-BE49-F238E27FC236}">
              <a16:creationId xmlns:a16="http://schemas.microsoft.com/office/drawing/2014/main" id="{F6E749EE-723F-AD4C-9E0C-FD2CCB886333}"/>
            </a:ext>
            <a:ext uri="{147F2762-F138-4A5C-976F-8EAC2B608ADB}">
              <a16:predDERef xmlns:a16="http://schemas.microsoft.com/office/drawing/2014/main" pred="{3569340C-3F4E-BB4D-8F61-542AE552F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247650</xdr:colOff>
      <xdr:row>104</xdr:row>
      <xdr:rowOff>66675</xdr:rowOff>
    </xdr:from>
    <xdr:to>
      <xdr:col>11</xdr:col>
      <xdr:colOff>409575</xdr:colOff>
      <xdr:row>138</xdr:row>
      <xdr:rowOff>47625</xdr:rowOff>
    </xdr:to>
    <xdr:graphicFrame macro="">
      <xdr:nvGraphicFramePr>
        <xdr:cNvPr id="6" name="Chart 5">
          <a:extLst>
            <a:ext uri="{FF2B5EF4-FFF2-40B4-BE49-F238E27FC236}">
              <a16:creationId xmlns:a16="http://schemas.microsoft.com/office/drawing/2014/main" id="{507CBD45-C96A-E64D-8A44-2D798E12D09D}"/>
            </a:ext>
            <a:ext uri="{147F2762-F138-4A5C-976F-8EAC2B608ADB}">
              <a16:predDERef xmlns:a16="http://schemas.microsoft.com/office/drawing/2014/main" pred="{8C2630BD-8EC4-97CF-6B6D-5FBE9976B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619759</xdr:colOff>
      <xdr:row>120</xdr:row>
      <xdr:rowOff>30480</xdr:rowOff>
    </xdr:from>
    <xdr:to>
      <xdr:col>23</xdr:col>
      <xdr:colOff>247226</xdr:colOff>
      <xdr:row>148</xdr:row>
      <xdr:rowOff>71120</xdr:rowOff>
    </xdr:to>
    <xdr:graphicFrame macro="">
      <xdr:nvGraphicFramePr>
        <xdr:cNvPr id="7" name="Chart 6">
          <a:extLst>
            <a:ext uri="{FF2B5EF4-FFF2-40B4-BE49-F238E27FC236}">
              <a16:creationId xmlns:a16="http://schemas.microsoft.com/office/drawing/2014/main" id="{5EDE3588-A478-3748-9797-97C058A7F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579120</xdr:colOff>
      <xdr:row>119</xdr:row>
      <xdr:rowOff>152400</xdr:rowOff>
    </xdr:from>
    <xdr:to>
      <xdr:col>30</xdr:col>
      <xdr:colOff>589280</xdr:colOff>
      <xdr:row>148</xdr:row>
      <xdr:rowOff>60960</xdr:rowOff>
    </xdr:to>
    <xdr:graphicFrame macro="">
      <xdr:nvGraphicFramePr>
        <xdr:cNvPr id="8" name="Chart 7">
          <a:extLst>
            <a:ext uri="{FF2B5EF4-FFF2-40B4-BE49-F238E27FC236}">
              <a16:creationId xmlns:a16="http://schemas.microsoft.com/office/drawing/2014/main" id="{3224C8E5-E461-CC4E-92B2-63E80E6FD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650240</xdr:colOff>
      <xdr:row>149</xdr:row>
      <xdr:rowOff>50800</xdr:rowOff>
    </xdr:from>
    <xdr:to>
      <xdr:col>23</xdr:col>
      <xdr:colOff>254000</xdr:colOff>
      <xdr:row>177</xdr:row>
      <xdr:rowOff>77216</xdr:rowOff>
    </xdr:to>
    <xdr:graphicFrame macro="">
      <xdr:nvGraphicFramePr>
        <xdr:cNvPr id="9" name="Chart 8">
          <a:extLst>
            <a:ext uri="{FF2B5EF4-FFF2-40B4-BE49-F238E27FC236}">
              <a16:creationId xmlns:a16="http://schemas.microsoft.com/office/drawing/2014/main" id="{45D2D3BD-1E7B-104F-996A-03DDF2D13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584200</xdr:colOff>
      <xdr:row>149</xdr:row>
      <xdr:rowOff>71120</xdr:rowOff>
    </xdr:from>
    <xdr:to>
      <xdr:col>30</xdr:col>
      <xdr:colOff>711200</xdr:colOff>
      <xdr:row>177</xdr:row>
      <xdr:rowOff>71120</xdr:rowOff>
    </xdr:to>
    <xdr:graphicFrame macro="">
      <xdr:nvGraphicFramePr>
        <xdr:cNvPr id="10" name="Chart 9">
          <a:extLst>
            <a:ext uri="{FF2B5EF4-FFF2-40B4-BE49-F238E27FC236}">
              <a16:creationId xmlns:a16="http://schemas.microsoft.com/office/drawing/2014/main" id="{7B53BD04-AEB8-F344-BCA3-9888558EE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294640</xdr:colOff>
      <xdr:row>144</xdr:row>
      <xdr:rowOff>50800</xdr:rowOff>
    </xdr:from>
    <xdr:to>
      <xdr:col>12</xdr:col>
      <xdr:colOff>40640</xdr:colOff>
      <xdr:row>169</xdr:row>
      <xdr:rowOff>132080</xdr:rowOff>
    </xdr:to>
    <xdr:graphicFrame macro="">
      <xdr:nvGraphicFramePr>
        <xdr:cNvPr id="11" name="Chart 10">
          <a:extLst>
            <a:ext uri="{FF2B5EF4-FFF2-40B4-BE49-F238E27FC236}">
              <a16:creationId xmlns:a16="http://schemas.microsoft.com/office/drawing/2014/main" id="{9F874537-5F9B-2C4B-A64A-959AA5EF4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297098</xdr:colOff>
      <xdr:row>295</xdr:row>
      <xdr:rowOff>0</xdr:rowOff>
    </xdr:from>
    <xdr:to>
      <xdr:col>23</xdr:col>
      <xdr:colOff>944095</xdr:colOff>
      <xdr:row>335</xdr:row>
      <xdr:rowOff>100566</xdr:rowOff>
    </xdr:to>
    <xdr:graphicFrame macro="">
      <xdr:nvGraphicFramePr>
        <xdr:cNvPr id="12" name="Chart 11">
          <a:extLst>
            <a:ext uri="{FF2B5EF4-FFF2-40B4-BE49-F238E27FC236}">
              <a16:creationId xmlns:a16="http://schemas.microsoft.com/office/drawing/2014/main" id="{BC72305E-EF77-4D4B-A8F4-0BF9DCB46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0.71828</cdr:x>
      <cdr:y>0.00248</cdr:y>
    </cdr:from>
    <cdr:to>
      <cdr:x>0.95003</cdr:x>
      <cdr:y>0.07328</cdr:y>
    </cdr:to>
    <cdr:sp macro="" textlink="">
      <cdr:nvSpPr>
        <cdr:cNvPr id="2" name="TextBox 1">
          <a:extLst xmlns:a="http://schemas.openxmlformats.org/drawingml/2006/main">
            <a:ext uri="{FF2B5EF4-FFF2-40B4-BE49-F238E27FC236}">
              <a16:creationId xmlns:a16="http://schemas.microsoft.com/office/drawing/2014/main" id="{44ACB78F-40EB-D62F-B4F5-437DF6B2CFD0}"/>
            </a:ext>
          </a:extLst>
        </cdr:cNvPr>
        <cdr:cNvSpPr txBox="1"/>
      </cdr:nvSpPr>
      <cdr:spPr>
        <a:xfrm xmlns:a="http://schemas.openxmlformats.org/drawingml/2006/main">
          <a:off x="7494270" y="14605"/>
          <a:ext cx="2418080" cy="416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1100"/>
            <a:t>y = -0.2306x + 0.0281</a:t>
          </a:r>
          <a:r>
            <a:rPr lang="en-GB" sz="1100" baseline="0"/>
            <a:t>; </a:t>
          </a:r>
          <a:r>
            <a:rPr lang="en-GB" sz="1100"/>
            <a:t>R² = 0.0508 </a:t>
          </a:r>
        </a:p>
        <a:p xmlns:a="http://schemas.openxmlformats.org/drawingml/2006/main">
          <a:endParaRPr lang="en-GB" sz="1100"/>
        </a:p>
      </cdr:txBody>
    </cdr:sp>
  </cdr:relSizeAnchor>
</c:userShapes>
</file>

<file path=xl/drawings/drawing7.xml><?xml version="1.0" encoding="utf-8"?>
<xdr:wsDr xmlns:xdr="http://schemas.openxmlformats.org/drawingml/2006/spreadsheetDrawing" xmlns:a="http://schemas.openxmlformats.org/drawingml/2006/main">
  <xdr:twoCellAnchor>
    <xdr:from>
      <xdr:col>14</xdr:col>
      <xdr:colOff>0</xdr:colOff>
      <xdr:row>4</xdr:row>
      <xdr:rowOff>9525</xdr:rowOff>
    </xdr:from>
    <xdr:to>
      <xdr:col>20</xdr:col>
      <xdr:colOff>0</xdr:colOff>
      <xdr:row>21</xdr:row>
      <xdr:rowOff>0</xdr:rowOff>
    </xdr:to>
    <xdr:graphicFrame macro="">
      <xdr:nvGraphicFramePr>
        <xdr:cNvPr id="3" name="Gráfico 2">
          <a:extLst>
            <a:ext uri="{FF2B5EF4-FFF2-40B4-BE49-F238E27FC236}">
              <a16:creationId xmlns:a16="http://schemas.microsoft.com/office/drawing/2014/main" id="{2A76815F-CCD8-9449-AEEB-6AFE1563C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Users/gabri/Desktop/ISEG/Lisbon%20Investment%20Society/Head%20ER/Assumptions%20sheet-%20Dami&#227;o.xlsx" TargetMode="External" /><Relationship Id="rId1" Type="http://schemas.openxmlformats.org/officeDocument/2006/relationships/externalLinkPath" Target="file:///C:/Users/gabri/Desktop/ISEG/Lisbon%20Investment%20Society/Head%20ER/Assumptions%20sheet-%20Dami&#227;o.xlsx" TargetMode="External" /></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hdisegutl.sharepoint.com/Users/tsvrcek/Desktop/New%20UnitedHealth%20Group%20OP.xlsx" TargetMode="External" /><Relationship Id="rId1" Type="http://schemas.openxmlformats.org/officeDocument/2006/relationships/externalLinkPath" Target="New%20UnitedHealth%20Group%20OP.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1"/>
      <sheetName val="Segments1"/>
      <sheetName val="Acuerdo"/>
      <sheetName val="Peers1"/>
      <sheetName val="SARD"/>
      <sheetName val="ESG"/>
      <sheetName val="DCF1"/>
      <sheetName val="Assumptions1"/>
      <sheetName val="Fin. Data1"/>
      <sheetName val="Sector Impact"/>
      <sheetName val="Inputs1"/>
      <sheetName val="Segments"/>
      <sheetName val="Inputs"/>
    </sheetNames>
    <sheetDataSet>
      <sheetData sheetId="0">
        <row r="2">
          <cell r="E2" t="e">
            <v>#VALUE!</v>
          </cell>
        </row>
        <row r="20">
          <cell r="J20">
            <v>2022</v>
          </cell>
        </row>
        <row r="32">
          <cell r="M32">
            <v>1.1818344081721879E-2</v>
          </cell>
        </row>
      </sheetData>
      <sheetData sheetId="1">
        <row r="5">
          <cell r="B5">
            <v>0.89631492407389501</v>
          </cell>
        </row>
        <row r="6">
          <cell r="B6">
            <v>0.10368507592610504</v>
          </cell>
        </row>
        <row r="14">
          <cell r="B14">
            <v>0.45708632882849903</v>
          </cell>
          <cell r="C14" t="str">
            <v>UnitedHealthcare</v>
          </cell>
        </row>
        <row r="16">
          <cell r="B16">
            <v>4.3686033061481472E-2</v>
          </cell>
          <cell r="C16" t="str">
            <v>Optum Insight</v>
          </cell>
        </row>
        <row r="17">
          <cell r="B17">
            <v>0.29413627245706253</v>
          </cell>
          <cell r="C17" t="str">
            <v>Optum Rx</v>
          </cell>
        </row>
        <row r="38">
          <cell r="D38">
            <v>6.08E-2</v>
          </cell>
        </row>
        <row r="39">
          <cell r="D39">
            <v>6.2E-2</v>
          </cell>
        </row>
        <row r="40">
          <cell r="D40">
            <v>7.9500000000000001E-2</v>
          </cell>
        </row>
        <row r="41">
          <cell r="D41">
            <v>0.129</v>
          </cell>
        </row>
        <row r="42">
          <cell r="D42">
            <v>0.11799999999999999</v>
          </cell>
        </row>
        <row r="43">
          <cell r="D43">
            <v>0.1125</v>
          </cell>
        </row>
      </sheetData>
      <sheetData sheetId="2"/>
      <sheetData sheetId="3">
        <row r="8">
          <cell r="C8" t="e">
            <v>#VALUE!</v>
          </cell>
        </row>
      </sheetData>
      <sheetData sheetId="4">
        <row r="14">
          <cell r="AJ14" t="e">
            <v>#NUM!</v>
          </cell>
        </row>
      </sheetData>
      <sheetData sheetId="5"/>
      <sheetData sheetId="6">
        <row r="50">
          <cell r="F50">
            <v>0.10658697714285714</v>
          </cell>
        </row>
      </sheetData>
      <sheetData sheetId="7">
        <row r="55">
          <cell r="B55" t="str">
            <v>Q1</v>
          </cell>
        </row>
        <row r="107">
          <cell r="M107">
            <v>1.4811370982711125E-2</v>
          </cell>
          <cell r="N107">
            <v>-6.2312147203280599E-4</v>
          </cell>
        </row>
        <row r="108">
          <cell r="M108">
            <v>7.6219320376769151E-3</v>
          </cell>
          <cell r="N108">
            <v>1.3570511644966921E-3</v>
          </cell>
          <cell r="Q108">
            <v>2783.3</v>
          </cell>
          <cell r="R108">
            <v>162.4</v>
          </cell>
          <cell r="S108">
            <v>110.61799999999999</v>
          </cell>
        </row>
        <row r="109">
          <cell r="M109">
            <v>1.3080281332481958E-2</v>
          </cell>
          <cell r="N109">
            <v>5.3732327302029148E-2</v>
          </cell>
          <cell r="Q109">
            <v>2856.6</v>
          </cell>
          <cell r="R109">
            <v>169.3</v>
          </cell>
          <cell r="S109">
            <v>122.489</v>
          </cell>
          <cell r="V109">
            <v>2.6335644738260333E-2</v>
          </cell>
          <cell r="W109">
            <v>4.2487684729064057E-2</v>
          </cell>
          <cell r="X109">
            <v>0.10731526514672107</v>
          </cell>
        </row>
        <row r="110">
          <cell r="M110">
            <v>-2.5591180487394838E-2</v>
          </cell>
          <cell r="N110">
            <v>5.4607389898849501E-2</v>
          </cell>
          <cell r="Q110">
            <v>3002.6</v>
          </cell>
          <cell r="R110">
            <v>189.7</v>
          </cell>
          <cell r="S110">
            <v>130.47399999999999</v>
          </cell>
          <cell r="V110">
            <v>5.1109710845060663E-2</v>
          </cell>
          <cell r="W110">
            <v>0.12049616066154734</v>
          </cell>
          <cell r="X110">
            <v>6.518952722285265E-2</v>
          </cell>
        </row>
        <row r="111">
          <cell r="M111">
            <v>2.222999778698509E-2</v>
          </cell>
          <cell r="N111">
            <v>2.2412656558998822E-3</v>
          </cell>
          <cell r="Q111">
            <v>3165.4</v>
          </cell>
          <cell r="R111">
            <v>200.7</v>
          </cell>
          <cell r="S111">
            <v>157.107</v>
          </cell>
          <cell r="V111">
            <v>5.4219676280556905E-2</v>
          </cell>
          <cell r="W111">
            <v>5.7986294148655748E-2</v>
          </cell>
          <cell r="X111">
            <v>0.20412495976209821</v>
          </cell>
        </row>
        <row r="112">
          <cell r="M112">
            <v>1.5607346307222825E-2</v>
          </cell>
          <cell r="N112">
            <v>7.1033938437252697E-3</v>
          </cell>
          <cell r="Q112">
            <v>3307.4</v>
          </cell>
          <cell r="R112">
            <v>211.5</v>
          </cell>
          <cell r="S112">
            <v>184.84</v>
          </cell>
          <cell r="V112">
            <v>4.4860049282871017E-2</v>
          </cell>
          <cell r="W112">
            <v>5.3811659192825267E-2</v>
          </cell>
          <cell r="X112">
            <v>0.1765230066133272</v>
          </cell>
        </row>
        <row r="113">
          <cell r="M113">
            <v>2.0763729355558036E-2</v>
          </cell>
          <cell r="N113">
            <v>1.6098484848484862E-2</v>
          </cell>
          <cell r="Q113">
            <v>3446.5</v>
          </cell>
          <cell r="R113">
            <v>222.6</v>
          </cell>
          <cell r="S113">
            <v>201.15899999999999</v>
          </cell>
          <cell r="V113">
            <v>4.2057205055330504E-2</v>
          </cell>
          <cell r="W113">
            <v>5.2482269503546064E-2</v>
          </cell>
          <cell r="X113">
            <v>8.8287167279809564E-2</v>
          </cell>
        </row>
        <row r="114">
          <cell r="M114">
            <v>-3.8255216235410616E-2</v>
          </cell>
          <cell r="N114">
            <v>1.8992833499373418E-2</v>
          </cell>
          <cell r="Q114">
            <v>3604.4</v>
          </cell>
          <cell r="R114">
            <v>249</v>
          </cell>
          <cell r="S114">
            <v>226.24700000000001</v>
          </cell>
          <cell r="V114">
            <v>4.5814594516175866E-2</v>
          </cell>
          <cell r="W114">
            <v>0.11859838274932621</v>
          </cell>
          <cell r="X114">
            <v>0.1247172634582594</v>
          </cell>
        </row>
        <row r="115">
          <cell r="M115">
            <v>2.8591876076733636E-2</v>
          </cell>
          <cell r="N115">
            <v>2.7311719439889082E-2</v>
          </cell>
          <cell r="Q115">
            <v>3757.4</v>
          </cell>
          <cell r="R115">
            <v>235.6</v>
          </cell>
          <cell r="S115">
            <v>242.155</v>
          </cell>
          <cell r="V115">
            <v>4.2448118965708659E-2</v>
          </cell>
          <cell r="W115">
            <v>-5.3815261044176776E-2</v>
          </cell>
          <cell r="X115">
            <v>7.0312534530844628E-2</v>
          </cell>
        </row>
        <row r="116">
          <cell r="M116">
            <v>1.8894502794700063E-2</v>
          </cell>
          <cell r="N116">
            <v>5.6793761895990169E-3</v>
          </cell>
          <cell r="Q116">
            <v>4144.1000000000004</v>
          </cell>
          <cell r="R116">
            <v>296.8</v>
          </cell>
          <cell r="S116">
            <v>257.14100000000002</v>
          </cell>
          <cell r="V116">
            <v>0.10291691062969077</v>
          </cell>
          <cell r="W116">
            <v>0.25976230899830233</v>
          </cell>
          <cell r="X116">
            <v>6.1885982118890848E-2</v>
          </cell>
        </row>
        <row r="117">
          <cell r="M117">
            <v>1.8705383061072833E-2</v>
          </cell>
          <cell r="N117">
            <v>2.0574498611068748E-2</v>
          </cell>
          <cell r="Q117">
            <v>4255.1000000000004</v>
          </cell>
          <cell r="R117">
            <v>255.7</v>
          </cell>
          <cell r="S117">
            <v>287.59699999999998</v>
          </cell>
          <cell r="V117">
            <v>2.6785067927897588E-2</v>
          </cell>
          <cell r="W117">
            <v>-0.13847708894878719</v>
          </cell>
          <cell r="X117">
            <v>0.11844085540617799</v>
          </cell>
        </row>
        <row r="118">
          <cell r="M118">
            <v>-2.9744034102694106E-2</v>
          </cell>
          <cell r="N118">
            <v>6.9482248078245989E-2</v>
          </cell>
          <cell r="Q118">
            <v>4400</v>
          </cell>
          <cell r="R118">
            <v>264</v>
          </cell>
          <cell r="S118">
            <v>324.16199999999998</v>
          </cell>
          <cell r="V118">
            <v>3.4053253742567735E-2</v>
          </cell>
          <cell r="W118">
            <v>3.2459913961673914E-2</v>
          </cell>
          <cell r="X118">
            <v>0.12713971286209524</v>
          </cell>
        </row>
        <row r="119">
          <cell r="M119">
            <v>2.8765864973224531E-2</v>
          </cell>
          <cell r="N119">
            <v>1.4179438415930168E-2</v>
          </cell>
        </row>
        <row r="120">
          <cell r="M120">
            <v>1.002154851914816E-2</v>
          </cell>
          <cell r="N120">
            <v>0.14411383503846897</v>
          </cell>
        </row>
        <row r="121">
          <cell r="M121">
            <v>1.0922712449400018E-2</v>
          </cell>
          <cell r="N121">
            <v>5.0856853623852061E-2</v>
          </cell>
        </row>
        <row r="122">
          <cell r="M122">
            <v>-3.1107255193912442E-2</v>
          </cell>
          <cell r="N122">
            <v>2.1284891855317678E-2</v>
          </cell>
        </row>
        <row r="123">
          <cell r="M123">
            <v>2.6354717995028532E-2</v>
          </cell>
          <cell r="N123">
            <v>4.3973319558919366E-2</v>
          </cell>
        </row>
        <row r="124">
          <cell r="M124">
            <v>1.1317931178532747E-2</v>
          </cell>
          <cell r="N124">
            <v>-3.8722168441432947E-3</v>
          </cell>
        </row>
        <row r="125">
          <cell r="M125">
            <v>1.7996204435864804E-2</v>
          </cell>
          <cell r="N125">
            <v>2.6303854875283417E-2</v>
          </cell>
        </row>
        <row r="126">
          <cell r="M126">
            <v>-4.174183158667677E-2</v>
          </cell>
          <cell r="N126">
            <v>2.5250931128085297E-2</v>
          </cell>
        </row>
        <row r="127">
          <cell r="M127">
            <v>4.0347957373805032E-2</v>
          </cell>
          <cell r="N127">
            <v>2.7297169714508573E-2</v>
          </cell>
        </row>
        <row r="128">
          <cell r="M128">
            <v>1.2329653725460465E-2</v>
          </cell>
          <cell r="N128">
            <v>5.3743032385671352E-3</v>
          </cell>
        </row>
        <row r="129">
          <cell r="M129">
            <v>2.2430223405986549E-2</v>
          </cell>
          <cell r="N129">
            <v>3.4557450021859282E-2</v>
          </cell>
        </row>
        <row r="130">
          <cell r="M130">
            <v>-3.3590845465821029E-2</v>
          </cell>
          <cell r="N130">
            <v>6.0064155509882644E-2</v>
          </cell>
        </row>
        <row r="131">
          <cell r="M131">
            <v>2.9520785205268352E-2</v>
          </cell>
          <cell r="N131">
            <v>1.6271653257954544E-2</v>
          </cell>
        </row>
        <row r="132">
          <cell r="M132">
            <v>1.1011230476590139E-2</v>
          </cell>
          <cell r="N132">
            <v>8.3799878757622182E-3</v>
          </cell>
        </row>
        <row r="133">
          <cell r="M133">
            <v>1.4005268474301946E-2</v>
          </cell>
          <cell r="N133">
            <v>3.2905438857061986E-2</v>
          </cell>
        </row>
        <row r="134">
          <cell r="M134">
            <v>-3.7293757159148622E-2</v>
          </cell>
          <cell r="N134">
            <v>3.2370714004485102E-2</v>
          </cell>
        </row>
        <row r="135">
          <cell r="M135">
            <v>3.6865540866150237E-2</v>
          </cell>
          <cell r="N135">
            <v>4.7589042913045443E-3</v>
          </cell>
        </row>
        <row r="136">
          <cell r="M136">
            <v>1.3256813638639287E-2</v>
          </cell>
          <cell r="N136">
            <v>-4.0267348791154234E-3</v>
          </cell>
        </row>
        <row r="137">
          <cell r="M137">
            <v>2.2068155790671451E-2</v>
          </cell>
          <cell r="N137">
            <v>9.113353548408476E-3</v>
          </cell>
        </row>
        <row r="138">
          <cell r="M138">
            <v>-5.4614921946321671E-2</v>
          </cell>
          <cell r="N138">
            <v>5.7798722516871681E-2</v>
          </cell>
        </row>
        <row r="139">
          <cell r="M139">
            <v>-5.6158447891145324E-2</v>
          </cell>
          <cell r="N139">
            <v>-3.5438754443426812E-2</v>
          </cell>
        </row>
        <row r="140">
          <cell r="M140">
            <v>7.5972929686332513E-2</v>
          </cell>
          <cell r="N140">
            <v>4.7909491776368718E-2</v>
          </cell>
        </row>
        <row r="141">
          <cell r="M141">
            <v>3.0327287370769174E-2</v>
          </cell>
          <cell r="N141">
            <v>5.4058204714735325E-3</v>
          </cell>
        </row>
        <row r="142">
          <cell r="M142">
            <v>-3.1117776365547467E-2</v>
          </cell>
          <cell r="N142">
            <v>7.2234866421250432E-2</v>
          </cell>
        </row>
        <row r="143">
          <cell r="M143">
            <v>4.2108132087303574E-2</v>
          </cell>
          <cell r="N143">
            <v>1.6026554219613631E-2</v>
          </cell>
        </row>
        <row r="144">
          <cell r="M144">
            <v>9.7679084420370099E-3</v>
          </cell>
          <cell r="N144">
            <v>1.4245453653201734E-2</v>
          </cell>
        </row>
        <row r="145">
          <cell r="C145">
            <v>1.7845022354077145E-3</v>
          </cell>
          <cell r="E145">
            <v>-6.2312147203280599E-4</v>
          </cell>
          <cell r="M145">
            <v>3.3286553710571765E-2</v>
          </cell>
          <cell r="N145">
            <v>1.9436802742718085E-2</v>
          </cell>
        </row>
        <row r="146">
          <cell r="C146">
            <v>2.0898741304118396E-3</v>
          </cell>
          <cell r="E146">
            <v>1.3570511644966921E-3</v>
          </cell>
          <cell r="M146">
            <v>-4.5918382011224335E-2</v>
          </cell>
          <cell r="N146">
            <v>8.6869262167256656E-2</v>
          </cell>
        </row>
        <row r="147">
          <cell r="C147">
            <v>2.0791670634543458E-3</v>
          </cell>
          <cell r="E147">
            <v>5.3732327302029148E-2</v>
          </cell>
          <cell r="M147">
            <v>2.3900266251559277E-2</v>
          </cell>
          <cell r="N147">
            <v>2.2832474516214507E-3</v>
          </cell>
        </row>
        <row r="148">
          <cell r="C148">
            <v>1.6187021873070861E-3</v>
          </cell>
          <cell r="E148">
            <v>5.4607389898849501E-2</v>
          </cell>
          <cell r="M148">
            <v>9.5686371594152497E-3</v>
          </cell>
          <cell r="N148">
            <v>6.9959667380370405E-3</v>
          </cell>
        </row>
        <row r="149">
          <cell r="C149">
            <v>1.6983137041581831E-3</v>
          </cell>
          <cell r="E149">
            <v>2.2412656558998822E-3</v>
          </cell>
          <cell r="M149">
            <v>1.9509812118329473E-2</v>
          </cell>
          <cell r="N149">
            <v>2.3400993893242905E-2</v>
          </cell>
        </row>
        <row r="150">
          <cell r="C150">
            <v>2.093245730631299E-3</v>
          </cell>
          <cell r="E150">
            <v>7.1033938437252697E-3</v>
          </cell>
        </row>
        <row r="151">
          <cell r="C151">
            <v>2.1298315038627003E-3</v>
          </cell>
          <cell r="E151">
            <v>1.6098484848484862E-2</v>
          </cell>
        </row>
        <row r="152">
          <cell r="C152">
            <v>1.8014789104352502E-3</v>
          </cell>
          <cell r="E152">
            <v>1.8992833499373418E-2</v>
          </cell>
        </row>
        <row r="153">
          <cell r="C153">
            <v>1.8296223069560469E-3</v>
          </cell>
          <cell r="E153">
            <v>2.7311719439889082E-2</v>
          </cell>
        </row>
        <row r="154">
          <cell r="C154">
            <v>2.1645970904806688E-3</v>
          </cell>
          <cell r="E154">
            <v>5.6793761895990169E-3</v>
          </cell>
        </row>
        <row r="155">
          <cell r="C155">
            <v>2.163047521403838E-3</v>
          </cell>
          <cell r="E155">
            <v>2.0574498611068748E-2</v>
          </cell>
        </row>
        <row r="156">
          <cell r="C156">
            <v>1.7373078278661858E-3</v>
          </cell>
          <cell r="E156">
            <v>6.9482248078245989E-2</v>
          </cell>
        </row>
        <row r="157">
          <cell r="C157">
            <v>1.7934538932895538E-3</v>
          </cell>
          <cell r="E157">
            <v>1.4179438415930168E-2</v>
          </cell>
        </row>
        <row r="158">
          <cell r="C158">
            <v>2.1259137699536357E-3</v>
          </cell>
          <cell r="E158">
            <v>0.14411383503846897</v>
          </cell>
        </row>
        <row r="159">
          <cell r="C159">
            <v>2.1152009130720462E-3</v>
          </cell>
          <cell r="E159">
            <v>5.0856853623852061E-2</v>
          </cell>
        </row>
        <row r="160">
          <cell r="C160">
            <v>1.7919593946333912E-3</v>
          </cell>
          <cell r="E160">
            <v>2.1284891855317678E-2</v>
          </cell>
        </row>
        <row r="161">
          <cell r="C161">
            <v>1.7794858645179268E-3</v>
          </cell>
          <cell r="E161">
            <v>4.3973319558919366E-2</v>
          </cell>
        </row>
        <row r="162">
          <cell r="C162">
            <v>2.038456200946781E-3</v>
          </cell>
          <cell r="E162">
            <v>-3.8722168441432947E-3</v>
          </cell>
        </row>
        <row r="163">
          <cell r="C163">
            <v>1.941980635590923E-3</v>
          </cell>
          <cell r="E163">
            <v>2.6303854875283417E-2</v>
          </cell>
        </row>
        <row r="164">
          <cell r="C164">
            <v>1.52354272830868E-3</v>
          </cell>
          <cell r="E164">
            <v>2.5250931128085297E-2</v>
          </cell>
        </row>
        <row r="165">
          <cell r="C165">
            <v>1.5365600071153285E-3</v>
          </cell>
          <cell r="E165">
            <v>2.7297169714508573E-2</v>
          </cell>
        </row>
        <row r="166">
          <cell r="C166">
            <v>1.7944964691904985E-3</v>
          </cell>
          <cell r="E166">
            <v>5.3743032385671352E-3</v>
          </cell>
        </row>
        <row r="167">
          <cell r="C167">
            <v>1.6873509812314058E-3</v>
          </cell>
          <cell r="E167">
            <v>3.4557450021859282E-2</v>
          </cell>
        </row>
        <row r="168">
          <cell r="C168">
            <v>1.2176067770954813E-3</v>
          </cell>
          <cell r="E168">
            <v>6.0064155509882644E-2</v>
          </cell>
        </row>
        <row r="169">
          <cell r="C169">
            <v>1.3258516692016276E-3</v>
          </cell>
          <cell r="E169">
            <v>1.6271653257954544E-2</v>
          </cell>
        </row>
        <row r="170">
          <cell r="C170">
            <v>1.5645641440860114E-3</v>
          </cell>
          <cell r="E170">
            <v>8.3799878757622182E-3</v>
          </cell>
        </row>
        <row r="171">
          <cell r="C171">
            <v>1.4648674933137595E-3</v>
          </cell>
          <cell r="E171">
            <v>3.2905438857061986E-2</v>
          </cell>
        </row>
        <row r="172">
          <cell r="C172">
            <v>1.0500057659277306E-3</v>
          </cell>
          <cell r="E172">
            <v>3.2370714004485102E-2</v>
          </cell>
        </row>
        <row r="173">
          <cell r="C173">
            <v>1.1428813949823091E-3</v>
          </cell>
          <cell r="E173">
            <v>4.7589042913045443E-3</v>
          </cell>
        </row>
        <row r="174">
          <cell r="C174">
            <v>1.4655785855954839E-3</v>
          </cell>
          <cell r="E174">
            <v>-4.0267348791154234E-3</v>
          </cell>
        </row>
        <row r="175">
          <cell r="C175">
            <v>1.4483156904898653E-3</v>
          </cell>
          <cell r="E175">
            <v>9.113353548408476E-3</v>
          </cell>
        </row>
        <row r="176">
          <cell r="C176">
            <v>9.8427574213166835E-4</v>
          </cell>
          <cell r="E176">
            <v>5.7798722516871681E-2</v>
          </cell>
        </row>
        <row r="177">
          <cell r="C177">
            <v>4.976865117907181E-4</v>
          </cell>
          <cell r="E177">
            <v>-3.5438754443426812E-2</v>
          </cell>
        </row>
        <row r="178">
          <cell r="C178">
            <v>5.2155719492663621E-4</v>
          </cell>
          <cell r="E178">
            <v>4.7909491776368718E-2</v>
          </cell>
        </row>
        <row r="179">
          <cell r="C179">
            <v>5.212853148202079E-4</v>
          </cell>
          <cell r="E179">
            <v>5.4058204714735325E-3</v>
          </cell>
        </row>
        <row r="180">
          <cell r="C180">
            <v>-1.6865183935921291E-4</v>
          </cell>
          <cell r="E180">
            <v>7.2234866421250432E-2</v>
          </cell>
        </row>
        <row r="181">
          <cell r="C181">
            <v>4.8194367885701084E-4</v>
          </cell>
          <cell r="E181">
            <v>1.6026554219613631E-2</v>
          </cell>
        </row>
        <row r="182">
          <cell r="C182">
            <v>9.9654070913968162E-4</v>
          </cell>
          <cell r="E182">
            <v>1.4245453653201734E-2</v>
          </cell>
        </row>
        <row r="183">
          <cell r="C183">
            <v>9.2035611164575926E-4</v>
          </cell>
          <cell r="E183">
            <v>1.9436802742718085E-2</v>
          </cell>
        </row>
        <row r="184">
          <cell r="C184">
            <v>5.7694734754476507E-4</v>
          </cell>
          <cell r="E184">
            <v>8.6869262167256656E-2</v>
          </cell>
        </row>
        <row r="185">
          <cell r="C185">
            <v>1.0300980845581176E-3</v>
          </cell>
          <cell r="E185">
            <v>2.2832474516214507E-3</v>
          </cell>
        </row>
        <row r="186">
          <cell r="C186">
            <v>1.4340530599630252E-3</v>
          </cell>
          <cell r="E186">
            <v>6.9959667380370405E-3</v>
          </cell>
        </row>
        <row r="187">
          <cell r="C187">
            <v>1.4469785709363414E-3</v>
          </cell>
          <cell r="E187">
            <v>2.3400993893242905E-2</v>
          </cell>
        </row>
        <row r="188">
          <cell r="C188">
            <v>1.073943556637813E-3</v>
          </cell>
          <cell r="E188">
            <v>0.11045212412576855</v>
          </cell>
        </row>
        <row r="189">
          <cell r="C189">
            <v>1.1295687019821088E-3</v>
          </cell>
          <cell r="E189">
            <v>1.0573147251743187E-2</v>
          </cell>
        </row>
        <row r="190">
          <cell r="C190">
            <v>1.438724370856459E-3</v>
          </cell>
          <cell r="E190">
            <v>-5.8340419577408431E-3</v>
          </cell>
        </row>
      </sheetData>
      <sheetData sheetId="8">
        <row r="1">
          <cell r="A1" t="e">
            <v>#VALUE!</v>
          </cell>
        </row>
        <row r="2">
          <cell r="A2" t="str">
            <v>Figures in Millions of USD</v>
          </cell>
        </row>
        <row r="3">
          <cell r="A3" t="str">
            <v>Results</v>
          </cell>
        </row>
        <row r="4">
          <cell r="B4">
            <v>2022</v>
          </cell>
          <cell r="C4">
            <v>2021</v>
          </cell>
          <cell r="D4">
            <v>2020</v>
          </cell>
          <cell r="E4">
            <v>2019</v>
          </cell>
          <cell r="F4">
            <v>2018</v>
          </cell>
          <cell r="G4">
            <v>2017</v>
          </cell>
          <cell r="H4">
            <v>2016</v>
          </cell>
          <cell r="I4">
            <v>2015</v>
          </cell>
          <cell r="J4">
            <v>2014</v>
          </cell>
        </row>
        <row r="5">
          <cell r="A5" t="str">
            <v>Net Sales</v>
          </cell>
          <cell r="B5">
            <v>324162</v>
          </cell>
          <cell r="C5">
            <v>287597</v>
          </cell>
          <cell r="D5">
            <v>257141</v>
          </cell>
          <cell r="E5">
            <v>242155</v>
          </cell>
          <cell r="F5">
            <v>226247</v>
          </cell>
          <cell r="G5">
            <v>201159</v>
          </cell>
          <cell r="H5">
            <v>184840</v>
          </cell>
          <cell r="I5">
            <v>157107</v>
          </cell>
          <cell r="J5">
            <v>130474</v>
          </cell>
        </row>
        <row r="6">
          <cell r="A6" t="str">
            <v>Growth vs. Previous year</v>
          </cell>
          <cell r="B6">
            <v>0.12713971286209524</v>
          </cell>
          <cell r="C6">
            <v>0.11844085540617799</v>
          </cell>
          <cell r="D6">
            <v>6.1885982118890848E-2</v>
          </cell>
          <cell r="E6">
            <v>7.0312534530844628E-2</v>
          </cell>
          <cell r="F6">
            <v>0.1247172634582594</v>
          </cell>
          <cell r="G6">
            <v>8.8287167279809564E-2</v>
          </cell>
          <cell r="H6">
            <v>0.1765230066133272</v>
          </cell>
          <cell r="I6">
            <v>0.20412495976209821</v>
          </cell>
          <cell r="J6">
            <v>6.518952722285265E-2</v>
          </cell>
        </row>
        <row r="7">
          <cell r="A7" t="str">
            <v>Gross Profit</v>
          </cell>
          <cell r="B7">
            <v>290459</v>
          </cell>
          <cell r="C7">
            <v>256563</v>
          </cell>
          <cell r="D7">
            <v>226396</v>
          </cell>
          <cell r="E7">
            <v>214038</v>
          </cell>
          <cell r="F7">
            <v>199249</v>
          </cell>
          <cell r="G7">
            <v>177047</v>
          </cell>
          <cell r="H7">
            <v>160424</v>
          </cell>
          <cell r="I7">
            <v>140901</v>
          </cell>
          <cell r="J7">
            <v>126690</v>
          </cell>
        </row>
        <row r="8">
          <cell r="A8" t="str">
            <v>% over sales</v>
          </cell>
          <cell r="B8">
            <v>0.89603037987179246</v>
          </cell>
          <cell r="C8">
            <v>0.89209205937475011</v>
          </cell>
          <cell r="D8">
            <v>0.88043524758789926</v>
          </cell>
          <cell r="E8">
            <v>0.88388841857487976</v>
          </cell>
          <cell r="F8">
            <v>0.88067024093137147</v>
          </cell>
          <cell r="G8">
            <v>0.88013461987780806</v>
          </cell>
          <cell r="H8">
            <v>0.86790737935511797</v>
          </cell>
          <cell r="I8">
            <v>0.89684737153659611</v>
          </cell>
          <cell r="J8">
            <v>0.97099805325198896</v>
          </cell>
        </row>
        <row r="9">
          <cell r="A9" t="str">
            <v>Operating expenses</v>
          </cell>
          <cell r="B9">
            <v>295727</v>
          </cell>
          <cell r="C9">
            <v>263627</v>
          </cell>
          <cell r="D9">
            <v>234736</v>
          </cell>
          <cell r="E9">
            <v>222470</v>
          </cell>
          <cell r="F9">
            <v>208903</v>
          </cell>
          <cell r="G9">
            <v>185950</v>
          </cell>
          <cell r="H9">
            <v>171910</v>
          </cell>
          <cell r="I9">
            <v>146086</v>
          </cell>
          <cell r="J9">
            <v>120200</v>
          </cell>
        </row>
        <row r="10">
          <cell r="A10" t="str">
            <v>% over sales</v>
          </cell>
          <cell r="B10">
            <v>0.9122815135642055</v>
          </cell>
          <cell r="C10">
            <v>0.91665420710229939</v>
          </cell>
          <cell r="D10">
            <v>0.91286881516366503</v>
          </cell>
          <cell r="E10">
            <v>0.91870909128450784</v>
          </cell>
          <cell r="F10">
            <v>0.92334041998346938</v>
          </cell>
          <cell r="G10">
            <v>0.92439314174359588</v>
          </cell>
          <cell r="H10">
            <v>0.93004760874269643</v>
          </cell>
          <cell r="I10">
            <v>0.92985035676322503</v>
          </cell>
          <cell r="J10">
            <v>0.92125634225976061</v>
          </cell>
        </row>
        <row r="11">
          <cell r="A11" t="str">
            <v>Operating Income</v>
          </cell>
          <cell r="B11">
            <v>28435</v>
          </cell>
          <cell r="C11">
            <v>23970</v>
          </cell>
          <cell r="D11">
            <v>22405</v>
          </cell>
          <cell r="E11">
            <v>19685</v>
          </cell>
          <cell r="F11">
            <v>17344</v>
          </cell>
          <cell r="G11">
            <v>15209</v>
          </cell>
          <cell r="H11">
            <v>12930</v>
          </cell>
          <cell r="I11">
            <v>11021</v>
          </cell>
          <cell r="J11">
            <v>10274</v>
          </cell>
        </row>
        <row r="12">
          <cell r="A12" t="str">
            <v>Operating Margin</v>
          </cell>
          <cell r="B12">
            <v>8.7718486435794454E-2</v>
          </cell>
          <cell r="C12">
            <v>8.3345792897700596E-2</v>
          </cell>
          <cell r="D12">
            <v>8.7131184836334932E-2</v>
          </cell>
          <cell r="E12">
            <v>8.1290908715492147E-2</v>
          </cell>
          <cell r="F12">
            <v>7.6659580016530601E-2</v>
          </cell>
          <cell r="G12">
            <v>7.5606858256404133E-2</v>
          </cell>
          <cell r="H12">
            <v>6.9952391257303612E-2</v>
          </cell>
          <cell r="I12">
            <v>7.0149643236774931E-2</v>
          </cell>
          <cell r="J12">
            <v>7.8743657740239434E-2</v>
          </cell>
        </row>
        <row r="13">
          <cell r="A13" t="str">
            <v xml:space="preserve">     Growth vs. Previous year</v>
          </cell>
          <cell r="B13">
            <v>5.2464478242602475E-2</v>
          </cell>
          <cell r="C13">
            <v>-4.3444743070402692E-2</v>
          </cell>
          <cell r="D13">
            <v>7.1844148541665431E-2</v>
          </cell>
          <cell r="E13">
            <v>6.0414219566071958E-2</v>
          </cell>
          <cell r="F13">
            <v>1.3923627887782342E-2</v>
          </cell>
          <cell r="G13">
            <v>8.0833076574921892E-2</v>
          </cell>
          <cell r="H13">
            <v>-2.8118743071228192E-3</v>
          </cell>
          <cell r="I13">
            <v>-0.10913913259928243</v>
          </cell>
          <cell r="J13">
            <v>2.3102871187974383E-3</v>
          </cell>
        </row>
        <row r="14">
          <cell r="A14" t="str">
            <v>Net Financial Cost</v>
          </cell>
          <cell r="B14">
            <v>-2092</v>
          </cell>
          <cell r="C14">
            <v>-1660</v>
          </cell>
          <cell r="D14">
            <v>-1663</v>
          </cell>
          <cell r="E14">
            <v>-1704</v>
          </cell>
          <cell r="F14">
            <v>-1400</v>
          </cell>
          <cell r="G14">
            <v>-1186</v>
          </cell>
          <cell r="H14">
            <v>-1067</v>
          </cell>
          <cell r="I14">
            <v>-790</v>
          </cell>
          <cell r="J14">
            <v>-618</v>
          </cell>
        </row>
        <row r="15">
          <cell r="A15" t="str">
            <v>Other Expenses (Revenues)</v>
          </cell>
          <cell r="B15">
            <v>0</v>
          </cell>
          <cell r="C15">
            <v>0</v>
          </cell>
          <cell r="D15">
            <v>0</v>
          </cell>
          <cell r="E15">
            <v>0</v>
          </cell>
          <cell r="F15">
            <v>0</v>
          </cell>
          <cell r="G15">
            <v>0</v>
          </cell>
          <cell r="H15">
            <v>0</v>
          </cell>
          <cell r="I15">
            <v>0</v>
          </cell>
          <cell r="J15">
            <v>0</v>
          </cell>
        </row>
        <row r="16">
          <cell r="A16" t="str">
            <v>EBIT</v>
          </cell>
          <cell r="B16">
            <v>28435</v>
          </cell>
          <cell r="C16">
            <v>23970</v>
          </cell>
          <cell r="D16">
            <v>22405</v>
          </cell>
          <cell r="E16">
            <v>19685</v>
          </cell>
          <cell r="F16">
            <v>17344</v>
          </cell>
          <cell r="G16">
            <v>15209</v>
          </cell>
          <cell r="H16">
            <v>12930</v>
          </cell>
          <cell r="I16">
            <v>11021</v>
          </cell>
          <cell r="J16">
            <v>10274</v>
          </cell>
        </row>
        <row r="17">
          <cell r="A17" t="str">
            <v>Depreciation &amp; Amortization</v>
          </cell>
          <cell r="B17">
            <v>3400</v>
          </cell>
          <cell r="C17">
            <v>3103</v>
          </cell>
          <cell r="D17">
            <v>2891</v>
          </cell>
          <cell r="E17">
            <v>2720</v>
          </cell>
          <cell r="F17">
            <v>2428</v>
          </cell>
          <cell r="G17">
            <v>2245</v>
          </cell>
          <cell r="H17">
            <v>2055</v>
          </cell>
          <cell r="I17">
            <v>1693</v>
          </cell>
          <cell r="J17">
            <v>1478</v>
          </cell>
        </row>
        <row r="18">
          <cell r="A18" t="str">
            <v>Changes Net Working Capital</v>
          </cell>
          <cell r="B18">
            <v>-7638</v>
          </cell>
          <cell r="C18">
            <v>-1958</v>
          </cell>
          <cell r="D18">
            <v>-5090</v>
          </cell>
          <cell r="E18">
            <v>-4552</v>
          </cell>
          <cell r="F18">
            <v>28</v>
          </cell>
          <cell r="G18">
            <v>-221</v>
          </cell>
          <cell r="H18">
            <v>-4468</v>
          </cell>
          <cell r="I18">
            <v>-7877</v>
          </cell>
          <cell r="J18">
            <v>411</v>
          </cell>
        </row>
        <row r="19">
          <cell r="A19" t="str">
            <v>EBITDA</v>
          </cell>
          <cell r="B19">
            <v>31835</v>
          </cell>
          <cell r="C19">
            <v>27073</v>
          </cell>
          <cell r="D19">
            <v>25296</v>
          </cell>
          <cell r="E19">
            <v>22405</v>
          </cell>
          <cell r="F19">
            <v>19772</v>
          </cell>
          <cell r="G19">
            <v>17454</v>
          </cell>
          <cell r="H19">
            <v>14985</v>
          </cell>
          <cell r="I19">
            <v>12714</v>
          </cell>
          <cell r="J19">
            <v>11752</v>
          </cell>
        </row>
        <row r="20">
          <cell r="A20" t="str">
            <v>EBITDA Margin</v>
          </cell>
          <cell r="B20">
            <v>9.8207069304853747E-2</v>
          </cell>
          <cell r="C20">
            <v>9.4135196125133436E-2</v>
          </cell>
          <cell r="D20">
            <v>9.8374043812538642E-2</v>
          </cell>
          <cell r="E20">
            <v>9.2523383783114116E-2</v>
          </cell>
          <cell r="F20">
            <v>8.7391214027147321E-2</v>
          </cell>
          <cell r="G20">
            <v>8.6767184167747896E-2</v>
          </cell>
          <cell r="H20">
            <v>8.1070114693789219E-2</v>
          </cell>
          <cell r="I20">
            <v>8.0925738509423514E-2</v>
          </cell>
          <cell r="J20">
            <v>9.0071585143400218E-2</v>
          </cell>
        </row>
        <row r="21">
          <cell r="A21" t="str">
            <v>Taxes</v>
          </cell>
          <cell r="B21">
            <v>-5704</v>
          </cell>
          <cell r="C21">
            <v>-4578</v>
          </cell>
          <cell r="D21">
            <v>-4973</v>
          </cell>
          <cell r="E21">
            <v>-3742</v>
          </cell>
          <cell r="F21">
            <v>-3562</v>
          </cell>
          <cell r="G21">
            <v>-4400</v>
          </cell>
          <cell r="H21">
            <v>-4790</v>
          </cell>
          <cell r="I21">
            <v>-4363</v>
          </cell>
          <cell r="J21">
            <v>-4037</v>
          </cell>
        </row>
        <row r="22">
          <cell r="A22" t="str">
            <v>% Tax</v>
          </cell>
          <cell r="B22">
            <v>-1.7596140201504185E-2</v>
          </cell>
          <cell r="C22">
            <v>-1.5918107629773606E-2</v>
          </cell>
          <cell r="D22">
            <v>-1.9339584119218638E-2</v>
          </cell>
          <cell r="E22">
            <v>-1.545291239082406E-2</v>
          </cell>
          <cell r="F22">
            <v>-1.5743855167140337E-2</v>
          </cell>
          <cell r="G22">
            <v>-2.1873244547845238E-2</v>
          </cell>
          <cell r="H22">
            <v>-2.5914304263146504E-2</v>
          </cell>
          <cell r="I22">
            <v>-2.7770882264953185E-2</v>
          </cell>
          <cell r="J22">
            <v>-3.0941030396860678E-2</v>
          </cell>
        </row>
        <row r="23">
          <cell r="A23" t="str">
            <v>Net Income</v>
          </cell>
          <cell r="B23">
            <v>20639</v>
          </cell>
          <cell r="C23">
            <v>17732</v>
          </cell>
          <cell r="D23">
            <v>15769</v>
          </cell>
          <cell r="E23">
            <v>14239</v>
          </cell>
          <cell r="F23">
            <v>12382</v>
          </cell>
          <cell r="G23">
            <v>9623</v>
          </cell>
          <cell r="H23">
            <v>7073</v>
          </cell>
          <cell r="I23">
            <v>5868</v>
          </cell>
          <cell r="J23">
            <v>5619</v>
          </cell>
        </row>
        <row r="24">
          <cell r="A24" t="str">
            <v>Net Income Margin</v>
          </cell>
          <cell r="B24">
            <v>6.3668782892504369E-2</v>
          </cell>
          <cell r="C24">
            <v>6.1655719635462125E-2</v>
          </cell>
          <cell r="D24">
            <v>6.1324331786840686E-2</v>
          </cell>
          <cell r="E24">
            <v>5.8801181061716667E-2</v>
          </cell>
          <cell r="F24">
            <v>5.4727797495657399E-2</v>
          </cell>
          <cell r="G24">
            <v>4.7837780064526068E-2</v>
          </cell>
          <cell r="H24">
            <v>3.8265526942220296E-2</v>
          </cell>
          <cell r="I24">
            <v>3.7350340850503164E-2</v>
          </cell>
          <cell r="J24">
            <v>4.3066051473856858E-2</v>
          </cell>
        </row>
        <row r="25">
          <cell r="A25" t="str">
            <v>Growth vs. Previous year</v>
          </cell>
          <cell r="B25">
            <v>3.265006505389012E-2</v>
          </cell>
          <cell r="C25">
            <v>5.4038558426257044E-3</v>
          </cell>
          <cell r="D25">
            <v>4.2909864726624614E-2</v>
          </cell>
          <cell r="E25">
            <v>7.4429883029414556E-2</v>
          </cell>
          <cell r="F25">
            <v>0.14402878690937837</v>
          </cell>
          <cell r="G25">
            <v>0.25015343802163148</v>
          </cell>
          <cell r="H25">
            <v>2.4502750734731293E-2</v>
          </cell>
          <cell r="I25">
            <v>-0.13271963478758675</v>
          </cell>
          <cell r="J25">
            <v>-7.0136157415608524E-2</v>
          </cell>
        </row>
        <row r="26">
          <cell r="A26" t="str">
            <v>Cash Generated</v>
          </cell>
          <cell r="B26">
            <v>4004</v>
          </cell>
          <cell r="C26">
            <v>4126</v>
          </cell>
          <cell r="D26">
            <v>5536</v>
          </cell>
          <cell r="E26">
            <v>-79</v>
          </cell>
          <cell r="F26">
            <v>-1166</v>
          </cell>
          <cell r="G26">
            <v>2215</v>
          </cell>
          <cell r="H26">
            <v>364</v>
          </cell>
          <cell r="I26">
            <v>3675</v>
          </cell>
          <cell r="J26">
            <v>23</v>
          </cell>
        </row>
        <row r="27">
          <cell r="A27" t="str">
            <v>Dividends</v>
          </cell>
          <cell r="B27">
            <v>-5991</v>
          </cell>
          <cell r="C27">
            <v>-5280</v>
          </cell>
          <cell r="D27">
            <v>-4584</v>
          </cell>
          <cell r="E27">
            <v>-3932</v>
          </cell>
          <cell r="F27">
            <v>-3320</v>
          </cell>
          <cell r="G27">
            <v>-2773</v>
          </cell>
          <cell r="H27">
            <v>-2261</v>
          </cell>
          <cell r="I27">
            <v>-1786</v>
          </cell>
          <cell r="J27">
            <v>-1362</v>
          </cell>
        </row>
        <row r="28">
          <cell r="A28" t="str">
            <v>Share buyback</v>
          </cell>
          <cell r="B28">
            <v>-5747</v>
          </cell>
          <cell r="C28">
            <v>-3645</v>
          </cell>
          <cell r="D28">
            <v>-2810</v>
          </cell>
          <cell r="E28">
            <v>-4463</v>
          </cell>
          <cell r="F28">
            <v>-3662</v>
          </cell>
          <cell r="G28">
            <v>-812</v>
          </cell>
          <cell r="H28">
            <v>-851</v>
          </cell>
          <cell r="I28">
            <v>-798</v>
          </cell>
          <cell r="J28">
            <v>-3546</v>
          </cell>
        </row>
        <row r="29">
          <cell r="A29" t="str">
            <v>Net Cash Flow</v>
          </cell>
          <cell r="B29">
            <v>-7734</v>
          </cell>
          <cell r="C29">
            <v>-4799</v>
          </cell>
          <cell r="D29">
            <v>-1858</v>
          </cell>
          <cell r="E29">
            <v>-8474</v>
          </cell>
          <cell r="F29">
            <v>-8148</v>
          </cell>
          <cell r="G29">
            <v>-1370</v>
          </cell>
          <cell r="H29">
            <v>-2748</v>
          </cell>
          <cell r="I29">
            <v>1091</v>
          </cell>
          <cell r="J29">
            <v>-4885</v>
          </cell>
        </row>
        <row r="30">
          <cell r="A30" t="str">
            <v>FNP''</v>
          </cell>
          <cell r="B30">
            <v>-76000</v>
          </cell>
          <cell r="C30">
            <v>-58496</v>
          </cell>
          <cell r="D30">
            <v>-60008</v>
          </cell>
          <cell r="E30">
            <v>-62915</v>
          </cell>
          <cell r="F30">
            <v>-50942</v>
          </cell>
          <cell r="G30">
            <v>-40261</v>
          </cell>
          <cell r="H30">
            <v>-41880</v>
          </cell>
          <cell r="I30">
            <v>-43984</v>
          </cell>
          <cell r="J30">
            <v>-34668</v>
          </cell>
        </row>
        <row r="31">
          <cell r="A31" t="str">
            <v>FNP'</v>
          </cell>
          <cell r="B31">
            <v>-101674</v>
          </cell>
          <cell r="C31">
            <v>-66414</v>
          </cell>
          <cell r="D31">
            <v>-70489</v>
          </cell>
          <cell r="E31">
            <v>-73543</v>
          </cell>
          <cell r="F31">
            <v>-61264</v>
          </cell>
          <cell r="G31">
            <v>-46837</v>
          </cell>
          <cell r="H31">
            <v>-49530</v>
          </cell>
          <cell r="I31">
            <v>-60823</v>
          </cell>
          <cell r="J31">
            <v>-35677</v>
          </cell>
        </row>
        <row r="32">
          <cell r="A32" t="str">
            <v>Net Capex</v>
          </cell>
          <cell r="B32">
            <v>-2802</v>
          </cell>
          <cell r="C32">
            <v>-2454</v>
          </cell>
          <cell r="D32">
            <v>-2051</v>
          </cell>
          <cell r="E32">
            <v>-2071</v>
          </cell>
          <cell r="F32">
            <v>-2063</v>
          </cell>
          <cell r="G32">
            <v>-2023</v>
          </cell>
          <cell r="H32">
            <v>-1705</v>
          </cell>
          <cell r="I32">
            <v>-1556</v>
          </cell>
          <cell r="J32">
            <v>-1525</v>
          </cell>
        </row>
        <row r="33">
          <cell r="A33" t="str">
            <v>Investments &amp; Acquisitions</v>
          </cell>
          <cell r="B33">
            <v>-25674</v>
          </cell>
          <cell r="C33">
            <v>-7918</v>
          </cell>
          <cell r="D33">
            <v>-10481</v>
          </cell>
          <cell r="E33">
            <v>-10628</v>
          </cell>
          <cell r="F33">
            <v>-10322</v>
          </cell>
          <cell r="G33">
            <v>-6576</v>
          </cell>
          <cell r="H33">
            <v>-7650</v>
          </cell>
          <cell r="I33">
            <v>-16839</v>
          </cell>
          <cell r="J33">
            <v>-1009</v>
          </cell>
        </row>
        <row r="34">
          <cell r="A34" t="str">
            <v>Capex + Investments</v>
          </cell>
          <cell r="B34">
            <v>-28476</v>
          </cell>
          <cell r="C34">
            <v>-10372</v>
          </cell>
          <cell r="D34">
            <v>-12532</v>
          </cell>
          <cell r="E34">
            <v>-12699</v>
          </cell>
          <cell r="F34">
            <v>-12385</v>
          </cell>
          <cell r="G34">
            <v>-8599</v>
          </cell>
          <cell r="H34">
            <v>-9355</v>
          </cell>
          <cell r="I34">
            <v>-18395</v>
          </cell>
          <cell r="J34">
            <v>-2534</v>
          </cell>
        </row>
        <row r="35">
          <cell r="A35" t="str">
            <v>Dividends + Share Buyback</v>
          </cell>
          <cell r="B35">
            <v>-11738</v>
          </cell>
          <cell r="C35">
            <v>-8925</v>
          </cell>
          <cell r="D35">
            <v>-7394</v>
          </cell>
          <cell r="E35">
            <v>-8395</v>
          </cell>
          <cell r="F35">
            <v>-6982</v>
          </cell>
          <cell r="G35">
            <v>-3585</v>
          </cell>
          <cell r="H35">
            <v>-3112</v>
          </cell>
          <cell r="I35">
            <v>-2584</v>
          </cell>
          <cell r="J35">
            <v>-4908</v>
          </cell>
        </row>
        <row r="36">
          <cell r="A36" t="str">
            <v>Payout Ratio</v>
          </cell>
          <cell r="B36">
            <v>-0.56872910509230101</v>
          </cell>
          <cell r="C36">
            <v>-0.50332731784344686</v>
          </cell>
          <cell r="D36">
            <v>-0.46889466675122077</v>
          </cell>
          <cell r="E36">
            <v>-0.58957791979773866</v>
          </cell>
          <cell r="F36">
            <v>-0.56388305604910349</v>
          </cell>
          <cell r="G36">
            <v>-0.37254494440403202</v>
          </cell>
          <cell r="H36">
            <v>-0.43998303407323625</v>
          </cell>
          <cell r="I36">
            <v>-0.44035446489434221</v>
          </cell>
          <cell r="J36">
            <v>-0.87346502936465564</v>
          </cell>
        </row>
        <row r="38">
          <cell r="A38" t="str">
            <v>Assets</v>
          </cell>
        </row>
        <row r="39">
          <cell r="A39" t="str">
            <v>Cash &amp; Eq.</v>
          </cell>
          <cell r="B39">
            <v>27911</v>
          </cell>
          <cell r="C39">
            <v>23907</v>
          </cell>
          <cell r="D39">
            <v>19781</v>
          </cell>
          <cell r="E39">
            <v>14245</v>
          </cell>
          <cell r="F39">
            <v>14324</v>
          </cell>
          <cell r="G39">
            <v>15490</v>
          </cell>
          <cell r="H39">
            <v>13275</v>
          </cell>
          <cell r="I39">
            <v>12911</v>
          </cell>
          <cell r="J39">
            <v>9236</v>
          </cell>
        </row>
        <row r="40">
          <cell r="A40" t="str">
            <v>Accounts Receivable</v>
          </cell>
          <cell r="B40">
            <v>30450</v>
          </cell>
          <cell r="C40">
            <v>28082</v>
          </cell>
          <cell r="D40">
            <v>25404</v>
          </cell>
          <cell r="E40">
            <v>21462</v>
          </cell>
          <cell r="F40">
            <v>18250</v>
          </cell>
          <cell r="G40">
            <v>15830</v>
          </cell>
          <cell r="H40">
            <v>15651</v>
          </cell>
          <cell r="I40">
            <v>13324</v>
          </cell>
          <cell r="J40">
            <v>9750</v>
          </cell>
        </row>
        <row r="41">
          <cell r="A41" t="str">
            <v>Inventory (2021-2022)</v>
          </cell>
          <cell r="B41">
            <v>24523</v>
          </cell>
          <cell r="C41">
            <v>23267</v>
          </cell>
          <cell r="D41">
            <v>23927</v>
          </cell>
          <cell r="E41">
            <v>19827</v>
          </cell>
          <cell r="F41">
            <v>16438</v>
          </cell>
          <cell r="G41">
            <v>15535</v>
          </cell>
          <cell r="H41">
            <v>15297</v>
          </cell>
          <cell r="I41">
            <v>14183</v>
          </cell>
          <cell r="J41">
            <v>11809</v>
          </cell>
        </row>
        <row r="42">
          <cell r="A42" t="str">
            <v>Property, Plant and Equipment</v>
          </cell>
          <cell r="B42">
            <v>10128</v>
          </cell>
          <cell r="C42">
            <v>8969</v>
          </cell>
          <cell r="D42">
            <v>8626</v>
          </cell>
          <cell r="E42">
            <v>8704</v>
          </cell>
          <cell r="F42">
            <v>8458</v>
          </cell>
          <cell r="G42">
            <v>7013</v>
          </cell>
          <cell r="H42">
            <v>5901</v>
          </cell>
          <cell r="I42">
            <v>4861</v>
          </cell>
          <cell r="J42">
            <v>4418</v>
          </cell>
        </row>
        <row r="43">
          <cell r="A43" t="str">
            <v>Other Assets</v>
          </cell>
          <cell r="B43">
            <v>129988</v>
          </cell>
          <cell r="C43">
            <v>105234</v>
          </cell>
          <cell r="D43">
            <v>102236</v>
          </cell>
          <cell r="E43">
            <v>92269</v>
          </cell>
          <cell r="F43">
            <v>78679</v>
          </cell>
          <cell r="G43">
            <v>72384</v>
          </cell>
          <cell r="H43">
            <v>64115</v>
          </cell>
          <cell r="I43">
            <v>61366</v>
          </cell>
          <cell r="J43">
            <v>44151</v>
          </cell>
        </row>
        <row r="44">
          <cell r="A44" t="str">
            <v>Total Assets</v>
          </cell>
          <cell r="B44">
            <v>245705</v>
          </cell>
          <cell r="C44">
            <v>212206</v>
          </cell>
          <cell r="D44">
            <v>197289</v>
          </cell>
          <cell r="E44">
            <v>173889</v>
          </cell>
          <cell r="F44">
            <v>152221</v>
          </cell>
          <cell r="G44">
            <v>139058</v>
          </cell>
          <cell r="H44">
            <v>122810</v>
          </cell>
          <cell r="I44">
            <v>111254</v>
          </cell>
          <cell r="J44">
            <v>86382</v>
          </cell>
        </row>
        <row r="47">
          <cell r="A47" t="str">
            <v>Liabilities</v>
          </cell>
        </row>
        <row r="48">
          <cell r="A48" t="str">
            <v>Current Liabilities</v>
          </cell>
          <cell r="B48">
            <v>89237</v>
          </cell>
          <cell r="C48">
            <v>78292</v>
          </cell>
          <cell r="D48">
            <v>72420</v>
          </cell>
          <cell r="E48">
            <v>61782</v>
          </cell>
          <cell r="F48">
            <v>53209</v>
          </cell>
          <cell r="G48">
            <v>50463</v>
          </cell>
          <cell r="H48">
            <v>49252</v>
          </cell>
          <cell r="I48">
            <v>42898</v>
          </cell>
          <cell r="J48">
            <v>30623</v>
          </cell>
        </row>
        <row r="49">
          <cell r="A49" t="str">
            <v xml:space="preserve">   Short-Term Debt</v>
          </cell>
          <cell r="B49">
            <v>6185</v>
          </cell>
          <cell r="C49">
            <v>6191</v>
          </cell>
          <cell r="D49">
            <v>7661</v>
          </cell>
          <cell r="E49">
            <v>6492</v>
          </cell>
          <cell r="F49">
            <v>4369</v>
          </cell>
          <cell r="G49">
            <v>5126</v>
          </cell>
          <cell r="H49">
            <v>9161</v>
          </cell>
          <cell r="I49">
            <v>8776</v>
          </cell>
          <cell r="J49">
            <v>3371</v>
          </cell>
        </row>
        <row r="50">
          <cell r="A50" t="str">
            <v xml:space="preserve">   Short-Term Leases</v>
          </cell>
          <cell r="B50">
            <v>0</v>
          </cell>
          <cell r="C50">
            <v>0</v>
          </cell>
          <cell r="D50">
            <v>0</v>
          </cell>
          <cell r="E50">
            <v>0</v>
          </cell>
          <cell r="F50">
            <v>0</v>
          </cell>
          <cell r="G50">
            <v>0</v>
          </cell>
          <cell r="H50">
            <v>0</v>
          </cell>
          <cell r="I50">
            <v>0</v>
          </cell>
          <cell r="J50">
            <v>0</v>
          </cell>
        </row>
        <row r="51">
          <cell r="A51" t="str">
            <v>Other current liabilities</v>
          </cell>
          <cell r="B51">
            <v>26281</v>
          </cell>
          <cell r="C51">
            <v>22975</v>
          </cell>
          <cell r="D51">
            <v>20392</v>
          </cell>
          <cell r="E51">
            <v>14595</v>
          </cell>
          <cell r="F51">
            <v>12244</v>
          </cell>
          <cell r="G51">
            <v>12286</v>
          </cell>
          <cell r="H51">
            <v>10339</v>
          </cell>
          <cell r="I51">
            <v>7798</v>
          </cell>
          <cell r="J51">
            <v>5965</v>
          </cell>
        </row>
        <row r="52">
          <cell r="A52" t="str">
            <v>Non-current Liabilities</v>
          </cell>
          <cell r="B52">
            <v>70121</v>
          </cell>
          <cell r="C52">
            <v>57435</v>
          </cell>
          <cell r="D52">
            <v>54330</v>
          </cell>
          <cell r="E52">
            <v>49945</v>
          </cell>
          <cell r="F52">
            <v>42785</v>
          </cell>
          <cell r="G52">
            <v>36573</v>
          </cell>
          <cell r="H52">
            <v>33369</v>
          </cell>
          <cell r="I52">
            <v>32895</v>
          </cell>
          <cell r="J52">
            <v>21917</v>
          </cell>
        </row>
        <row r="53">
          <cell r="A53" t="str">
            <v xml:space="preserve">   Long-Term Debt</v>
          </cell>
          <cell r="B53">
            <v>57282</v>
          </cell>
          <cell r="C53">
            <v>45648</v>
          </cell>
          <cell r="D53">
            <v>42015</v>
          </cell>
          <cell r="E53">
            <v>39801</v>
          </cell>
          <cell r="F53">
            <v>37055</v>
          </cell>
          <cell r="G53">
            <v>31017</v>
          </cell>
          <cell r="H53">
            <v>31062</v>
          </cell>
          <cell r="I53">
            <v>31414</v>
          </cell>
          <cell r="J53">
            <v>20560</v>
          </cell>
        </row>
        <row r="54">
          <cell r="A54" t="str">
            <v xml:space="preserve">   Long-Term Leases</v>
          </cell>
          <cell r="B54">
            <v>0</v>
          </cell>
          <cell r="C54">
            <v>0</v>
          </cell>
          <cell r="D54">
            <v>0</v>
          </cell>
          <cell r="E54">
            <v>0</v>
          </cell>
          <cell r="F54">
            <v>0</v>
          </cell>
          <cell r="G54">
            <v>0</v>
          </cell>
          <cell r="H54">
            <v>0</v>
          </cell>
          <cell r="I54">
            <v>0</v>
          </cell>
          <cell r="J54">
            <v>0</v>
          </cell>
        </row>
        <row r="55">
          <cell r="A55" t="str">
            <v>Other non-current liabilities</v>
          </cell>
          <cell r="B55">
            <v>12839</v>
          </cell>
          <cell r="C55">
            <v>11787</v>
          </cell>
          <cell r="D55">
            <v>12315</v>
          </cell>
          <cell r="E55">
            <v>10144</v>
          </cell>
          <cell r="F55">
            <v>5730</v>
          </cell>
          <cell r="G55">
            <v>5556</v>
          </cell>
          <cell r="H55">
            <v>2307</v>
          </cell>
          <cell r="I55">
            <v>1481</v>
          </cell>
          <cell r="J55">
            <v>1357</v>
          </cell>
        </row>
        <row r="56">
          <cell r="A56" t="str">
            <v>Total Liabilities</v>
          </cell>
          <cell r="B56">
            <v>159358</v>
          </cell>
          <cell r="C56">
            <v>135727</v>
          </cell>
          <cell r="D56">
            <v>126750</v>
          </cell>
          <cell r="E56">
            <v>111727</v>
          </cell>
          <cell r="F56">
            <v>95994</v>
          </cell>
          <cell r="G56">
            <v>87036</v>
          </cell>
          <cell r="H56">
            <v>82621</v>
          </cell>
          <cell r="I56">
            <v>75793</v>
          </cell>
          <cell r="J56">
            <v>52540</v>
          </cell>
        </row>
        <row r="58">
          <cell r="A58" t="str">
            <v>Total Debt</v>
          </cell>
          <cell r="B58">
            <v>63467</v>
          </cell>
          <cell r="C58">
            <v>51839</v>
          </cell>
          <cell r="D58">
            <v>49676</v>
          </cell>
          <cell r="E58">
            <v>46293</v>
          </cell>
          <cell r="F58">
            <v>41424</v>
          </cell>
          <cell r="G58">
            <v>36143</v>
          </cell>
          <cell r="H58">
            <v>40223</v>
          </cell>
          <cell r="I58">
            <v>40190</v>
          </cell>
          <cell r="J58">
            <v>23931</v>
          </cell>
        </row>
        <row r="59">
          <cell r="A59" t="str">
            <v>Debt/Assets</v>
          </cell>
          <cell r="B59">
            <v>0.25830569178486396</v>
          </cell>
          <cell r="C59">
            <v>0.24428621245393628</v>
          </cell>
          <cell r="D59">
            <v>0.25179305485860842</v>
          </cell>
          <cell r="E59">
            <v>0.26622155512999673</v>
          </cell>
          <cell r="F59">
            <v>0.27213065214392235</v>
          </cell>
          <cell r="G59">
            <v>0.25991312977318815</v>
          </cell>
          <cell r="H59">
            <v>0.32752218874684474</v>
          </cell>
          <cell r="I59">
            <v>0.361245438366261</v>
          </cell>
          <cell r="J59">
            <v>0.27703688268389248</v>
          </cell>
        </row>
        <row r="60">
          <cell r="A60" t="str">
            <v>Net Debt</v>
          </cell>
          <cell r="B60">
            <v>35556</v>
          </cell>
          <cell r="C60">
            <v>27932</v>
          </cell>
          <cell r="D60">
            <v>29895</v>
          </cell>
          <cell r="E60">
            <v>32048</v>
          </cell>
          <cell r="F60">
            <v>27100</v>
          </cell>
          <cell r="G60">
            <v>20653</v>
          </cell>
          <cell r="H60">
            <v>26948</v>
          </cell>
          <cell r="I60">
            <v>27279</v>
          </cell>
          <cell r="J60">
            <v>14695</v>
          </cell>
        </row>
        <row r="62">
          <cell r="A62" t="str">
            <v>Minority Interest</v>
          </cell>
          <cell r="B62">
            <v>8575</v>
          </cell>
          <cell r="C62">
            <v>4719</v>
          </cell>
          <cell r="D62">
            <v>5048</v>
          </cell>
          <cell r="E62">
            <v>4546</v>
          </cell>
          <cell r="F62">
            <v>4531</v>
          </cell>
          <cell r="G62">
            <v>4246</v>
          </cell>
          <cell r="H62">
            <v>1915</v>
          </cell>
          <cell r="I62">
            <v>1631</v>
          </cell>
          <cell r="J62">
            <v>1388</v>
          </cell>
        </row>
        <row r="64">
          <cell r="A64" t="str">
            <v xml:space="preserve">Shareholder's Equity </v>
          </cell>
          <cell r="B64">
            <v>77772</v>
          </cell>
          <cell r="C64">
            <v>71760</v>
          </cell>
          <cell r="D64">
            <v>65491</v>
          </cell>
          <cell r="E64">
            <v>57616</v>
          </cell>
          <cell r="F64">
            <v>51696</v>
          </cell>
          <cell r="G64">
            <v>47776</v>
          </cell>
          <cell r="H64">
            <v>38274</v>
          </cell>
          <cell r="I64">
            <v>33830</v>
          </cell>
          <cell r="J64">
            <v>32454</v>
          </cell>
        </row>
        <row r="66">
          <cell r="A66" t="str">
            <v>Cash Flow</v>
          </cell>
        </row>
        <row r="67">
          <cell r="A67" t="str">
            <v>Operating CF</v>
          </cell>
          <cell r="B67">
            <v>26206</v>
          </cell>
          <cell r="C67">
            <v>22343</v>
          </cell>
          <cell r="D67">
            <v>22174</v>
          </cell>
          <cell r="E67">
            <v>18463</v>
          </cell>
          <cell r="F67">
            <v>15713</v>
          </cell>
          <cell r="G67">
            <v>13596</v>
          </cell>
          <cell r="H67">
            <v>9795</v>
          </cell>
          <cell r="I67">
            <v>9740</v>
          </cell>
          <cell r="J67">
            <v>8051</v>
          </cell>
        </row>
        <row r="68">
          <cell r="A68" t="str">
            <v>Investing CF</v>
          </cell>
          <cell r="B68">
            <v>-28476</v>
          </cell>
          <cell r="C68">
            <v>-10372</v>
          </cell>
          <cell r="D68">
            <v>-12532</v>
          </cell>
          <cell r="E68">
            <v>-12699</v>
          </cell>
          <cell r="F68">
            <v>-12385</v>
          </cell>
          <cell r="G68">
            <v>-8599</v>
          </cell>
          <cell r="H68">
            <v>-9355</v>
          </cell>
          <cell r="I68">
            <v>-18395</v>
          </cell>
          <cell r="J68">
            <v>-2534</v>
          </cell>
        </row>
        <row r="69">
          <cell r="A69" t="str">
            <v>Net Capex</v>
          </cell>
          <cell r="B69">
            <v>-2802</v>
          </cell>
          <cell r="C69">
            <v>-2454</v>
          </cell>
          <cell r="D69">
            <v>-2051</v>
          </cell>
          <cell r="E69">
            <v>-2071</v>
          </cell>
          <cell r="F69">
            <v>-2063</v>
          </cell>
          <cell r="G69">
            <v>-2023</v>
          </cell>
          <cell r="H69">
            <v>-1705</v>
          </cell>
          <cell r="I69">
            <v>-1556</v>
          </cell>
          <cell r="J69">
            <v>-1525</v>
          </cell>
        </row>
        <row r="70">
          <cell r="A70" t="str">
            <v>Investments &amp; Acquisitions</v>
          </cell>
          <cell r="B70">
            <v>-25674</v>
          </cell>
          <cell r="C70">
            <v>-7918</v>
          </cell>
          <cell r="D70">
            <v>-10481</v>
          </cell>
          <cell r="E70">
            <v>-10628</v>
          </cell>
          <cell r="F70">
            <v>-10322</v>
          </cell>
          <cell r="G70">
            <v>-6576</v>
          </cell>
          <cell r="H70">
            <v>-7650</v>
          </cell>
          <cell r="I70">
            <v>-16839</v>
          </cell>
          <cell r="J70">
            <v>-1009</v>
          </cell>
        </row>
        <row r="71">
          <cell r="A71" t="str">
            <v>Financing CF</v>
          </cell>
          <cell r="B71">
            <v>4226</v>
          </cell>
          <cell r="C71">
            <v>-7455</v>
          </cell>
          <cell r="D71">
            <v>-3590</v>
          </cell>
          <cell r="E71">
            <v>-5625</v>
          </cell>
          <cell r="F71">
            <v>-4365</v>
          </cell>
          <cell r="G71">
            <v>-3441</v>
          </cell>
          <cell r="H71">
            <v>-1011</v>
          </cell>
          <cell r="I71">
            <v>12239</v>
          </cell>
          <cell r="J71">
            <v>-5293</v>
          </cell>
        </row>
        <row r="72">
          <cell r="A72" t="str">
            <v>Dividends</v>
          </cell>
          <cell r="B72">
            <v>-5991</v>
          </cell>
          <cell r="C72">
            <v>-5280</v>
          </cell>
          <cell r="D72">
            <v>-4584</v>
          </cell>
          <cell r="E72">
            <v>-3932</v>
          </cell>
          <cell r="F72">
            <v>-3320</v>
          </cell>
          <cell r="G72">
            <v>-2773</v>
          </cell>
          <cell r="H72">
            <v>-2261</v>
          </cell>
          <cell r="I72">
            <v>-1786</v>
          </cell>
          <cell r="J72">
            <v>-1362</v>
          </cell>
        </row>
        <row r="73">
          <cell r="A73" t="str">
            <v>Share buyback</v>
          </cell>
          <cell r="B73">
            <v>-5747</v>
          </cell>
          <cell r="C73">
            <v>-3645</v>
          </cell>
          <cell r="D73">
            <v>-2810</v>
          </cell>
          <cell r="E73">
            <v>-4463</v>
          </cell>
          <cell r="F73">
            <v>-3662</v>
          </cell>
          <cell r="G73">
            <v>-812</v>
          </cell>
          <cell r="H73">
            <v>-851</v>
          </cell>
          <cell r="I73">
            <v>-798</v>
          </cell>
          <cell r="J73">
            <v>-3546</v>
          </cell>
        </row>
        <row r="74">
          <cell r="A74" t="str">
            <v>FX</v>
          </cell>
          <cell r="B74">
            <v>34</v>
          </cell>
          <cell r="C74">
            <v>-62</v>
          </cell>
          <cell r="D74">
            <v>-116</v>
          </cell>
          <cell r="E74">
            <v>-20</v>
          </cell>
          <cell r="F74">
            <v>-78</v>
          </cell>
          <cell r="G74">
            <v>-5</v>
          </cell>
          <cell r="H74">
            <v>78</v>
          </cell>
          <cell r="I74">
            <v>-156</v>
          </cell>
          <cell r="J74">
            <v>-5</v>
          </cell>
        </row>
        <row r="75">
          <cell r="A75" t="str">
            <v>Changes in cash</v>
          </cell>
          <cell r="B75">
            <v>1990</v>
          </cell>
          <cell r="C75">
            <v>4454</v>
          </cell>
          <cell r="D75">
            <v>5936</v>
          </cell>
          <cell r="E75">
            <v>119</v>
          </cell>
          <cell r="F75">
            <v>-1115</v>
          </cell>
          <cell r="G75">
            <v>1551</v>
          </cell>
          <cell r="H75">
            <v>-493</v>
          </cell>
          <cell r="I75">
            <v>3428</v>
          </cell>
          <cell r="J75">
            <v>219</v>
          </cell>
        </row>
        <row r="77">
          <cell r="A77" t="str">
            <v>Other Data</v>
          </cell>
        </row>
        <row r="78">
          <cell r="A78" t="str">
            <v>Number of employees</v>
          </cell>
          <cell r="B78">
            <v>400000</v>
          </cell>
          <cell r="C78" t="e">
            <v>#N/A</v>
          </cell>
          <cell r="D78" t="e">
            <v>#N/A</v>
          </cell>
          <cell r="E78" t="e">
            <v>#N/A</v>
          </cell>
          <cell r="F78" t="e">
            <v>#N/A</v>
          </cell>
          <cell r="G78" t="e">
            <v>#N/A</v>
          </cell>
          <cell r="H78" t="e">
            <v>#N/A</v>
          </cell>
          <cell r="I78" t="e">
            <v>#N/A</v>
          </cell>
          <cell r="J78" t="e">
            <v>#N/A</v>
          </cell>
        </row>
        <row r="79">
          <cell r="A79" t="str">
            <v xml:space="preserve">Shares Outstanding </v>
          </cell>
          <cell r="B79">
            <v>924920</v>
          </cell>
          <cell r="C79" t="e">
            <v>#N/A</v>
          </cell>
          <cell r="D79" t="e">
            <v>#N/A</v>
          </cell>
          <cell r="E79" t="e">
            <v>#N/A</v>
          </cell>
          <cell r="F79" t="e">
            <v>#N/A</v>
          </cell>
          <cell r="G79" t="e">
            <v>#N/A</v>
          </cell>
          <cell r="H79" t="e">
            <v>#N/A</v>
          </cell>
          <cell r="I79" t="e">
            <v>#N/A</v>
          </cell>
          <cell r="J79" t="e">
            <v>#N/A</v>
          </cell>
        </row>
        <row r="80">
          <cell r="A80" t="str">
            <v>Float</v>
          </cell>
          <cell r="B80">
            <v>0.99619999999999997</v>
          </cell>
          <cell r="C80" t="str">
            <v>Yahoo finance</v>
          </cell>
          <cell r="D80">
            <v>0</v>
          </cell>
          <cell r="E80">
            <v>0</v>
          </cell>
          <cell r="F80">
            <v>0</v>
          </cell>
          <cell r="G80">
            <v>0</v>
          </cell>
          <cell r="H80">
            <v>0</v>
          </cell>
          <cell r="I80">
            <v>0</v>
          </cell>
          <cell r="J80">
            <v>0</v>
          </cell>
        </row>
        <row r="81">
          <cell r="A81" t="str">
            <v>Insiders Own</v>
          </cell>
          <cell r="B81">
            <v>2.7000000000000001E-3</v>
          </cell>
          <cell r="C81" t="str">
            <v>Yahoo finance</v>
          </cell>
          <cell r="D81">
            <v>0</v>
          </cell>
          <cell r="E81">
            <v>0</v>
          </cell>
          <cell r="F81">
            <v>0</v>
          </cell>
          <cell r="G81">
            <v>0</v>
          </cell>
          <cell r="H81">
            <v>0</v>
          </cell>
          <cell r="I81">
            <v>0</v>
          </cell>
          <cell r="J81">
            <v>0</v>
          </cell>
        </row>
        <row r="82">
          <cell r="A82" t="str">
            <v>Fitch/ S&amp;P Rating</v>
          </cell>
          <cell r="B82" t="str">
            <v>A/A+</v>
          </cell>
          <cell r="C82" t="str">
            <v>10-K</v>
          </cell>
          <cell r="D82">
            <v>0</v>
          </cell>
          <cell r="E82">
            <v>0</v>
          </cell>
          <cell r="F82">
            <v>0</v>
          </cell>
          <cell r="G82">
            <v>0</v>
          </cell>
          <cell r="H82">
            <v>0</v>
          </cell>
          <cell r="I82">
            <v>0</v>
          </cell>
          <cell r="J82">
            <v>0</v>
          </cell>
        </row>
        <row r="83">
          <cell r="A83" t="str">
            <v>Dividend Yield</v>
          </cell>
          <cell r="B83">
            <v>1.3899999999999999E-2</v>
          </cell>
          <cell r="C83" t="e">
            <v>#N/A</v>
          </cell>
          <cell r="D83" t="e">
            <v>#N/A</v>
          </cell>
          <cell r="E83" t="e">
            <v>#N/A</v>
          </cell>
          <cell r="F83" t="e">
            <v>#N/A</v>
          </cell>
          <cell r="G83" t="e">
            <v>#N/A</v>
          </cell>
          <cell r="H83" t="e">
            <v>#N/A</v>
          </cell>
          <cell r="I83" t="e">
            <v>#N/A</v>
          </cell>
          <cell r="J83" t="e">
            <v>#N/A</v>
          </cell>
        </row>
        <row r="84">
          <cell r="A84" t="str">
            <v>Daily Volume in Millions of USD</v>
          </cell>
          <cell r="B84">
            <v>3098388</v>
          </cell>
          <cell r="C84" t="str">
            <v>Yahoo Finance</v>
          </cell>
          <cell r="D84">
            <v>0</v>
          </cell>
          <cell r="E84">
            <v>0</v>
          </cell>
          <cell r="F84">
            <v>0</v>
          </cell>
          <cell r="G84">
            <v>0</v>
          </cell>
          <cell r="H84">
            <v>0</v>
          </cell>
          <cell r="I84">
            <v>0</v>
          </cell>
          <cell r="J84">
            <v>0</v>
          </cell>
        </row>
        <row r="86">
          <cell r="B86">
            <v>2020</v>
          </cell>
          <cell r="C86">
            <v>2021</v>
          </cell>
          <cell r="D86">
            <v>2022</v>
          </cell>
        </row>
        <row r="87">
          <cell r="A87" t="str">
            <v xml:space="preserve">Short % of Float </v>
          </cell>
          <cell r="B87">
            <v>6.7999999999999996E-3</v>
          </cell>
          <cell r="C87">
            <v>5.7000000000000002E-3</v>
          </cell>
          <cell r="D87">
            <v>1.12E-2</v>
          </cell>
        </row>
        <row r="88">
          <cell r="A88" t="str">
            <v>EPS</v>
          </cell>
          <cell r="B88">
            <v>21.47</v>
          </cell>
          <cell r="C88">
            <v>18.329999999999998</v>
          </cell>
          <cell r="D88">
            <v>16.23</v>
          </cell>
        </row>
        <row r="90">
          <cell r="A90" t="str">
            <v>Corporate Bonds 3, 5 Y 10</v>
          </cell>
          <cell r="B90" t="str">
            <v>Average Price</v>
          </cell>
          <cell r="C90" t="str">
            <v>Moody's</v>
          </cell>
          <cell r="D90" t="str">
            <v>YTM</v>
          </cell>
          <cell r="E90" t="str">
            <v>DIVISA</v>
          </cell>
        </row>
        <row r="91">
          <cell r="B91" t="e">
            <v>#N/A</v>
          </cell>
          <cell r="C91" t="e">
            <v>#N/A</v>
          </cell>
          <cell r="D91" t="e">
            <v>#N/A</v>
          </cell>
          <cell r="E91" t="e">
            <v>#N/A</v>
          </cell>
        </row>
      </sheetData>
      <sheetData sheetId="9"/>
      <sheetData sheetId="10">
        <row r="3">
          <cell r="H3" t="e">
            <v>#VALUE!</v>
          </cell>
        </row>
        <row r="27">
          <cell r="B27">
            <v>69069</v>
          </cell>
        </row>
        <row r="42">
          <cell r="B42">
            <v>89237</v>
          </cell>
        </row>
        <row r="43">
          <cell r="B43">
            <v>56771</v>
          </cell>
        </row>
        <row r="59">
          <cell r="B59">
            <v>26206</v>
          </cell>
          <cell r="E59">
            <v>18463</v>
          </cell>
        </row>
        <row r="77">
          <cell r="B77">
            <v>1990</v>
          </cell>
          <cell r="C77">
            <v>4454</v>
          </cell>
          <cell r="D77">
            <v>5936</v>
          </cell>
          <cell r="E77">
            <v>119</v>
          </cell>
          <cell r="F77">
            <v>-1115</v>
          </cell>
          <cell r="G77">
            <v>1551</v>
          </cell>
          <cell r="H77">
            <v>-493</v>
          </cell>
          <cell r="I77">
            <v>3428</v>
          </cell>
          <cell r="J77">
            <v>219</v>
          </cell>
        </row>
      </sheetData>
      <sheetData sheetId="11"/>
      <sheetData sheetId="12"/>
    </sheetDataSet>
  </externalBook>
</externalLink>
</file>

<file path=xl/persons/person.xml><?xml version="1.0" encoding="utf-8"?>
<personList xmlns="http://schemas.microsoft.com/office/spreadsheetml/2018/threadedcomments" xmlns:x="http://schemas.openxmlformats.org/spreadsheetml/2006/main">
  <person displayName="Tim Svrcek" id="{D278DD91-3D57-6C46-B22F-85DDEC3C1FC7}" userId="S::l60436@aln.iseg.ulisboa.pt::264764f0-22f9-43c5-8e8e-f1cd9b2c6667" providerId="AD"/>
  <person displayName="DAVID FILIPE DE SOUSA TITA" id="{6D2C5BD9-1C3E-4972-9F97-1CA81A3CC14E}" userId="S::david.tita@aln.iseg.ulisboa.pt::2b554b1a-dfdf-4fc2-8414-05963e9f059c" providerId="AD"/>
  <person displayName="Daniel Magalhães Gonçalves" id="{A531DB37-6BEF-43F4-97F8-A9A1F2CE0D6A}" userId="S::danieljomago@aln.iseg.ulisboa.pt::fbfd63fe-a368-4b1e-9e91-e12db0a4f394"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2">
  <rv s="0">
    <v>https://www.bing.com/financeapi/forcetrigger?t=a1njmw&amp;q=XNYS%3aELV&amp;form=skydnc</v>
    <v>Learn more on Bing</v>
  </rv>
  <rv s="1">
    <v>en-US</v>
    <v>a1njmw</v>
    <v>268435456</v>
    <v>1</v>
    <v>Powered by Refinitiv</v>
    <v>0</v>
    <v>ELEVANCE HEALTH, INC. (XNYS:ELV)</v>
    <v>2</v>
    <v>3</v>
    <v>Finance</v>
    <v>4</v>
    <v>567.26</v>
    <v>431.38</v>
    <v>0.83399999999999996</v>
    <v>4.99</v>
    <v>9.1420000000000008E-3</v>
    <v>USD</v>
    <v>Elevance Health, Inc. is a health company. It operates as a health insurer in the United States. The Company operates through four segments: Health Benefit, CarelonRx, Carelon Services, and Corporate &amp; Other. The Health Benefits segment offers a comprehensive suite of health plans and services to Individual, employer group risk-based, employer group fee-based, BlueCard, Medicare, Medicaid and federal employees health benefits (FEHB) program members. The CarelonRx segment includes its pharmacy business. CarelonRx markets and offers pharmacy services to affiliated health plan customers, as well as to external customers outside of the health plans. It also offers infusible and injectable therapies. Carelon Services offers healthcare-related services and capabilities to internal and external customers including integrated care delivery, behavioral health, palliative care, utilization management, payment integrity services and subrogation services, as well as health and wellness programs.</v>
    <v>104900</v>
    <v>New York Stock Exchange</v>
    <v>XNYS</v>
    <v>XNYS</v>
    <v>220 Virginia Avenue, INDIANAPOLIS, IN, 46204 US</v>
    <v>552.94000000000005</v>
    <v>Healthcare Providers &amp; Services</v>
    <v>Stock</v>
    <v>45548.958333367969</v>
    <v>0</v>
    <v>543.79999999999995</v>
    <v>127732000000</v>
    <v>ELEVANCE HEALTH, INC.</v>
    <v>ELEVANCE HEALTH, INC.</v>
    <v>547.13</v>
    <v>19.308700000000002</v>
    <v>545.85</v>
    <v>550.84</v>
    <v>231885900</v>
    <v>ELV</v>
    <v>ELEVANCE HEALTH, INC. (XNYS:ELV)</v>
    <v>13</v>
    <v>729837</v>
    <v>2001</v>
  </rv>
  <rv s="2">
    <v>1</v>
  </rv>
  <rv s="0">
    <v>https://www.bing.com/financeapi/forcetrigger?t=a1qlnm&amp;q=XNYS%3aCVS&amp;form=skydnc</v>
    <v>Learn more on Bing</v>
  </rv>
  <rv s="1">
    <v>en-US</v>
    <v>a1qlnm</v>
    <v>268435456</v>
    <v>1</v>
    <v>Powered by Refinitiv</v>
    <v>0</v>
    <v>CVS HEALTH CORPORATION (XNYS:CVS)</v>
    <v>2</v>
    <v>3</v>
    <v>Finance</v>
    <v>4</v>
    <v>83.25</v>
    <v>52.770499999999998</v>
    <v>0.52559999999999996</v>
    <v>0.45</v>
    <v>7.8220000000000008E-3</v>
    <v>USD</v>
    <v>CVS Health Corporation is a health solutions company. The Company operates in four segments: Health Care Benefits, Health Services, Pharmacy &amp; Consumer Wellness, and Corporate/Other. Its Health Care Benefits segment offer a range of traditional, voluntary and consumer-directed health insurance products and related services, including medical, pharmacy, dental and behavioral health plans, medical management capabilities, Medicare Advantage and Medicare supplement plans, and Medicaid health care management services. Its Health Services segment provides a full range of pharmacy benefit management solutions, delivers health care services in its medical clinics, virtually, and in the home, and offers provider enablement solutions. The Pharmacy &amp; Consumer Wellness segment dispenses prescriptions in its retail pharmacies and through its infusion operations, provides ancillary pharmacy services, including pharmacy patient care programs, diagnostic testing and vaccination administration.</v>
    <v>300000</v>
    <v>New York Stock Exchange</v>
    <v>XNYS</v>
    <v>XNYS</v>
    <v>1 Cvs Dr, WOONSOCKET, RI, 02895-6146 US</v>
    <v>58.27</v>
    <v>Healthcare Providers &amp; Services</v>
    <v>Stock</v>
    <v>45548.998426978906</v>
    <v>3</v>
    <v>57.1</v>
    <v>72937640000</v>
    <v>CVS HEALTH CORPORATION</v>
    <v>CVS HEALTH CORPORATION</v>
    <v>57.56</v>
    <v>10.3178</v>
    <v>57.53</v>
    <v>57.98</v>
    <v>1257979000</v>
    <v>CVS</v>
    <v>CVS HEALTH CORPORATION (XNYS:CVS)</v>
    <v>3438</v>
    <v>8087086</v>
    <v>1996</v>
  </rv>
  <rv s="2">
    <v>4</v>
  </rv>
  <rv s="0">
    <v>https://www.bing.com/financeapi/forcetrigger?t=a1uysm&amp;q=XNYS%3aHUM&amp;form=skydnc</v>
    <v>Learn more on Bing</v>
  </rv>
  <rv s="1">
    <v>en-US</v>
    <v>a1uysm</v>
    <v>268435456</v>
    <v>1</v>
    <v>Powered by Refinitiv</v>
    <v>0</v>
    <v>HUMANA INC. (XNYS:HUM)</v>
    <v>2</v>
    <v>3</v>
    <v>Finance</v>
    <v>5</v>
    <v>530.53989999999999</v>
    <v>298.60629999999998</v>
    <v>0.51849999999999996</v>
    <v>-2.94</v>
    <v>-9.0600000000000003E-3</v>
    <v>USD</v>
    <v>Humana Inc. is a healthcare company. It operates through two segments: Insurance and CenterWell. The Insurance segment consists of Medicare benefits, marketed to individuals or directly through group Medicare accounts. It also includes its contract with the Centers for Medicare and Medicaid Services (CMS) to administer the Limited Income Newly Eligible Transition (LI-NET), a prescription drug plan program and contracts with various states to provide Medicaid, dual eligible demonstration, and Long-Term Support Services benefits. It also includes products consisting of employer group commercial fully insured medical and specialty health insurance benefits. The CenterWell segment includes pharmacy solutions, primary care, and home solutions operations. It also includes its strategic partnerships with Welsh, Carson, Anderson &amp; Stowe (WCAS) to develop and operate senior-focused, payor-agnostic, primary care centers, as well as a minority ownership interest in Gentiva Hospice operations.</v>
    <v>67600</v>
    <v>New York Stock Exchange</v>
    <v>XNYS</v>
    <v>XNYS</v>
    <v>500 W Main St, LOUISVILLE, KY, 40202 US</v>
    <v>325.75</v>
    <v>Healthcare Providers &amp; Services</v>
    <v>Stock</v>
    <v>45548.999892546097</v>
    <v>6</v>
    <v>320.56</v>
    <v>38716360000</v>
    <v>HUMANA INC.</v>
    <v>HUMANA INC.</v>
    <v>325.08</v>
    <v>22.635100000000001</v>
    <v>324.5</v>
    <v>321.56</v>
    <v>120401700</v>
    <v>HUM</v>
    <v>HUMANA INC. (XNYS:HUM)</v>
    <v>131</v>
    <v>1008708</v>
    <v>1964</v>
  </rv>
  <rv s="2">
    <v>7</v>
  </rv>
  <rv s="0">
    <v>https://www.bing.com/financeapi/forcetrigger?t=a24xlh&amp;q=XNYS%3aUNH&amp;form=skydnc</v>
    <v>Learn more on Bing</v>
  </rv>
  <rv s="1">
    <v>en-US</v>
    <v>a24xlh</v>
    <v>268435456</v>
    <v>1</v>
    <v>Powered by Refinitiv</v>
    <v>0</v>
    <v>UNITEDHEALTH GROUP INCORPORATED (XNYS:UNH)</v>
    <v>2</v>
    <v>3</v>
    <v>Finance</v>
    <v>4</v>
    <v>607.94000000000005</v>
    <v>436.38</v>
    <v>0.59519999999999995</v>
    <v>5.9</v>
    <v>1.0026999999999999E-2</v>
    <v>USD</v>
    <v>UnitedHealth Group Incorporated is a healthcare company. The Company has two businesses, Optum and UnitedHealthcare. Optum serves the health care marketplace, including patients and consumers, payers, care providers, employers, governments and life sciences companies. UnitedHealthcare offers a full range of health benefits designed to simplify the health care experience and make it more affordable for consumers to access care. UnitedHealthcare Employer &amp; Individual serves consumers and employers, ranging from sole proprietorships to large, multi-site and national employers and public sector employers. UnitedHealthcare Medicare &amp; Retirement delivers health and well-being benefits to seniors and other Medicare eligible consumers. The Company’s segments include Optum Health, Optum Insight, Optum Rx and UnitedHealthcare. UnitedHealthcare segment includes UnitedHealthcare Employer &amp; Individual, UnitedHealthcare Medicare &amp; Retirement and UnitedHealthcare Community &amp; State.</v>
    <v>440000</v>
    <v>New York Stock Exchange</v>
    <v>XNYS</v>
    <v>XNYS</v>
    <v>9900 BREN ROAD EAST, MINNETONKA, MN, 55343 US</v>
    <v>597.67999999999995</v>
    <v>Healthcare Providers &amp; Services</v>
    <v>Stock</v>
    <v>45548.999799467187</v>
    <v>9</v>
    <v>587.23</v>
    <v>548805900000</v>
    <v>UNITEDHEALTH GROUP INCORPORATED</v>
    <v>UNITEDHEALTH GROUP INCORPORATED</v>
    <v>591.08000000000004</v>
    <v>39.198399999999999</v>
    <v>588.41999999999996</v>
    <v>594.32000000000005</v>
    <v>923418200</v>
    <v>UNH</v>
    <v>UNITEDHEALTH GROUP INCORPORATED (XNYS:UNH)</v>
    <v>2042</v>
    <v>2557874</v>
    <v>2015</v>
  </rv>
  <rv s="2">
    <v>10</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6">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4">
      <v>Delayed 15 minutes</v>
      <v>from previous close</v>
      <v>from previous close</v>
      <v>Source: Nasdaq</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dd/mm/yyyy\ hh:mm"/>
    </x:dxf>
    <x:dxf>
      <x:numFmt numFmtId="0" formatCode="General"/>
    </x:dxf>
  </dxfs>
  <richProperties>
    <rPr n="NumberFormat" t="s"/>
    <rPr n="IsTitleField" t="b"/>
  </richProperties>
  <richStyles>
    <rSty dxfid="6">
      <rpv i="0">_([$$-en-US]* #,##0.00_);_([$$-en-US]* (#,##0.00);_([$$-en-US]* "-"??_);_(@_)</rpv>
    </rSty>
    <rSty dxfid="0">
      <rpv i="0">#,##0.00</rpv>
    </rSty>
    <rSty>
      <rpv i="1">1</rpv>
    </rSty>
    <rSty dxfid="1">
      <rpv i="0">#,##0</rpv>
    </rSty>
    <rSty dxfid="2"/>
    <rSty dxfid="6">
      <rpv i="0">_([$$-en-US]* #,##0_);_([$$-en-US]* (#,##0);_([$$-en-US]* "-"_);_(@_)</rpv>
    </rSty>
    <rSty dxfid="5"/>
    <rSty dxfid="4">
      <rpv i="0">0</rpv>
    </rSty>
    <rSty dxfid="3">
      <rpv i="0">0.00</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E9571CD3-9386-E948-BE82-DFA2707F0C5E}">
    <text>Date of last update of the report</text>
  </threadedComment>
  <threadedComment ref="D2" dT="2023-03-05T23:56:06.54" personId="{6D2C5BD9-1C3E-4972-9F97-1CA81A3CC14E}" id="{0295EDEF-4A89-4B48-8CEC-D1FB750AAC2E}">
    <text>Insert the date when the company will issue their next quarter/annual report</text>
  </threadedComment>
  <threadedComment ref="L2" dT="2023-03-05T23:56:59.28" personId="{6D2C5BD9-1C3E-4972-9F97-1CA81A3CC14E}" id="{A03E446C-AF21-4F45-80E4-A83D56DECC0E}">
    <text>In what exchange the company is listed in (Input the main exchange)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D5" dT="2023-11-23T15:33:18.70" personId="{D278DD91-3D57-6C46-B22F-85DDEC3C1FC7}" id="{06004262-3F8B-CD4E-A425-2352D5688B82}">
    <text>Information from https://www.unitedhealthgroup.com/content/dam/UHG/PDF/investors/2022/UNH-Q4-2022-Release.pdf —&gt; assumption is that % revenue global = % customers ‘global’</text>
    <extLst>
      <x:ext xmlns:xltc2="http://schemas.microsoft.com/office/spreadsheetml/2020/threadedcomments2" uri="{F7C98A9C-CBB3-438F-8F68-D28B6AF4A901}">
        <xltc2:checksum>99969217</xltc2:checksum>
        <xltc2:hyperlink startIndex="17" length="92" url="https://www.unitedhealthgroup.com/content/dam/UHG/PDF/investors/2022/UNH-Q4-2022-Release.pdf"/>
      </x:ext>
    </extLst>
  </threadedComment>
  <threadedComment ref="A38" dT="2023-11-23T16:35:32.47" personId="{D278DD91-3D57-6C46-B22F-85DDEC3C1FC7}" id="{30FD67CD-C195-F149-A7E8-6918D2C6B00C}">
    <text>UnitedHealth Insurance</text>
  </threadedComment>
  <threadedComment ref="A41" dT="2023-11-23T16:35:54.06" personId="{D278DD91-3D57-6C46-B22F-85DDEC3C1FC7}" id="{754B2C2A-272D-4147-AAA3-734C16D6949A}">
    <text>Optum</text>
  </threadedComment>
</ThreadedComments>
</file>

<file path=xl/threadedComments/threadedComment3.xml><?xml version="1.0" encoding="utf-8"?>
<ThreadedComments xmlns="http://schemas.microsoft.com/office/spreadsheetml/2018/threadedcomments" xmlns:x="http://schemas.openxmlformats.org/spreadsheetml/2006/main">
  <threadedComment ref="C41" dT="2023-11-29T09:08:14.63" personId="{A531DB37-6BEF-43F4-97F8-A9A1F2CE0D6A}" id="{5A62C71A-8B86-6649-B529-3DF4A39AB9BF}">
    <text>This happened because this industry overall had a bad year, however our company grew</text>
  </threadedComment>
  <threadedComment ref="E57" dT="2023-11-26T18:25:25.98" personId="{A531DB37-6BEF-43F4-97F8-A9A1F2CE0D6A}" id="{4393DF6D-1101-524A-9978-E46E4F76E3C5}">
    <text>decreased 5 billion due to special charges</text>
  </threadedComment>
</ThreadedComments>
</file>

<file path=xl/threadedComments/threadedComment4.xml><?xml version="1.0" encoding="utf-8"?>
<ThreadedComments xmlns="http://schemas.microsoft.com/office/spreadsheetml/2018/threadedcomments" xmlns:x="http://schemas.openxmlformats.org/spreadsheetml/2006/main">
  <threadedComment ref="B379" dT="2023-12-08T16:44:31.95" personId="{D278DD91-3D57-6C46-B22F-85DDEC3C1FC7}" id="{EC84A246-7479-8A41-B566-144AB172FD82}">
    <text>There may be more acquit ions that were not publicised or mentioned in the media. This information comes from multiple news sources, databases and UHG’s own reports</text>
  </threadedComment>
</ThreadedComments>
</file>

<file path=xl/threadedComments/threadedComment5.xml><?xml version="1.0" encoding="utf-8"?>
<ThreadedComments xmlns="http://schemas.microsoft.com/office/spreadsheetml/2018/threadedcomments" xmlns:x="http://schemas.openxmlformats.org/spreadsheetml/2006/main">
  <threadedComment ref="A36" dT="2023-12-08T11:48:29.68" personId="{D278DD91-3D57-6C46-B22F-85DDEC3C1FC7}" id="{9E5253C2-2BC3-4644-ACD5-596FA2C9D7B5}">
    <text>Goodwill is typically the highest value long-term asset for UHG. Supporting the idea of high level inorganic growth</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rinterSettings" Target="../printerSettings/printerSettings1.bin" /><Relationship Id="rId5" Type="http://schemas.microsoft.com/office/2017/10/relationships/threadedComment" Target="../threadedComments/threadedComment1.xml" /><Relationship Id="rId4" Type="http://schemas.openxmlformats.org/officeDocument/2006/relationships/comments" Target="../comments1.xml" /></Relationships>
</file>

<file path=xl/worksheets/_rels/sheet2.xml.rels><?xml version="1.0" encoding="UTF-8" standalone="yes"?>
<Relationships xmlns="http://schemas.openxmlformats.org/package/2006/relationships"><Relationship Id="rId8" Type="http://schemas.openxmlformats.org/officeDocument/2006/relationships/hyperlink" Target="https://www.unitedhealthgroup.com/content/dam/UHG/PDF/investors/2022/conference/IC_22_Group_Highlights.pdf" TargetMode="External" /><Relationship Id="rId13" Type="http://schemas.openxmlformats.org/officeDocument/2006/relationships/vmlDrawing" Target="../drawings/vmlDrawing2.vml" /><Relationship Id="rId3" Type="http://schemas.openxmlformats.org/officeDocument/2006/relationships/hyperlink" Target="https://www.mordorintelligence.com/industry-reports/home-healthcare-software-market-industry" TargetMode="External" /><Relationship Id="rId7" Type="http://schemas.openxmlformats.org/officeDocument/2006/relationships/hyperlink" Target="https://www.bain.com/insights/payers-global-healthcare-private-equity-and-ma-report-2023/" TargetMode="External" /><Relationship Id="rId12" Type="http://schemas.openxmlformats.org/officeDocument/2006/relationships/drawing" Target="../drawings/drawing2.xml" /><Relationship Id="rId2" Type="http://schemas.openxmlformats.org/officeDocument/2006/relationships/hyperlink" Target="https://www.imarcgroup.com/health-insurance-market" TargetMode="External" /><Relationship Id="rId1" Type="http://schemas.openxmlformats.org/officeDocument/2006/relationships/hyperlink" Target="https://www.grandviewresearch.com/industry-analysis/us-individual-health-insurance-market-report" TargetMode="External" /><Relationship Id="rId6" Type="http://schemas.openxmlformats.org/officeDocument/2006/relationships/hyperlink" Target="https://www.grandviewresearch.com/industry-analysis/healthcare-computerized-maintenance-management-system-cmms-market-report" TargetMode="External" /><Relationship Id="rId11" Type="http://schemas.openxmlformats.org/officeDocument/2006/relationships/printerSettings" Target="../printerSettings/printerSettings2.bin" /><Relationship Id="rId5" Type="http://schemas.openxmlformats.org/officeDocument/2006/relationships/hyperlink" Target="https://www.imarcgroup.com/united-states-healthcare-big-data-analytics-market" TargetMode="External" /><Relationship Id="rId15" Type="http://schemas.microsoft.com/office/2017/10/relationships/threadedComment" Target="../threadedComments/threadedComment2.xml" /><Relationship Id="rId10" Type="http://schemas.openxmlformats.org/officeDocument/2006/relationships/hyperlink" Target="https://www2.deloitte.com/us/en/blog/health-care-blog/2022/will-digital-players-reinvent-health-insurance.html" TargetMode="External" /><Relationship Id="rId4" Type="http://schemas.openxmlformats.org/officeDocument/2006/relationships/hyperlink" Target="https://www.mordorintelligence.com/industry-reports/united-states-health-and-medical-insurance-market" TargetMode="External" /><Relationship Id="rId9" Type="http://schemas.openxmlformats.org/officeDocument/2006/relationships/hyperlink" Target="https://www2.deloitte.com/content/dam/insights/articles/us164819_chs-hospitals-and-drivers-of-health/US164819_Addressing-the-DOH.pdf" TargetMode="External" /><Relationship Id="rId14" Type="http://schemas.openxmlformats.org/officeDocument/2006/relationships/comments" Target="../comments2.xml"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 /><Relationship Id="rId1" Type="http://schemas.openxmlformats.org/officeDocument/2006/relationships/vmlDrawing" Target="../drawings/vmlDrawing3.vml" /></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 /><Relationship Id="rId2" Type="http://schemas.openxmlformats.org/officeDocument/2006/relationships/drawing" Target="../drawings/drawing3.xml" /><Relationship Id="rId1" Type="http://schemas.openxmlformats.org/officeDocument/2006/relationships/printerSettings" Target="../printerSettings/printerSettings4.bin" /><Relationship Id="rId5" Type="http://schemas.microsoft.com/office/2017/10/relationships/threadedComment" Target="../threadedComments/threadedComment3.xml" /><Relationship Id="rId4" Type="http://schemas.openxmlformats.org/officeDocument/2006/relationships/comments" Target="../comments4.xml" /></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rinterSettings" Target="../printerSettings/printerSettings5.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 /><Relationship Id="rId2" Type="http://schemas.openxmlformats.org/officeDocument/2006/relationships/drawing" Target="../drawings/drawing5.xml" /><Relationship Id="rId1" Type="http://schemas.openxmlformats.org/officeDocument/2006/relationships/printerSettings" Target="../printerSettings/printerSettings7.bin" /><Relationship Id="rId5" Type="http://schemas.microsoft.com/office/2017/10/relationships/threadedComment" Target="../threadedComments/threadedComment4.xml" /><Relationship Id="rId4" Type="http://schemas.openxmlformats.org/officeDocument/2006/relationships/comments" Target="../comments5.xml" /></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 /><Relationship Id="rId1" Type="http://schemas.openxmlformats.org/officeDocument/2006/relationships/printerSettings" Target="../printerSettings/printerSettings8.bin" /></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 /><Relationship Id="rId2" Type="http://schemas.openxmlformats.org/officeDocument/2006/relationships/vmlDrawing" Target="../drawings/vmlDrawing6.vml" /><Relationship Id="rId1" Type="http://schemas.openxmlformats.org/officeDocument/2006/relationships/printerSettings" Target="../printerSettings/printerSettings9.bin" /><Relationship Id="rId4" Type="http://schemas.microsoft.com/office/2017/10/relationships/threadedComment" Target="../threadedComments/threadedComment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3651-9973-D74F-B245-513036FE3E7F}">
  <sheetPr>
    <tabColor rgb="FF002060"/>
    <pageSetUpPr fitToPage="1"/>
  </sheetPr>
  <dimension ref="B1:S107"/>
  <sheetViews>
    <sheetView showGridLines="0" topLeftCell="D1" zoomScale="85" zoomScaleNormal="85" workbookViewId="0">
      <selection activeCell="K6" sqref="K6:M6"/>
    </sheetView>
  </sheetViews>
  <sheetFormatPr defaultColWidth="11.4609375" defaultRowHeight="12.75" x14ac:dyDescent="0.15"/>
  <cols>
    <col min="1" max="1" width="0.40234375" style="188" customWidth="1"/>
    <col min="2" max="2" width="21.171875" style="188" bestFit="1" customWidth="1"/>
    <col min="3" max="3" width="23.4609375" style="188" customWidth="1"/>
    <col min="4" max="4" width="31.95703125" style="188" customWidth="1"/>
    <col min="5" max="5" width="20.359375" style="188" bestFit="1" customWidth="1"/>
    <col min="6" max="6" width="15.37109375" style="188" customWidth="1"/>
    <col min="7" max="7" width="13.484375" style="188" bestFit="1" customWidth="1"/>
    <col min="8" max="8" width="26.4296875" style="188" customWidth="1"/>
    <col min="9" max="9" width="23.4609375" style="188" customWidth="1"/>
    <col min="10" max="10" width="19.41796875" style="188" customWidth="1"/>
    <col min="11" max="11" width="13.75390625" style="188" customWidth="1"/>
    <col min="12" max="12" width="20.90234375" style="188" bestFit="1" customWidth="1"/>
    <col min="13" max="13" width="31.015625" style="188" customWidth="1"/>
    <col min="14" max="14" width="11.4609375" style="188"/>
    <col min="15" max="15" width="19.95703125" style="188" bestFit="1" customWidth="1"/>
    <col min="16" max="16384" width="11.4609375" style="188"/>
  </cols>
  <sheetData>
    <row r="1" spans="2:17" ht="3.75" customHeight="1" thickBot="1" x14ac:dyDescent="0.2"/>
    <row r="2" spans="2:17" ht="22.5" customHeight="1" x14ac:dyDescent="0.15">
      <c r="B2" s="690">
        <v>45039</v>
      </c>
      <c r="C2" s="691" t="s">
        <v>0</v>
      </c>
      <c r="D2" s="692">
        <v>45303</v>
      </c>
      <c r="E2" s="941" t="s">
        <v>1</v>
      </c>
      <c r="F2" s="942"/>
      <c r="G2" s="942"/>
      <c r="H2" s="942"/>
      <c r="I2" s="942"/>
      <c r="J2" s="942"/>
      <c r="K2" s="943"/>
      <c r="L2" s="693" t="s">
        <v>2</v>
      </c>
      <c r="M2" s="694" t="s">
        <v>3</v>
      </c>
    </row>
    <row r="3" spans="2:17" ht="26.25" customHeight="1" x14ac:dyDescent="0.15">
      <c r="B3" s="944"/>
      <c r="C3" s="945"/>
      <c r="D3" s="946" t="s">
        <v>4</v>
      </c>
      <c r="E3" s="946"/>
      <c r="F3" s="946"/>
      <c r="G3" s="946"/>
      <c r="H3" s="946" t="s">
        <v>5</v>
      </c>
      <c r="I3" s="946"/>
      <c r="J3" s="946"/>
      <c r="K3" s="946"/>
      <c r="L3" s="946"/>
      <c r="M3" s="947"/>
    </row>
    <row r="4" spans="2:17" x14ac:dyDescent="0.15">
      <c r="B4" s="944"/>
      <c r="C4" s="945"/>
      <c r="D4" s="948" t="str" cm="1">
        <f t="array" aca="1" ref="D4" ca="1">_FV(Inputs!H3,"Description")</f>
        <v>UnitedHealth Group Incorporated is a healthcare company. The Company has two businesses, Optum and UnitedHealthcare. Optum serves the health care marketplace, including patients and consumers, payers, care providers, employers, governments and life sciences companies. UnitedHealthcare offers a full range of health benefits designed to simplify the health care experience and make it more affordable for consumers to access care. UnitedHealthcare Employer &amp; Individual serves consumers and employers, ranging from sole proprietorships to large, multi-site and national employers and public sector employers. UnitedHealthcare Medicare &amp; Retirement delivers health and well-being benefits to seniors and other Medicare eligible consumers. The Company’s segments include Optum Health, Optum Insight, Optum Rx and UnitedHealthcare. UnitedHealthcare segment includes UnitedHealthcare Employer &amp; Individual, UnitedHealthcare Medicare &amp; Retirement and UnitedHealthcare Community &amp; State.</v>
      </c>
      <c r="E4" s="948"/>
      <c r="F4" s="948"/>
      <c r="G4" s="948"/>
      <c r="H4" s="695" t="s">
        <v>6</v>
      </c>
      <c r="I4" s="696" t="s">
        <v>7</v>
      </c>
      <c r="J4" s="696" t="s">
        <v>8</v>
      </c>
      <c r="K4" s="949" t="s">
        <v>9</v>
      </c>
      <c r="L4" s="950"/>
      <c r="M4" s="951"/>
    </row>
    <row r="5" spans="2:17" ht="27" customHeight="1" x14ac:dyDescent="0.15">
      <c r="B5" s="944"/>
      <c r="C5" s="945"/>
      <c r="D5" s="948"/>
      <c r="E5" s="948"/>
      <c r="F5" s="948"/>
      <c r="G5" s="948"/>
      <c r="H5" s="697" t="s">
        <v>10</v>
      </c>
      <c r="I5" s="698">
        <v>0</v>
      </c>
      <c r="J5" s="698" t="s">
        <v>11</v>
      </c>
      <c r="K5" s="952" t="s">
        <v>12</v>
      </c>
      <c r="L5" s="953"/>
      <c r="M5" s="954"/>
    </row>
    <row r="6" spans="2:17" x14ac:dyDescent="0.15">
      <c r="B6" s="944"/>
      <c r="C6" s="945"/>
      <c r="D6" s="948"/>
      <c r="E6" s="948"/>
      <c r="F6" s="948"/>
      <c r="G6" s="948"/>
      <c r="H6" s="697" t="s">
        <v>13</v>
      </c>
      <c r="I6" s="698">
        <v>6</v>
      </c>
      <c r="J6" s="698" t="s">
        <v>11</v>
      </c>
      <c r="K6" s="952" t="s">
        <v>14</v>
      </c>
      <c r="L6" s="953"/>
      <c r="M6" s="954"/>
    </row>
    <row r="7" spans="2:17" x14ac:dyDescent="0.15">
      <c r="B7" s="944"/>
      <c r="C7" s="945"/>
      <c r="D7" s="948"/>
      <c r="E7" s="948"/>
      <c r="F7" s="948"/>
      <c r="G7" s="948"/>
      <c r="H7" s="697" t="s">
        <v>15</v>
      </c>
      <c r="I7" s="698">
        <v>2</v>
      </c>
      <c r="J7" s="698" t="s">
        <v>11</v>
      </c>
      <c r="K7" s="952" t="s">
        <v>16</v>
      </c>
      <c r="L7" s="953"/>
      <c r="M7" s="954"/>
    </row>
    <row r="8" spans="2:17" x14ac:dyDescent="0.15">
      <c r="B8" s="944"/>
      <c r="C8" s="945"/>
      <c r="D8" s="948"/>
      <c r="E8" s="948"/>
      <c r="F8" s="948"/>
      <c r="G8" s="948"/>
      <c r="H8" s="697" t="s">
        <v>17</v>
      </c>
      <c r="I8" s="698">
        <v>1</v>
      </c>
      <c r="J8" s="698" t="s">
        <v>11</v>
      </c>
      <c r="K8" s="952" t="s">
        <v>18</v>
      </c>
      <c r="L8" s="953"/>
      <c r="M8" s="954"/>
    </row>
    <row r="9" spans="2:17" x14ac:dyDescent="0.15">
      <c r="B9" s="944"/>
      <c r="C9" s="945"/>
      <c r="D9" s="948"/>
      <c r="E9" s="948"/>
      <c r="F9" s="948"/>
      <c r="G9" s="948"/>
      <c r="H9" s="939" t="s">
        <v>19</v>
      </c>
      <c r="I9" s="698">
        <v>23</v>
      </c>
      <c r="J9" s="698" t="s">
        <v>20</v>
      </c>
      <c r="K9" s="952" t="s">
        <v>21</v>
      </c>
      <c r="L9" s="953"/>
      <c r="M9" s="954"/>
    </row>
    <row r="10" spans="2:17" x14ac:dyDescent="0.15">
      <c r="B10" s="944"/>
      <c r="C10" s="945"/>
      <c r="D10" s="948"/>
      <c r="E10" s="948"/>
      <c r="F10" s="948"/>
      <c r="G10" s="948"/>
      <c r="H10" s="697" t="s">
        <v>22</v>
      </c>
      <c r="I10" s="698">
        <v>16</v>
      </c>
      <c r="J10" s="698" t="s">
        <v>11</v>
      </c>
      <c r="K10" s="952" t="s">
        <v>23</v>
      </c>
      <c r="L10" s="953"/>
      <c r="M10" s="954"/>
    </row>
    <row r="11" spans="2:17" x14ac:dyDescent="0.15">
      <c r="B11" s="944"/>
      <c r="C11" s="945"/>
      <c r="D11" s="948"/>
      <c r="E11" s="948"/>
      <c r="F11" s="948"/>
      <c r="G11" s="948"/>
      <c r="H11" s="697" t="s">
        <v>24</v>
      </c>
      <c r="I11" s="698">
        <v>5</v>
      </c>
      <c r="J11" s="698" t="s">
        <v>11</v>
      </c>
      <c r="K11" s="952" t="s">
        <v>25</v>
      </c>
      <c r="L11" s="953"/>
      <c r="M11" s="954"/>
    </row>
    <row r="12" spans="2:17" ht="24" x14ac:dyDescent="0.15">
      <c r="B12" s="944"/>
      <c r="C12" s="945"/>
      <c r="D12" s="948"/>
      <c r="E12" s="948"/>
      <c r="F12" s="948"/>
      <c r="G12" s="948"/>
      <c r="H12" s="697" t="s">
        <v>26</v>
      </c>
      <c r="I12" s="698">
        <v>6</v>
      </c>
      <c r="J12" s="698" t="s">
        <v>11</v>
      </c>
      <c r="K12" s="952" t="s">
        <v>27</v>
      </c>
      <c r="L12" s="953"/>
      <c r="M12" s="954"/>
      <c r="P12" s="194"/>
    </row>
    <row r="13" spans="2:17" ht="24.75" customHeight="1" x14ac:dyDescent="0.15">
      <c r="B13" s="944"/>
      <c r="C13" s="945"/>
      <c r="D13" s="948"/>
      <c r="E13" s="948"/>
      <c r="F13" s="948"/>
      <c r="G13" s="948"/>
      <c r="H13" s="697" t="s">
        <v>28</v>
      </c>
      <c r="I13" s="698">
        <v>4</v>
      </c>
      <c r="J13" s="698" t="s">
        <v>11</v>
      </c>
      <c r="K13" s="952" t="s">
        <v>29</v>
      </c>
      <c r="L13" s="953"/>
      <c r="M13" s="954"/>
    </row>
    <row r="14" spans="2:17" ht="25.5" customHeight="1" x14ac:dyDescent="0.15">
      <c r="B14" s="944"/>
      <c r="C14" s="945"/>
      <c r="D14" s="948"/>
      <c r="E14" s="948"/>
      <c r="F14" s="948"/>
      <c r="G14" s="948"/>
      <c r="H14" s="940" t="s">
        <v>30</v>
      </c>
      <c r="I14" s="698">
        <v>2</v>
      </c>
      <c r="J14" s="698" t="s">
        <v>20</v>
      </c>
      <c r="K14" s="952" t="s">
        <v>31</v>
      </c>
      <c r="L14" s="953"/>
      <c r="M14" s="954"/>
      <c r="Q14" s="101"/>
    </row>
    <row r="15" spans="2:17" ht="15.75" customHeight="1" x14ac:dyDescent="0.15">
      <c r="B15" s="944"/>
      <c r="C15" s="945"/>
      <c r="D15" s="948"/>
      <c r="E15" s="948"/>
      <c r="F15" s="948"/>
      <c r="G15" s="948"/>
      <c r="H15" s="697"/>
      <c r="I15" s="698"/>
      <c r="J15" s="698"/>
      <c r="K15" s="698"/>
      <c r="L15" s="698"/>
      <c r="M15" s="699"/>
    </row>
    <row r="16" spans="2:17" x14ac:dyDescent="0.15">
      <c r="B16" s="944"/>
      <c r="C16" s="945"/>
      <c r="D16" s="948"/>
      <c r="E16" s="948"/>
      <c r="F16" s="948"/>
      <c r="G16" s="948"/>
      <c r="H16" s="697"/>
      <c r="I16" s="700"/>
      <c r="J16" s="698"/>
      <c r="K16" s="698"/>
      <c r="L16" s="698"/>
      <c r="M16" s="699"/>
    </row>
    <row r="17" spans="2:13" x14ac:dyDescent="0.15">
      <c r="B17" s="955" t="s">
        <v>32</v>
      </c>
      <c r="C17" s="956"/>
      <c r="D17" s="948"/>
      <c r="E17" s="948"/>
      <c r="F17" s="948"/>
      <c r="G17" s="948"/>
      <c r="H17" s="697"/>
      <c r="I17" s="700"/>
      <c r="J17" s="698"/>
      <c r="K17" s="698"/>
      <c r="L17" s="698"/>
      <c r="M17" s="701"/>
    </row>
    <row r="18" spans="2:13" ht="18" x14ac:dyDescent="0.2">
      <c r="B18" s="957" t="s">
        <v>33</v>
      </c>
      <c r="C18" s="958"/>
      <c r="D18" s="958"/>
      <c r="E18" s="958"/>
      <c r="F18" s="958"/>
      <c r="G18" s="958"/>
      <c r="H18" s="958"/>
      <c r="I18" s="958"/>
      <c r="J18" s="958"/>
      <c r="K18" s="958"/>
      <c r="L18" s="958"/>
      <c r="M18" s="959"/>
    </row>
    <row r="19" spans="2:13" ht="14.25" x14ac:dyDescent="0.15">
      <c r="B19" s="960" t="s">
        <v>34</v>
      </c>
      <c r="C19" s="961"/>
      <c r="D19" s="962" t="s">
        <v>35</v>
      </c>
      <c r="E19" s="963"/>
      <c r="F19" s="964" t="s">
        <v>36</v>
      </c>
      <c r="G19" s="965"/>
      <c r="H19" s="966"/>
      <c r="I19" s="962" t="s">
        <v>37</v>
      </c>
      <c r="J19" s="967"/>
      <c r="K19" s="963"/>
      <c r="L19" s="962" t="s">
        <v>38</v>
      </c>
      <c r="M19" s="968"/>
    </row>
    <row r="20" spans="2:13" x14ac:dyDescent="0.15">
      <c r="B20" s="702" t="s">
        <v>39</v>
      </c>
      <c r="C20" s="703">
        <v>523.28</v>
      </c>
      <c r="D20" s="704" t="s">
        <v>40</v>
      </c>
      <c r="E20" s="705">
        <f>_xlfn.XLOOKUP(D20,'[2]Fin. Data1'!A:A,'[2]Fin. Data1'!B:B,,0)</f>
        <v>245705</v>
      </c>
      <c r="F20" s="973" t="s">
        <v>41</v>
      </c>
      <c r="G20" s="974"/>
      <c r="H20" s="706" t="s">
        <v>42</v>
      </c>
      <c r="I20" s="188" t="s">
        <v>43</v>
      </c>
      <c r="J20" s="975">
        <v>2022</v>
      </c>
      <c r="K20" s="976"/>
      <c r="L20" s="707" t="s">
        <v>44</v>
      </c>
      <c r="M20" s="134">
        <v>0.996</v>
      </c>
    </row>
    <row r="21" spans="2:13" ht="12.75" customHeight="1" x14ac:dyDescent="0.15">
      <c r="B21" s="702" t="s">
        <v>45</v>
      </c>
      <c r="C21" s="708">
        <v>924925300</v>
      </c>
      <c r="D21" s="707" t="s">
        <v>46</v>
      </c>
      <c r="E21" s="705">
        <f>_xlfn.XLOOKUP(D21,'[2]Fin. Data1'!A:A,'[2]Fin. Data1'!B:B,,0)</f>
        <v>159358</v>
      </c>
      <c r="F21" s="969" t="str">
        <f>Segments!C5</f>
        <v>USA</v>
      </c>
      <c r="G21" s="970"/>
      <c r="H21" s="4">
        <f>[2]Segments1!B5</f>
        <v>0.89631492407389501</v>
      </c>
      <c r="I21" s="707" t="s">
        <v>47</v>
      </c>
      <c r="J21" s="977" t="s">
        <v>48</v>
      </c>
      <c r="K21" s="978"/>
      <c r="L21" s="707" t="s">
        <v>49</v>
      </c>
      <c r="M21" s="134">
        <v>2.5000000000000001E-3</v>
      </c>
    </row>
    <row r="22" spans="2:13" ht="12.75" customHeight="1" x14ac:dyDescent="0.15">
      <c r="B22" s="702" t="s">
        <v>50</v>
      </c>
      <c r="C22" s="709">
        <f>C20*C21/1000000</f>
        <v>483994.91098400002</v>
      </c>
      <c r="D22" s="707" t="s">
        <v>51</v>
      </c>
      <c r="E22" s="710">
        <f>_xlfn.XLOOKUP("Cash &amp; Eq.",'[2]Fin. Data1'!A:A,'[2]Fin. Data1'!B:B,,0)*1000000/C21</f>
        <v>30.176491009598287</v>
      </c>
      <c r="F22" s="969" t="str">
        <f>Segments!C6</f>
        <v>Global</v>
      </c>
      <c r="G22" s="970"/>
      <c r="H22" s="4">
        <f>[2]Segments1!B6</f>
        <v>0.10368507592610504</v>
      </c>
      <c r="I22" s="972" t="s">
        <v>52</v>
      </c>
      <c r="J22" s="972"/>
      <c r="K22" s="705">
        <f>_xlfn.XLOOKUP(I22,'[2]Fin. Data1'!A:A,'[2]Fin. Data1'!B:B,,0)</f>
        <v>31835</v>
      </c>
      <c r="L22" s="711" t="s">
        <v>53</v>
      </c>
      <c r="M22" s="712">
        <v>0.55000000000000004</v>
      </c>
    </row>
    <row r="23" spans="2:13" ht="12.75" customHeight="1" x14ac:dyDescent="0.15">
      <c r="B23" s="713" t="s">
        <v>54</v>
      </c>
      <c r="C23" s="709">
        <f>'[2]Fin. Data1'!B58</f>
        <v>63467</v>
      </c>
      <c r="D23" s="707" t="s">
        <v>55</v>
      </c>
      <c r="E23" s="710">
        <f>_xlfn.XLOOKUP("EBITDA",'[2]Fin. Data1'!A:A,'[2]Fin. Data1'!B:B,,0)/_xlfn.XLOOKUP("Net Financial Cost",'[2]Fin. Data1'!A:A,'[2]Fin. Data1'!B:B,,0)</f>
        <v>-15.217495219885278</v>
      </c>
      <c r="F23" s="969"/>
      <c r="G23" s="970"/>
      <c r="H23" s="4"/>
      <c r="I23" s="971" t="s">
        <v>56</v>
      </c>
      <c r="J23" s="971"/>
      <c r="K23" s="705">
        <f>_xlfn.XLOOKUP(I23,'[2]Fin. Data1'!A:A,'[2]Fin. Data1'!B:B,,0)</f>
        <v>3400</v>
      </c>
      <c r="L23" s="707" t="s">
        <v>57</v>
      </c>
      <c r="M23" s="134"/>
    </row>
    <row r="24" spans="2:13" ht="12.75" customHeight="1" x14ac:dyDescent="0.15">
      <c r="B24" s="713" t="s">
        <v>58</v>
      </c>
      <c r="C24" s="709">
        <f>'[2]Fin. Data1'!B39</f>
        <v>27911</v>
      </c>
      <c r="D24" s="707" t="s">
        <v>59</v>
      </c>
      <c r="E24" s="710">
        <f>_xlfn.XLOOKUP("Total Debt",'[2]Fin. Data1'!A:A,'[2]Fin. Data1'!B:B,,0)/_xlfn.XLOOKUP("EBITDA",'[2]Fin. Data1'!A:A,'[2]Fin. Data1'!B:B,,0)</f>
        <v>1.9936233705041622</v>
      </c>
      <c r="F24" s="969"/>
      <c r="G24" s="970"/>
      <c r="H24" s="6"/>
      <c r="I24" s="971" t="s">
        <v>60</v>
      </c>
      <c r="J24" s="971"/>
      <c r="K24" s="705">
        <f>_xlfn.XLOOKUP(I24,'[2]Fin. Data1'!A:A,'[2]Fin. Data1'!B:B,,0)</f>
        <v>28435</v>
      </c>
      <c r="L24" s="707" t="s">
        <v>61</v>
      </c>
      <c r="M24" s="133">
        <f>IFERROR((C20*C21/(E20-E21))/1000000,"")</f>
        <v>5.6052313454318048</v>
      </c>
    </row>
    <row r="25" spans="2:13" ht="12.75" customHeight="1" x14ac:dyDescent="0.15">
      <c r="B25" s="713" t="s">
        <v>62</v>
      </c>
      <c r="C25" s="709">
        <f>C22+C23-C24</f>
        <v>519550.91098399996</v>
      </c>
      <c r="D25" s="707" t="s">
        <v>63</v>
      </c>
      <c r="E25" s="710">
        <f>_xlfn.XLOOKUP("Other Assets",'[2]Fin. Data1'!A:A,'[2]Fin. Data1'!B:B,,0)/_xlfn.XLOOKUP("Total Assets",'[2]Fin. Data1'!A:A,'[2]Fin. Data1'!B:B,,0)</f>
        <v>0.52904092305813888</v>
      </c>
      <c r="F25" s="969"/>
      <c r="G25" s="970"/>
      <c r="H25" s="6"/>
      <c r="I25" s="972" t="s">
        <v>64</v>
      </c>
      <c r="J25" s="972"/>
      <c r="K25" s="705">
        <f>_xlfn.XLOOKUP(I25,'[2]Fin. Data1'!A:A,'[2]Fin. Data1'!B:B,,0)</f>
        <v>20639</v>
      </c>
      <c r="L25" s="707" t="s">
        <v>65</v>
      </c>
      <c r="M25" s="132">
        <f>IFERROR(K31/E20,"")</f>
        <v>7.3448512104624109E-2</v>
      </c>
    </row>
    <row r="26" spans="2:13" ht="12.75" customHeight="1" x14ac:dyDescent="0.15">
      <c r="B26" s="713" t="s">
        <v>66</v>
      </c>
      <c r="C26" s="714" t="s">
        <v>67</v>
      </c>
      <c r="D26" s="707" t="s">
        <v>68</v>
      </c>
      <c r="E26" s="710">
        <f>_xlfn.XLOOKUP(D26,'[2]Fin. Data1'!A:A,'[2]Fin. Data1'!B:B,,0)</f>
        <v>0.25830569178486396</v>
      </c>
      <c r="F26" s="949" t="s">
        <v>69</v>
      </c>
      <c r="G26" s="950"/>
      <c r="H26" s="715" t="s">
        <v>42</v>
      </c>
      <c r="I26" s="972" t="s">
        <v>70</v>
      </c>
      <c r="J26" s="972"/>
      <c r="K26" s="716">
        <f>1000000*K25/C21</f>
        <v>22.31423445763674</v>
      </c>
      <c r="L26" s="707" t="s">
        <v>71</v>
      </c>
      <c r="M26" s="131">
        <f>IFERROR(C22/K30,"")</f>
        <v>26.819075229996304</v>
      </c>
    </row>
    <row r="27" spans="2:13" ht="12.75" customHeight="1" x14ac:dyDescent="0.15">
      <c r="B27" s="702" t="s">
        <v>72</v>
      </c>
      <c r="C27" s="717" t="s">
        <v>67</v>
      </c>
      <c r="D27" s="707" t="s">
        <v>73</v>
      </c>
      <c r="E27" s="48">
        <f>AVERAGE(_xlfn.XLOOKUP("EBITDA Margin",'[2]Fin. Data1'!A:A,'[2]Fin. Data1'!B:D,,0))</f>
        <v>9.6905436414175261E-2</v>
      </c>
      <c r="F27" s="969" t="str">
        <f>[2]Segments1!C14</f>
        <v>UnitedHealthcare</v>
      </c>
      <c r="G27" s="970"/>
      <c r="H27" s="4">
        <f>[2]Segments1!B14</f>
        <v>0.45708632882849903</v>
      </c>
      <c r="I27" s="972" t="s">
        <v>74</v>
      </c>
      <c r="J27" s="972"/>
      <c r="K27" s="15">
        <f>K25/E20</f>
        <v>8.3999104617325654E-2</v>
      </c>
      <c r="L27" s="707" t="s">
        <v>75</v>
      </c>
      <c r="M27" s="718">
        <f>IFERROR(C25/E20,"")</f>
        <v>2.114531291524389</v>
      </c>
    </row>
    <row r="28" spans="2:13" ht="12.75" customHeight="1" x14ac:dyDescent="0.15">
      <c r="B28" s="702" t="s">
        <v>76</v>
      </c>
      <c r="C28" s="719">
        <v>6.4999999999999997E-3</v>
      </c>
      <c r="D28" s="707" t="s">
        <v>77</v>
      </c>
      <c r="E28" s="48">
        <f>AVERAGE(_xlfn.XLOOKUP("Operating Margin",'[2]Fin. Data1'!A:A,'[2]Fin. Data1'!B:D,,0))</f>
        <v>8.6065154723276652E-2</v>
      </c>
      <c r="F28" s="969" t="str">
        <f>[2]Segments1!C16</f>
        <v>Optum Insight</v>
      </c>
      <c r="G28" s="970"/>
      <c r="H28" s="4">
        <f>[2]Segments1!B16</f>
        <v>4.3686033061481472E-2</v>
      </c>
      <c r="I28" s="972" t="s">
        <v>78</v>
      </c>
      <c r="J28" s="972"/>
      <c r="K28" s="15">
        <f>K25/(E20-(E21-C23))</f>
        <v>0.13776416089284046</v>
      </c>
      <c r="L28" s="707" t="s">
        <v>79</v>
      </c>
      <c r="M28" s="718">
        <f>IFERROR(C25/K29,"")</f>
        <v>18.510435762576599</v>
      </c>
    </row>
    <row r="29" spans="2:13" ht="14.25" x14ac:dyDescent="0.15">
      <c r="B29" s="960" t="s">
        <v>80</v>
      </c>
      <c r="C29" s="961"/>
      <c r="D29" s="707" t="s">
        <v>81</v>
      </c>
      <c r="E29" s="48">
        <f>AVERAGE(_xlfn.XLOOKUP("Net Income Margin",'[2]Fin. Data1'!A:A,'[2]Fin. Data1'!B:D,,0))</f>
        <v>6.2216278104935734E-2</v>
      </c>
      <c r="F29" s="969" t="str">
        <f>[2]Segments1!C17</f>
        <v>Optum Rx</v>
      </c>
      <c r="G29" s="970"/>
      <c r="H29" s="4">
        <f>[2]Segments1!B17</f>
        <v>0.29413627245706253</v>
      </c>
      <c r="I29" s="972" t="s">
        <v>82</v>
      </c>
      <c r="J29" s="972"/>
      <c r="K29" s="705">
        <f>AVERAGE(_xlfn.XLOOKUP("EBITDA",'[2]Fin. Data1'!A:A,'[2]Fin. Data1'!B:D,,0))</f>
        <v>28068</v>
      </c>
      <c r="L29" s="707" t="s">
        <v>83</v>
      </c>
      <c r="M29" s="131">
        <f>IFERROR(C22/K31,"")</f>
        <v>26.819075229996304</v>
      </c>
    </row>
    <row r="30" spans="2:13" ht="12.75" customHeight="1" x14ac:dyDescent="0.15">
      <c r="B30" s="720" t="s">
        <v>84</v>
      </c>
      <c r="C30" s="931"/>
      <c r="D30" s="598"/>
      <c r="E30" s="52"/>
      <c r="F30" s="969" t="str">
        <f>Segments!C15</f>
        <v>Optum Health</v>
      </c>
      <c r="G30" s="970"/>
      <c r="H30" s="4">
        <f>Segments!B15</f>
        <v>0.20509136565295694</v>
      </c>
      <c r="I30" s="972" t="s">
        <v>85</v>
      </c>
      <c r="J30" s="972"/>
      <c r="K30" s="705">
        <f>AVERAGE(_xlfn.XLOOKUP("Net Income",'[2]Fin. Data1'!A:A,'[2]Fin. Data1'!B:D,,0))</f>
        <v>18046.666666666668</v>
      </c>
      <c r="L30" s="707" t="s">
        <v>86</v>
      </c>
      <c r="M30" s="130" t="s">
        <v>67</v>
      </c>
    </row>
    <row r="31" spans="2:13" ht="12.75" customHeight="1" x14ac:dyDescent="0.15">
      <c r="B31" s="720" t="s">
        <v>87</v>
      </c>
      <c r="C31" s="922"/>
      <c r="D31" s="707" t="s">
        <v>88</v>
      </c>
      <c r="E31" s="149">
        <f>-_xlfn.XLOOKUP("Net Financial Cost",'[2]Fin. Data1'!A:A,'[2]Fin. Data1'!B:B,,0)/AVERAGE(_xlfn.XLOOKUP("Net Debt",'[2]Fin. Data1'!A:A,'[2]Fin. Data1'!B:D,,0))</f>
        <v>6.7207093368171933E-2</v>
      </c>
      <c r="F31" s="969"/>
      <c r="G31" s="970"/>
      <c r="H31" s="4"/>
      <c r="I31" s="972" t="s">
        <v>89</v>
      </c>
      <c r="J31" s="972"/>
      <c r="K31" s="705">
        <f>AVERAGE(_xlfn.XLOOKUP("Net Income",'[2]Fin. Data1'!A:A,'[2]Fin. Data1'!B:D,,0))</f>
        <v>18046.666666666668</v>
      </c>
      <c r="L31" s="707" t="s">
        <v>90</v>
      </c>
      <c r="M31" s="129">
        <f>-IFERROR(SUM(E52:E54)/(3*C22),"")</f>
        <v>1.9323205928589823E-2</v>
      </c>
    </row>
    <row r="32" spans="2:13" ht="12.6" customHeight="1" x14ac:dyDescent="0.15">
      <c r="B32" s="720" t="s">
        <v>91</v>
      </c>
      <c r="C32" s="922"/>
      <c r="D32" s="721"/>
      <c r="E32" s="51"/>
      <c r="F32" s="979"/>
      <c r="G32" s="980"/>
      <c r="H32" s="722"/>
      <c r="I32" s="721"/>
      <c r="J32" s="50"/>
      <c r="K32" s="50"/>
      <c r="L32" s="707" t="s">
        <v>92</v>
      </c>
      <c r="M32" s="128">
        <f>-IFERROR(L53/C22,"")</f>
        <v>1.23782293243948E-2</v>
      </c>
    </row>
    <row r="33" spans="2:19" ht="18.75" thickBot="1" x14ac:dyDescent="0.25">
      <c r="B33" s="957" t="s">
        <v>93</v>
      </c>
      <c r="C33" s="958"/>
      <c r="D33" s="958"/>
      <c r="E33" s="958"/>
      <c r="F33" s="958"/>
      <c r="G33" s="958"/>
      <c r="H33" s="958"/>
      <c r="I33" s="958"/>
      <c r="J33" s="958"/>
      <c r="K33" s="958"/>
      <c r="L33" s="958"/>
      <c r="M33" s="959"/>
    </row>
    <row r="34" spans="2:19" ht="14.25" x14ac:dyDescent="0.15">
      <c r="B34" s="981" t="s">
        <v>94</v>
      </c>
      <c r="C34" s="982"/>
      <c r="D34" s="982"/>
      <c r="E34" s="982"/>
      <c r="F34" s="982"/>
      <c r="G34" s="982"/>
      <c r="H34" s="723" t="s">
        <v>95</v>
      </c>
      <c r="I34" s="983" t="s">
        <v>96</v>
      </c>
      <c r="J34" s="984"/>
      <c r="K34" s="984"/>
      <c r="L34" s="984"/>
      <c r="M34" s="985"/>
    </row>
    <row r="35" spans="2:19" ht="13.35" customHeight="1" x14ac:dyDescent="0.15">
      <c r="B35" s="724" t="s">
        <v>97</v>
      </c>
      <c r="C35" s="986" t="s">
        <v>98</v>
      </c>
      <c r="D35" s="987"/>
      <c r="E35" s="987"/>
      <c r="F35" s="987"/>
      <c r="G35" s="988"/>
      <c r="H35" s="989" t="s">
        <v>99</v>
      </c>
      <c r="I35" s="991" t="s">
        <v>100</v>
      </c>
      <c r="J35" s="992"/>
      <c r="K35" s="992"/>
      <c r="L35" s="992"/>
      <c r="M35" s="993"/>
    </row>
    <row r="36" spans="2:19" ht="23.25" customHeight="1" x14ac:dyDescent="0.15">
      <c r="B36" s="725" t="s">
        <v>101</v>
      </c>
      <c r="C36" s="1000" t="s">
        <v>102</v>
      </c>
      <c r="D36" s="1001"/>
      <c r="E36" s="1001"/>
      <c r="F36" s="1001"/>
      <c r="G36" s="1002"/>
      <c r="H36" s="989"/>
      <c r="I36" s="994"/>
      <c r="J36" s="995"/>
      <c r="K36" s="995"/>
      <c r="L36" s="995"/>
      <c r="M36" s="996"/>
    </row>
    <row r="37" spans="2:19" ht="62.25" customHeight="1" x14ac:dyDescent="0.15">
      <c r="B37" s="725" t="s">
        <v>103</v>
      </c>
      <c r="C37" s="1000" t="s">
        <v>104</v>
      </c>
      <c r="D37" s="1001"/>
      <c r="E37" s="1001"/>
      <c r="F37" s="1001"/>
      <c r="G37" s="1002"/>
      <c r="H37" s="989"/>
      <c r="I37" s="994"/>
      <c r="J37" s="995"/>
      <c r="K37" s="995"/>
      <c r="L37" s="995"/>
      <c r="M37" s="996"/>
    </row>
    <row r="38" spans="2:19" ht="61.5" customHeight="1" x14ac:dyDescent="0.15">
      <c r="B38" s="726" t="s">
        <v>105</v>
      </c>
      <c r="C38" s="1003" t="s">
        <v>106</v>
      </c>
      <c r="D38" s="1004"/>
      <c r="E38" s="1004"/>
      <c r="F38" s="1004"/>
      <c r="G38" s="1005"/>
      <c r="H38" s="990"/>
      <c r="I38" s="997"/>
      <c r="J38" s="998"/>
      <c r="K38" s="998"/>
      <c r="L38" s="998"/>
      <c r="M38" s="999"/>
    </row>
    <row r="39" spans="2:19" ht="15" thickBot="1" x14ac:dyDescent="0.2">
      <c r="B39" s="1009" t="s">
        <v>107</v>
      </c>
      <c r="C39" s="1010"/>
      <c r="D39" s="1010"/>
      <c r="E39" s="1010"/>
      <c r="F39" s="1010"/>
      <c r="G39" s="1011"/>
      <c r="H39" s="727" t="s">
        <v>108</v>
      </c>
      <c r="I39" s="1012" t="s">
        <v>109</v>
      </c>
      <c r="J39" s="1012"/>
      <c r="K39" s="1012"/>
      <c r="L39" s="1012"/>
      <c r="M39" s="1013"/>
    </row>
    <row r="40" spans="2:19" ht="13.35" customHeight="1" thickBot="1" x14ac:dyDescent="0.2">
      <c r="B40" s="728" t="s">
        <v>110</v>
      </c>
      <c r="C40" s="1014" t="s">
        <v>98</v>
      </c>
      <c r="D40" s="1015"/>
      <c r="E40" s="1015"/>
      <c r="F40" s="1015"/>
      <c r="G40" s="1016"/>
      <c r="H40" s="1017" t="s">
        <v>111</v>
      </c>
      <c r="I40" s="1020" t="s">
        <v>112</v>
      </c>
      <c r="J40" s="1022">
        <f>DCF!F50</f>
        <v>8.0500000000000002E-2</v>
      </c>
      <c r="K40" s="1023"/>
      <c r="L40" s="1026" t="s">
        <v>113</v>
      </c>
      <c r="M40" s="1028">
        <f>SARD!AJ14</f>
        <v>-0.362560396794392</v>
      </c>
    </row>
    <row r="41" spans="2:19" ht="62.1" customHeight="1" thickBot="1" x14ac:dyDescent="0.2">
      <c r="B41" s="725" t="s">
        <v>114</v>
      </c>
      <c r="C41" s="1030" t="s">
        <v>115</v>
      </c>
      <c r="D41" s="1031"/>
      <c r="E41" s="1031"/>
      <c r="F41" s="1031"/>
      <c r="G41" s="1032"/>
      <c r="H41" s="1018"/>
      <c r="I41" s="1021"/>
      <c r="J41" s="1024"/>
      <c r="K41" s="1025"/>
      <c r="L41" s="1027"/>
      <c r="M41" s="1029"/>
    </row>
    <row r="42" spans="2:19" ht="41.1" customHeight="1" thickBot="1" x14ac:dyDescent="0.2">
      <c r="B42" s="932" t="s">
        <v>116</v>
      </c>
      <c r="C42" s="1033" t="s">
        <v>117</v>
      </c>
      <c r="D42" s="1034"/>
      <c r="E42" s="1034"/>
      <c r="F42" s="1034"/>
      <c r="G42" s="1035"/>
      <c r="H42" s="1018"/>
      <c r="I42" s="1020" t="s">
        <v>118</v>
      </c>
      <c r="J42" s="1042">
        <f>DCF!D76</f>
        <v>-6.8100444655823322E-2</v>
      </c>
      <c r="K42" s="1043"/>
      <c r="L42" s="1044" t="s">
        <v>119</v>
      </c>
      <c r="M42" s="1028">
        <f>SARD!AM14</f>
        <v>-0.53244397497369578</v>
      </c>
    </row>
    <row r="43" spans="2:19" ht="47.1" customHeight="1" thickBot="1" x14ac:dyDescent="0.2">
      <c r="B43" s="933" t="s">
        <v>120</v>
      </c>
      <c r="C43" s="1006" t="s">
        <v>121</v>
      </c>
      <c r="D43" s="1007"/>
      <c r="E43" s="1007"/>
      <c r="F43" s="1007"/>
      <c r="G43" s="1008"/>
      <c r="H43" s="1019"/>
      <c r="I43" s="1021"/>
      <c r="J43" s="1024"/>
      <c r="K43" s="1025"/>
      <c r="L43" s="1045"/>
      <c r="M43" s="1029"/>
    </row>
    <row r="44" spans="2:19" ht="18" x14ac:dyDescent="0.2">
      <c r="B44" s="957" t="s">
        <v>122</v>
      </c>
      <c r="C44" s="958"/>
      <c r="D44" s="958"/>
      <c r="E44" s="958"/>
      <c r="F44" s="958"/>
      <c r="G44" s="958"/>
      <c r="H44" s="958"/>
      <c r="I44" s="958"/>
      <c r="J44" s="958"/>
      <c r="K44" s="958"/>
      <c r="L44" s="958"/>
      <c r="M44" s="959"/>
    </row>
    <row r="45" spans="2:19" x14ac:dyDescent="0.15">
      <c r="B45" s="729" t="s">
        <v>123</v>
      </c>
      <c r="C45" s="730" t="s">
        <v>124</v>
      </c>
      <c r="D45" s="730" t="s">
        <v>125</v>
      </c>
      <c r="E45" s="731" t="s">
        <v>126</v>
      </c>
      <c r="F45" s="730" t="s">
        <v>127</v>
      </c>
      <c r="G45" s="730" t="s">
        <v>68</v>
      </c>
      <c r="H45" s="732" t="s">
        <v>56</v>
      </c>
      <c r="I45" s="732" t="s">
        <v>128</v>
      </c>
      <c r="J45" s="1036" t="s">
        <v>129</v>
      </c>
      <c r="K45" s="1036"/>
      <c r="L45" s="1036"/>
      <c r="M45" s="1037"/>
    </row>
    <row r="46" spans="2:19" x14ac:dyDescent="0.15">
      <c r="B46" s="734">
        <f t="shared" ref="B46:B52" si="0">B47-1</f>
        <v>2014</v>
      </c>
      <c r="C46" s="735" cm="1">
        <f t="array" ref="C46:C54">_xlfn.SORTBY(TRANSPOSE(_xlfn.XLOOKUP(C$45,'[2]Fin. Data1'!$A:$A,'[2]Fin. Data1'!$B:$J,,0)),$B$46:$B$54,-1)</f>
        <v>130474</v>
      </c>
      <c r="D46" s="46" cm="1">
        <f t="array" ref="D46:D54">_xlfn.SORTBY(TRANSPOSE(_xlfn.XLOOKUP(D$45,'[2]Fin. Data1'!$A:$A,'[2]Fin. Data1'!$B:$J,,0)),$B$46:$B$54,-1)</f>
        <v>7.8743657740239434E-2</v>
      </c>
      <c r="E46" s="735" cm="1">
        <f t="array" ref="E46:E54">_xlfn.SORTBY(TRANSPOSE(_xlfn.XLOOKUP(E$45,'[2]Fin. Data1'!$A:$A,'[2]Fin. Data1'!$B:$J,,0)),$B$46:$B$54,-1)</f>
        <v>-4908</v>
      </c>
      <c r="F46" s="53">
        <f>[2]Inputs1!J77</f>
        <v>219</v>
      </c>
      <c r="G46" s="46" cm="1">
        <f t="array" ref="G46:G54">_xlfn.SORTBY(TRANSPOSE(_xlfn.XLOOKUP(G$45,'[2]Fin. Data1'!$A:$A,'[2]Fin. Data1'!$B:$J,,0)),$B$46:$B$54,-1)</f>
        <v>0.27703688268389248</v>
      </c>
      <c r="H46" s="735" cm="1">
        <f t="array" ref="H46:H54">_xlfn.SORTBY(TRANSPOSE(_xlfn.XLOOKUP(H$45,'[2]Fin. Data1'!$A:$A,'[2]Fin. Data1'!$B:$J,,0)),$B$46:$B$54,-1)</f>
        <v>1478</v>
      </c>
      <c r="I46" s="735" cm="1">
        <f t="array" ref="I46:I54">_xlfn.SORTBY(TRANSPOSE(_xlfn.XLOOKUP(I$45,'[2]Fin. Data1'!$A:$A,'[2]Fin. Data1'!$B:$J,,0)),$B$46:$B$54,-1)</f>
        <v>-2534</v>
      </c>
      <c r="J46" s="736"/>
      <c r="K46" s="721"/>
      <c r="L46" s="737">
        <f>J20</f>
        <v>2022</v>
      </c>
      <c r="M46" s="738">
        <f>L46-1</f>
        <v>2021</v>
      </c>
    </row>
    <row r="47" spans="2:19" x14ac:dyDescent="0.15">
      <c r="B47" s="734">
        <f t="shared" si="0"/>
        <v>2015</v>
      </c>
      <c r="C47" s="735">
        <v>157107</v>
      </c>
      <c r="D47" s="45">
        <v>7.0149643236774931E-2</v>
      </c>
      <c r="E47" s="735">
        <v>-2584</v>
      </c>
      <c r="F47" s="53">
        <f>[2]Inputs1!I77</f>
        <v>3428</v>
      </c>
      <c r="G47" s="46">
        <v>0.361245438366261</v>
      </c>
      <c r="H47" s="735">
        <v>1693</v>
      </c>
      <c r="I47" s="735">
        <v>-18395</v>
      </c>
      <c r="J47" s="1038" t="s">
        <v>64</v>
      </c>
      <c r="K47" s="1039"/>
      <c r="L47" s="709">
        <f>_xlfn.XLOOKUP($J47,'[2]Fin. Data1'!$A:$A,'[2]Fin. Data1'!B:B,,0)</f>
        <v>20639</v>
      </c>
      <c r="M47" s="739">
        <f>_xlfn.XLOOKUP($J47,'[2]Fin. Data1'!$A:$A,'[2]Fin. Data1'!C:C,,0)</f>
        <v>17732</v>
      </c>
      <c r="N47" s="740">
        <f t="shared" ref="N47:O55" si="1">(C47/C46)-1</f>
        <v>0.20412495976209821</v>
      </c>
      <c r="O47" s="740">
        <f t="shared" si="1"/>
        <v>-0.10913913259928243</v>
      </c>
      <c r="P47" s="741"/>
      <c r="Q47" s="742"/>
      <c r="R47" s="742"/>
      <c r="S47" s="742"/>
    </row>
    <row r="48" spans="2:19" x14ac:dyDescent="0.15">
      <c r="B48" s="734">
        <f t="shared" si="0"/>
        <v>2016</v>
      </c>
      <c r="C48" s="735">
        <v>184840</v>
      </c>
      <c r="D48" s="45">
        <v>6.9952391257303612E-2</v>
      </c>
      <c r="E48" s="735">
        <v>-3112</v>
      </c>
      <c r="F48" s="53">
        <f>[2]Inputs1!H77</f>
        <v>-493</v>
      </c>
      <c r="G48" s="46">
        <v>0.32752218874684474</v>
      </c>
      <c r="H48" s="735">
        <v>2055</v>
      </c>
      <c r="I48" s="735">
        <v>-9355</v>
      </c>
      <c r="J48" s="1038" t="s">
        <v>130</v>
      </c>
      <c r="K48" s="1039"/>
      <c r="L48" s="709">
        <f>_xlfn.XLOOKUP($J48,'[2]Fin. Data1'!$A:$A,'[2]Fin. Data1'!B:B,,0)</f>
        <v>26206</v>
      </c>
      <c r="M48" s="739">
        <f>_xlfn.XLOOKUP($J48,'[2]Fin. Data1'!$A:$A,'[2]Fin. Data1'!C:C,,0)</f>
        <v>22343</v>
      </c>
      <c r="N48" s="740">
        <f t="shared" si="1"/>
        <v>0.1765230066133272</v>
      </c>
      <c r="O48" s="740">
        <f t="shared" si="1"/>
        <v>-2.8118743071228192E-3</v>
      </c>
      <c r="P48" s="741"/>
      <c r="Q48" s="742">
        <f t="shared" ref="Q48:Q54" si="2">F48/F47-1</f>
        <v>-1.1438156359393232</v>
      </c>
      <c r="R48" s="742">
        <f t="shared" ref="R48:S54" si="3">H48/H47-1</f>
        <v>0.21382161842882463</v>
      </c>
      <c r="S48" s="742">
        <f t="shared" si="3"/>
        <v>-0.49143789073117694</v>
      </c>
    </row>
    <row r="49" spans="2:19" x14ac:dyDescent="0.15">
      <c r="B49" s="734">
        <f t="shared" si="0"/>
        <v>2017</v>
      </c>
      <c r="C49" s="735">
        <v>201159</v>
      </c>
      <c r="D49" s="45">
        <v>7.5606858256404133E-2</v>
      </c>
      <c r="E49" s="735">
        <v>-3585</v>
      </c>
      <c r="F49" s="53">
        <f>[2]Inputs1!G77</f>
        <v>1551</v>
      </c>
      <c r="G49" s="46">
        <v>0.25991312977318815</v>
      </c>
      <c r="H49" s="735">
        <v>2245</v>
      </c>
      <c r="I49" s="735">
        <v>-8599</v>
      </c>
      <c r="J49" s="1038" t="s">
        <v>131</v>
      </c>
      <c r="K49" s="1039"/>
      <c r="L49" s="709">
        <f>_xlfn.XLOOKUP($J49,'[2]Fin. Data1'!$A:$A,'[2]Fin. Data1'!B:B,,0)</f>
        <v>-28476</v>
      </c>
      <c r="M49" s="739">
        <f>_xlfn.XLOOKUP($J49,'[2]Fin. Data1'!$A:$A,'[2]Fin. Data1'!C:C,,0)</f>
        <v>-10372</v>
      </c>
      <c r="N49" s="740">
        <f t="shared" si="1"/>
        <v>8.8287167279809564E-2</v>
      </c>
      <c r="O49" s="740">
        <f t="shared" si="1"/>
        <v>8.0833076574921892E-2</v>
      </c>
      <c r="P49" s="741"/>
      <c r="Q49" s="742">
        <f t="shared" si="2"/>
        <v>-4.14604462474645</v>
      </c>
      <c r="R49" s="742">
        <f t="shared" si="3"/>
        <v>9.2457420924574318E-2</v>
      </c>
      <c r="S49" s="742">
        <f t="shared" si="3"/>
        <v>-8.0812399786210576E-2</v>
      </c>
    </row>
    <row r="50" spans="2:19" x14ac:dyDescent="0.15">
      <c r="B50" s="734">
        <f t="shared" si="0"/>
        <v>2018</v>
      </c>
      <c r="C50" s="735">
        <v>226247</v>
      </c>
      <c r="D50" s="45">
        <v>7.6659580016530601E-2</v>
      </c>
      <c r="E50" s="735">
        <v>-6982</v>
      </c>
      <c r="F50" s="53">
        <f>[2]Inputs1!F77</f>
        <v>-1115</v>
      </c>
      <c r="G50" s="46">
        <v>0.27213065214392235</v>
      </c>
      <c r="H50" s="735">
        <v>2428</v>
      </c>
      <c r="I50" s="735">
        <v>-12385</v>
      </c>
      <c r="J50" s="1040" t="s">
        <v>132</v>
      </c>
      <c r="K50" s="1041"/>
      <c r="L50" s="709">
        <f>_xlfn.XLOOKUP($J50,'[2]Fin. Data1'!$A:$A,'[2]Fin. Data1'!B:B,,0)</f>
        <v>-2802</v>
      </c>
      <c r="M50" s="739">
        <f>_xlfn.XLOOKUP($J50,'[2]Fin. Data1'!$A:$A,'[2]Fin. Data1'!C:C,,0)</f>
        <v>-2454</v>
      </c>
      <c r="N50" s="740">
        <f t="shared" si="1"/>
        <v>0.1247172634582594</v>
      </c>
      <c r="O50" s="740">
        <f t="shared" si="1"/>
        <v>1.3923627887782342E-2</v>
      </c>
      <c r="P50" s="741"/>
      <c r="Q50" s="742">
        <f t="shared" si="2"/>
        <v>-1.7188910380399742</v>
      </c>
      <c r="R50" s="742">
        <f t="shared" si="3"/>
        <v>8.1514476614699349E-2</v>
      </c>
      <c r="S50" s="742">
        <f t="shared" si="3"/>
        <v>0.44028375392487495</v>
      </c>
    </row>
    <row r="51" spans="2:19" x14ac:dyDescent="0.15">
      <c r="B51" s="734">
        <f t="shared" si="0"/>
        <v>2019</v>
      </c>
      <c r="C51" s="735">
        <v>242155</v>
      </c>
      <c r="D51" s="45">
        <v>8.1290908715492147E-2</v>
      </c>
      <c r="E51" s="735">
        <v>-8395</v>
      </c>
      <c r="F51" s="53">
        <f>[2]Inputs1!E77</f>
        <v>119</v>
      </c>
      <c r="G51" s="46">
        <v>0.26622155512999673</v>
      </c>
      <c r="H51" s="735">
        <v>2720</v>
      </c>
      <c r="I51" s="735">
        <v>-12699</v>
      </c>
      <c r="J51" s="1040" t="s">
        <v>133</v>
      </c>
      <c r="K51" s="1041"/>
      <c r="L51" s="709">
        <f>_xlfn.XLOOKUP($J51,'[2]Fin. Data1'!$A:$A,'[2]Fin. Data1'!B:B,,0)</f>
        <v>-25674</v>
      </c>
      <c r="M51" s="739">
        <f>_xlfn.XLOOKUP($J51,'[2]Fin. Data1'!$A:$A,'[2]Fin. Data1'!C:C,,0)</f>
        <v>-7918</v>
      </c>
      <c r="N51" s="740">
        <f t="shared" si="1"/>
        <v>7.0312534530844628E-2</v>
      </c>
      <c r="O51" s="740">
        <f t="shared" si="1"/>
        <v>6.0414219566071958E-2</v>
      </c>
      <c r="P51" s="741"/>
      <c r="Q51" s="742">
        <f t="shared" si="2"/>
        <v>-1.1067264573991031</v>
      </c>
      <c r="R51" s="742">
        <f t="shared" si="3"/>
        <v>0.12026359143327836</v>
      </c>
      <c r="S51" s="742">
        <f t="shared" si="3"/>
        <v>2.5353249899071395E-2</v>
      </c>
    </row>
    <row r="52" spans="2:19" x14ac:dyDescent="0.15">
      <c r="B52" s="734">
        <f t="shared" si="0"/>
        <v>2020</v>
      </c>
      <c r="C52" s="735">
        <v>257141</v>
      </c>
      <c r="D52" s="45">
        <v>8.7131184836334932E-2</v>
      </c>
      <c r="E52" s="735">
        <v>-7394</v>
      </c>
      <c r="F52" s="53">
        <f>[2]Inputs1!D77</f>
        <v>5936</v>
      </c>
      <c r="G52" s="46">
        <v>0.25179305485860842</v>
      </c>
      <c r="H52" s="735">
        <v>2891</v>
      </c>
      <c r="I52" s="735">
        <v>-12532</v>
      </c>
      <c r="J52" s="1038" t="s">
        <v>134</v>
      </c>
      <c r="K52" s="1039"/>
      <c r="L52" s="709">
        <f>_xlfn.XLOOKUP($J52,'[2]Fin. Data1'!$A:$A,'[2]Fin. Data1'!B:B,,0)</f>
        <v>4226</v>
      </c>
      <c r="M52" s="739">
        <f>_xlfn.XLOOKUP($J52,'[2]Fin. Data1'!$A:$A,'[2]Fin. Data1'!C:C,,0)</f>
        <v>-7455</v>
      </c>
      <c r="N52" s="740">
        <f t="shared" si="1"/>
        <v>6.1885982118890848E-2</v>
      </c>
      <c r="O52" s="740">
        <f t="shared" si="1"/>
        <v>7.1844148541665431E-2</v>
      </c>
      <c r="P52" s="741"/>
      <c r="Q52" s="742">
        <f t="shared" si="2"/>
        <v>48.882352941176471</v>
      </c>
      <c r="R52" s="742">
        <f t="shared" si="3"/>
        <v>6.2867647058823639E-2</v>
      </c>
      <c r="S52" s="742">
        <f t="shared" si="3"/>
        <v>-1.3150641782817551E-2</v>
      </c>
    </row>
    <row r="53" spans="2:19" x14ac:dyDescent="0.15">
      <c r="B53" s="734">
        <f>B54-1</f>
        <v>2021</v>
      </c>
      <c r="C53" s="735">
        <v>287597</v>
      </c>
      <c r="D53" s="45">
        <v>8.3345792897700596E-2</v>
      </c>
      <c r="E53" s="735">
        <v>-8925</v>
      </c>
      <c r="F53" s="53">
        <f>[2]Inputs1!C$77</f>
        <v>4454</v>
      </c>
      <c r="G53" s="46">
        <v>0.24428621245393628</v>
      </c>
      <c r="H53" s="735">
        <v>3103</v>
      </c>
      <c r="I53" s="735">
        <v>-10372</v>
      </c>
      <c r="J53" s="1040" t="s">
        <v>135</v>
      </c>
      <c r="K53" s="1041"/>
      <c r="L53" s="709">
        <f>_xlfn.XLOOKUP($J53,'[2]Fin. Data1'!$A:$A,'[2]Fin. Data1'!B:B,,0)</f>
        <v>-5991</v>
      </c>
      <c r="M53" s="739">
        <f>_xlfn.XLOOKUP($J53,'[2]Fin. Data1'!$A:$A,'[2]Fin. Data1'!C:C,,0)</f>
        <v>-5280</v>
      </c>
      <c r="N53" s="740">
        <f t="shared" si="1"/>
        <v>0.11844085540617799</v>
      </c>
      <c r="O53" s="740">
        <f t="shared" si="1"/>
        <v>-4.3444743070402692E-2</v>
      </c>
      <c r="P53" s="741"/>
      <c r="Q53" s="742">
        <f t="shared" si="2"/>
        <v>-0.2496630727762803</v>
      </c>
      <c r="R53" s="742">
        <f t="shared" si="3"/>
        <v>7.3331027326184683E-2</v>
      </c>
      <c r="S53" s="742">
        <f t="shared" si="3"/>
        <v>-0.17235876157037988</v>
      </c>
    </row>
    <row r="54" spans="2:19" x14ac:dyDescent="0.15">
      <c r="B54" s="734">
        <f>J20</f>
        <v>2022</v>
      </c>
      <c r="C54" s="735">
        <v>324162</v>
      </c>
      <c r="D54" s="45">
        <v>8.7718486435794454E-2</v>
      </c>
      <c r="E54" s="735">
        <v>-11738</v>
      </c>
      <c r="F54" s="53">
        <f>[2]Inputs1!B77</f>
        <v>1990</v>
      </c>
      <c r="G54" s="46">
        <v>0.25830569178486396</v>
      </c>
      <c r="H54" s="735">
        <v>3400</v>
      </c>
      <c r="I54" s="735">
        <v>-28476</v>
      </c>
      <c r="J54" s="1040" t="s">
        <v>136</v>
      </c>
      <c r="K54" s="1041"/>
      <c r="L54" s="709">
        <f>_xlfn.XLOOKUP($J54,'[2]Fin. Data1'!$A:$A,'[2]Fin. Data1'!B:B,,0)</f>
        <v>-5747</v>
      </c>
      <c r="M54" s="739">
        <f>_xlfn.XLOOKUP($J54,'[2]Fin. Data1'!$A:$A,'[2]Fin. Data1'!C:C,,0)</f>
        <v>-3645</v>
      </c>
      <c r="N54" s="740">
        <f t="shared" si="1"/>
        <v>0.12713971286209524</v>
      </c>
      <c r="O54" s="740">
        <f t="shared" si="1"/>
        <v>5.2464478242602475E-2</v>
      </c>
      <c r="P54" s="741"/>
      <c r="Q54" s="742">
        <f t="shared" si="2"/>
        <v>-0.55321059721598564</v>
      </c>
      <c r="R54" s="742">
        <f t="shared" si="3"/>
        <v>9.5713825330325575E-2</v>
      </c>
      <c r="S54" s="742">
        <f t="shared" si="3"/>
        <v>1.745468569224836</v>
      </c>
    </row>
    <row r="55" spans="2:19" x14ac:dyDescent="0.15">
      <c r="B55" s="743" t="s">
        <v>137</v>
      </c>
      <c r="C55" s="47">
        <f>IFERROR((C54/C46)^(1/8)-1,"")</f>
        <v>0.12048169448032975</v>
      </c>
      <c r="D55" s="47">
        <f>IFERROR((D54/D46)^(1/8)-1,"")</f>
        <v>1.3583292319940599E-2</v>
      </c>
      <c r="E55" s="49"/>
      <c r="F55" s="47">
        <f>IFERROR((F54/F46)^(1/8)-1,"")</f>
        <v>0.3176531973377501</v>
      </c>
      <c r="G55" s="49"/>
      <c r="H55" s="47">
        <f>IFERROR((H54/H46)^(1/8)-1,"")</f>
        <v>0.10975103917594153</v>
      </c>
      <c r="I55" s="49"/>
      <c r="J55" s="1038" t="s">
        <v>138</v>
      </c>
      <c r="K55" s="1039"/>
      <c r="L55" s="709">
        <f>_xlfn.XLOOKUP($J55,'[2]Fin. Data1'!$A:$A,'[2]Fin. Data1'!B:B,,0)</f>
        <v>34</v>
      </c>
      <c r="M55" s="739">
        <f>_xlfn.XLOOKUP($J55,'[2]Fin. Data1'!$A:$A,'[2]Fin. Data1'!C:C,,0)</f>
        <v>-62</v>
      </c>
      <c r="N55" s="740">
        <f t="shared" si="1"/>
        <v>-0.99999962832875389</v>
      </c>
      <c r="O55" s="740">
        <f t="shared" si="1"/>
        <v>-0.84514903446398515</v>
      </c>
      <c r="P55" s="741"/>
      <c r="Q55" s="742"/>
      <c r="R55" s="742"/>
      <c r="S55" s="742"/>
    </row>
    <row r="56" spans="2:19" x14ac:dyDescent="0.15">
      <c r="B56" s="743" t="s">
        <v>139</v>
      </c>
      <c r="C56" s="47">
        <f>IFERROR(AVERAGE(N47:N54),"")</f>
        <v>0.12142893525393789</v>
      </c>
      <c r="D56" s="47">
        <f>IFERROR(AVERAGE(O47:O54),"")</f>
        <v>1.551047510452952E-2</v>
      </c>
      <c r="E56" s="49"/>
      <c r="F56" s="47">
        <f>IFERROR(AVERAGE(Q47:Q54),"")</f>
        <v>5.7091430735799076</v>
      </c>
      <c r="G56" s="49"/>
      <c r="H56" s="47">
        <f>IFERROR(AVERAGE(S47:S54),"")</f>
        <v>0.20762083988259963</v>
      </c>
      <c r="I56" s="49"/>
      <c r="J56" s="1052" t="s">
        <v>140</v>
      </c>
      <c r="K56" s="1053"/>
      <c r="L56" s="744">
        <f>L48-L49+L52-L53-L54</f>
        <v>70646</v>
      </c>
      <c r="M56" s="745">
        <f>M48-M49+M52-M53-M54</f>
        <v>34185</v>
      </c>
    </row>
    <row r="57" spans="2:19" x14ac:dyDescent="0.15">
      <c r="B57" s="743" t="s">
        <v>141</v>
      </c>
      <c r="C57" s="47">
        <f>IFERROR(STDEV(C47:C54)/AVERAGE(C47:C54),"")</f>
        <v>0.23337144943086094</v>
      </c>
      <c r="D57" s="47">
        <f>IFERROR(STDEV(D46:D54)/AVERAGE(D46:D54),"")</f>
        <v>8.2990761544169636E-2</v>
      </c>
      <c r="E57" s="49"/>
      <c r="F57" s="47">
        <f>IFERROR(STDEV(F46:F54)/AVERAGE(F46:F54),"")</f>
        <v>1.3410414411496807</v>
      </c>
      <c r="G57" s="49"/>
      <c r="H57" s="47">
        <f>IFERROR(STDEV(H46:H54)/AVERAGE(H46:H54),"")</f>
        <v>0.26308527815206489</v>
      </c>
      <c r="I57" s="49"/>
      <c r="J57" s="1038" t="s">
        <v>142</v>
      </c>
      <c r="K57" s="1039"/>
      <c r="L57" s="746">
        <f>IFERROR(SUM(I51:I54)/(C54-C50),"")</f>
        <v>-0.65443496910585708</v>
      </c>
      <c r="M57" s="747">
        <f>IFERROR((SUM(I51:I54)-SUM(H51:H54))/(C54-C50),"")</f>
        <v>-0.77815452177909417</v>
      </c>
    </row>
    <row r="58" spans="2:19" x14ac:dyDescent="0.15">
      <c r="B58" s="743" t="s">
        <v>143</v>
      </c>
      <c r="C58" s="47">
        <f>IFERROR(C54/C53-1,"")</f>
        <v>0.12713971286209524</v>
      </c>
      <c r="D58" s="47">
        <f>IFERROR(D54/D53-1,"")</f>
        <v>5.2464478242602475E-2</v>
      </c>
      <c r="E58" s="49"/>
      <c r="F58" s="47">
        <f>IFERROR(1-(F54/F53),"")</f>
        <v>0.55321059721598564</v>
      </c>
      <c r="G58" s="49"/>
      <c r="H58" s="47">
        <f>IFERROR(1-(H54/H53),"")</f>
        <v>-9.5713825330325575E-2</v>
      </c>
      <c r="I58" s="49"/>
      <c r="J58" s="1046" t="s">
        <v>144</v>
      </c>
      <c r="K58" s="1047"/>
      <c r="L58" s="121">
        <f>IFERROR(L57/E27,"")</f>
        <v>-6.7533359667128723</v>
      </c>
      <c r="M58" s="122">
        <f>IFERROR(M57/E27,"")</f>
        <v>-8.0300399087338121</v>
      </c>
    </row>
    <row r="59" spans="2:19" ht="18" x14ac:dyDescent="0.2">
      <c r="B59" s="957" t="s">
        <v>145</v>
      </c>
      <c r="C59" s="958"/>
      <c r="D59" s="958"/>
      <c r="E59" s="958"/>
      <c r="F59" s="958"/>
      <c r="G59" s="958"/>
      <c r="H59" s="958"/>
      <c r="I59" s="958"/>
      <c r="J59" s="958"/>
      <c r="K59" s="958"/>
      <c r="L59" s="958"/>
      <c r="M59" s="959"/>
    </row>
    <row r="60" spans="2:19" ht="14.25" x14ac:dyDescent="0.15">
      <c r="B60" s="1048" t="s">
        <v>146</v>
      </c>
      <c r="C60" s="1049"/>
      <c r="D60" s="1049"/>
      <c r="E60" s="1049"/>
      <c r="F60" s="1049"/>
      <c r="G60" s="1049"/>
      <c r="H60" s="1049"/>
      <c r="I60" s="1049"/>
      <c r="J60" s="1049" t="s">
        <v>147</v>
      </c>
      <c r="K60" s="1049"/>
      <c r="L60" s="1049"/>
      <c r="M60" s="1050"/>
    </row>
    <row r="61" spans="2:19" x14ac:dyDescent="0.15">
      <c r="B61" s="1051" t="s">
        <v>148</v>
      </c>
      <c r="C61" s="1036"/>
      <c r="D61" s="1036"/>
      <c r="E61" s="1036" t="s">
        <v>149</v>
      </c>
      <c r="F61" s="1036"/>
      <c r="G61" s="1036"/>
      <c r="H61" s="1036"/>
      <c r="I61" s="1036"/>
      <c r="J61" s="1036" t="s">
        <v>150</v>
      </c>
      <c r="K61" s="1036"/>
      <c r="L61" s="1036"/>
      <c r="M61" s="733" t="s">
        <v>151</v>
      </c>
    </row>
    <row r="62" spans="2:19" ht="15" customHeight="1" x14ac:dyDescent="0.15">
      <c r="B62" s="1068" t="s">
        <v>152</v>
      </c>
      <c r="C62" s="1069"/>
      <c r="D62" s="1070"/>
      <c r="E62" s="1065" t="s">
        <v>153</v>
      </c>
      <c r="F62" s="1069"/>
      <c r="G62" s="1069"/>
      <c r="H62" s="1069"/>
      <c r="I62" s="1070"/>
      <c r="J62" s="1079" t="s">
        <v>154</v>
      </c>
      <c r="K62" s="1080"/>
      <c r="L62" s="1080"/>
      <c r="M62" s="748"/>
    </row>
    <row r="63" spans="2:19" ht="15" customHeight="1" x14ac:dyDescent="0.15">
      <c r="B63" s="1071"/>
      <c r="C63" s="1072"/>
      <c r="D63" s="1073"/>
      <c r="E63" s="1077"/>
      <c r="F63" s="1072"/>
      <c r="G63" s="1072"/>
      <c r="H63" s="1072"/>
      <c r="I63" s="1073"/>
      <c r="J63" s="1054" t="s">
        <v>155</v>
      </c>
      <c r="K63" s="1055"/>
      <c r="L63" s="1055"/>
      <c r="M63" s="926">
        <v>6.8711672360852832E-7</v>
      </c>
      <c r="O63" s="923"/>
      <c r="P63" s="924"/>
    </row>
    <row r="64" spans="2:19" ht="15" customHeight="1" x14ac:dyDescent="0.15">
      <c r="B64" s="1071"/>
      <c r="C64" s="1072"/>
      <c r="D64" s="1073"/>
      <c r="E64" s="1077"/>
      <c r="F64" s="1072"/>
      <c r="G64" s="1072"/>
      <c r="H64" s="1072"/>
      <c r="I64" s="1073"/>
      <c r="J64" s="1054" t="s">
        <v>156</v>
      </c>
      <c r="K64" s="1055"/>
      <c r="L64" s="1055"/>
      <c r="M64" s="926">
        <v>1.659635427928902E-7</v>
      </c>
      <c r="P64" s="925"/>
    </row>
    <row r="65" spans="2:16" ht="15" customHeight="1" x14ac:dyDescent="0.15">
      <c r="B65" s="1071"/>
      <c r="C65" s="1072"/>
      <c r="D65" s="1073"/>
      <c r="E65" s="1077"/>
      <c r="F65" s="1072"/>
      <c r="G65" s="1072"/>
      <c r="H65" s="1072"/>
      <c r="I65" s="1073"/>
      <c r="J65" s="1054" t="s">
        <v>157</v>
      </c>
      <c r="K65" s="1055"/>
      <c r="L65" s="1055"/>
      <c r="M65" s="926">
        <v>8.4657051420663403E-8</v>
      </c>
      <c r="P65" s="925"/>
    </row>
    <row r="66" spans="2:16" x14ac:dyDescent="0.15">
      <c r="B66" s="1071"/>
      <c r="C66" s="1072"/>
      <c r="D66" s="1073"/>
      <c r="E66" s="1077"/>
      <c r="F66" s="1072"/>
      <c r="G66" s="1072"/>
      <c r="H66" s="1072"/>
      <c r="I66" s="1073"/>
      <c r="J66" s="1054" t="s">
        <v>158</v>
      </c>
      <c r="K66" s="1055"/>
      <c r="L66" s="1055"/>
      <c r="M66" s="926">
        <v>6.8965964623967481E-8</v>
      </c>
      <c r="P66" s="925"/>
    </row>
    <row r="67" spans="2:16" x14ac:dyDescent="0.15">
      <c r="B67" s="1071"/>
      <c r="C67" s="1072"/>
      <c r="D67" s="1073"/>
      <c r="E67" s="1077"/>
      <c r="F67" s="1072"/>
      <c r="G67" s="1072"/>
      <c r="H67" s="1072"/>
      <c r="I67" s="1073"/>
      <c r="J67" s="1054" t="s">
        <v>159</v>
      </c>
      <c r="K67" s="1055"/>
      <c r="L67" s="1055"/>
      <c r="M67" s="926">
        <v>4.1664143925961162E-8</v>
      </c>
      <c r="P67" s="925"/>
    </row>
    <row r="68" spans="2:16" x14ac:dyDescent="0.15">
      <c r="B68" s="1071"/>
      <c r="C68" s="1072"/>
      <c r="D68" s="1073"/>
      <c r="E68" s="1077"/>
      <c r="F68" s="1072"/>
      <c r="G68" s="1072"/>
      <c r="H68" s="1072"/>
      <c r="I68" s="1073"/>
      <c r="J68" s="1081" t="s">
        <v>160</v>
      </c>
      <c r="K68" s="1055"/>
      <c r="L68" s="1055"/>
      <c r="M68" s="748">
        <v>2.5000000000000001E-3</v>
      </c>
    </row>
    <row r="69" spans="2:16" x14ac:dyDescent="0.15">
      <c r="B69" s="1071"/>
      <c r="C69" s="1072"/>
      <c r="D69" s="1073"/>
      <c r="E69" s="1077"/>
      <c r="F69" s="1072"/>
      <c r="G69" s="1072"/>
      <c r="H69" s="1072"/>
      <c r="I69" s="1073"/>
      <c r="M69" s="748"/>
    </row>
    <row r="70" spans="2:16" x14ac:dyDescent="0.15">
      <c r="B70" s="1071"/>
      <c r="C70" s="1072"/>
      <c r="D70" s="1073"/>
      <c r="E70" s="1077"/>
      <c r="F70" s="1072"/>
      <c r="G70" s="1072"/>
      <c r="H70" s="1072"/>
      <c r="I70" s="1073"/>
      <c r="J70" s="1054" t="s">
        <v>161</v>
      </c>
      <c r="K70" s="1055"/>
      <c r="L70" s="1055"/>
      <c r="M70" s="748"/>
    </row>
    <row r="71" spans="2:16" x14ac:dyDescent="0.15">
      <c r="B71" s="1074"/>
      <c r="C71" s="1075"/>
      <c r="D71" s="1076"/>
      <c r="E71" s="1078"/>
      <c r="F71" s="1075"/>
      <c r="G71" s="1075"/>
      <c r="H71" s="1075"/>
      <c r="I71" s="1076"/>
      <c r="J71" s="1054" t="s">
        <v>162</v>
      </c>
      <c r="K71" s="1055"/>
      <c r="L71" s="1055"/>
      <c r="M71" s="748">
        <v>9.0399999999999994E-2</v>
      </c>
    </row>
    <row r="72" spans="2:16" x14ac:dyDescent="0.15">
      <c r="B72" s="1051" t="s">
        <v>163</v>
      </c>
      <c r="C72" s="1036"/>
      <c r="D72" s="1036"/>
      <c r="E72" s="1036" t="s">
        <v>164</v>
      </c>
      <c r="F72" s="1036"/>
      <c r="G72" s="1036"/>
      <c r="H72" s="1036"/>
      <c r="I72" s="1036"/>
      <c r="J72" s="1054" t="s">
        <v>165</v>
      </c>
      <c r="K72" s="1055"/>
      <c r="L72" s="1055"/>
      <c r="M72" s="748">
        <v>7.8799999999999995E-2</v>
      </c>
    </row>
    <row r="73" spans="2:16" ht="15" customHeight="1" x14ac:dyDescent="0.15">
      <c r="B73" s="1056" t="s">
        <v>166</v>
      </c>
      <c r="C73" s="1057"/>
      <c r="D73" s="1058"/>
      <c r="E73" s="1065" t="s">
        <v>167</v>
      </c>
      <c r="F73" s="1057"/>
      <c r="G73" s="1057"/>
      <c r="H73" s="1057"/>
      <c r="I73" s="1058"/>
      <c r="J73" s="1054" t="s">
        <v>168</v>
      </c>
      <c r="K73" s="1055"/>
      <c r="L73" s="1055"/>
      <c r="M73" s="748">
        <v>4.8000000000000001E-2</v>
      </c>
    </row>
    <row r="74" spans="2:16" ht="15" customHeight="1" x14ac:dyDescent="0.15">
      <c r="B74" s="1059"/>
      <c r="C74" s="1060"/>
      <c r="D74" s="1061"/>
      <c r="E74" s="1066"/>
      <c r="F74" s="1060"/>
      <c r="G74" s="1060"/>
      <c r="H74" s="1060"/>
      <c r="I74" s="1061"/>
      <c r="J74" s="1054" t="s">
        <v>169</v>
      </c>
      <c r="K74" s="1055"/>
      <c r="L74" s="1055"/>
      <c r="M74" s="748">
        <v>4.7E-2</v>
      </c>
    </row>
    <row r="75" spans="2:16" ht="15" customHeight="1" x14ac:dyDescent="0.15">
      <c r="B75" s="1059"/>
      <c r="C75" s="1060"/>
      <c r="D75" s="1061"/>
      <c r="E75" s="1066"/>
      <c r="F75" s="1060"/>
      <c r="G75" s="1060"/>
      <c r="H75" s="1060"/>
      <c r="I75" s="1061"/>
      <c r="J75" s="1054" t="s">
        <v>170</v>
      </c>
      <c r="K75" s="1055"/>
      <c r="L75" s="1055"/>
      <c r="M75" s="748">
        <v>3.1199999999999999E-2</v>
      </c>
    </row>
    <row r="76" spans="2:16" ht="15" customHeight="1" x14ac:dyDescent="0.15">
      <c r="B76" s="1059"/>
      <c r="C76" s="1060"/>
      <c r="D76" s="1061"/>
      <c r="E76" s="1066"/>
      <c r="F76" s="1060"/>
      <c r="G76" s="1060"/>
      <c r="H76" s="1060"/>
      <c r="I76" s="1061"/>
      <c r="J76" s="1054" t="s">
        <v>171</v>
      </c>
      <c r="K76" s="1055"/>
      <c r="L76" s="1055"/>
      <c r="M76" s="748">
        <v>2.8899999999999999E-2</v>
      </c>
    </row>
    <row r="77" spans="2:16" x14ac:dyDescent="0.15">
      <c r="B77" s="1059"/>
      <c r="C77" s="1060"/>
      <c r="D77" s="1061"/>
      <c r="E77" s="1066"/>
      <c r="F77" s="1060"/>
      <c r="G77" s="1060"/>
      <c r="H77" s="1060"/>
      <c r="I77" s="1061"/>
      <c r="J77" s="1054" t="s">
        <v>172</v>
      </c>
      <c r="K77" s="1055"/>
      <c r="L77" s="1055"/>
      <c r="M77" s="748">
        <v>2.7300000000000001E-2</v>
      </c>
    </row>
    <row r="78" spans="2:16" x14ac:dyDescent="0.15">
      <c r="B78" s="1059"/>
      <c r="C78" s="1060"/>
      <c r="D78" s="1061"/>
      <c r="E78" s="1066"/>
      <c r="F78" s="1060"/>
      <c r="G78" s="1060"/>
      <c r="H78" s="1060"/>
      <c r="I78" s="1061"/>
      <c r="J78" s="1054" t="s">
        <v>173</v>
      </c>
      <c r="K78" s="1055"/>
      <c r="L78" s="1055"/>
      <c r="M78" s="748">
        <v>2.52E-2</v>
      </c>
    </row>
    <row r="79" spans="2:16" x14ac:dyDescent="0.15">
      <c r="B79" s="1059"/>
      <c r="C79" s="1060"/>
      <c r="D79" s="1061"/>
      <c r="E79" s="1066"/>
      <c r="F79" s="1060"/>
      <c r="G79" s="1060"/>
      <c r="H79" s="1060"/>
      <c r="I79" s="1061"/>
      <c r="J79" s="1054" t="s">
        <v>174</v>
      </c>
      <c r="K79" s="1055"/>
      <c r="L79" s="1055"/>
      <c r="M79" s="748">
        <v>1.9300000000000001E-2</v>
      </c>
    </row>
    <row r="80" spans="2:16" x14ac:dyDescent="0.15">
      <c r="B80" s="1059"/>
      <c r="C80" s="1060"/>
      <c r="D80" s="1061"/>
      <c r="E80" s="1066"/>
      <c r="F80" s="1060"/>
      <c r="G80" s="1060"/>
      <c r="H80" s="1060"/>
      <c r="I80" s="1061"/>
      <c r="J80" s="1054" t="s">
        <v>175</v>
      </c>
      <c r="K80" s="1055"/>
      <c r="L80" s="1055"/>
      <c r="M80" s="748">
        <v>1.7000000000000001E-2</v>
      </c>
    </row>
    <row r="81" spans="2:13" x14ac:dyDescent="0.15">
      <c r="B81" s="1062"/>
      <c r="C81" s="1063"/>
      <c r="D81" s="1064"/>
      <c r="E81" s="1067"/>
      <c r="F81" s="1063"/>
      <c r="G81" s="1063"/>
      <c r="H81" s="1063"/>
      <c r="I81" s="1064"/>
      <c r="J81" s="1094" t="s">
        <v>176</v>
      </c>
      <c r="K81" s="1095"/>
      <c r="L81" s="1095"/>
      <c r="M81" s="748">
        <v>0.89449999999999996</v>
      </c>
    </row>
    <row r="82" spans="2:13" ht="14.25" x14ac:dyDescent="0.15">
      <c r="B82" s="1082" t="s">
        <v>177</v>
      </c>
      <c r="C82" s="1083"/>
      <c r="D82" s="1083"/>
      <c r="E82" s="1083"/>
      <c r="F82" s="1083"/>
      <c r="G82" s="1049" t="s">
        <v>178</v>
      </c>
      <c r="H82" s="1049"/>
      <c r="I82" s="1049"/>
      <c r="J82" s="1049"/>
      <c r="K82" s="1049"/>
      <c r="L82" s="1049"/>
      <c r="M82" s="1050"/>
    </row>
    <row r="83" spans="2:13" x14ac:dyDescent="0.15">
      <c r="B83" s="1084" t="s">
        <v>179</v>
      </c>
      <c r="C83" s="1085"/>
      <c r="D83" s="1085"/>
      <c r="E83" s="1085"/>
      <c r="F83" s="1086"/>
      <c r="M83" s="749"/>
    </row>
    <row r="84" spans="2:13" x14ac:dyDescent="0.15">
      <c r="B84" s="1087"/>
      <c r="C84" s="1088"/>
      <c r="D84" s="1088"/>
      <c r="E84" s="1088"/>
      <c r="F84" s="1089"/>
      <c r="M84" s="749"/>
    </row>
    <row r="85" spans="2:13" x14ac:dyDescent="0.15">
      <c r="B85" s="1087"/>
      <c r="C85" s="1088"/>
      <c r="D85" s="1088"/>
      <c r="E85" s="1088"/>
      <c r="F85" s="1089"/>
      <c r="M85" s="749"/>
    </row>
    <row r="86" spans="2:13" x14ac:dyDescent="0.15">
      <c r="B86" s="1087"/>
      <c r="C86" s="1088"/>
      <c r="D86" s="1088"/>
      <c r="E86" s="1088"/>
      <c r="F86" s="1089"/>
      <c r="M86" s="749"/>
    </row>
    <row r="87" spans="2:13" x14ac:dyDescent="0.15">
      <c r="B87" s="1087"/>
      <c r="C87" s="1088"/>
      <c r="D87" s="1088"/>
      <c r="E87" s="1088"/>
      <c r="F87" s="1089"/>
      <c r="M87" s="749"/>
    </row>
    <row r="88" spans="2:13" x14ac:dyDescent="0.15">
      <c r="B88" s="1087"/>
      <c r="C88" s="1088"/>
      <c r="D88" s="1088"/>
      <c r="E88" s="1088"/>
      <c r="F88" s="1089"/>
      <c r="M88" s="749"/>
    </row>
    <row r="89" spans="2:13" x14ac:dyDescent="0.15">
      <c r="B89" s="1087"/>
      <c r="C89" s="1088"/>
      <c r="D89" s="1088"/>
      <c r="E89" s="1088"/>
      <c r="F89" s="1089"/>
      <c r="M89" s="749"/>
    </row>
    <row r="90" spans="2:13" x14ac:dyDescent="0.15">
      <c r="B90" s="1087"/>
      <c r="C90" s="1088"/>
      <c r="D90" s="1088"/>
      <c r="E90" s="1088"/>
      <c r="F90" s="1089"/>
      <c r="M90" s="749"/>
    </row>
    <row r="91" spans="2:13" x14ac:dyDescent="0.15">
      <c r="B91" s="1087"/>
      <c r="C91" s="1088"/>
      <c r="D91" s="1088"/>
      <c r="E91" s="1088"/>
      <c r="F91" s="1089"/>
      <c r="M91" s="749"/>
    </row>
    <row r="92" spans="2:13" x14ac:dyDescent="0.15">
      <c r="B92" s="1087"/>
      <c r="C92" s="1088"/>
      <c r="D92" s="1088"/>
      <c r="E92" s="1088"/>
      <c r="F92" s="1089"/>
      <c r="M92" s="749"/>
    </row>
    <row r="93" spans="2:13" x14ac:dyDescent="0.15">
      <c r="B93" s="1087"/>
      <c r="C93" s="1088"/>
      <c r="D93" s="1088"/>
      <c r="E93" s="1088"/>
      <c r="F93" s="1089"/>
      <c r="M93" s="749"/>
    </row>
    <row r="94" spans="2:13" x14ac:dyDescent="0.15">
      <c r="B94" s="1087"/>
      <c r="C94" s="1088"/>
      <c r="D94" s="1088"/>
      <c r="E94" s="1088"/>
      <c r="F94" s="1089"/>
      <c r="M94" s="749"/>
    </row>
    <row r="95" spans="2:13" x14ac:dyDescent="0.15">
      <c r="B95" s="1087"/>
      <c r="C95" s="1088"/>
      <c r="D95" s="1088"/>
      <c r="E95" s="1088"/>
      <c r="F95" s="1089"/>
      <c r="M95" s="749"/>
    </row>
    <row r="96" spans="2:13" x14ac:dyDescent="0.15">
      <c r="B96" s="1087"/>
      <c r="C96" s="1088"/>
      <c r="D96" s="1088"/>
      <c r="E96" s="1088"/>
      <c r="F96" s="1089"/>
      <c r="M96" s="749"/>
    </row>
    <row r="97" spans="2:13" x14ac:dyDescent="0.15">
      <c r="B97" s="1087"/>
      <c r="C97" s="1088"/>
      <c r="D97" s="1088"/>
      <c r="E97" s="1088"/>
      <c r="F97" s="1089"/>
      <c r="M97" s="749"/>
    </row>
    <row r="98" spans="2:13" x14ac:dyDescent="0.15">
      <c r="B98" s="1087"/>
      <c r="C98" s="1088"/>
      <c r="D98" s="1088"/>
      <c r="E98" s="1088"/>
      <c r="F98" s="1089"/>
      <c r="M98" s="749"/>
    </row>
    <row r="99" spans="2:13" x14ac:dyDescent="0.15">
      <c r="B99" s="1087"/>
      <c r="C99" s="1088"/>
      <c r="D99" s="1088"/>
      <c r="E99" s="1088"/>
      <c r="F99" s="1089"/>
      <c r="M99" s="749"/>
    </row>
    <row r="100" spans="2:13" x14ac:dyDescent="0.15">
      <c r="B100" s="1087"/>
      <c r="C100" s="1088"/>
      <c r="D100" s="1088"/>
      <c r="E100" s="1088"/>
      <c r="F100" s="1089"/>
      <c r="M100" s="749"/>
    </row>
    <row r="101" spans="2:13" x14ac:dyDescent="0.15">
      <c r="B101" s="1087"/>
      <c r="C101" s="1088"/>
      <c r="D101" s="1088"/>
      <c r="E101" s="1088"/>
      <c r="F101" s="1089"/>
      <c r="M101" s="749"/>
    </row>
    <row r="102" spans="2:13" x14ac:dyDescent="0.15">
      <c r="B102" s="1087"/>
      <c r="C102" s="1088"/>
      <c r="D102" s="1088"/>
      <c r="E102" s="1088"/>
      <c r="F102" s="1089"/>
      <c r="M102" s="749"/>
    </row>
    <row r="103" spans="2:13" x14ac:dyDescent="0.15">
      <c r="B103" s="1087"/>
      <c r="C103" s="1088"/>
      <c r="D103" s="1088"/>
      <c r="E103" s="1088"/>
      <c r="F103" s="1089"/>
      <c r="M103" s="749"/>
    </row>
    <row r="104" spans="2:13" x14ac:dyDescent="0.15">
      <c r="B104" s="1087"/>
      <c r="C104" s="1088"/>
      <c r="D104" s="1088"/>
      <c r="E104" s="1088"/>
      <c r="F104" s="1089"/>
      <c r="M104" s="749"/>
    </row>
    <row r="105" spans="2:13" x14ac:dyDescent="0.15">
      <c r="B105" s="1087"/>
      <c r="C105" s="1088"/>
      <c r="D105" s="1088"/>
      <c r="E105" s="1088"/>
      <c r="F105" s="1089"/>
      <c r="M105" s="749"/>
    </row>
    <row r="106" spans="2:13" ht="9.75" customHeight="1" x14ac:dyDescent="0.15">
      <c r="B106" s="1087"/>
      <c r="C106" s="1088"/>
      <c r="D106" s="1088"/>
      <c r="E106" s="1088"/>
      <c r="F106" s="1089"/>
      <c r="M106" s="749"/>
    </row>
    <row r="107" spans="2:13" ht="58.5" customHeight="1" x14ac:dyDescent="0.15">
      <c r="B107" s="1090"/>
      <c r="C107" s="1091"/>
      <c r="D107" s="1091"/>
      <c r="E107" s="1091"/>
      <c r="F107" s="1092"/>
      <c r="G107" s="1093" t="str">
        <f>E2</f>
        <v>UNITEDHEALTH GROUP INCORPORATED (XNYS:UNH)</v>
      </c>
      <c r="H107" s="1093"/>
      <c r="I107" s="750" t="e" vm="1">
        <f>Peers!D50</f>
        <v>#VALUE!</v>
      </c>
      <c r="J107" s="1096" t="e" vm="2">
        <f>Peers!E50</f>
        <v>#VALUE!</v>
      </c>
      <c r="K107" s="1097"/>
      <c r="L107" s="1098" t="e" vm="3">
        <f>Peers!F50</f>
        <v>#VALUE!</v>
      </c>
      <c r="M107" s="1099"/>
    </row>
  </sheetData>
  <mergeCells count="124">
    <mergeCell ref="B82:F82"/>
    <mergeCell ref="G82:M82"/>
    <mergeCell ref="B83:F107"/>
    <mergeCell ref="G107:H107"/>
    <mergeCell ref="J76:L76"/>
    <mergeCell ref="J77:L77"/>
    <mergeCell ref="J78:L78"/>
    <mergeCell ref="J79:L79"/>
    <mergeCell ref="J80:L80"/>
    <mergeCell ref="J81:L81"/>
    <mergeCell ref="J107:K107"/>
    <mergeCell ref="L107:M107"/>
    <mergeCell ref="J70:L70"/>
    <mergeCell ref="J71:L71"/>
    <mergeCell ref="B72:D72"/>
    <mergeCell ref="E72:I72"/>
    <mergeCell ref="J72:L72"/>
    <mergeCell ref="B73:D81"/>
    <mergeCell ref="E73:I81"/>
    <mergeCell ref="J73:L73"/>
    <mergeCell ref="J74:L74"/>
    <mergeCell ref="J75:L75"/>
    <mergeCell ref="B62:D71"/>
    <mergeCell ref="E62:I71"/>
    <mergeCell ref="J62:L62"/>
    <mergeCell ref="J63:L63"/>
    <mergeCell ref="J64:L64"/>
    <mergeCell ref="J65:L65"/>
    <mergeCell ref="J66:L66"/>
    <mergeCell ref="J68:L68"/>
    <mergeCell ref="J67:L67"/>
    <mergeCell ref="J58:K58"/>
    <mergeCell ref="B59:M59"/>
    <mergeCell ref="B60:I60"/>
    <mergeCell ref="J60:M60"/>
    <mergeCell ref="B61:D61"/>
    <mergeCell ref="E61:I61"/>
    <mergeCell ref="J61:L61"/>
    <mergeCell ref="J52:K52"/>
    <mergeCell ref="J53:K53"/>
    <mergeCell ref="J54:K54"/>
    <mergeCell ref="J55:K55"/>
    <mergeCell ref="J56:K56"/>
    <mergeCell ref="J57:K57"/>
    <mergeCell ref="J45:M45"/>
    <mergeCell ref="J47:K47"/>
    <mergeCell ref="J48:K48"/>
    <mergeCell ref="J49:K49"/>
    <mergeCell ref="J50:K50"/>
    <mergeCell ref="J51:K51"/>
    <mergeCell ref="I42:I43"/>
    <mergeCell ref="J42:K43"/>
    <mergeCell ref="L42:L43"/>
    <mergeCell ref="M42:M43"/>
    <mergeCell ref="C43:G43"/>
    <mergeCell ref="B44:M44"/>
    <mergeCell ref="B39:G39"/>
    <mergeCell ref="I39:M39"/>
    <mergeCell ref="C40:G40"/>
    <mergeCell ref="H40:H43"/>
    <mergeCell ref="I40:I41"/>
    <mergeCell ref="J40:K41"/>
    <mergeCell ref="L40:L41"/>
    <mergeCell ref="M40:M41"/>
    <mergeCell ref="C41:G41"/>
    <mergeCell ref="C42:G42"/>
    <mergeCell ref="F32:G32"/>
    <mergeCell ref="B33:M33"/>
    <mergeCell ref="B34:G34"/>
    <mergeCell ref="I34:M34"/>
    <mergeCell ref="C35:G35"/>
    <mergeCell ref="H35:H38"/>
    <mergeCell ref="I35:M38"/>
    <mergeCell ref="C36:G36"/>
    <mergeCell ref="C37:G37"/>
    <mergeCell ref="C38:G38"/>
    <mergeCell ref="B29:C29"/>
    <mergeCell ref="F29:G29"/>
    <mergeCell ref="I29:J29"/>
    <mergeCell ref="F30:G30"/>
    <mergeCell ref="I30:J30"/>
    <mergeCell ref="F31:G31"/>
    <mergeCell ref="I31:J31"/>
    <mergeCell ref="F26:G26"/>
    <mergeCell ref="I26:J26"/>
    <mergeCell ref="F27:G27"/>
    <mergeCell ref="I27:J27"/>
    <mergeCell ref="F28:G28"/>
    <mergeCell ref="I28:J28"/>
    <mergeCell ref="F23:G23"/>
    <mergeCell ref="I23:J23"/>
    <mergeCell ref="F24:G24"/>
    <mergeCell ref="I24:J24"/>
    <mergeCell ref="F25:G25"/>
    <mergeCell ref="I25:J25"/>
    <mergeCell ref="F20:G20"/>
    <mergeCell ref="J20:K20"/>
    <mergeCell ref="F21:G21"/>
    <mergeCell ref="J21:K21"/>
    <mergeCell ref="F22:G22"/>
    <mergeCell ref="I22:J22"/>
    <mergeCell ref="B18:M18"/>
    <mergeCell ref="B19:C19"/>
    <mergeCell ref="D19:E19"/>
    <mergeCell ref="F19:H19"/>
    <mergeCell ref="I19:K19"/>
    <mergeCell ref="L19:M19"/>
    <mergeCell ref="K9:M9"/>
    <mergeCell ref="K10:M10"/>
    <mergeCell ref="K11:M11"/>
    <mergeCell ref="K12:M12"/>
    <mergeCell ref="K13:M13"/>
    <mergeCell ref="K14:M14"/>
    <mergeCell ref="E2:K2"/>
    <mergeCell ref="B3:C16"/>
    <mergeCell ref="D3:G3"/>
    <mergeCell ref="H3:M3"/>
    <mergeCell ref="D4:G17"/>
    <mergeCell ref="K4:M4"/>
    <mergeCell ref="K5:M5"/>
    <mergeCell ref="K6:M6"/>
    <mergeCell ref="K7:M7"/>
    <mergeCell ref="K8:M8"/>
    <mergeCell ref="B17:C17"/>
  </mergeCells>
  <conditionalFormatting sqref="C46:C54 D46:E46">
    <cfRule type="dataBar" priority="9">
      <dataBar>
        <cfvo type="min"/>
        <cfvo type="max"/>
        <color rgb="FF63C384"/>
      </dataBar>
      <extLst>
        <ext xmlns:x14="http://schemas.microsoft.com/office/spreadsheetml/2009/9/main" uri="{B025F937-C7B1-47D3-B67F-A62EFF666E3E}">
          <x14:id>{5BA76FA7-9D4A-594E-9C5E-4F57ACC2B620}</x14:id>
        </ext>
      </extLst>
    </cfRule>
  </conditionalFormatting>
  <conditionalFormatting sqref="D46:D54">
    <cfRule type="dataBar" priority="8">
      <dataBar>
        <cfvo type="min"/>
        <cfvo type="max"/>
        <color rgb="FF638EC6"/>
      </dataBar>
      <extLst>
        <ext xmlns:x14="http://schemas.microsoft.com/office/spreadsheetml/2009/9/main" uri="{B025F937-C7B1-47D3-B67F-A62EFF666E3E}">
          <x14:id>{50BA910B-470C-334C-BE86-41B5F6BE2DE8}</x14:id>
        </ext>
      </extLst>
    </cfRule>
  </conditionalFormatting>
  <conditionalFormatting sqref="D47:D54">
    <cfRule type="dataBar" priority="15">
      <dataBar>
        <cfvo type="min"/>
        <cfvo type="max"/>
        <color rgb="FF638EC6"/>
      </dataBar>
      <extLst>
        <ext xmlns:x14="http://schemas.microsoft.com/office/spreadsheetml/2009/9/main" uri="{B025F937-C7B1-47D3-B67F-A62EFF666E3E}">
          <x14:id>{B35B6D2D-80A3-D24B-8B66-0185DFED9269}</x14:id>
        </ext>
      </extLst>
    </cfRule>
    <cfRule type="dataBar" priority="17">
      <dataBar>
        <cfvo type="min"/>
        <cfvo type="max"/>
        <color rgb="FF63C384"/>
      </dataBar>
      <extLst>
        <ext xmlns:x14="http://schemas.microsoft.com/office/spreadsheetml/2009/9/main" uri="{B025F937-C7B1-47D3-B67F-A62EFF666E3E}">
          <x14:id>{C4D0A67F-9D84-8F4E-ADC7-3D767EF26A12}</x14:id>
        </ext>
      </extLst>
    </cfRule>
  </conditionalFormatting>
  <conditionalFormatting sqref="E46:E54">
    <cfRule type="dataBar" priority="7">
      <dataBar>
        <cfvo type="min"/>
        <cfvo type="max"/>
        <color rgb="FFFF555A"/>
      </dataBar>
      <extLst>
        <ext xmlns:x14="http://schemas.microsoft.com/office/spreadsheetml/2009/9/main" uri="{B025F937-C7B1-47D3-B67F-A62EFF666E3E}">
          <x14:id>{049A9F24-0999-2C45-9622-9C8372C2B975}</x14:id>
        </ext>
      </extLst>
    </cfRule>
  </conditionalFormatting>
  <conditionalFormatting sqref="E47:E54">
    <cfRule type="dataBar" priority="10">
      <dataBar>
        <cfvo type="min"/>
        <cfvo type="max"/>
        <color rgb="FF63C384"/>
      </dataBar>
      <extLst>
        <ext xmlns:x14="http://schemas.microsoft.com/office/spreadsheetml/2009/9/main" uri="{B025F937-C7B1-47D3-B67F-A62EFF666E3E}">
          <x14:id>{BCF57EC4-CF49-A24C-8BC2-68B4D8833230}</x14:id>
        </ext>
      </extLst>
    </cfRule>
  </conditionalFormatting>
  <conditionalFormatting sqref="E55:E58 G55:G58 I55:I58">
    <cfRule type="dataBar" priority="12">
      <dataBar>
        <cfvo type="min"/>
        <cfvo type="max"/>
        <color rgb="FF638EC6"/>
      </dataBar>
      <extLst>
        <ext xmlns:x14="http://schemas.microsoft.com/office/spreadsheetml/2009/9/main" uri="{B025F937-C7B1-47D3-B67F-A62EFF666E3E}">
          <x14:id>{E2D460F5-20BF-EC48-BA68-5AD934F2DCE1}</x14:id>
        </ext>
      </extLst>
    </cfRule>
    <cfRule type="dataBar" priority="13">
      <dataBar>
        <cfvo type="min"/>
        <cfvo type="max"/>
        <color rgb="FF63C384"/>
      </dataBar>
      <extLst>
        <ext xmlns:x14="http://schemas.microsoft.com/office/spreadsheetml/2009/9/main" uri="{B025F937-C7B1-47D3-B67F-A62EFF666E3E}">
          <x14:id>{D0CAE08B-14DF-9F4D-84AF-E276388D3DF7}</x14:id>
        </ext>
      </extLst>
    </cfRule>
  </conditionalFormatting>
  <conditionalFormatting sqref="F46:F54">
    <cfRule type="dataBar" priority="14">
      <dataBar>
        <cfvo type="min"/>
        <cfvo type="max"/>
        <color rgb="FF63C384"/>
      </dataBar>
      <extLst>
        <ext xmlns:x14="http://schemas.microsoft.com/office/spreadsheetml/2009/9/main" uri="{B025F937-C7B1-47D3-B67F-A62EFF666E3E}">
          <x14:id>{BED4154B-4B2E-3243-8480-D59F5BF38931}</x14:id>
        </ext>
      </extLst>
    </cfRule>
  </conditionalFormatting>
  <conditionalFormatting sqref="G46:G54">
    <cfRule type="dataBar" priority="16">
      <dataBar>
        <cfvo type="min"/>
        <cfvo type="max"/>
        <color rgb="FF63C384"/>
      </dataBar>
      <extLst>
        <ext xmlns:x14="http://schemas.microsoft.com/office/spreadsheetml/2009/9/main" uri="{B025F937-C7B1-47D3-B67F-A62EFF666E3E}">
          <x14:id>{A0BEA90D-77D1-6441-8D47-35DF9945F7E8}</x14:id>
        </ext>
      </extLst>
    </cfRule>
  </conditionalFormatting>
  <conditionalFormatting sqref="H21:H25">
    <cfRule type="dataBar" priority="6">
      <dataBar>
        <cfvo type="min"/>
        <cfvo type="max"/>
        <color rgb="FF638EC6"/>
      </dataBar>
      <extLst>
        <ext xmlns:x14="http://schemas.microsoft.com/office/spreadsheetml/2009/9/main" uri="{B025F937-C7B1-47D3-B67F-A62EFF666E3E}">
          <x14:id>{F803E132-D3FF-F64C-BD32-BB209E3B007A}</x14:id>
        </ext>
      </extLst>
    </cfRule>
  </conditionalFormatting>
  <conditionalFormatting sqref="H27:H31">
    <cfRule type="dataBar" priority="5">
      <dataBar>
        <cfvo type="min"/>
        <cfvo type="max"/>
        <color rgb="FF638EC6"/>
      </dataBar>
      <extLst>
        <ext xmlns:x14="http://schemas.microsoft.com/office/spreadsheetml/2009/9/main" uri="{B025F937-C7B1-47D3-B67F-A62EFF666E3E}">
          <x14:id>{1A958869-B563-564C-97EE-E85D8BC10D13}</x14:id>
        </ext>
      </extLst>
    </cfRule>
  </conditionalFormatting>
  <conditionalFormatting sqref="H46:H54">
    <cfRule type="dataBar" priority="18">
      <dataBar>
        <cfvo type="min"/>
        <cfvo type="max"/>
        <color rgb="FF63C384"/>
      </dataBar>
      <extLst>
        <ext xmlns:x14="http://schemas.microsoft.com/office/spreadsheetml/2009/9/main" uri="{B025F937-C7B1-47D3-B67F-A62EFF666E3E}">
          <x14:id>{6EE150B8-A188-DA4B-B6BE-F1983C8BDE1E}</x14:id>
        </ext>
      </extLst>
    </cfRule>
  </conditionalFormatting>
  <conditionalFormatting sqref="I46:I54">
    <cfRule type="dataBar" priority="11">
      <dataBar>
        <cfvo type="min"/>
        <cfvo type="max"/>
        <color rgb="FF63C384"/>
      </dataBar>
      <extLst>
        <ext xmlns:x14="http://schemas.microsoft.com/office/spreadsheetml/2009/9/main" uri="{B025F937-C7B1-47D3-B67F-A62EFF666E3E}">
          <x14:id>{E9E77318-B31C-2E41-8AF2-7FF8A326D346}</x14:id>
        </ext>
      </extLst>
    </cfRule>
  </conditionalFormatting>
  <conditionalFormatting sqref="J42:K43">
    <cfRule type="cellIs" dxfId="35" priority="1" operator="lessThan">
      <formula>0</formula>
    </cfRule>
    <cfRule type="cellIs" dxfId="34" priority="2" operator="greaterThan">
      <formula>0</formula>
    </cfRule>
  </conditionalFormatting>
  <conditionalFormatting sqref="M40:M43">
    <cfRule type="cellIs" dxfId="33" priority="3" operator="lessThan">
      <formula>0</formula>
    </cfRule>
    <cfRule type="cellIs" dxfId="32" priority="4" operator="greaterThan">
      <formula>0</formula>
    </cfRule>
  </conditionalFormatting>
  <printOptions horizontalCentered="1" verticalCentered="1"/>
  <pageMargins left="0" right="0" top="0.19685039370078741" bottom="0.19685039370078741" header="0" footer="0"/>
  <pageSetup paperSize="134" scale="64" orientation="landscape" r:id="rId1"/>
  <headerFooter alignWithMargins="0"/>
  <drawing r:id="rId2"/>
  <legacyDrawing r:id="rId3"/>
  <extLst>
    <ext xmlns:x14="http://schemas.microsoft.com/office/spreadsheetml/2009/9/main" uri="{78C0D931-6437-407d-A8EE-F0AAD7539E65}">
      <x14:conditionalFormattings>
        <x14:conditionalFormatting xmlns:xm="http://schemas.microsoft.com/office/excel/2006/main">
          <x14:cfRule type="dataBar" id="{5BA76FA7-9D4A-594E-9C5E-4F57ACC2B620}">
            <x14:dataBar minLength="0" maxLength="100" border="1" negativeBarBorderColorSameAsPositive="0">
              <x14:cfvo type="autoMin"/>
              <x14:cfvo type="autoMax"/>
              <x14:borderColor rgb="FF63C384"/>
              <x14:negativeFillColor rgb="FFFF0000"/>
              <x14:negativeBorderColor rgb="FFFF0000"/>
              <x14:axisColor rgb="FF000000"/>
            </x14:dataBar>
          </x14:cfRule>
          <xm:sqref>C46:C54 D46:E46</xm:sqref>
        </x14:conditionalFormatting>
        <x14:conditionalFormatting xmlns:xm="http://schemas.microsoft.com/office/excel/2006/main">
          <x14:cfRule type="dataBar" id="{50BA910B-470C-334C-BE86-41B5F6BE2DE8}">
            <x14:dataBar minLength="0" maxLength="100" gradient="0">
              <x14:cfvo type="autoMin"/>
              <x14:cfvo type="autoMax"/>
              <x14:negativeFillColor rgb="FFFF0000"/>
              <x14:axisColor rgb="FF000000"/>
            </x14:dataBar>
          </x14:cfRule>
          <xm:sqref>D46:D54</xm:sqref>
        </x14:conditionalFormatting>
        <x14:conditionalFormatting xmlns:xm="http://schemas.microsoft.com/office/excel/2006/main">
          <x14:cfRule type="dataBar" id="{B35B6D2D-80A3-D24B-8B66-0185DFED9269}">
            <x14:dataBar minLength="0" maxLength="100" gradient="0">
              <x14:cfvo type="autoMin"/>
              <x14:cfvo type="autoMax"/>
              <x14:negativeFillColor rgb="FFFF0000"/>
              <x14:axisColor rgb="FF000000"/>
            </x14:dataBar>
          </x14:cfRule>
          <x14:cfRule type="dataBar" id="{C4D0A67F-9D84-8F4E-ADC7-3D767EF26A12}">
            <x14:dataBar minLength="0" maxLength="100" gradient="0">
              <x14:cfvo type="autoMin"/>
              <x14:cfvo type="autoMax"/>
              <x14:negativeFillColor rgb="FFFF0000"/>
              <x14:axisColor rgb="FF000000"/>
            </x14:dataBar>
          </x14:cfRule>
          <xm:sqref>D47:D54</xm:sqref>
        </x14:conditionalFormatting>
        <x14:conditionalFormatting xmlns:xm="http://schemas.microsoft.com/office/excel/2006/main">
          <x14:cfRule type="dataBar" id="{049A9F24-0999-2C45-9622-9C8372C2B975}">
            <x14:dataBar minLength="0" maxLength="100" border="1" negativeBarBorderColorSameAsPositive="0">
              <x14:cfvo type="autoMin"/>
              <x14:cfvo type="autoMax"/>
              <x14:borderColor rgb="FFFF555A"/>
              <x14:negativeFillColor rgb="FFFF0000"/>
              <x14:negativeBorderColor rgb="FFFF0000"/>
              <x14:axisColor rgb="FF000000"/>
            </x14:dataBar>
          </x14:cfRule>
          <xm:sqref>E46:E54</xm:sqref>
        </x14:conditionalFormatting>
        <x14:conditionalFormatting xmlns:xm="http://schemas.microsoft.com/office/excel/2006/main">
          <x14:cfRule type="dataBar" id="{BCF57EC4-CF49-A24C-8BC2-68B4D8833230}">
            <x14:dataBar minLength="0" maxLength="100" border="1" negativeBarBorderColorSameAsPositive="0">
              <x14:cfvo type="autoMin"/>
              <x14:cfvo type="autoMax"/>
              <x14:borderColor rgb="FF63C384"/>
              <x14:negativeFillColor rgb="FFFF0000"/>
              <x14:negativeBorderColor rgb="FFFF0000"/>
              <x14:axisColor rgb="FF000000"/>
            </x14:dataBar>
          </x14:cfRule>
          <xm:sqref>E47:E54</xm:sqref>
        </x14:conditionalFormatting>
        <x14:conditionalFormatting xmlns:xm="http://schemas.microsoft.com/office/excel/2006/main">
          <x14:cfRule type="dataBar" id="{E2D460F5-20BF-EC48-BA68-5AD934F2DCE1}">
            <x14:dataBar minLength="0" maxLength="100" gradient="0">
              <x14:cfvo type="autoMin"/>
              <x14:cfvo type="autoMax"/>
              <x14:negativeFillColor rgb="FFFF0000"/>
              <x14:axisColor rgb="FF000000"/>
            </x14:dataBar>
          </x14:cfRule>
          <x14:cfRule type="dataBar" id="{D0CAE08B-14DF-9F4D-84AF-E276388D3DF7}">
            <x14:dataBar minLength="0" maxLength="100" gradient="0">
              <x14:cfvo type="autoMin"/>
              <x14:cfvo type="autoMax"/>
              <x14:negativeFillColor rgb="FFFF0000"/>
              <x14:axisColor rgb="FF000000"/>
            </x14:dataBar>
          </x14:cfRule>
          <xm:sqref>E55:E58 G55:G58 I55:I58</xm:sqref>
        </x14:conditionalFormatting>
        <x14:conditionalFormatting xmlns:xm="http://schemas.microsoft.com/office/excel/2006/main">
          <x14:cfRule type="dataBar" id="{BED4154B-4B2E-3243-8480-D59F5BF38931}">
            <x14:dataBar minLength="0" maxLength="100" gradient="0">
              <x14:cfvo type="autoMin"/>
              <x14:cfvo type="autoMax"/>
              <x14:negativeFillColor rgb="FFFF0000"/>
              <x14:axisColor rgb="FF000000"/>
            </x14:dataBar>
          </x14:cfRule>
          <xm:sqref>F46:F54</xm:sqref>
        </x14:conditionalFormatting>
        <x14:conditionalFormatting xmlns:xm="http://schemas.microsoft.com/office/excel/2006/main">
          <x14:cfRule type="dataBar" id="{A0BEA90D-77D1-6441-8D47-35DF9945F7E8}">
            <x14:dataBar minLength="0" maxLength="100" border="1" negativeBarBorderColorSameAsPositive="0">
              <x14:cfvo type="autoMin"/>
              <x14:cfvo type="autoMax"/>
              <x14:borderColor rgb="FF63C384"/>
              <x14:negativeFillColor rgb="FFFF0000"/>
              <x14:negativeBorderColor rgb="FFFF0000"/>
              <x14:axisColor rgb="FF000000"/>
            </x14:dataBar>
          </x14:cfRule>
          <xm:sqref>G46:G54</xm:sqref>
        </x14:conditionalFormatting>
        <x14:conditionalFormatting xmlns:xm="http://schemas.microsoft.com/office/excel/2006/main">
          <x14:cfRule type="dataBar" id="{F803E132-D3FF-F64C-BD32-BB209E3B007A}">
            <x14:dataBar minLength="0" maxLength="100" border="1" negativeBarBorderColorSameAsPositive="0">
              <x14:cfvo type="autoMin"/>
              <x14:cfvo type="autoMax"/>
              <x14:borderColor rgb="FF638EC6"/>
              <x14:negativeFillColor rgb="FFFF0000"/>
              <x14:negativeBorderColor rgb="FFFF0000"/>
              <x14:axisColor rgb="FF000000"/>
            </x14:dataBar>
          </x14:cfRule>
          <xm:sqref>H21:H25</xm:sqref>
        </x14:conditionalFormatting>
        <x14:conditionalFormatting xmlns:xm="http://schemas.microsoft.com/office/excel/2006/main">
          <x14:cfRule type="dataBar" id="{1A958869-B563-564C-97EE-E85D8BC10D13}">
            <x14:dataBar minLength="0" maxLength="100" border="1" negativeBarBorderColorSameAsPositive="0">
              <x14:cfvo type="autoMin"/>
              <x14:cfvo type="autoMax"/>
              <x14:borderColor rgb="FF638EC6"/>
              <x14:negativeFillColor rgb="FFFF0000"/>
              <x14:negativeBorderColor rgb="FFFF0000"/>
              <x14:axisColor rgb="FF000000"/>
            </x14:dataBar>
          </x14:cfRule>
          <xm:sqref>H27:H31</xm:sqref>
        </x14:conditionalFormatting>
        <x14:conditionalFormatting xmlns:xm="http://schemas.microsoft.com/office/excel/2006/main">
          <x14:cfRule type="dataBar" id="{6EE150B8-A188-DA4B-B6BE-F1983C8BDE1E}">
            <x14:dataBar minLength="0" maxLength="100" border="1" negativeBarBorderColorSameAsPositive="0">
              <x14:cfvo type="autoMin"/>
              <x14:cfvo type="autoMax"/>
              <x14:borderColor rgb="FF63C384"/>
              <x14:negativeFillColor rgb="FFFF0000"/>
              <x14:negativeBorderColor rgb="FFFF0000"/>
              <x14:axisColor rgb="FF000000"/>
            </x14:dataBar>
          </x14:cfRule>
          <xm:sqref>H46:H54</xm:sqref>
        </x14:conditionalFormatting>
        <x14:conditionalFormatting xmlns:xm="http://schemas.microsoft.com/office/excel/2006/main">
          <x14:cfRule type="dataBar" id="{E9E77318-B31C-2E41-8AF2-7FF8A326D346}">
            <x14:dataBar minLength="0" maxLength="100" border="1" negativeBarBorderColorSameAsPositive="0">
              <x14:cfvo type="autoMin"/>
              <x14:cfvo type="autoMax"/>
              <x14:borderColor rgb="FF63C384"/>
              <x14:negativeFillColor rgb="FFFF0000"/>
              <x14:negativeBorderColor rgb="FFFF0000"/>
              <x14:axisColor rgb="FF000000"/>
            </x14:dataBar>
          </x14:cfRule>
          <xm:sqref>I46:I54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1408A-1ACA-494F-A435-A453225B60C0}">
  <sheetPr>
    <tabColor theme="9"/>
  </sheetPr>
  <dimension ref="A1:Y71"/>
  <sheetViews>
    <sheetView showGridLines="0" zoomScale="113" zoomScaleNormal="113" workbookViewId="0">
      <selection activeCell="B38" sqref="B38:C38"/>
    </sheetView>
  </sheetViews>
  <sheetFormatPr defaultColWidth="11.4609375" defaultRowHeight="12.75" x14ac:dyDescent="0.15"/>
  <cols>
    <col min="1" max="1" width="2.15625" style="188" customWidth="1"/>
    <col min="2" max="2" width="11.19140625" style="188" customWidth="1"/>
    <col min="3" max="3" width="42.8828125" style="188" customWidth="1"/>
    <col min="4" max="4" width="15.37109375" style="294" customWidth="1"/>
    <col min="5" max="9" width="15.37109375" style="188" customWidth="1"/>
    <col min="10" max="11" width="11.4609375" style="188" bestFit="1" customWidth="1"/>
    <col min="12" max="16" width="11.4609375" style="188"/>
    <col min="17" max="17" width="23.4609375" style="188" customWidth="1"/>
    <col min="18" max="16384" width="11.4609375" style="188"/>
  </cols>
  <sheetData>
    <row r="1" spans="2:25" ht="7.5" customHeight="1" x14ac:dyDescent="0.15"/>
    <row r="2" spans="2:25" ht="21" thickBot="1" x14ac:dyDescent="0.3">
      <c r="B2" s="1104" t="str">
        <f>"Regions "&amp;"("&amp;[2]OP1!$J$20&amp;")"</f>
        <v>Regions (2022)</v>
      </c>
      <c r="C2" s="1105"/>
      <c r="D2" s="1105"/>
      <c r="E2" s="1105"/>
      <c r="F2" s="1105"/>
      <c r="G2" s="1105"/>
      <c r="H2" s="1105"/>
      <c r="I2" s="1105"/>
      <c r="J2" s="1105"/>
      <c r="K2" s="1105"/>
      <c r="L2" s="1105"/>
      <c r="M2" s="1105"/>
      <c r="N2" s="1105"/>
      <c r="O2" s="1105"/>
      <c r="P2" s="1105"/>
      <c r="Q2" s="1106" t="s">
        <v>180</v>
      </c>
      <c r="R2" s="1107"/>
      <c r="S2" s="1107"/>
      <c r="T2" s="1107"/>
      <c r="U2" s="1107"/>
      <c r="V2" s="1107"/>
      <c r="W2" s="1107"/>
      <c r="X2" s="1107"/>
      <c r="Y2" s="1108"/>
    </row>
    <row r="3" spans="2:25" ht="14.25" customHeight="1" thickBot="1" x14ac:dyDescent="0.25">
      <c r="B3" s="840"/>
      <c r="C3" s="841"/>
      <c r="D3" s="1109" t="s">
        <v>181</v>
      </c>
      <c r="E3" s="1109"/>
      <c r="F3" s="1109"/>
      <c r="G3" s="1109"/>
      <c r="H3" s="1109"/>
      <c r="I3" s="1110"/>
      <c r="J3" s="842"/>
      <c r="K3" s="1111" t="s">
        <v>182</v>
      </c>
      <c r="L3" s="1111"/>
      <c r="M3" s="1111"/>
      <c r="N3" s="1111"/>
      <c r="O3" s="1111"/>
      <c r="P3" s="1111"/>
      <c r="Q3" s="1112" t="s">
        <v>183</v>
      </c>
      <c r="R3" s="1113"/>
      <c r="S3" s="1113"/>
      <c r="T3" s="1113"/>
      <c r="U3" s="1113"/>
      <c r="V3" s="1113"/>
      <c r="W3" s="1113"/>
      <c r="X3" s="1113"/>
      <c r="Y3" s="1114"/>
    </row>
    <row r="4" spans="2:25" ht="13.5" customHeight="1" thickBot="1" x14ac:dyDescent="0.2">
      <c r="B4" s="843" t="s">
        <v>184</v>
      </c>
      <c r="C4" s="57" t="s">
        <v>185</v>
      </c>
      <c r="D4" s="844">
        <f>[2]OP1!J20</f>
        <v>2022</v>
      </c>
      <c r="E4" s="844">
        <f>D4-1</f>
        <v>2021</v>
      </c>
      <c r="F4" s="844">
        <f>E4-1</f>
        <v>2020</v>
      </c>
      <c r="G4" s="844">
        <f>F4-1</f>
        <v>2019</v>
      </c>
      <c r="H4" s="844">
        <f>G4-1</f>
        <v>2018</v>
      </c>
      <c r="I4" s="844">
        <f>H4-1</f>
        <v>2017</v>
      </c>
      <c r="J4" s="845"/>
      <c r="K4" s="844">
        <f>[2]OP1!J20</f>
        <v>2022</v>
      </c>
      <c r="L4" s="844">
        <f t="shared" ref="L4:P4" si="0">K4-1</f>
        <v>2021</v>
      </c>
      <c r="M4" s="844">
        <f t="shared" si="0"/>
        <v>2020</v>
      </c>
      <c r="N4" s="844">
        <f t="shared" si="0"/>
        <v>2019</v>
      </c>
      <c r="O4" s="844">
        <f t="shared" si="0"/>
        <v>2018</v>
      </c>
      <c r="P4" s="846">
        <f t="shared" si="0"/>
        <v>2017</v>
      </c>
      <c r="Q4" s="1115"/>
      <c r="R4" s="1113"/>
      <c r="S4" s="1113"/>
      <c r="T4" s="1113"/>
      <c r="U4" s="1113"/>
      <c r="V4" s="1113"/>
      <c r="W4" s="1113"/>
      <c r="X4" s="1113"/>
      <c r="Y4" s="1114"/>
    </row>
    <row r="5" spans="2:25" x14ac:dyDescent="0.15">
      <c r="B5" s="56">
        <f>IFERROR(D5/$D$9,"")</f>
        <v>0.89631492407389501</v>
      </c>
      <c r="C5" s="847" t="s">
        <v>186</v>
      </c>
      <c r="D5" s="848">
        <f>D21*(46335000/51695000)</f>
        <v>290551.23841764196</v>
      </c>
      <c r="E5" s="848">
        <f>E21*(45120000/50630000)</f>
        <v>256298.17578510765</v>
      </c>
      <c r="F5" s="848">
        <f>F21*(43010000/48435000)</f>
        <v>228339.72148239909</v>
      </c>
      <c r="G5" s="848">
        <f>G21*(43430000/49150000)</f>
        <v>213973.38046795523</v>
      </c>
      <c r="H5" s="848">
        <f>H21*(42855000/49075000)</f>
        <v>197571.37412124299</v>
      </c>
      <c r="I5" s="848">
        <f>I21*(42595000/46675000)</f>
        <v>183575.09598286019</v>
      </c>
      <c r="J5" s="849"/>
      <c r="K5" s="850">
        <f t="shared" ref="K5:O6" si="1">(D5-E5)/E5</f>
        <v>0.13364536258445189</v>
      </c>
      <c r="L5" s="850">
        <f t="shared" si="1"/>
        <v>0.12244235966129816</v>
      </c>
      <c r="M5" s="850">
        <f t="shared" si="1"/>
        <v>6.7140786311946768E-2</v>
      </c>
      <c r="N5" s="850">
        <f t="shared" si="1"/>
        <v>8.3018131648195506E-2</v>
      </c>
      <c r="O5" s="850">
        <f t="shared" si="1"/>
        <v>7.6242793519713498E-2</v>
      </c>
      <c r="P5" s="850" t="s">
        <v>67</v>
      </c>
      <c r="Q5" s="1115"/>
      <c r="R5" s="1113"/>
      <c r="S5" s="1113"/>
      <c r="T5" s="1113"/>
      <c r="U5" s="1113"/>
      <c r="V5" s="1113"/>
      <c r="W5" s="1113"/>
      <c r="X5" s="1113"/>
      <c r="Y5" s="1114"/>
    </row>
    <row r="6" spans="2:25" ht="13.5" customHeight="1" thickBot="1" x14ac:dyDescent="0.2">
      <c r="B6" s="56">
        <f>IFERROR(D6/$D$9,"")</f>
        <v>0.10368507592610504</v>
      </c>
      <c r="C6" s="847" t="s">
        <v>187</v>
      </c>
      <c r="D6" s="848">
        <f>D21*(5360000/51695000)</f>
        <v>33610.761582358064</v>
      </c>
      <c r="E6" s="848">
        <f>E21*(5510000/50630000)</f>
        <v>31298.824214892356</v>
      </c>
      <c r="F6" s="848">
        <f>F21*(5425000/48435000)</f>
        <v>28801.278517600909</v>
      </c>
      <c r="G6" s="848">
        <f>G21*(5720000/49150000)</f>
        <v>28181.619532044759</v>
      </c>
      <c r="H6" s="848">
        <f>H21*(6220000/49075000)</f>
        <v>28675.625878757004</v>
      </c>
      <c r="I6" s="848">
        <f>I21*(4080000/46675000)</f>
        <v>17583.904017139797</v>
      </c>
      <c r="J6" s="849"/>
      <c r="K6" s="850">
        <f t="shared" si="1"/>
        <v>7.3866588456880738E-2</v>
      </c>
      <c r="L6" s="850">
        <f t="shared" si="1"/>
        <v>8.671648710890241E-2</v>
      </c>
      <c r="M6" s="850">
        <f t="shared" si="1"/>
        <v>2.1988054478258381E-2</v>
      </c>
      <c r="N6" s="850">
        <f t="shared" si="1"/>
        <v>-1.7227395447302406E-2</v>
      </c>
      <c r="O6" s="850">
        <f t="shared" si="1"/>
        <v>0.63078835341717188</v>
      </c>
      <c r="P6" s="850" t="s">
        <v>67</v>
      </c>
      <c r="Q6" s="1115"/>
      <c r="R6" s="1113"/>
      <c r="S6" s="1113"/>
      <c r="T6" s="1113"/>
      <c r="U6" s="1113"/>
      <c r="V6" s="1113"/>
      <c r="W6" s="1113"/>
      <c r="X6" s="1113"/>
      <c r="Y6" s="1114"/>
    </row>
    <row r="7" spans="2:25" ht="12.75" hidden="1" customHeight="1" x14ac:dyDescent="0.15">
      <c r="B7" s="54">
        <f>IFERROR(D7/$D$9,"")</f>
        <v>0</v>
      </c>
      <c r="C7" s="851"/>
      <c r="D7" s="852"/>
      <c r="E7" s="852"/>
      <c r="F7" s="852"/>
      <c r="G7" s="852"/>
      <c r="H7" s="852"/>
      <c r="I7" s="852"/>
      <c r="J7" s="849"/>
      <c r="K7" s="852"/>
      <c r="L7" s="852"/>
      <c r="M7" s="852"/>
      <c r="N7" s="852"/>
      <c r="O7" s="852"/>
      <c r="P7" s="853"/>
      <c r="Q7" s="1115"/>
      <c r="R7" s="1113"/>
      <c r="S7" s="1113"/>
      <c r="T7" s="1113"/>
      <c r="U7" s="1113"/>
      <c r="V7" s="1113"/>
      <c r="W7" s="1113"/>
      <c r="X7" s="1113"/>
      <c r="Y7" s="1114"/>
    </row>
    <row r="8" spans="2:25" ht="12.75" hidden="1" customHeight="1" x14ac:dyDescent="0.15">
      <c r="B8" s="55">
        <f>IFERROR(D8/$D$9,"")</f>
        <v>0</v>
      </c>
      <c r="C8" s="854"/>
      <c r="D8" s="855"/>
      <c r="E8" s="855"/>
      <c r="F8" s="855"/>
      <c r="G8" s="855"/>
      <c r="H8" s="855"/>
      <c r="I8" s="855"/>
      <c r="J8" s="849"/>
      <c r="K8" s="855"/>
      <c r="L8" s="855"/>
      <c r="M8" s="855"/>
      <c r="N8" s="855"/>
      <c r="O8" s="855"/>
      <c r="P8" s="856"/>
      <c r="Q8" s="1115"/>
      <c r="R8" s="1113"/>
      <c r="S8" s="1113"/>
      <c r="T8" s="1113"/>
      <c r="U8" s="1113"/>
      <c r="V8" s="1113"/>
      <c r="W8" s="1113"/>
      <c r="X8" s="1113"/>
      <c r="Y8" s="1114"/>
    </row>
    <row r="9" spans="2:25" ht="13.5" customHeight="1" thickBot="1" x14ac:dyDescent="0.2">
      <c r="B9" s="857">
        <f>SUM(B5:B8)</f>
        <v>1</v>
      </c>
      <c r="C9" s="858" t="s">
        <v>188</v>
      </c>
      <c r="D9" s="859">
        <f t="shared" ref="D9:I9" si="2">SUM(D5:D8)</f>
        <v>324162</v>
      </c>
      <c r="E9" s="859">
        <f t="shared" si="2"/>
        <v>287597</v>
      </c>
      <c r="F9" s="859">
        <f t="shared" si="2"/>
        <v>257141</v>
      </c>
      <c r="G9" s="859">
        <f t="shared" si="2"/>
        <v>242155</v>
      </c>
      <c r="H9" s="859">
        <f t="shared" si="2"/>
        <v>226247</v>
      </c>
      <c r="I9" s="859">
        <f t="shared" si="2"/>
        <v>201159</v>
      </c>
      <c r="J9" s="860"/>
      <c r="K9" s="861">
        <f>(D9-E9)/E9</f>
        <v>0.12713971286209522</v>
      </c>
      <c r="L9" s="861">
        <f>(E9-F9)/F9</f>
        <v>0.11844085540617794</v>
      </c>
      <c r="M9" s="861">
        <f>(F9-G9)/G9</f>
        <v>6.1885982118890792E-2</v>
      </c>
      <c r="N9" s="861">
        <f t="shared" ref="N9:O9" si="3">(G9-H9)/H9</f>
        <v>7.0312534530844614E-2</v>
      </c>
      <c r="O9" s="861">
        <f t="shared" si="3"/>
        <v>0.12471726345825938</v>
      </c>
      <c r="P9" s="861" t="s">
        <v>67</v>
      </c>
      <c r="Q9" s="1115"/>
      <c r="R9" s="1113"/>
      <c r="S9" s="1113"/>
      <c r="T9" s="1113"/>
      <c r="U9" s="1113"/>
      <c r="V9" s="1113"/>
      <c r="W9" s="1113"/>
      <c r="X9" s="1113"/>
      <c r="Y9" s="1114"/>
    </row>
    <row r="10" spans="2:25" x14ac:dyDescent="0.15">
      <c r="B10" s="862"/>
      <c r="C10" s="195"/>
      <c r="D10" s="863"/>
      <c r="E10" s="863"/>
      <c r="F10" s="863"/>
      <c r="G10" s="863"/>
      <c r="H10" s="863"/>
      <c r="I10" s="863"/>
      <c r="J10" s="863"/>
      <c r="K10" s="863"/>
      <c r="L10" s="863"/>
      <c r="M10" s="863"/>
      <c r="N10" s="863"/>
      <c r="O10" s="863"/>
      <c r="P10" s="863"/>
      <c r="Q10" s="1115"/>
      <c r="R10" s="1113"/>
      <c r="S10" s="1113"/>
      <c r="T10" s="1113"/>
      <c r="U10" s="1113"/>
      <c r="V10" s="1113"/>
      <c r="W10" s="1113"/>
      <c r="X10" s="1113"/>
      <c r="Y10" s="1114"/>
    </row>
    <row r="11" spans="2:25" ht="21" customHeight="1" thickBot="1" x14ac:dyDescent="0.3">
      <c r="B11" s="1104" t="str">
        <f>"Categories "&amp;"("&amp;[2]OP1!$J$20&amp;")"</f>
        <v>Categories (2022)</v>
      </c>
      <c r="C11" s="1105"/>
      <c r="D11" s="1105"/>
      <c r="E11" s="1105"/>
      <c r="F11" s="1105"/>
      <c r="G11" s="1105"/>
      <c r="H11" s="1105"/>
      <c r="I11" s="1105"/>
      <c r="J11" s="1105"/>
      <c r="K11" s="1105"/>
      <c r="L11" s="1105"/>
      <c r="M11" s="1105"/>
      <c r="N11" s="1105"/>
      <c r="O11" s="1105"/>
      <c r="P11" s="1105"/>
      <c r="Q11" s="1115"/>
      <c r="R11" s="1113"/>
      <c r="S11" s="1113"/>
      <c r="T11" s="1113"/>
      <c r="U11" s="1113"/>
      <c r="V11" s="1113"/>
      <c r="W11" s="1113"/>
      <c r="X11" s="1113"/>
      <c r="Y11" s="1114"/>
    </row>
    <row r="12" spans="2:25" ht="21" customHeight="1" thickBot="1" x14ac:dyDescent="0.3">
      <c r="B12" s="840"/>
      <c r="C12" s="841"/>
      <c r="D12" s="1116" t="s">
        <v>181</v>
      </c>
      <c r="E12" s="1117"/>
      <c r="F12" s="1117"/>
      <c r="G12" s="1117"/>
      <c r="H12" s="1117"/>
      <c r="I12" s="1118"/>
      <c r="J12" s="842"/>
      <c r="K12" s="1119" t="s">
        <v>182</v>
      </c>
      <c r="L12" s="1120"/>
      <c r="M12" s="1120"/>
      <c r="N12" s="1120"/>
      <c r="O12" s="1120"/>
      <c r="P12" s="1120"/>
      <c r="Q12" s="1115"/>
      <c r="R12" s="1113"/>
      <c r="S12" s="1113"/>
      <c r="T12" s="1113"/>
      <c r="U12" s="1113"/>
      <c r="V12" s="1113"/>
      <c r="W12" s="1113"/>
      <c r="X12" s="1113"/>
      <c r="Y12" s="1114"/>
    </row>
    <row r="13" spans="2:25" ht="13.5" customHeight="1" thickBot="1" x14ac:dyDescent="0.2">
      <c r="B13" s="864" t="s">
        <v>184</v>
      </c>
      <c r="C13" s="865" t="s">
        <v>189</v>
      </c>
      <c r="D13" s="866">
        <f>[2]OP1!J20</f>
        <v>2022</v>
      </c>
      <c r="E13" s="866">
        <f>D13-1</f>
        <v>2021</v>
      </c>
      <c r="F13" s="866">
        <f>E13-1</f>
        <v>2020</v>
      </c>
      <c r="G13" s="866">
        <f>F13-1</f>
        <v>2019</v>
      </c>
      <c r="H13" s="866">
        <f>G13-1</f>
        <v>2018</v>
      </c>
      <c r="I13" s="866">
        <f>H13-1</f>
        <v>2017</v>
      </c>
      <c r="J13" s="845"/>
      <c r="K13" s="867">
        <f>[2]OP1!J20</f>
        <v>2022</v>
      </c>
      <c r="L13" s="867">
        <f t="shared" ref="L13:P13" si="4">K13-1</f>
        <v>2021</v>
      </c>
      <c r="M13" s="867">
        <f t="shared" si="4"/>
        <v>2020</v>
      </c>
      <c r="N13" s="867">
        <f t="shared" si="4"/>
        <v>2019</v>
      </c>
      <c r="O13" s="867">
        <f t="shared" si="4"/>
        <v>2018</v>
      </c>
      <c r="P13" s="868">
        <f t="shared" si="4"/>
        <v>2017</v>
      </c>
      <c r="Q13" s="1115"/>
      <c r="R13" s="1113"/>
      <c r="S13" s="1113"/>
      <c r="T13" s="1113"/>
      <c r="U13" s="1113"/>
      <c r="V13" s="1113"/>
      <c r="W13" s="1113"/>
      <c r="X13" s="1113"/>
      <c r="Y13" s="1114"/>
    </row>
    <row r="14" spans="2:25" ht="13.5" customHeight="1" thickBot="1" x14ac:dyDescent="0.2">
      <c r="B14" s="56">
        <f>IFERROR(D14/$D$18,"")</f>
        <v>0.45708632882849903</v>
      </c>
      <c r="C14" s="869" t="s">
        <v>190</v>
      </c>
      <c r="D14" s="848">
        <v>249741</v>
      </c>
      <c r="E14" s="848">
        <v>222899</v>
      </c>
      <c r="F14" s="848">
        <v>200875</v>
      </c>
      <c r="G14" s="848">
        <v>193842</v>
      </c>
      <c r="H14" s="848">
        <v>183476</v>
      </c>
      <c r="I14" s="848">
        <v>163257</v>
      </c>
      <c r="J14" s="849"/>
      <c r="K14" s="870">
        <f>(D14-E14)/E14</f>
        <v>0.12042225402536574</v>
      </c>
      <c r="L14" s="870">
        <f t="shared" ref="L14:O18" si="5">(E14-F14)/F14</f>
        <v>0.10964032358431861</v>
      </c>
      <c r="M14" s="870">
        <f t="shared" si="5"/>
        <v>3.6282126680492362E-2</v>
      </c>
      <c r="N14" s="870">
        <f t="shared" si="5"/>
        <v>5.6497852580173973E-2</v>
      </c>
      <c r="O14" s="870">
        <f t="shared" si="5"/>
        <v>0.1238476757505038</v>
      </c>
      <c r="P14" s="870" t="s">
        <v>67</v>
      </c>
      <c r="Q14" s="1115"/>
      <c r="R14" s="1113"/>
      <c r="S14" s="1113"/>
      <c r="T14" s="1113"/>
      <c r="U14" s="1113"/>
      <c r="V14" s="1113"/>
      <c r="W14" s="1113"/>
      <c r="X14" s="1113"/>
      <c r="Y14" s="1114"/>
    </row>
    <row r="15" spans="2:25" x14ac:dyDescent="0.15">
      <c r="B15" s="56">
        <f>IFERROR(D15/$D$18,"")</f>
        <v>0.20509136565295694</v>
      </c>
      <c r="C15" s="871" t="s">
        <v>191</v>
      </c>
      <c r="D15" s="848">
        <v>112057</v>
      </c>
      <c r="E15" s="848">
        <v>83299</v>
      </c>
      <c r="F15" s="848">
        <v>62289</v>
      </c>
      <c r="G15" s="848">
        <v>48283</v>
      </c>
      <c r="H15" s="848">
        <v>39027</v>
      </c>
      <c r="I15" s="848">
        <v>32999</v>
      </c>
      <c r="J15" s="849"/>
      <c r="K15" s="870">
        <f>(D15-E15)/E15</f>
        <v>0.34523823815411947</v>
      </c>
      <c r="L15" s="870">
        <f t="shared" si="5"/>
        <v>0.33729872048034165</v>
      </c>
      <c r="M15" s="870">
        <f t="shared" si="5"/>
        <v>0.29008139510800901</v>
      </c>
      <c r="N15" s="870">
        <f t="shared" si="5"/>
        <v>0.2371691393138084</v>
      </c>
      <c r="O15" s="870">
        <f t="shared" si="5"/>
        <v>0.18267220218794508</v>
      </c>
      <c r="P15" s="872" t="s">
        <v>67</v>
      </c>
      <c r="Q15" s="1115"/>
      <c r="R15" s="1113"/>
      <c r="S15" s="1113"/>
      <c r="T15" s="1113"/>
      <c r="U15" s="1113"/>
      <c r="V15" s="1113"/>
      <c r="W15" s="1113"/>
      <c r="X15" s="1113"/>
      <c r="Y15" s="1114"/>
    </row>
    <row r="16" spans="2:25" x14ac:dyDescent="0.15">
      <c r="B16" s="56">
        <f>IFERROR(D16/$D$18,"")</f>
        <v>4.3686033061481472E-2</v>
      </c>
      <c r="C16" s="851" t="s">
        <v>192</v>
      </c>
      <c r="D16" s="848">
        <v>23869</v>
      </c>
      <c r="E16" s="848">
        <v>20066</v>
      </c>
      <c r="F16" s="848">
        <v>17743</v>
      </c>
      <c r="G16" s="848">
        <v>16245</v>
      </c>
      <c r="H16" s="848">
        <v>14604</v>
      </c>
      <c r="I16" s="848">
        <v>13214</v>
      </c>
      <c r="J16" s="849"/>
      <c r="K16" s="873">
        <f t="shared" ref="K16:K17" si="6">(D16-E16)/E16</f>
        <v>0.18952456892255556</v>
      </c>
      <c r="L16" s="873">
        <f t="shared" si="5"/>
        <v>0.13092487178042045</v>
      </c>
      <c r="M16" s="873">
        <f t="shared" si="5"/>
        <v>9.2212988611880584E-2</v>
      </c>
      <c r="N16" s="873">
        <f t="shared" si="5"/>
        <v>0.11236647493837305</v>
      </c>
      <c r="O16" s="873">
        <f t="shared" si="5"/>
        <v>0.10519146359921296</v>
      </c>
      <c r="P16" s="873" t="s">
        <v>67</v>
      </c>
      <c r="Q16" s="1115"/>
      <c r="R16" s="1113"/>
      <c r="S16" s="1113"/>
      <c r="T16" s="1113"/>
      <c r="U16" s="1113"/>
      <c r="V16" s="1113"/>
      <c r="W16" s="1113"/>
      <c r="X16" s="1113"/>
      <c r="Y16" s="1114"/>
    </row>
    <row r="17" spans="2:25" ht="13.5" customHeight="1" thickBot="1" x14ac:dyDescent="0.2">
      <c r="B17" s="56">
        <f>IFERROR(D17/$D$18,"")</f>
        <v>0.29413627245706253</v>
      </c>
      <c r="C17" s="851" t="s">
        <v>193</v>
      </c>
      <c r="D17" s="848">
        <v>160709</v>
      </c>
      <c r="E17" s="848">
        <v>147093</v>
      </c>
      <c r="F17" s="848">
        <v>139918</v>
      </c>
      <c r="G17" s="848">
        <v>116381</v>
      </c>
      <c r="H17" s="848">
        <v>108976</v>
      </c>
      <c r="I17" s="848">
        <v>100709</v>
      </c>
      <c r="J17" s="849"/>
      <c r="K17" s="873">
        <f t="shared" si="6"/>
        <v>9.256728736241697E-2</v>
      </c>
      <c r="L17" s="873">
        <f t="shared" si="5"/>
        <v>5.1280035449334613E-2</v>
      </c>
      <c r="M17" s="873">
        <f t="shared" si="5"/>
        <v>0.20224091561337332</v>
      </c>
      <c r="N17" s="873">
        <f t="shared" si="5"/>
        <v>6.7950741447658197E-2</v>
      </c>
      <c r="O17" s="873">
        <f t="shared" si="5"/>
        <v>8.2087996107597136E-2</v>
      </c>
      <c r="P17" s="873" t="s">
        <v>67</v>
      </c>
      <c r="Q17" s="1115"/>
      <c r="R17" s="1113"/>
      <c r="S17" s="1113"/>
      <c r="T17" s="1113"/>
      <c r="U17" s="1113"/>
      <c r="V17" s="1113"/>
      <c r="W17" s="1113"/>
      <c r="X17" s="1113"/>
      <c r="Y17" s="1114"/>
    </row>
    <row r="18" spans="2:25" ht="13.5" customHeight="1" thickBot="1" x14ac:dyDescent="0.2">
      <c r="B18" s="857">
        <f>SUM(B14:B17)</f>
        <v>0.99999999999999989</v>
      </c>
      <c r="C18" s="858" t="s">
        <v>188</v>
      </c>
      <c r="D18" s="859">
        <f t="shared" ref="D18:I18" si="7">SUM(D14:D17)</f>
        <v>546376</v>
      </c>
      <c r="E18" s="859">
        <f t="shared" si="7"/>
        <v>473357</v>
      </c>
      <c r="F18" s="859">
        <f t="shared" si="7"/>
        <v>420825</v>
      </c>
      <c r="G18" s="859">
        <f t="shared" si="7"/>
        <v>374751</v>
      </c>
      <c r="H18" s="859">
        <f t="shared" si="7"/>
        <v>346083</v>
      </c>
      <c r="I18" s="859">
        <f t="shared" si="7"/>
        <v>310179</v>
      </c>
      <c r="J18" s="849"/>
      <c r="K18" s="874">
        <f>(D18-E18)/E18</f>
        <v>0.15425778006874305</v>
      </c>
      <c r="L18" s="861">
        <f t="shared" si="5"/>
        <v>0.12483098675221292</v>
      </c>
      <c r="M18" s="861">
        <f t="shared" si="5"/>
        <v>0.12294563590223909</v>
      </c>
      <c r="N18" s="861">
        <f t="shared" si="5"/>
        <v>8.2835620356966386E-2</v>
      </c>
      <c r="O18" s="861">
        <f t="shared" si="5"/>
        <v>0.11575251709496774</v>
      </c>
      <c r="P18" s="861" t="s">
        <v>67</v>
      </c>
      <c r="Q18" s="1115"/>
      <c r="R18" s="1113"/>
      <c r="S18" s="1113"/>
      <c r="T18" s="1113"/>
      <c r="U18" s="1113"/>
      <c r="V18" s="1113"/>
      <c r="W18" s="1113"/>
      <c r="X18" s="1113"/>
      <c r="Y18" s="1114"/>
    </row>
    <row r="19" spans="2:25" ht="13.5" customHeight="1" thickBot="1" x14ac:dyDescent="0.2">
      <c r="B19" s="857"/>
      <c r="C19" s="869" t="s">
        <v>194</v>
      </c>
      <c r="D19" s="848">
        <f>111107*2</f>
        <v>222214</v>
      </c>
      <c r="E19" s="848">
        <f>92880*2</f>
        <v>185760</v>
      </c>
      <c r="F19" s="848">
        <f>81842*2</f>
        <v>163684</v>
      </c>
      <c r="G19" s="848">
        <f>129274+3322</f>
        <v>132596</v>
      </c>
      <c r="H19" s="848">
        <f>117018+2818</f>
        <v>119836</v>
      </c>
      <c r="I19" s="875">
        <f>54510*2</f>
        <v>109020</v>
      </c>
      <c r="J19" s="849"/>
      <c r="Q19" s="1115"/>
      <c r="R19" s="1113"/>
      <c r="S19" s="1113"/>
      <c r="T19" s="1113"/>
      <c r="U19" s="1113"/>
      <c r="V19" s="1113"/>
      <c r="W19" s="1113"/>
      <c r="X19" s="1113"/>
      <c r="Y19" s="1114"/>
    </row>
    <row r="20" spans="2:25" ht="13.5" customHeight="1" thickBot="1" x14ac:dyDescent="0.2">
      <c r="B20" s="857"/>
      <c r="C20" s="876" t="s">
        <v>195</v>
      </c>
      <c r="D20" s="850">
        <f>D19/D18</f>
        <v>0.40670527255955607</v>
      </c>
      <c r="E20" s="850">
        <f t="shared" ref="E20:I20" si="8">E19/E18</f>
        <v>0.39243108267121857</v>
      </c>
      <c r="F20" s="850">
        <f t="shared" si="8"/>
        <v>0.38895978138180953</v>
      </c>
      <c r="G20" s="850">
        <f t="shared" si="8"/>
        <v>0.35382427265037319</v>
      </c>
      <c r="H20" s="850">
        <f t="shared" si="8"/>
        <v>0.34626375753793165</v>
      </c>
      <c r="I20" s="877">
        <f t="shared" si="8"/>
        <v>0.35147447119244052</v>
      </c>
      <c r="J20" s="849"/>
      <c r="Q20" s="1115"/>
      <c r="R20" s="1113"/>
      <c r="S20" s="1113"/>
      <c r="T20" s="1113"/>
      <c r="U20" s="1113"/>
      <c r="V20" s="1113"/>
      <c r="W20" s="1113"/>
      <c r="X20" s="1113"/>
      <c r="Y20" s="1114"/>
    </row>
    <row r="21" spans="2:25" ht="13.5" thickBot="1" x14ac:dyDescent="0.2">
      <c r="B21" s="857">
        <f>B18</f>
        <v>0.99999999999999989</v>
      </c>
      <c r="C21" s="858" t="s">
        <v>196</v>
      </c>
      <c r="D21" s="859">
        <f>D18-D19</f>
        <v>324162</v>
      </c>
      <c r="E21" s="859">
        <f t="shared" ref="E21:I21" si="9">E18-E19</f>
        <v>287597</v>
      </c>
      <c r="F21" s="859">
        <f t="shared" si="9"/>
        <v>257141</v>
      </c>
      <c r="G21" s="859">
        <f>G18-G19</f>
        <v>242155</v>
      </c>
      <c r="H21" s="859">
        <f t="shared" si="9"/>
        <v>226247</v>
      </c>
      <c r="I21" s="859">
        <f t="shared" si="9"/>
        <v>201159</v>
      </c>
      <c r="J21" s="860"/>
      <c r="K21" s="874">
        <f>(D21-E21)/E21</f>
        <v>0.12713971286209522</v>
      </c>
      <c r="L21" s="861">
        <f t="shared" ref="L21:O21" si="10">(E21-F21)/F21</f>
        <v>0.11844085540617794</v>
      </c>
      <c r="M21" s="861">
        <f t="shared" si="10"/>
        <v>6.1885982118890792E-2</v>
      </c>
      <c r="N21" s="861">
        <f t="shared" si="10"/>
        <v>7.0312534530844614E-2</v>
      </c>
      <c r="O21" s="861">
        <f t="shared" si="10"/>
        <v>0.12471726345825938</v>
      </c>
      <c r="P21" s="861" t="s">
        <v>67</v>
      </c>
      <c r="Q21" s="878"/>
      <c r="Y21" s="879"/>
    </row>
    <row r="22" spans="2:25" ht="13.5" thickBot="1" x14ac:dyDescent="0.2">
      <c r="C22" s="190"/>
      <c r="D22" s="863"/>
      <c r="E22" s="3"/>
      <c r="F22" s="863"/>
      <c r="G22" s="3"/>
      <c r="H22" s="863"/>
      <c r="I22" s="3"/>
      <c r="J22" s="880"/>
      <c r="Q22" s="878"/>
      <c r="Y22" s="879"/>
    </row>
    <row r="23" spans="2:25" ht="21" thickBot="1" x14ac:dyDescent="0.3">
      <c r="B23" s="1116" t="s">
        <v>69</v>
      </c>
      <c r="C23" s="1118"/>
      <c r="D23" s="1116" t="s">
        <v>197</v>
      </c>
      <c r="E23" s="1117"/>
      <c r="F23" s="1117"/>
      <c r="G23" s="1117"/>
      <c r="H23" s="1117"/>
      <c r="I23" s="1121" t="s">
        <v>198</v>
      </c>
      <c r="J23" s="1122"/>
      <c r="K23" s="1122"/>
      <c r="L23" s="1122"/>
      <c r="M23" s="1122"/>
      <c r="N23" s="1122"/>
      <c r="O23" s="1122"/>
      <c r="P23" s="1122"/>
      <c r="Q23" s="878"/>
      <c r="Y23" s="879"/>
    </row>
    <row r="24" spans="2:25" ht="42" customHeight="1" thickBot="1" x14ac:dyDescent="0.2">
      <c r="B24" s="1100" t="s">
        <v>190</v>
      </c>
      <c r="C24" s="1101"/>
      <c r="D24" s="1102" t="s">
        <v>199</v>
      </c>
      <c r="E24" s="1103"/>
      <c r="F24" s="1103"/>
      <c r="G24" s="1103"/>
      <c r="H24" s="1103"/>
      <c r="I24" s="878"/>
      <c r="Q24" s="878"/>
      <c r="Y24" s="879"/>
    </row>
    <row r="25" spans="2:25" ht="41.25" customHeight="1" thickBot="1" x14ac:dyDescent="0.2">
      <c r="B25" s="1100" t="s">
        <v>191</v>
      </c>
      <c r="C25" s="1101"/>
      <c r="D25" s="1102" t="s">
        <v>200</v>
      </c>
      <c r="E25" s="1103"/>
      <c r="F25" s="1103"/>
      <c r="G25" s="1103"/>
      <c r="H25" s="1103"/>
      <c r="I25" s="878"/>
      <c r="Q25" s="878"/>
      <c r="Y25" s="879"/>
    </row>
    <row r="26" spans="2:25" ht="28.35" customHeight="1" thickBot="1" x14ac:dyDescent="0.2">
      <c r="B26" s="1100" t="s">
        <v>192</v>
      </c>
      <c r="C26" s="1101"/>
      <c r="D26" s="1123" t="s">
        <v>201</v>
      </c>
      <c r="E26" s="1103"/>
      <c r="F26" s="1103"/>
      <c r="G26" s="1103"/>
      <c r="H26" s="1103"/>
      <c r="I26" s="878"/>
      <c r="Q26" s="878"/>
      <c r="Y26" s="879"/>
    </row>
    <row r="27" spans="2:25" ht="42" customHeight="1" thickBot="1" x14ac:dyDescent="0.2">
      <c r="B27" s="1100" t="s">
        <v>193</v>
      </c>
      <c r="C27" s="1101"/>
      <c r="D27" s="1123" t="s">
        <v>202</v>
      </c>
      <c r="E27" s="1103"/>
      <c r="F27" s="1103"/>
      <c r="G27" s="1103"/>
      <c r="H27" s="1103"/>
      <c r="I27" s="878"/>
      <c r="Q27" s="878"/>
      <c r="Y27" s="879"/>
    </row>
    <row r="28" spans="2:25" ht="41.25" customHeight="1" x14ac:dyDescent="0.15">
      <c r="D28" s="188"/>
      <c r="I28" s="878"/>
      <c r="Q28" s="878"/>
      <c r="Y28" s="879"/>
    </row>
    <row r="29" spans="2:25" ht="28.35" hidden="1" customHeight="1" x14ac:dyDescent="0.15">
      <c r="B29" s="1100"/>
      <c r="C29" s="1101"/>
      <c r="D29" s="1124"/>
      <c r="E29" s="1125"/>
      <c r="F29" s="1125"/>
      <c r="G29" s="1125"/>
      <c r="H29" s="1125"/>
      <c r="I29" s="878"/>
      <c r="Q29" s="878"/>
      <c r="Y29" s="879"/>
    </row>
    <row r="30" spans="2:25" ht="56.25" customHeight="1" thickBot="1" x14ac:dyDescent="0.2">
      <c r="I30" s="881"/>
      <c r="J30" s="882"/>
      <c r="K30" s="882"/>
      <c r="L30" s="882"/>
      <c r="M30" s="882"/>
      <c r="N30" s="882"/>
      <c r="O30" s="882"/>
      <c r="P30" s="882"/>
      <c r="Q30" s="881"/>
      <c r="R30" s="882"/>
      <c r="S30" s="882"/>
      <c r="T30" s="882"/>
      <c r="U30" s="882"/>
      <c r="V30" s="882"/>
      <c r="W30" s="882"/>
      <c r="X30" s="882"/>
      <c r="Y30" s="883"/>
    </row>
    <row r="31" spans="2:25" ht="21" thickBot="1" x14ac:dyDescent="0.3">
      <c r="B31" s="1116" t="s">
        <v>203</v>
      </c>
      <c r="C31" s="1117"/>
      <c r="D31" s="1117"/>
      <c r="E31" s="1117"/>
      <c r="F31" s="1117"/>
      <c r="G31" s="1117"/>
      <c r="H31" s="1117"/>
      <c r="I31" s="1118"/>
      <c r="J31" s="1131" t="s">
        <v>204</v>
      </c>
      <c r="K31" s="1132"/>
      <c r="L31" s="1132"/>
      <c r="M31" s="1132"/>
      <c r="N31" s="1132"/>
      <c r="O31" s="1132"/>
      <c r="P31" s="1132"/>
      <c r="Q31" s="1133"/>
    </row>
    <row r="32" spans="2:25" ht="13.5" thickBot="1" x14ac:dyDescent="0.2">
      <c r="B32" s="1134" t="s">
        <v>205</v>
      </c>
      <c r="C32" s="1135"/>
      <c r="D32" s="1134" t="s">
        <v>197</v>
      </c>
      <c r="E32" s="1136"/>
      <c r="F32" s="1136"/>
      <c r="G32" s="1136"/>
      <c r="H32" s="1136"/>
      <c r="I32" s="1135"/>
      <c r="J32" s="757"/>
      <c r="K32" s="884"/>
      <c r="L32" s="884"/>
      <c r="M32" s="884"/>
      <c r="N32" s="884"/>
      <c r="O32" s="884"/>
      <c r="P32" s="884"/>
      <c r="Q32" s="885"/>
    </row>
    <row r="33" spans="1:17" ht="34.5" customHeight="1" x14ac:dyDescent="0.15">
      <c r="B33" s="1137" t="s">
        <v>206</v>
      </c>
      <c r="C33" s="1138"/>
      <c r="D33" s="1139" t="s">
        <v>207</v>
      </c>
      <c r="E33" s="1140"/>
      <c r="F33" s="1140"/>
      <c r="G33" s="1140"/>
      <c r="H33" s="1140"/>
      <c r="I33" s="1141"/>
      <c r="J33" s="878"/>
      <c r="Q33" s="879"/>
    </row>
    <row r="34" spans="1:17" ht="65.25" customHeight="1" x14ac:dyDescent="0.15">
      <c r="B34" s="1137" t="s">
        <v>208</v>
      </c>
      <c r="C34" s="1138"/>
      <c r="D34" s="1142" t="s">
        <v>209</v>
      </c>
      <c r="E34" s="1143"/>
      <c r="F34" s="1143"/>
      <c r="G34" s="1143"/>
      <c r="H34" s="1143"/>
      <c r="I34" s="1144"/>
      <c r="J34" s="878"/>
      <c r="Q34" s="879"/>
    </row>
    <row r="35" spans="1:17" ht="56.25" customHeight="1" x14ac:dyDescent="0.15">
      <c r="B35" s="1145" t="s">
        <v>210</v>
      </c>
      <c r="C35" s="1146"/>
      <c r="D35" s="1142" t="s">
        <v>211</v>
      </c>
      <c r="E35" s="1143"/>
      <c r="F35" s="1143"/>
      <c r="G35" s="1143"/>
      <c r="H35" s="1143"/>
      <c r="I35" s="1144"/>
      <c r="J35" s="878"/>
      <c r="Q35" s="879"/>
    </row>
    <row r="36" spans="1:17" ht="13.5" thickBot="1" x14ac:dyDescent="0.2">
      <c r="B36" s="1134" t="s">
        <v>212</v>
      </c>
      <c r="C36" s="1136"/>
      <c r="D36" s="1136"/>
      <c r="E36" s="1136"/>
      <c r="F36" s="1136"/>
      <c r="G36" s="1136"/>
      <c r="H36" s="1136"/>
      <c r="I36" s="1135"/>
      <c r="J36" s="878"/>
      <c r="Q36" s="879"/>
    </row>
    <row r="37" spans="1:17" ht="13.5" customHeight="1" x14ac:dyDescent="0.15">
      <c r="B37" s="1126" t="s">
        <v>213</v>
      </c>
      <c r="C37" s="1127"/>
      <c r="D37" s="1128" t="s">
        <v>214</v>
      </c>
      <c r="E37" s="1129"/>
      <c r="F37" s="1130"/>
      <c r="G37" s="1128" t="s">
        <v>215</v>
      </c>
      <c r="H37" s="1129"/>
      <c r="I37" s="1130"/>
      <c r="J37" s="878"/>
      <c r="Q37" s="879"/>
    </row>
    <row r="38" spans="1:17" x14ac:dyDescent="0.15">
      <c r="B38" s="1147" t="s">
        <v>216</v>
      </c>
      <c r="C38" s="1148"/>
      <c r="D38" s="1149">
        <v>6.08E-2</v>
      </c>
      <c r="E38" s="1150"/>
      <c r="F38" s="1151"/>
      <c r="G38" s="1152" t="s">
        <v>217</v>
      </c>
      <c r="H38" s="1153"/>
      <c r="I38" s="1154"/>
      <c r="J38" s="878"/>
      <c r="Q38" s="879"/>
    </row>
    <row r="39" spans="1:17" x14ac:dyDescent="0.15">
      <c r="B39" s="1147" t="s">
        <v>218</v>
      </c>
      <c r="C39" s="1148"/>
      <c r="D39" s="1149">
        <v>6.2E-2</v>
      </c>
      <c r="E39" s="1150"/>
      <c r="F39" s="1151"/>
      <c r="G39" s="1152" t="s">
        <v>219</v>
      </c>
      <c r="H39" s="1153"/>
      <c r="I39" s="1154"/>
      <c r="J39" s="878"/>
      <c r="Q39" s="879"/>
    </row>
    <row r="40" spans="1:17" x14ac:dyDescent="0.15">
      <c r="B40" s="1155" t="s">
        <v>220</v>
      </c>
      <c r="C40" s="1156"/>
      <c r="D40" s="1157">
        <v>7.9500000000000001E-2</v>
      </c>
      <c r="E40" s="1158"/>
      <c r="F40" s="1159"/>
      <c r="G40" s="1160" t="s">
        <v>221</v>
      </c>
      <c r="H40" s="1161"/>
      <c r="I40" s="1162"/>
      <c r="J40" s="878"/>
      <c r="Q40" s="879"/>
    </row>
    <row r="41" spans="1:17" x14ac:dyDescent="0.15">
      <c r="B41" s="1163" t="s">
        <v>220</v>
      </c>
      <c r="C41" s="1164"/>
      <c r="D41" s="1165">
        <v>0.129</v>
      </c>
      <c r="E41" s="1166"/>
      <c r="F41" s="1167"/>
      <c r="G41" s="886"/>
      <c r="H41" s="195" t="s">
        <v>222</v>
      </c>
      <c r="I41" s="887"/>
      <c r="J41" s="878"/>
      <c r="Q41" s="879"/>
    </row>
    <row r="42" spans="1:17" x14ac:dyDescent="0.15">
      <c r="B42" s="1147" t="s">
        <v>218</v>
      </c>
      <c r="C42" s="1148"/>
      <c r="D42" s="1149">
        <v>0.11799999999999999</v>
      </c>
      <c r="E42" s="1150"/>
      <c r="F42" s="1151"/>
      <c r="G42" s="1152" t="s">
        <v>223</v>
      </c>
      <c r="H42" s="1153"/>
      <c r="I42" s="1154"/>
      <c r="J42" s="878"/>
      <c r="Q42" s="879"/>
    </row>
    <row r="43" spans="1:17" ht="13.5" thickBot="1" x14ac:dyDescent="0.2">
      <c r="B43" s="1147" t="s">
        <v>216</v>
      </c>
      <c r="C43" s="1148"/>
      <c r="D43" s="1168">
        <v>0.1125</v>
      </c>
      <c r="E43" s="1169"/>
      <c r="F43" s="1170"/>
      <c r="G43" s="1171" t="s">
        <v>217</v>
      </c>
      <c r="H43" s="1172"/>
      <c r="I43" s="1173"/>
      <c r="J43" s="878"/>
      <c r="Q43" s="879"/>
    </row>
    <row r="44" spans="1:17" ht="21" thickBot="1" x14ac:dyDescent="0.3">
      <c r="B44" s="1116" t="s">
        <v>224</v>
      </c>
      <c r="C44" s="1117"/>
      <c r="D44" s="1117"/>
      <c r="E44" s="1117"/>
      <c r="F44" s="1117"/>
      <c r="G44" s="1117"/>
      <c r="H44" s="1117"/>
      <c r="I44" s="1118"/>
      <c r="J44" s="878"/>
      <c r="Q44" s="879"/>
    </row>
    <row r="45" spans="1:17" ht="16.5" customHeight="1" x14ac:dyDescent="0.15">
      <c r="B45" s="1174" t="s">
        <v>225</v>
      </c>
      <c r="C45" s="1175"/>
      <c r="D45" s="1175"/>
      <c r="E45" s="1175"/>
      <c r="F45" s="1175"/>
      <c r="G45" s="1175"/>
      <c r="H45" s="1175"/>
      <c r="I45" s="1176"/>
      <c r="J45" s="878"/>
      <c r="Q45" s="879"/>
    </row>
    <row r="46" spans="1:17" x14ac:dyDescent="0.15">
      <c r="B46" s="1177"/>
      <c r="C46" s="1178"/>
      <c r="D46" s="1178"/>
      <c r="E46" s="1178"/>
      <c r="F46" s="1178"/>
      <c r="G46" s="1178"/>
      <c r="H46" s="1178"/>
      <c r="I46" s="1179"/>
      <c r="J46" s="878"/>
      <c r="Q46" s="879"/>
    </row>
    <row r="47" spans="1:17" ht="12.75" customHeight="1" x14ac:dyDescent="0.15">
      <c r="B47" s="1177"/>
      <c r="C47" s="1178"/>
      <c r="D47" s="1178"/>
      <c r="E47" s="1178"/>
      <c r="F47" s="1178"/>
      <c r="G47" s="1178"/>
      <c r="H47" s="1178"/>
      <c r="I47" s="1179"/>
      <c r="J47" s="878"/>
      <c r="Q47" s="879"/>
    </row>
    <row r="48" spans="1:17" x14ac:dyDescent="0.15">
      <c r="B48" s="1177"/>
      <c r="C48" s="1178"/>
      <c r="D48" s="1178"/>
      <c r="E48" s="1178"/>
      <c r="F48" s="1178"/>
      <c r="G48" s="1178"/>
      <c r="H48" s="1178"/>
      <c r="I48" s="1179"/>
      <c r="J48" s="878"/>
      <c r="Q48" s="879"/>
    </row>
    <row r="49" spans="2:17" x14ac:dyDescent="0.15">
      <c r="B49" s="1177"/>
      <c r="C49" s="1178"/>
      <c r="D49" s="1178"/>
      <c r="E49" s="1178"/>
      <c r="F49" s="1178"/>
      <c r="G49" s="1178"/>
      <c r="H49" s="1178"/>
      <c r="I49" s="1179"/>
      <c r="J49" s="878"/>
      <c r="Q49" s="879"/>
    </row>
    <row r="50" spans="2:17" x14ac:dyDescent="0.15">
      <c r="B50" s="1177"/>
      <c r="C50" s="1178"/>
      <c r="D50" s="1178"/>
      <c r="E50" s="1178"/>
      <c r="F50" s="1178"/>
      <c r="G50" s="1178"/>
      <c r="H50" s="1178"/>
      <c r="I50" s="1179"/>
      <c r="J50" s="878"/>
      <c r="Q50" s="879"/>
    </row>
    <row r="51" spans="2:17" x14ac:dyDescent="0.15">
      <c r="B51" s="1177"/>
      <c r="C51" s="1178"/>
      <c r="D51" s="1178"/>
      <c r="E51" s="1178"/>
      <c r="F51" s="1178"/>
      <c r="G51" s="1178"/>
      <c r="H51" s="1178"/>
      <c r="I51" s="1179"/>
      <c r="J51" s="878"/>
      <c r="Q51" s="879"/>
    </row>
    <row r="52" spans="2:17" x14ac:dyDescent="0.15">
      <c r="B52" s="1177"/>
      <c r="C52" s="1178"/>
      <c r="D52" s="1178"/>
      <c r="E52" s="1178"/>
      <c r="F52" s="1178"/>
      <c r="G52" s="1178"/>
      <c r="H52" s="1178"/>
      <c r="I52" s="1179"/>
      <c r="J52" s="878"/>
      <c r="Q52" s="879"/>
    </row>
    <row r="53" spans="2:17" x14ac:dyDescent="0.15">
      <c r="B53" s="1177"/>
      <c r="C53" s="1178"/>
      <c r="D53" s="1178"/>
      <c r="E53" s="1178"/>
      <c r="F53" s="1178"/>
      <c r="G53" s="1178"/>
      <c r="H53" s="1178"/>
      <c r="I53" s="1179"/>
      <c r="J53" s="878"/>
      <c r="Q53" s="879"/>
    </row>
    <row r="54" spans="2:17" x14ac:dyDescent="0.15">
      <c r="B54" s="1177"/>
      <c r="C54" s="1178"/>
      <c r="D54" s="1178"/>
      <c r="E54" s="1178"/>
      <c r="F54" s="1178"/>
      <c r="G54" s="1178"/>
      <c r="H54" s="1178"/>
      <c r="I54" s="1179"/>
      <c r="J54" s="878"/>
      <c r="Q54" s="879"/>
    </row>
    <row r="55" spans="2:17" ht="90.95" customHeight="1" x14ac:dyDescent="0.15">
      <c r="B55" s="1177"/>
      <c r="C55" s="1178"/>
      <c r="D55" s="1178"/>
      <c r="E55" s="1178"/>
      <c r="F55" s="1178"/>
      <c r="G55" s="1178"/>
      <c r="H55" s="1178"/>
      <c r="I55" s="1179"/>
      <c r="J55" s="878"/>
      <c r="Q55" s="879"/>
    </row>
    <row r="56" spans="2:17" x14ac:dyDescent="0.15">
      <c r="B56" s="878"/>
      <c r="I56" s="879"/>
      <c r="J56" s="878"/>
      <c r="Q56" s="879"/>
    </row>
    <row r="57" spans="2:17" x14ac:dyDescent="0.15">
      <c r="B57" s="878"/>
      <c r="I57" s="879"/>
      <c r="J57" s="878"/>
      <c r="Q57" s="879"/>
    </row>
    <row r="58" spans="2:17" x14ac:dyDescent="0.15">
      <c r="B58" s="878"/>
      <c r="C58" s="262" t="s">
        <v>226</v>
      </c>
      <c r="I58" s="879"/>
      <c r="J58" s="878"/>
      <c r="Q58" s="879"/>
    </row>
    <row r="59" spans="2:17" x14ac:dyDescent="0.15">
      <c r="B59" s="878"/>
      <c r="C59" s="262" t="s">
        <v>227</v>
      </c>
      <c r="E59" s="324"/>
      <c r="I59" s="879"/>
      <c r="J59" s="878"/>
      <c r="Q59" s="879"/>
    </row>
    <row r="60" spans="2:17" x14ac:dyDescent="0.15">
      <c r="B60" s="878"/>
      <c r="C60" s="262" t="s">
        <v>228</v>
      </c>
      <c r="I60" s="879"/>
      <c r="J60" s="878"/>
      <c r="Q60" s="879"/>
    </row>
    <row r="61" spans="2:17" ht="13.5" thickBot="1" x14ac:dyDescent="0.2">
      <c r="B61" s="881"/>
      <c r="C61" s="263" t="s">
        <v>229</v>
      </c>
      <c r="D61" s="888"/>
      <c r="E61" s="882"/>
      <c r="F61" s="882"/>
      <c r="G61" s="882"/>
      <c r="H61" s="882"/>
      <c r="I61" s="883"/>
      <c r="J61" s="881"/>
      <c r="K61" s="882"/>
      <c r="L61" s="882"/>
      <c r="M61" s="882"/>
      <c r="N61" s="882"/>
      <c r="O61" s="882"/>
      <c r="P61" s="882"/>
      <c r="Q61" s="883"/>
    </row>
    <row r="66" spans="6:15" x14ac:dyDescent="0.15">
      <c r="O66" s="197"/>
    </row>
    <row r="67" spans="6:15" x14ac:dyDescent="0.15">
      <c r="O67" s="197"/>
    </row>
    <row r="68" spans="6:15" x14ac:dyDescent="0.15">
      <c r="O68" s="197"/>
    </row>
    <row r="71" spans="6:15" x14ac:dyDescent="0.15">
      <c r="F71" s="197"/>
    </row>
  </sheetData>
  <mergeCells count="54">
    <mergeCell ref="B43:C43"/>
    <mergeCell ref="D43:F43"/>
    <mergeCell ref="G43:I43"/>
    <mergeCell ref="B44:I44"/>
    <mergeCell ref="B45:I55"/>
    <mergeCell ref="B42:C42"/>
    <mergeCell ref="D42:F42"/>
    <mergeCell ref="G42:I42"/>
    <mergeCell ref="B38:C38"/>
    <mergeCell ref="D38:F38"/>
    <mergeCell ref="G38:I38"/>
    <mergeCell ref="B39:C39"/>
    <mergeCell ref="D39:F39"/>
    <mergeCell ref="G39:I39"/>
    <mergeCell ref="B40:C40"/>
    <mergeCell ref="D40:F40"/>
    <mergeCell ref="G40:I40"/>
    <mergeCell ref="B41:C41"/>
    <mergeCell ref="D41:F41"/>
    <mergeCell ref="B37:C37"/>
    <mergeCell ref="D37:F37"/>
    <mergeCell ref="G37:I37"/>
    <mergeCell ref="B31:I31"/>
    <mergeCell ref="J31:Q31"/>
    <mergeCell ref="B32:C32"/>
    <mergeCell ref="D32:I32"/>
    <mergeCell ref="B33:C33"/>
    <mergeCell ref="D33:I33"/>
    <mergeCell ref="B34:C34"/>
    <mergeCell ref="D34:I34"/>
    <mergeCell ref="B35:C35"/>
    <mergeCell ref="D35:I35"/>
    <mergeCell ref="B36:I36"/>
    <mergeCell ref="B26:C26"/>
    <mergeCell ref="D26:H26"/>
    <mergeCell ref="B27:C27"/>
    <mergeCell ref="D27:H27"/>
    <mergeCell ref="B29:C29"/>
    <mergeCell ref="D29:H29"/>
    <mergeCell ref="B25:C25"/>
    <mergeCell ref="D25:H25"/>
    <mergeCell ref="B2:P2"/>
    <mergeCell ref="Q2:Y2"/>
    <mergeCell ref="D3:I3"/>
    <mergeCell ref="K3:P3"/>
    <mergeCell ref="Q3:Y20"/>
    <mergeCell ref="B11:P11"/>
    <mergeCell ref="D12:I12"/>
    <mergeCell ref="K12:P12"/>
    <mergeCell ref="B23:C23"/>
    <mergeCell ref="D23:H23"/>
    <mergeCell ref="I23:P23"/>
    <mergeCell ref="B24:C24"/>
    <mergeCell ref="D24:H24"/>
  </mergeCells>
  <conditionalFormatting sqref="B5:B8">
    <cfRule type="dataBar" priority="29">
      <dataBar>
        <cfvo type="min"/>
        <cfvo type="max"/>
        <color rgb="FF638EC6"/>
      </dataBar>
      <extLst>
        <ext xmlns:x14="http://schemas.microsoft.com/office/spreadsheetml/2009/9/main" uri="{B025F937-C7B1-47D3-B67F-A62EFF666E3E}">
          <x14:id>{9E4CDCDA-8FDE-3B44-936D-61FDF885D2D3}</x14:id>
        </ext>
      </extLst>
    </cfRule>
  </conditionalFormatting>
  <conditionalFormatting sqref="B14:B17">
    <cfRule type="dataBar" priority="7">
      <dataBar>
        <cfvo type="min"/>
        <cfvo type="max"/>
        <color rgb="FF638EC6"/>
      </dataBar>
      <extLst>
        <ext xmlns:x14="http://schemas.microsoft.com/office/spreadsheetml/2009/9/main" uri="{B025F937-C7B1-47D3-B67F-A62EFF666E3E}">
          <x14:id>{5E811AE1-22E7-F745-AB89-83733CB73085}</x14:id>
        </ext>
      </extLst>
    </cfRule>
  </conditionalFormatting>
  <conditionalFormatting sqref="D5:D8">
    <cfRule type="dataBar" priority="30">
      <dataBar>
        <cfvo type="min"/>
        <cfvo type="max"/>
        <color rgb="FF63C384"/>
      </dataBar>
      <extLst>
        <ext xmlns:x14="http://schemas.microsoft.com/office/spreadsheetml/2009/9/main" uri="{B025F937-C7B1-47D3-B67F-A62EFF666E3E}">
          <x14:id>{C8411AAE-F829-D24B-8FB1-9123DA132331}</x14:id>
        </ext>
      </extLst>
    </cfRule>
  </conditionalFormatting>
  <conditionalFormatting sqref="D14:D17">
    <cfRule type="dataBar" priority="8">
      <dataBar>
        <cfvo type="min"/>
        <cfvo type="max"/>
        <color rgb="FF63C384"/>
      </dataBar>
      <extLst>
        <ext xmlns:x14="http://schemas.microsoft.com/office/spreadsheetml/2009/9/main" uri="{B025F937-C7B1-47D3-B67F-A62EFF666E3E}">
          <x14:id>{C5AD613C-851F-BC49-9D77-01ABEBAA48EB}</x14:id>
        </ext>
      </extLst>
    </cfRule>
  </conditionalFormatting>
  <conditionalFormatting sqref="D5:I6">
    <cfRule type="dataBar" priority="31">
      <dataBar>
        <cfvo type="min"/>
        <cfvo type="max"/>
        <color rgb="FF63C384"/>
      </dataBar>
      <extLst>
        <ext xmlns:x14="http://schemas.microsoft.com/office/spreadsheetml/2009/9/main" uri="{B025F937-C7B1-47D3-B67F-A62EFF666E3E}">
          <x14:id>{7FB42C4F-71F0-7A42-8362-A29CFA2FE017}</x14:id>
        </ext>
      </extLst>
    </cfRule>
  </conditionalFormatting>
  <conditionalFormatting sqref="D14:I17">
    <cfRule type="dataBar" priority="9">
      <dataBar>
        <cfvo type="min"/>
        <cfvo type="max"/>
        <color rgb="FF63C384"/>
      </dataBar>
      <extLst>
        <ext xmlns:x14="http://schemas.microsoft.com/office/spreadsheetml/2009/9/main" uri="{B025F937-C7B1-47D3-B67F-A62EFF666E3E}">
          <x14:id>{27AC59F4-1DF0-9241-BFD1-B7395D91E5FA}</x14:id>
        </ext>
      </extLst>
    </cfRule>
  </conditionalFormatting>
  <conditionalFormatting sqref="D19:I20">
    <cfRule type="dataBar" priority="2">
      <dataBar>
        <cfvo type="min"/>
        <cfvo type="max"/>
        <color rgb="FF63C384"/>
      </dataBar>
      <extLst>
        <ext xmlns:x14="http://schemas.microsoft.com/office/spreadsheetml/2009/9/main" uri="{B025F937-C7B1-47D3-B67F-A62EFF666E3E}">
          <x14:id>{B74D62EC-5438-8248-8ED8-DE24E6FC75AC}</x14:id>
        </ext>
      </extLst>
    </cfRule>
    <cfRule type="dataBar" priority="1">
      <dataBar>
        <cfvo type="min"/>
        <cfvo type="max"/>
        <color rgb="FF63C384"/>
      </dataBar>
      <extLst>
        <ext xmlns:x14="http://schemas.microsoft.com/office/spreadsheetml/2009/9/main" uri="{B025F937-C7B1-47D3-B67F-A62EFF666E3E}">
          <x14:id>{059BE0FA-62E7-734F-9CDA-D6665A8F1F0A}</x14:id>
        </ext>
      </extLst>
    </cfRule>
  </conditionalFormatting>
  <conditionalFormatting sqref="E5:E8 D5:D6 F5:I6">
    <cfRule type="dataBar" priority="32">
      <dataBar>
        <cfvo type="min"/>
        <cfvo type="max"/>
        <color rgb="FF63C384"/>
      </dataBar>
      <extLst>
        <ext xmlns:x14="http://schemas.microsoft.com/office/spreadsheetml/2009/9/main" uri="{B025F937-C7B1-47D3-B67F-A62EFF666E3E}">
          <x14:id>{AF712CE8-45B9-624E-81BF-8C8783831E8E}</x14:id>
        </ext>
      </extLst>
    </cfRule>
  </conditionalFormatting>
  <conditionalFormatting sqref="E14:E17">
    <cfRule type="dataBar" priority="10">
      <dataBar>
        <cfvo type="min"/>
        <cfvo type="max"/>
        <color rgb="FF63C384"/>
      </dataBar>
      <extLst>
        <ext xmlns:x14="http://schemas.microsoft.com/office/spreadsheetml/2009/9/main" uri="{B025F937-C7B1-47D3-B67F-A62EFF666E3E}">
          <x14:id>{9EA94C4A-4190-3F4A-87CB-BBC961D64F8E}</x14:id>
        </ext>
      </extLst>
    </cfRule>
  </conditionalFormatting>
  <conditionalFormatting sqref="F5:F8">
    <cfRule type="dataBar" priority="33">
      <dataBar>
        <cfvo type="min"/>
        <cfvo type="max"/>
        <color rgb="FF63C384"/>
      </dataBar>
      <extLst>
        <ext xmlns:x14="http://schemas.microsoft.com/office/spreadsheetml/2009/9/main" uri="{B025F937-C7B1-47D3-B67F-A62EFF666E3E}">
          <x14:id>{EC4D03C1-B23C-E84C-B898-FC601D6A28E7}</x14:id>
        </ext>
      </extLst>
    </cfRule>
  </conditionalFormatting>
  <conditionalFormatting sqref="F14:F17">
    <cfRule type="dataBar" priority="11">
      <dataBar>
        <cfvo type="min"/>
        <cfvo type="max"/>
        <color rgb="FF63C384"/>
      </dataBar>
      <extLst>
        <ext xmlns:x14="http://schemas.microsoft.com/office/spreadsheetml/2009/9/main" uri="{B025F937-C7B1-47D3-B67F-A62EFF666E3E}">
          <x14:id>{6E2D2DAA-89CD-3B4F-9CF5-B6BDBBDB8DF1}</x14:id>
        </ext>
      </extLst>
    </cfRule>
  </conditionalFormatting>
  <conditionalFormatting sqref="G5:G8">
    <cfRule type="dataBar" priority="34">
      <dataBar>
        <cfvo type="min"/>
        <cfvo type="max"/>
        <color rgb="FF63C384"/>
      </dataBar>
      <extLst>
        <ext xmlns:x14="http://schemas.microsoft.com/office/spreadsheetml/2009/9/main" uri="{B025F937-C7B1-47D3-B67F-A62EFF666E3E}">
          <x14:id>{F4237DD8-80E4-6646-BE0F-0ACCA3D4195A}</x14:id>
        </ext>
      </extLst>
    </cfRule>
  </conditionalFormatting>
  <conditionalFormatting sqref="G14:G17">
    <cfRule type="dataBar" priority="12">
      <dataBar>
        <cfvo type="min"/>
        <cfvo type="max"/>
        <color rgb="FF63C384"/>
      </dataBar>
      <extLst>
        <ext xmlns:x14="http://schemas.microsoft.com/office/spreadsheetml/2009/9/main" uri="{B025F937-C7B1-47D3-B67F-A62EFF666E3E}">
          <x14:id>{8A959E5C-EDB7-C146-85C7-9D00894F1696}</x14:id>
        </ext>
      </extLst>
    </cfRule>
  </conditionalFormatting>
  <conditionalFormatting sqref="H5:H8">
    <cfRule type="dataBar" priority="35">
      <dataBar>
        <cfvo type="min"/>
        <cfvo type="max"/>
        <color rgb="FF63C384"/>
      </dataBar>
      <extLst>
        <ext xmlns:x14="http://schemas.microsoft.com/office/spreadsheetml/2009/9/main" uri="{B025F937-C7B1-47D3-B67F-A62EFF666E3E}">
          <x14:id>{32FF1F3D-B36E-364D-A0E9-6A3649146E4D}</x14:id>
        </ext>
      </extLst>
    </cfRule>
  </conditionalFormatting>
  <conditionalFormatting sqref="H14:H17">
    <cfRule type="dataBar" priority="13">
      <dataBar>
        <cfvo type="min"/>
        <cfvo type="max"/>
        <color rgb="FF63C384"/>
      </dataBar>
      <extLst>
        <ext xmlns:x14="http://schemas.microsoft.com/office/spreadsheetml/2009/9/main" uri="{B025F937-C7B1-47D3-B67F-A62EFF666E3E}">
          <x14:id>{AA44E91C-4173-EF4F-A019-94CA50F9B3B8}</x14:id>
        </ext>
      </extLst>
    </cfRule>
  </conditionalFormatting>
  <conditionalFormatting sqref="I5:I8">
    <cfRule type="dataBar" priority="36">
      <dataBar>
        <cfvo type="min"/>
        <cfvo type="max"/>
        <color rgb="FF63C384"/>
      </dataBar>
      <extLst>
        <ext xmlns:x14="http://schemas.microsoft.com/office/spreadsheetml/2009/9/main" uri="{B025F937-C7B1-47D3-B67F-A62EFF666E3E}">
          <x14:id>{A7C3D180-B594-5445-A250-D8F2EE70612F}</x14:id>
        </ext>
      </extLst>
    </cfRule>
  </conditionalFormatting>
  <conditionalFormatting sqref="I14:I17">
    <cfRule type="dataBar" priority="14">
      <dataBar>
        <cfvo type="min"/>
        <cfvo type="max"/>
        <color rgb="FF63C384"/>
      </dataBar>
      <extLst>
        <ext xmlns:x14="http://schemas.microsoft.com/office/spreadsheetml/2009/9/main" uri="{B025F937-C7B1-47D3-B67F-A62EFF666E3E}">
          <x14:id>{F04276CC-2748-FD4E-9263-D8D1B1A3DF19}</x14:id>
        </ext>
      </extLst>
    </cfRule>
  </conditionalFormatting>
  <conditionalFormatting sqref="K5:K8">
    <cfRule type="dataBar" priority="37">
      <dataBar>
        <cfvo type="min"/>
        <cfvo type="max"/>
        <color rgb="FF63C384"/>
      </dataBar>
      <extLst>
        <ext xmlns:x14="http://schemas.microsoft.com/office/spreadsheetml/2009/9/main" uri="{B025F937-C7B1-47D3-B67F-A62EFF666E3E}">
          <x14:id>{25C598A8-A945-7446-A5F7-BADC6AFC8B78}</x14:id>
        </ext>
      </extLst>
    </cfRule>
  </conditionalFormatting>
  <conditionalFormatting sqref="K14:K17">
    <cfRule type="dataBar" priority="15">
      <dataBar>
        <cfvo type="min"/>
        <cfvo type="max"/>
        <color rgb="FF63C384"/>
      </dataBar>
      <extLst>
        <ext xmlns:x14="http://schemas.microsoft.com/office/spreadsheetml/2009/9/main" uri="{B025F937-C7B1-47D3-B67F-A62EFF666E3E}">
          <x14:id>{3FE34D76-DB3F-FE48-8A54-63583B5BC175}</x14:id>
        </ext>
      </extLst>
    </cfRule>
  </conditionalFormatting>
  <conditionalFormatting sqref="K14:O17">
    <cfRule type="dataBar" priority="16">
      <dataBar>
        <cfvo type="min"/>
        <cfvo type="max"/>
        <color rgb="FF63C384"/>
      </dataBar>
      <extLst>
        <ext xmlns:x14="http://schemas.microsoft.com/office/spreadsheetml/2009/9/main" uri="{B025F937-C7B1-47D3-B67F-A62EFF666E3E}">
          <x14:id>{631D174D-4EC3-FC40-89CB-EE9B3070E12F}</x14:id>
        </ext>
      </extLst>
    </cfRule>
    <cfRule type="dataBar" priority="17">
      <dataBar>
        <cfvo type="min"/>
        <cfvo type="max"/>
        <color rgb="FF63C384"/>
      </dataBar>
      <extLst>
        <ext xmlns:x14="http://schemas.microsoft.com/office/spreadsheetml/2009/9/main" uri="{B025F937-C7B1-47D3-B67F-A62EFF666E3E}">
          <x14:id>{7AB7D3D1-C523-6244-9759-0E9C2DBF1005}</x14:id>
        </ext>
      </extLst>
    </cfRule>
    <cfRule type="dataBar" priority="18">
      <dataBar>
        <cfvo type="min"/>
        <cfvo type="max"/>
        <color rgb="FF63C384"/>
      </dataBar>
      <extLst>
        <ext xmlns:x14="http://schemas.microsoft.com/office/spreadsheetml/2009/9/main" uri="{B025F937-C7B1-47D3-B67F-A62EFF666E3E}">
          <x14:id>{C38030D2-7D5D-0045-AED4-4FC27029EC7C}</x14:id>
        </ext>
      </extLst>
    </cfRule>
  </conditionalFormatting>
  <conditionalFormatting sqref="K5:P6">
    <cfRule type="dataBar" priority="38">
      <dataBar>
        <cfvo type="min"/>
        <cfvo type="max"/>
        <color rgb="FF63C384"/>
      </dataBar>
      <extLst>
        <ext xmlns:x14="http://schemas.microsoft.com/office/spreadsheetml/2009/9/main" uri="{B025F937-C7B1-47D3-B67F-A62EFF666E3E}">
          <x14:id>{25D7EBE3-F75A-CC4A-BFC6-4BA2FB95D3F2}</x14:id>
        </ext>
      </extLst>
    </cfRule>
    <cfRule type="dataBar" priority="39">
      <dataBar>
        <cfvo type="min"/>
        <cfvo type="max"/>
        <color rgb="FF63C384"/>
      </dataBar>
      <extLst>
        <ext xmlns:x14="http://schemas.microsoft.com/office/spreadsheetml/2009/9/main" uri="{B025F937-C7B1-47D3-B67F-A62EFF666E3E}">
          <x14:id>{29DA2B46-8674-A647-804C-E84882500501}</x14:id>
        </ext>
      </extLst>
    </cfRule>
  </conditionalFormatting>
  <conditionalFormatting sqref="K14:P17">
    <cfRule type="dataBar" priority="21">
      <dataBar>
        <cfvo type="min"/>
        <cfvo type="max"/>
        <color rgb="FF63C384"/>
      </dataBar>
      <extLst>
        <ext xmlns:x14="http://schemas.microsoft.com/office/spreadsheetml/2009/9/main" uri="{B025F937-C7B1-47D3-B67F-A62EFF666E3E}">
          <x14:id>{8D6C6400-5116-2647-B8E1-DA0BB916D843}</x14:id>
        </ext>
      </extLst>
    </cfRule>
    <cfRule type="dataBar" priority="23">
      <dataBar>
        <cfvo type="min"/>
        <cfvo type="max"/>
        <color rgb="FF63C384"/>
      </dataBar>
      <extLst>
        <ext xmlns:x14="http://schemas.microsoft.com/office/spreadsheetml/2009/9/main" uri="{B025F937-C7B1-47D3-B67F-A62EFF666E3E}">
          <x14:id>{8073B157-4EA7-844A-A21D-6077E242D209}</x14:id>
        </ext>
      </extLst>
    </cfRule>
    <cfRule type="dataBar" priority="22">
      <dataBar>
        <cfvo type="min"/>
        <cfvo type="max"/>
        <color rgb="FF63C384"/>
      </dataBar>
      <extLst>
        <ext xmlns:x14="http://schemas.microsoft.com/office/spreadsheetml/2009/9/main" uri="{B025F937-C7B1-47D3-B67F-A62EFF666E3E}">
          <x14:id>{F1E5BF9D-1A34-8C45-89B6-5FEAE97AB8E9}</x14:id>
        </ext>
      </extLst>
    </cfRule>
    <cfRule type="dataBar" priority="20">
      <dataBar>
        <cfvo type="min"/>
        <cfvo type="max"/>
        <color rgb="FF63C384"/>
      </dataBar>
      <extLst>
        <ext xmlns:x14="http://schemas.microsoft.com/office/spreadsheetml/2009/9/main" uri="{B025F937-C7B1-47D3-B67F-A62EFF666E3E}">
          <x14:id>{A994F569-9FA4-4341-ADE0-CE1994033598}</x14:id>
        </ext>
      </extLst>
    </cfRule>
    <cfRule type="dataBar" priority="19">
      <dataBar>
        <cfvo type="min"/>
        <cfvo type="max"/>
        <color rgb="FF63C384"/>
      </dataBar>
      <extLst>
        <ext xmlns:x14="http://schemas.microsoft.com/office/spreadsheetml/2009/9/main" uri="{B025F937-C7B1-47D3-B67F-A62EFF666E3E}">
          <x14:id>{01AAC369-31FA-BF49-BA1A-147917219B98}</x14:id>
        </ext>
      </extLst>
    </cfRule>
  </conditionalFormatting>
  <conditionalFormatting sqref="L5:L8">
    <cfRule type="dataBar" priority="40">
      <dataBar>
        <cfvo type="min"/>
        <cfvo type="max"/>
        <color rgb="FF63C384"/>
      </dataBar>
      <extLst>
        <ext xmlns:x14="http://schemas.microsoft.com/office/spreadsheetml/2009/9/main" uri="{B025F937-C7B1-47D3-B67F-A62EFF666E3E}">
          <x14:id>{5FF2BCF2-EF32-0540-B44F-F5805E007EFB}</x14:id>
        </ext>
      </extLst>
    </cfRule>
  </conditionalFormatting>
  <conditionalFormatting sqref="L14:L17">
    <cfRule type="dataBar" priority="24">
      <dataBar>
        <cfvo type="min"/>
        <cfvo type="max"/>
        <color rgb="FF63C384"/>
      </dataBar>
      <extLst>
        <ext xmlns:x14="http://schemas.microsoft.com/office/spreadsheetml/2009/9/main" uri="{B025F937-C7B1-47D3-B67F-A62EFF666E3E}">
          <x14:id>{CC28956D-1676-6E40-AACD-B3FEBE403DAC}</x14:id>
        </ext>
      </extLst>
    </cfRule>
  </conditionalFormatting>
  <conditionalFormatting sqref="M7:M8">
    <cfRule type="dataBar" priority="6">
      <dataBar>
        <cfvo type="min"/>
        <cfvo type="max"/>
        <color rgb="FF63C384"/>
      </dataBar>
      <extLst>
        <ext xmlns:x14="http://schemas.microsoft.com/office/spreadsheetml/2009/9/main" uri="{B025F937-C7B1-47D3-B67F-A62EFF666E3E}">
          <x14:id>{8E2F2594-AB52-564F-BECB-BB41585095EF}</x14:id>
        </ext>
      </extLst>
    </cfRule>
  </conditionalFormatting>
  <conditionalFormatting sqref="M16:M17">
    <cfRule type="dataBar" priority="25">
      <dataBar>
        <cfvo type="min"/>
        <cfvo type="max"/>
        <color rgb="FF63C384"/>
      </dataBar>
      <extLst>
        <ext xmlns:x14="http://schemas.microsoft.com/office/spreadsheetml/2009/9/main" uri="{B025F937-C7B1-47D3-B67F-A62EFF666E3E}">
          <x14:id>{A10C2F9C-04A9-874A-B8D6-AC7C42D713C3}</x14:id>
        </ext>
      </extLst>
    </cfRule>
  </conditionalFormatting>
  <conditionalFormatting sqref="M5:P6">
    <cfRule type="dataBar" priority="41">
      <dataBar>
        <cfvo type="min"/>
        <cfvo type="max"/>
        <color rgb="FF63C384"/>
      </dataBar>
      <extLst>
        <ext xmlns:x14="http://schemas.microsoft.com/office/spreadsheetml/2009/9/main" uri="{B025F937-C7B1-47D3-B67F-A62EFF666E3E}">
          <x14:id>{C009EA08-4661-FF4C-B814-BAE486D01475}</x14:id>
        </ext>
      </extLst>
    </cfRule>
  </conditionalFormatting>
  <conditionalFormatting sqref="N7:N8">
    <cfRule type="dataBar" priority="5">
      <dataBar>
        <cfvo type="min"/>
        <cfvo type="max"/>
        <color rgb="FF63C384"/>
      </dataBar>
      <extLst>
        <ext xmlns:x14="http://schemas.microsoft.com/office/spreadsheetml/2009/9/main" uri="{B025F937-C7B1-47D3-B67F-A62EFF666E3E}">
          <x14:id>{2FC05574-5768-9D4F-8DC8-8C7880BFFCE7}</x14:id>
        </ext>
      </extLst>
    </cfRule>
  </conditionalFormatting>
  <conditionalFormatting sqref="N14:N17">
    <cfRule type="dataBar" priority="26">
      <dataBar>
        <cfvo type="min"/>
        <cfvo type="max"/>
        <color rgb="FF63C384"/>
      </dataBar>
      <extLst>
        <ext xmlns:x14="http://schemas.microsoft.com/office/spreadsheetml/2009/9/main" uri="{B025F937-C7B1-47D3-B67F-A62EFF666E3E}">
          <x14:id>{7045850D-78E0-F146-B590-2E1B3ABE2174}</x14:id>
        </ext>
      </extLst>
    </cfRule>
  </conditionalFormatting>
  <conditionalFormatting sqref="O7:O8">
    <cfRule type="dataBar" priority="4">
      <dataBar>
        <cfvo type="min"/>
        <cfvo type="max"/>
        <color rgb="FF63C384"/>
      </dataBar>
      <extLst>
        <ext xmlns:x14="http://schemas.microsoft.com/office/spreadsheetml/2009/9/main" uri="{B025F937-C7B1-47D3-B67F-A62EFF666E3E}">
          <x14:id>{D691DD28-B92D-3547-A369-99B546607F5A}</x14:id>
        </ext>
      </extLst>
    </cfRule>
  </conditionalFormatting>
  <conditionalFormatting sqref="O14:O17">
    <cfRule type="dataBar" priority="27">
      <dataBar>
        <cfvo type="min"/>
        <cfvo type="max"/>
        <color rgb="FF63C384"/>
      </dataBar>
      <extLst>
        <ext xmlns:x14="http://schemas.microsoft.com/office/spreadsheetml/2009/9/main" uri="{B025F937-C7B1-47D3-B67F-A62EFF666E3E}">
          <x14:id>{B4A061DC-DBA3-1D4E-BB40-AEF22C30EF44}</x14:id>
        </ext>
      </extLst>
    </cfRule>
  </conditionalFormatting>
  <conditionalFormatting sqref="P7:P8">
    <cfRule type="dataBar" priority="3">
      <dataBar>
        <cfvo type="min"/>
        <cfvo type="max"/>
        <color rgb="FF63C384"/>
      </dataBar>
      <extLst>
        <ext xmlns:x14="http://schemas.microsoft.com/office/spreadsheetml/2009/9/main" uri="{B025F937-C7B1-47D3-B67F-A62EFF666E3E}">
          <x14:id>{6077860C-2520-BA47-8319-78CCFDC4A334}</x14:id>
        </ext>
      </extLst>
    </cfRule>
  </conditionalFormatting>
  <conditionalFormatting sqref="P14:P17">
    <cfRule type="dataBar" priority="28">
      <dataBar>
        <cfvo type="min"/>
        <cfvo type="max"/>
        <color rgb="FF63C384"/>
      </dataBar>
      <extLst>
        <ext xmlns:x14="http://schemas.microsoft.com/office/spreadsheetml/2009/9/main" uri="{B025F937-C7B1-47D3-B67F-A62EFF666E3E}">
          <x14:id>{0FA79BCE-2E22-8A46-86D9-0DBB2FB95D07}</x14:id>
        </ext>
      </extLst>
    </cfRule>
  </conditionalFormatting>
  <hyperlinks>
    <hyperlink ref="B38:C38" r:id="rId1" display="Grand View Research" xr:uid="{E7B96AB3-A5AB-C04E-BA8B-9FEDD3889904}"/>
    <hyperlink ref="B39:C39" r:id="rId2" display="IMARC Group" xr:uid="{A41E2909-ADE1-0946-8B88-DF305EDFEDBD}"/>
    <hyperlink ref="B41:C41" r:id="rId3" display="Mordor Intelligence" xr:uid="{2391CCDA-661D-774C-BE3B-AD507CAAD232}"/>
    <hyperlink ref="B40:C40" r:id="rId4" display="Mordor Intelligence" xr:uid="{D2F8E9F7-9316-AF45-A857-B84E82EF5810}"/>
    <hyperlink ref="B42:C42" r:id="rId5" display="IMARC Group" xr:uid="{878CDAD2-FA81-D140-86A0-C17294B3B7AD}"/>
    <hyperlink ref="B43:C43" r:id="rId6" display="Grand View Research" xr:uid="{10AF8F3F-10CD-C34F-A9BF-C0147C20ECC8}"/>
    <hyperlink ref="C60" r:id="rId7" xr:uid="{3A690BB6-9138-DB4D-A286-3D29B32C04F3}"/>
    <hyperlink ref="C61" r:id="rId8" xr:uid="{69F8F430-9848-CB4E-A502-3951E24C3BD5}"/>
    <hyperlink ref="C59" r:id="rId9" xr:uid="{A93C3393-2B80-BB44-A5A2-56EEAB3180EB}"/>
    <hyperlink ref="C58" r:id="rId10" xr:uid="{B69318B8-39B2-3841-B83E-D61D6D6A4763}"/>
  </hyperlinks>
  <pageMargins left="0.75" right="0.75" top="1" bottom="1" header="0" footer="0"/>
  <pageSetup orientation="landscape" r:id="rId11"/>
  <headerFooter alignWithMargins="0"/>
  <drawing r:id="rId12"/>
  <legacyDrawing r:id="rId13"/>
  <extLst>
    <ext xmlns:x14="http://schemas.microsoft.com/office/spreadsheetml/2009/9/main" uri="{78C0D931-6437-407d-A8EE-F0AAD7539E65}">
      <x14:conditionalFormattings>
        <x14:conditionalFormatting xmlns:xm="http://schemas.microsoft.com/office/excel/2006/main">
          <x14:cfRule type="dataBar" id="{9E4CDCDA-8FDE-3B44-936D-61FDF885D2D3}">
            <x14:dataBar minLength="0" maxLength="100" border="1" negativeBarBorderColorSameAsPositive="0">
              <x14:cfvo type="autoMin"/>
              <x14:cfvo type="autoMax"/>
              <x14:borderColor rgb="FF638EC6"/>
              <x14:negativeFillColor rgb="FFFF0000"/>
              <x14:negativeBorderColor rgb="FFFF0000"/>
              <x14:axisColor rgb="FF000000"/>
            </x14:dataBar>
          </x14:cfRule>
          <xm:sqref>B5:B8</xm:sqref>
        </x14:conditionalFormatting>
        <x14:conditionalFormatting xmlns:xm="http://schemas.microsoft.com/office/excel/2006/main">
          <x14:cfRule type="dataBar" id="{5E811AE1-22E7-F745-AB89-83733CB73085}">
            <x14:dataBar minLength="0" maxLength="100" border="1" negativeBarBorderColorSameAsPositive="0">
              <x14:cfvo type="autoMin"/>
              <x14:cfvo type="autoMax"/>
              <x14:borderColor rgb="FF638EC6"/>
              <x14:negativeFillColor rgb="FFFF0000"/>
              <x14:negativeBorderColor rgb="FFFF0000"/>
              <x14:axisColor rgb="FF000000"/>
            </x14:dataBar>
          </x14:cfRule>
          <xm:sqref>B14:B17</xm:sqref>
        </x14:conditionalFormatting>
        <x14:conditionalFormatting xmlns:xm="http://schemas.microsoft.com/office/excel/2006/main">
          <x14:cfRule type="dataBar" id="{C8411AAE-F829-D24B-8FB1-9123DA132331}">
            <x14:dataBar minLength="0" maxLength="100" gradient="0">
              <x14:cfvo type="autoMin"/>
              <x14:cfvo type="autoMax"/>
              <x14:negativeFillColor rgb="FFFF0000"/>
              <x14:axisColor rgb="FF000000"/>
            </x14:dataBar>
          </x14:cfRule>
          <xm:sqref>D5:D8</xm:sqref>
        </x14:conditionalFormatting>
        <x14:conditionalFormatting xmlns:xm="http://schemas.microsoft.com/office/excel/2006/main">
          <x14:cfRule type="dataBar" id="{C5AD613C-851F-BC49-9D77-01ABEBAA48EB}">
            <x14:dataBar minLength="0" maxLength="100" gradient="0">
              <x14:cfvo type="autoMin"/>
              <x14:cfvo type="autoMax"/>
              <x14:negativeFillColor rgb="FFFF0000"/>
              <x14:axisColor rgb="FF000000"/>
            </x14:dataBar>
          </x14:cfRule>
          <xm:sqref>D14:D17</xm:sqref>
        </x14:conditionalFormatting>
        <x14:conditionalFormatting xmlns:xm="http://schemas.microsoft.com/office/excel/2006/main">
          <x14:cfRule type="dataBar" id="{7FB42C4F-71F0-7A42-8362-A29CFA2FE017}">
            <x14:dataBar minLength="0" maxLength="100" gradient="0">
              <x14:cfvo type="autoMin"/>
              <x14:cfvo type="autoMax"/>
              <x14:negativeFillColor rgb="FFFF0000"/>
              <x14:axisColor rgb="FF000000"/>
            </x14:dataBar>
          </x14:cfRule>
          <xm:sqref>D5:I6</xm:sqref>
        </x14:conditionalFormatting>
        <x14:conditionalFormatting xmlns:xm="http://schemas.microsoft.com/office/excel/2006/main">
          <x14:cfRule type="dataBar" id="{27AC59F4-1DF0-9241-BFD1-B7395D91E5FA}">
            <x14:dataBar minLength="0" maxLength="100" gradient="0">
              <x14:cfvo type="autoMin"/>
              <x14:cfvo type="autoMax"/>
              <x14:negativeFillColor rgb="FFFF0000"/>
              <x14:axisColor rgb="FF000000"/>
            </x14:dataBar>
          </x14:cfRule>
          <xm:sqref>D14:I17</xm:sqref>
        </x14:conditionalFormatting>
        <x14:conditionalFormatting xmlns:xm="http://schemas.microsoft.com/office/excel/2006/main">
          <x14:cfRule type="dataBar" id="{B74D62EC-5438-8248-8ED8-DE24E6FC75AC}">
            <x14:dataBar minLength="0" maxLength="100" gradient="0">
              <x14:cfvo type="autoMin"/>
              <x14:cfvo type="autoMax"/>
              <x14:negativeFillColor rgb="FFFF0000"/>
              <x14:axisColor rgb="FF000000"/>
            </x14:dataBar>
          </x14:cfRule>
          <x14:cfRule type="dataBar" id="{059BE0FA-62E7-734F-9CDA-D6665A8F1F0A}">
            <x14:dataBar minLength="0" maxLength="100" gradient="0">
              <x14:cfvo type="autoMin"/>
              <x14:cfvo type="autoMax"/>
              <x14:negativeFillColor rgb="FFFF0000"/>
              <x14:axisColor rgb="FF000000"/>
            </x14:dataBar>
          </x14:cfRule>
          <xm:sqref>D19:I20</xm:sqref>
        </x14:conditionalFormatting>
        <x14:conditionalFormatting xmlns:xm="http://schemas.microsoft.com/office/excel/2006/main">
          <x14:cfRule type="dataBar" id="{AF712CE8-45B9-624E-81BF-8C8783831E8E}">
            <x14:dataBar minLength="0" maxLength="100" gradient="0">
              <x14:cfvo type="autoMin"/>
              <x14:cfvo type="autoMax"/>
              <x14:negativeFillColor rgb="FFFF0000"/>
              <x14:axisColor rgb="FF000000"/>
            </x14:dataBar>
          </x14:cfRule>
          <xm:sqref>E5:E8 D5:D6 F5:I6</xm:sqref>
        </x14:conditionalFormatting>
        <x14:conditionalFormatting xmlns:xm="http://schemas.microsoft.com/office/excel/2006/main">
          <x14:cfRule type="dataBar" id="{9EA94C4A-4190-3F4A-87CB-BBC961D64F8E}">
            <x14:dataBar minLength="0" maxLength="100" gradient="0">
              <x14:cfvo type="autoMin"/>
              <x14:cfvo type="autoMax"/>
              <x14:negativeFillColor rgb="FFFF0000"/>
              <x14:axisColor rgb="FF000000"/>
            </x14:dataBar>
          </x14:cfRule>
          <xm:sqref>E14:E17</xm:sqref>
        </x14:conditionalFormatting>
        <x14:conditionalFormatting xmlns:xm="http://schemas.microsoft.com/office/excel/2006/main">
          <x14:cfRule type="dataBar" id="{EC4D03C1-B23C-E84C-B898-FC601D6A28E7}">
            <x14:dataBar minLength="0" maxLength="100" gradient="0">
              <x14:cfvo type="autoMin"/>
              <x14:cfvo type="autoMax"/>
              <x14:negativeFillColor rgb="FFFF0000"/>
              <x14:axisColor rgb="FF000000"/>
            </x14:dataBar>
          </x14:cfRule>
          <xm:sqref>F5:F8</xm:sqref>
        </x14:conditionalFormatting>
        <x14:conditionalFormatting xmlns:xm="http://schemas.microsoft.com/office/excel/2006/main">
          <x14:cfRule type="dataBar" id="{6E2D2DAA-89CD-3B4F-9CF5-B6BDBBDB8DF1}">
            <x14:dataBar minLength="0" maxLength="100" gradient="0">
              <x14:cfvo type="autoMin"/>
              <x14:cfvo type="autoMax"/>
              <x14:negativeFillColor rgb="FFFF0000"/>
              <x14:axisColor rgb="FF000000"/>
            </x14:dataBar>
          </x14:cfRule>
          <xm:sqref>F14:F17</xm:sqref>
        </x14:conditionalFormatting>
        <x14:conditionalFormatting xmlns:xm="http://schemas.microsoft.com/office/excel/2006/main">
          <x14:cfRule type="dataBar" id="{F4237DD8-80E4-6646-BE0F-0ACCA3D4195A}">
            <x14:dataBar minLength="0" maxLength="100" gradient="0">
              <x14:cfvo type="autoMin"/>
              <x14:cfvo type="autoMax"/>
              <x14:negativeFillColor rgb="FFFF0000"/>
              <x14:axisColor rgb="FF000000"/>
            </x14:dataBar>
          </x14:cfRule>
          <xm:sqref>G5:G8</xm:sqref>
        </x14:conditionalFormatting>
        <x14:conditionalFormatting xmlns:xm="http://schemas.microsoft.com/office/excel/2006/main">
          <x14:cfRule type="dataBar" id="{8A959E5C-EDB7-C146-85C7-9D00894F1696}">
            <x14:dataBar minLength="0" maxLength="100" gradient="0">
              <x14:cfvo type="autoMin"/>
              <x14:cfvo type="autoMax"/>
              <x14:negativeFillColor rgb="FFFF0000"/>
              <x14:axisColor rgb="FF000000"/>
            </x14:dataBar>
          </x14:cfRule>
          <xm:sqref>G14:G17</xm:sqref>
        </x14:conditionalFormatting>
        <x14:conditionalFormatting xmlns:xm="http://schemas.microsoft.com/office/excel/2006/main">
          <x14:cfRule type="dataBar" id="{32FF1F3D-B36E-364D-A0E9-6A3649146E4D}">
            <x14:dataBar minLength="0" maxLength="100" gradient="0">
              <x14:cfvo type="autoMin"/>
              <x14:cfvo type="autoMax"/>
              <x14:negativeFillColor rgb="FFFF0000"/>
              <x14:axisColor rgb="FF000000"/>
            </x14:dataBar>
          </x14:cfRule>
          <xm:sqref>H5:H8</xm:sqref>
        </x14:conditionalFormatting>
        <x14:conditionalFormatting xmlns:xm="http://schemas.microsoft.com/office/excel/2006/main">
          <x14:cfRule type="dataBar" id="{AA44E91C-4173-EF4F-A019-94CA50F9B3B8}">
            <x14:dataBar minLength="0" maxLength="100" gradient="0">
              <x14:cfvo type="autoMin"/>
              <x14:cfvo type="autoMax"/>
              <x14:negativeFillColor rgb="FFFF0000"/>
              <x14:axisColor rgb="FF000000"/>
            </x14:dataBar>
          </x14:cfRule>
          <xm:sqref>H14:H17</xm:sqref>
        </x14:conditionalFormatting>
        <x14:conditionalFormatting xmlns:xm="http://schemas.microsoft.com/office/excel/2006/main">
          <x14:cfRule type="dataBar" id="{A7C3D180-B594-5445-A250-D8F2EE70612F}">
            <x14:dataBar minLength="0" maxLength="100" gradient="0">
              <x14:cfvo type="autoMin"/>
              <x14:cfvo type="autoMax"/>
              <x14:negativeFillColor rgb="FFFF0000"/>
              <x14:axisColor rgb="FF000000"/>
            </x14:dataBar>
          </x14:cfRule>
          <xm:sqref>I5:I8</xm:sqref>
        </x14:conditionalFormatting>
        <x14:conditionalFormatting xmlns:xm="http://schemas.microsoft.com/office/excel/2006/main">
          <x14:cfRule type="dataBar" id="{F04276CC-2748-FD4E-9263-D8D1B1A3DF19}">
            <x14:dataBar minLength="0" maxLength="100" gradient="0">
              <x14:cfvo type="autoMin"/>
              <x14:cfvo type="autoMax"/>
              <x14:negativeFillColor rgb="FFFF0000"/>
              <x14:axisColor rgb="FF000000"/>
            </x14:dataBar>
          </x14:cfRule>
          <xm:sqref>I14:I17</xm:sqref>
        </x14:conditionalFormatting>
        <x14:conditionalFormatting xmlns:xm="http://schemas.microsoft.com/office/excel/2006/main">
          <x14:cfRule type="dataBar" id="{25C598A8-A945-7446-A5F7-BADC6AFC8B78}">
            <x14:dataBar minLength="0" maxLength="100" gradient="0">
              <x14:cfvo type="autoMin"/>
              <x14:cfvo type="autoMax"/>
              <x14:negativeFillColor rgb="FFFF0000"/>
              <x14:axisColor rgb="FF000000"/>
            </x14:dataBar>
          </x14:cfRule>
          <xm:sqref>K5:K8</xm:sqref>
        </x14:conditionalFormatting>
        <x14:conditionalFormatting xmlns:xm="http://schemas.microsoft.com/office/excel/2006/main">
          <x14:cfRule type="dataBar" id="{3FE34D76-DB3F-FE48-8A54-63583B5BC175}">
            <x14:dataBar minLength="0" maxLength="100" gradient="0">
              <x14:cfvo type="autoMin"/>
              <x14:cfvo type="autoMax"/>
              <x14:negativeFillColor rgb="FFFF0000"/>
              <x14:axisColor rgb="FF000000"/>
            </x14:dataBar>
          </x14:cfRule>
          <xm:sqref>K14:K17</xm:sqref>
        </x14:conditionalFormatting>
        <x14:conditionalFormatting xmlns:xm="http://schemas.microsoft.com/office/excel/2006/main">
          <x14:cfRule type="dataBar" id="{631D174D-4EC3-FC40-89CB-EE9B3070E12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AB7D3D1-C523-6244-9759-0E9C2DBF1005}">
            <x14:dataBar minLength="0" maxLength="100" gradient="0">
              <x14:cfvo type="autoMin"/>
              <x14:cfvo type="autoMax"/>
              <x14:negativeFillColor rgb="FFFF0000"/>
              <x14:axisColor rgb="FF000000"/>
            </x14:dataBar>
          </x14:cfRule>
          <x14:cfRule type="dataBar" id="{C38030D2-7D5D-0045-AED4-4FC27029EC7C}">
            <x14:dataBar minLength="0" maxLength="100" gradient="0">
              <x14:cfvo type="autoMin"/>
              <x14:cfvo type="autoMax"/>
              <x14:negativeFillColor rgb="FFFF0000"/>
              <x14:axisColor rgb="FF000000"/>
            </x14:dataBar>
          </x14:cfRule>
          <xm:sqref>K14:O17</xm:sqref>
        </x14:conditionalFormatting>
        <x14:conditionalFormatting xmlns:xm="http://schemas.microsoft.com/office/excel/2006/main">
          <x14:cfRule type="dataBar" id="{25D7EBE3-F75A-CC4A-BFC6-4BA2FB95D3F2}">
            <x14:dataBar minLength="0" maxLength="100" gradient="0">
              <x14:cfvo type="autoMin"/>
              <x14:cfvo type="autoMax"/>
              <x14:negativeFillColor rgb="FFFF0000"/>
              <x14:axisColor rgb="FF000000"/>
            </x14:dataBar>
          </x14:cfRule>
          <x14:cfRule type="dataBar" id="{29DA2B46-8674-A647-804C-E84882500501}">
            <x14:dataBar minLength="0" maxLength="100" border="1" negativeBarBorderColorSameAsPositive="0">
              <x14:cfvo type="autoMin"/>
              <x14:cfvo type="autoMax"/>
              <x14:borderColor rgb="FF63C384"/>
              <x14:negativeFillColor rgb="FFFF0000"/>
              <x14:negativeBorderColor rgb="FFFF0000"/>
              <x14:axisColor rgb="FF000000"/>
            </x14:dataBar>
          </x14:cfRule>
          <xm:sqref>K5:P6</xm:sqref>
        </x14:conditionalFormatting>
        <x14:conditionalFormatting xmlns:xm="http://schemas.microsoft.com/office/excel/2006/main">
          <x14:cfRule type="dataBar" id="{8D6C6400-5116-2647-B8E1-DA0BB916D843}">
            <x14:dataBar minLength="0" maxLength="100" gradient="0">
              <x14:cfvo type="autoMin"/>
              <x14:cfvo type="autoMax"/>
              <x14:negativeFillColor rgb="FFFF0000"/>
              <x14:axisColor rgb="FF000000"/>
            </x14:dataBar>
          </x14:cfRule>
          <x14:cfRule type="dataBar" id="{8073B157-4EA7-844A-A21D-6077E242D209}">
            <x14:dataBar minLength="0" maxLength="100" gradient="0">
              <x14:cfvo type="autoMin"/>
              <x14:cfvo type="autoMax"/>
              <x14:negativeFillColor rgb="FFFF0000"/>
              <x14:axisColor rgb="FF000000"/>
            </x14:dataBar>
          </x14:cfRule>
          <x14:cfRule type="dataBar" id="{F1E5BF9D-1A34-8C45-89B6-5FEAE97AB8E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994F569-9FA4-4341-ADE0-CE1994033598}">
            <x14:dataBar minLength="0" maxLength="100" gradient="0">
              <x14:cfvo type="autoMin"/>
              <x14:cfvo type="autoMax"/>
              <x14:negativeFillColor rgb="FFFF0000"/>
              <x14:axisColor rgb="FF000000"/>
            </x14:dataBar>
          </x14:cfRule>
          <x14:cfRule type="dataBar" id="{01AAC369-31FA-BF49-BA1A-147917219B98}">
            <x14:dataBar minLength="0" maxLength="100" gradient="0">
              <x14:cfvo type="autoMin"/>
              <x14:cfvo type="autoMax"/>
              <x14:negativeFillColor rgb="FFFF0000"/>
              <x14:axisColor rgb="FF000000"/>
            </x14:dataBar>
          </x14:cfRule>
          <xm:sqref>K14:P17</xm:sqref>
        </x14:conditionalFormatting>
        <x14:conditionalFormatting xmlns:xm="http://schemas.microsoft.com/office/excel/2006/main">
          <x14:cfRule type="dataBar" id="{5FF2BCF2-EF32-0540-B44F-F5805E007EFB}">
            <x14:dataBar minLength="0" maxLength="100" gradient="0">
              <x14:cfvo type="autoMin"/>
              <x14:cfvo type="autoMax"/>
              <x14:negativeFillColor rgb="FFFF0000"/>
              <x14:axisColor rgb="FF000000"/>
            </x14:dataBar>
          </x14:cfRule>
          <xm:sqref>L5:L8</xm:sqref>
        </x14:conditionalFormatting>
        <x14:conditionalFormatting xmlns:xm="http://schemas.microsoft.com/office/excel/2006/main">
          <x14:cfRule type="dataBar" id="{CC28956D-1676-6E40-AACD-B3FEBE403DAC}">
            <x14:dataBar minLength="0" maxLength="100" gradient="0">
              <x14:cfvo type="autoMin"/>
              <x14:cfvo type="autoMax"/>
              <x14:negativeFillColor rgb="FFFF0000"/>
              <x14:axisColor rgb="FF000000"/>
            </x14:dataBar>
          </x14:cfRule>
          <xm:sqref>L14:L17</xm:sqref>
        </x14:conditionalFormatting>
        <x14:conditionalFormatting xmlns:xm="http://schemas.microsoft.com/office/excel/2006/main">
          <x14:cfRule type="dataBar" id="{8E2F2594-AB52-564F-BECB-BB41585095EF}">
            <x14:dataBar minLength="0" maxLength="100" gradient="0">
              <x14:cfvo type="autoMin"/>
              <x14:cfvo type="autoMax"/>
              <x14:negativeFillColor rgb="FFFF0000"/>
              <x14:axisColor rgb="FF000000"/>
            </x14:dataBar>
          </x14:cfRule>
          <xm:sqref>M7:M8</xm:sqref>
        </x14:conditionalFormatting>
        <x14:conditionalFormatting xmlns:xm="http://schemas.microsoft.com/office/excel/2006/main">
          <x14:cfRule type="dataBar" id="{A10C2F9C-04A9-874A-B8D6-AC7C42D713C3}">
            <x14:dataBar minLength="0" maxLength="100" gradient="0">
              <x14:cfvo type="autoMin"/>
              <x14:cfvo type="autoMax"/>
              <x14:negativeFillColor rgb="FFFF0000"/>
              <x14:axisColor rgb="FF000000"/>
            </x14:dataBar>
          </x14:cfRule>
          <xm:sqref>M16:M17</xm:sqref>
        </x14:conditionalFormatting>
        <x14:conditionalFormatting xmlns:xm="http://schemas.microsoft.com/office/excel/2006/main">
          <x14:cfRule type="dataBar" id="{C009EA08-4661-FF4C-B814-BAE486D01475}">
            <x14:dataBar minLength="0" maxLength="100" gradient="0">
              <x14:cfvo type="autoMin"/>
              <x14:cfvo type="autoMax"/>
              <x14:negativeFillColor rgb="FFFF0000"/>
              <x14:axisColor rgb="FF000000"/>
            </x14:dataBar>
          </x14:cfRule>
          <xm:sqref>M5:P6</xm:sqref>
        </x14:conditionalFormatting>
        <x14:conditionalFormatting xmlns:xm="http://schemas.microsoft.com/office/excel/2006/main">
          <x14:cfRule type="dataBar" id="{2FC05574-5768-9D4F-8DC8-8C7880BFFCE7}">
            <x14:dataBar minLength="0" maxLength="100" gradient="0">
              <x14:cfvo type="autoMin"/>
              <x14:cfvo type="autoMax"/>
              <x14:negativeFillColor rgb="FFFF0000"/>
              <x14:axisColor rgb="FF000000"/>
            </x14:dataBar>
          </x14:cfRule>
          <xm:sqref>N7:N8</xm:sqref>
        </x14:conditionalFormatting>
        <x14:conditionalFormatting xmlns:xm="http://schemas.microsoft.com/office/excel/2006/main">
          <x14:cfRule type="dataBar" id="{7045850D-78E0-F146-B590-2E1B3ABE2174}">
            <x14:dataBar minLength="0" maxLength="100" gradient="0">
              <x14:cfvo type="autoMin"/>
              <x14:cfvo type="autoMax"/>
              <x14:negativeFillColor rgb="FFFF0000"/>
              <x14:axisColor rgb="FF000000"/>
            </x14:dataBar>
          </x14:cfRule>
          <xm:sqref>N14:N17</xm:sqref>
        </x14:conditionalFormatting>
        <x14:conditionalFormatting xmlns:xm="http://schemas.microsoft.com/office/excel/2006/main">
          <x14:cfRule type="dataBar" id="{D691DD28-B92D-3547-A369-99B546607F5A}">
            <x14:dataBar minLength="0" maxLength="100" gradient="0">
              <x14:cfvo type="autoMin"/>
              <x14:cfvo type="autoMax"/>
              <x14:negativeFillColor rgb="FFFF0000"/>
              <x14:axisColor rgb="FF000000"/>
            </x14:dataBar>
          </x14:cfRule>
          <xm:sqref>O7:O8</xm:sqref>
        </x14:conditionalFormatting>
        <x14:conditionalFormatting xmlns:xm="http://schemas.microsoft.com/office/excel/2006/main">
          <x14:cfRule type="dataBar" id="{B4A061DC-DBA3-1D4E-BB40-AEF22C30EF44}">
            <x14:dataBar minLength="0" maxLength="100" gradient="0">
              <x14:cfvo type="autoMin"/>
              <x14:cfvo type="autoMax"/>
              <x14:negativeFillColor rgb="FFFF0000"/>
              <x14:axisColor rgb="FF000000"/>
            </x14:dataBar>
          </x14:cfRule>
          <xm:sqref>O14:O17</xm:sqref>
        </x14:conditionalFormatting>
        <x14:conditionalFormatting xmlns:xm="http://schemas.microsoft.com/office/excel/2006/main">
          <x14:cfRule type="dataBar" id="{6077860C-2520-BA47-8319-78CCFDC4A334}">
            <x14:dataBar minLength="0" maxLength="100" gradient="0">
              <x14:cfvo type="autoMin"/>
              <x14:cfvo type="autoMax"/>
              <x14:negativeFillColor rgb="FFFF0000"/>
              <x14:axisColor rgb="FF000000"/>
            </x14:dataBar>
          </x14:cfRule>
          <xm:sqref>P7:P8</xm:sqref>
        </x14:conditionalFormatting>
        <x14:conditionalFormatting xmlns:xm="http://schemas.microsoft.com/office/excel/2006/main">
          <x14:cfRule type="dataBar" id="{0FA79BCE-2E22-8A46-86D9-0DBB2FB95D07}">
            <x14:dataBar minLength="0" maxLength="100" gradient="0">
              <x14:cfvo type="autoMin"/>
              <x14:cfvo type="autoMax"/>
              <x14:negativeFillColor rgb="FFFF0000"/>
              <x14:axisColor rgb="FF000000"/>
            </x14:dataBar>
          </x14:cfRule>
          <xm:sqref>P14:P17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609375" defaultRowHeight="12.75" x14ac:dyDescent="0.15"/>
  <cols>
    <col min="1" max="1" width="27.10546875" bestFit="1" customWidth="1"/>
  </cols>
  <sheetData>
    <row r="1" spans="1:1" x14ac:dyDescent="0.15">
      <c r="A1" t="s">
        <v>230</v>
      </c>
    </row>
    <row r="2" spans="1:1" x14ac:dyDescent="0.15">
      <c r="A2" t="s">
        <v>231</v>
      </c>
    </row>
    <row r="3" spans="1:1" x14ac:dyDescent="0.15">
      <c r="A3" t="s">
        <v>232</v>
      </c>
    </row>
    <row r="4" spans="1:1" x14ac:dyDescent="0.15">
      <c r="A4" t="s">
        <v>233</v>
      </c>
    </row>
    <row r="5" spans="1:1" x14ac:dyDescent="0.15">
      <c r="A5" t="s">
        <v>234</v>
      </c>
    </row>
    <row r="6" spans="1:1" x14ac:dyDescent="0.15">
      <c r="A6" s="2" t="s">
        <v>235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4F75-56E5-4EBB-ADC2-DFE62BF08BD2}">
  <dimension ref="A1:AN100"/>
  <sheetViews>
    <sheetView showGridLines="0" topLeftCell="P1" workbookViewId="0">
      <selection activeCell="V4" sqref="V4"/>
    </sheetView>
  </sheetViews>
  <sheetFormatPr defaultColWidth="8.8984375" defaultRowHeight="12.75" customHeight="1" x14ac:dyDescent="0.15"/>
  <cols>
    <col min="1" max="1" width="12.40625" style="218" customWidth="1"/>
    <col min="2" max="2" width="9.9765625" style="246" customWidth="1"/>
    <col min="3" max="3" width="38.43359375" style="218" customWidth="1"/>
    <col min="4" max="4" width="19.41796875" style="218" customWidth="1"/>
    <col min="5" max="5" width="23.328125" style="218" customWidth="1"/>
    <col min="6" max="6" width="18.7421875" style="218" bestFit="1" customWidth="1"/>
    <col min="7" max="9" width="17.6640625" style="218" customWidth="1"/>
    <col min="10" max="10" width="17.6640625" style="218" bestFit="1" customWidth="1"/>
    <col min="11" max="11" width="8.8984375" style="218"/>
    <col min="12" max="12" width="9.9765625" style="218" customWidth="1"/>
    <col min="13" max="16" width="8.8984375" style="218"/>
    <col min="17" max="17" width="10.3828125" style="218" customWidth="1"/>
    <col min="18" max="24" width="8.8984375" style="218"/>
    <col min="25" max="26" width="11.4609375" style="218" customWidth="1"/>
    <col min="27" max="27" width="8.8984375" style="218"/>
    <col min="28" max="28" width="12.67578125" style="218" customWidth="1"/>
    <col min="29" max="30" width="8.8984375" style="218"/>
    <col min="31" max="31" width="17.125" style="218" customWidth="1"/>
    <col min="32" max="32" width="9.9765625" style="218" customWidth="1"/>
    <col min="33" max="33" width="14.29296875" style="218" customWidth="1"/>
    <col min="34" max="34" width="28.453125" style="218" customWidth="1"/>
    <col min="35" max="35" width="28.72265625" style="218" customWidth="1"/>
    <col min="36" max="38" width="14.96875" style="218" customWidth="1"/>
    <col min="39" max="40" width="20.2265625" style="218" customWidth="1"/>
    <col min="41" max="16384" width="8.8984375" style="218"/>
  </cols>
  <sheetData>
    <row r="1" spans="1:40" ht="18.75" x14ac:dyDescent="0.15">
      <c r="B1" s="229"/>
      <c r="C1" s="120"/>
      <c r="D1" s="120"/>
      <c r="E1" s="120"/>
      <c r="F1" s="1197" t="s">
        <v>236</v>
      </c>
      <c r="G1" s="1198"/>
      <c r="H1" s="1198"/>
      <c r="I1" s="1198"/>
      <c r="J1" s="1199"/>
      <c r="K1" s="1200" t="s">
        <v>237</v>
      </c>
      <c r="L1" s="1201"/>
      <c r="M1" s="1201"/>
      <c r="N1" s="1201"/>
      <c r="O1" s="1202"/>
      <c r="P1" s="1197" t="s">
        <v>238</v>
      </c>
      <c r="Q1" s="1198"/>
      <c r="R1" s="1198"/>
      <c r="S1" s="1198"/>
      <c r="T1" s="1199"/>
      <c r="U1" s="1203" t="s">
        <v>239</v>
      </c>
      <c r="V1" s="1204"/>
      <c r="W1" s="1204"/>
      <c r="X1" s="230"/>
      <c r="Y1" s="1204" t="s">
        <v>240</v>
      </c>
      <c r="Z1" s="1204"/>
      <c r="AA1" s="1204"/>
      <c r="AB1" s="1204"/>
      <c r="AD1" s="1188" t="str">
        <f>B3</f>
        <v>UNH.N</v>
      </c>
      <c r="AE1" s="1188" t="s">
        <v>241</v>
      </c>
      <c r="AF1" s="1188"/>
      <c r="AG1" s="1188"/>
      <c r="AH1" s="1188"/>
      <c r="AI1" s="1188"/>
      <c r="AJ1" s="1189" t="s">
        <v>242</v>
      </c>
      <c r="AK1" s="1189"/>
      <c r="AL1" s="1189"/>
      <c r="AM1" s="1189" t="s">
        <v>243</v>
      </c>
      <c r="AN1" s="1189"/>
    </row>
    <row r="2" spans="1:40" ht="54.75" x14ac:dyDescent="0.2">
      <c r="B2" s="211" t="s">
        <v>244</v>
      </c>
      <c r="C2" s="312" t="s">
        <v>245</v>
      </c>
      <c r="D2" s="211" t="s">
        <v>246</v>
      </c>
      <c r="E2" s="211" t="s">
        <v>247</v>
      </c>
      <c r="F2" s="212" t="s">
        <v>248</v>
      </c>
      <c r="G2" s="213" t="s">
        <v>249</v>
      </c>
      <c r="H2" s="214" t="s">
        <v>250</v>
      </c>
      <c r="I2" s="212" t="s">
        <v>251</v>
      </c>
      <c r="J2" s="212" t="s">
        <v>252</v>
      </c>
      <c r="K2" s="892" t="s">
        <v>248</v>
      </c>
      <c r="L2" s="894" t="s">
        <v>249</v>
      </c>
      <c r="M2" s="892" t="s">
        <v>250</v>
      </c>
      <c r="N2" s="892" t="s">
        <v>253</v>
      </c>
      <c r="O2" s="892" t="s">
        <v>252</v>
      </c>
      <c r="P2" s="212" t="s">
        <v>248</v>
      </c>
      <c r="Q2" s="213" t="s">
        <v>249</v>
      </c>
      <c r="R2" s="212" t="s">
        <v>250</v>
      </c>
      <c r="S2" s="212" t="s">
        <v>253</v>
      </c>
      <c r="T2" s="212" t="s">
        <v>252</v>
      </c>
      <c r="U2" s="215" t="s">
        <v>254</v>
      </c>
      <c r="V2" s="892" t="s">
        <v>255</v>
      </c>
      <c r="W2" s="215" t="s">
        <v>256</v>
      </c>
      <c r="X2" s="217"/>
      <c r="Y2" s="216" t="s">
        <v>257</v>
      </c>
      <c r="Z2" s="215" t="s">
        <v>258</v>
      </c>
      <c r="AA2" s="215" t="s">
        <v>259</v>
      </c>
      <c r="AB2" s="215" t="s">
        <v>260</v>
      </c>
      <c r="AD2" s="1188"/>
      <c r="AE2" s="253" t="s">
        <v>256</v>
      </c>
      <c r="AF2" s="227" t="s">
        <v>254</v>
      </c>
      <c r="AG2" s="227" t="s">
        <v>244</v>
      </c>
      <c r="AH2" s="227" t="s">
        <v>245</v>
      </c>
      <c r="AI2" s="227" t="s">
        <v>247</v>
      </c>
      <c r="AJ2" s="916" t="s">
        <v>261</v>
      </c>
      <c r="AK2" s="916" t="s">
        <v>262</v>
      </c>
      <c r="AL2" s="916" t="s">
        <v>263</v>
      </c>
      <c r="AM2" s="227" t="s">
        <v>264</v>
      </c>
      <c r="AN2" s="227" t="s">
        <v>265</v>
      </c>
    </row>
    <row r="3" spans="1:40" ht="15" x14ac:dyDescent="0.2">
      <c r="A3" s="310" t="s">
        <v>266</v>
      </c>
      <c r="B3" s="316" t="s">
        <v>267</v>
      </c>
      <c r="C3" s="317" t="s">
        <v>268</v>
      </c>
      <c r="D3" s="316" t="s">
        <v>269</v>
      </c>
      <c r="E3" s="316" t="s">
        <v>270</v>
      </c>
      <c r="F3" s="900">
        <v>0.26537828499999999</v>
      </c>
      <c r="G3" s="904">
        <v>2.0264814489999998</v>
      </c>
      <c r="H3" s="902">
        <v>508949391726.17999</v>
      </c>
      <c r="I3" s="935">
        <v>24.95</v>
      </c>
      <c r="J3" s="897">
        <v>8.7718485999999998E-2</v>
      </c>
      <c r="K3" s="893">
        <f t="shared" ref="K3:K14" si="0">IFERROR(_xlfn.RANK.EQ(F3,F$3:F$14),"N/A")</f>
        <v>3</v>
      </c>
      <c r="L3" s="893">
        <f t="shared" ref="L3:L14" si="1">IFERROR(_xlfn.RANK.EQ(G3,G$3:G$14),"N/A")</f>
        <v>7</v>
      </c>
      <c r="M3" s="893">
        <f>IFERROR(_xlfn.RANK.EQ(H3,H$3:H$15),"N/A")</f>
        <v>1</v>
      </c>
      <c r="N3" s="893">
        <f>IFERROR(_xlfn.RANK.EQ(I3,I$3:I$15),"N/A")</f>
        <v>3</v>
      </c>
      <c r="O3" s="893">
        <f>IFERROR(_xlfn.RANK.EQ(J3,J$3:J$15),"N/A")</f>
        <v>3</v>
      </c>
      <c r="P3" s="890" t="s">
        <v>67</v>
      </c>
      <c r="Q3" s="890" t="s">
        <v>67</v>
      </c>
      <c r="R3" s="890" t="s">
        <v>67</v>
      </c>
      <c r="S3" s="890" t="s">
        <v>67</v>
      </c>
      <c r="T3" s="890" t="s">
        <v>67</v>
      </c>
      <c r="U3" s="891" t="s">
        <v>67</v>
      </c>
      <c r="V3" s="893" t="s">
        <v>67</v>
      </c>
      <c r="W3" s="889" t="s">
        <v>67</v>
      </c>
      <c r="X3" s="120"/>
      <c r="Y3" s="232" t="str">
        <f t="shared" ref="Y3:Y15" si="2">IF(OR(Z3="Y",AA3="Y"),"Not suitable","")</f>
        <v/>
      </c>
      <c r="Z3" s="232" t="str">
        <f>IF(N3="N/A","Y","")</f>
        <v/>
      </c>
      <c r="AA3" s="210"/>
      <c r="AB3" s="231"/>
      <c r="AD3" s="1188"/>
      <c r="AE3" s="219" cm="1">
        <f t="array" ref="AE3:AE8">_xlfn._xlws.SORT(_xlfn._xlws.FILTER(SARD!W3:W14,SARD!W3:W14&lt;=SMALL(W4:W14,6)),,1)</f>
        <v>1</v>
      </c>
      <c r="AF3" s="226">
        <f t="shared" ref="AF3:AF8" si="3">_xlfn.XLOOKUP($AE3,$W:$W,U:U,,0)</f>
        <v>10</v>
      </c>
      <c r="AG3" s="226" t="str">
        <f>_xlfn.XLOOKUP($AE3,$W:$W,B:B,,0)</f>
        <v>ELV.N</v>
      </c>
      <c r="AH3" s="226" t="str">
        <f t="shared" ref="AG3:AH8" si="4">_xlfn.XLOOKUP($AE3,$W:$W,C:C,,0)</f>
        <v>Elevance Health Inc</v>
      </c>
      <c r="AI3" s="915" t="str">
        <f t="shared" ref="AI3:AI8" si="5">_xlfn.XLOOKUP($AE3,$W:$W,E:E,,0)</f>
        <v>United States of America</v>
      </c>
      <c r="AJ3" s="907">
        <v>18.923728404357401</v>
      </c>
      <c r="AK3" s="907">
        <v>2.95</v>
      </c>
      <c r="AL3" s="907">
        <v>0.67169201543541202</v>
      </c>
      <c r="AM3" s="913">
        <v>0.75</v>
      </c>
      <c r="AN3" s="220">
        <v>11.1</v>
      </c>
    </row>
    <row r="4" spans="1:40" ht="15" x14ac:dyDescent="0.2">
      <c r="A4" s="233" t="s">
        <v>271</v>
      </c>
      <c r="B4" s="311" t="s">
        <v>272</v>
      </c>
      <c r="C4" s="311" t="s">
        <v>273</v>
      </c>
      <c r="D4" s="311" t="s">
        <v>269</v>
      </c>
      <c r="E4" s="311" t="s">
        <v>270</v>
      </c>
      <c r="F4" s="901">
        <v>0.18326693199999999</v>
      </c>
      <c r="G4" s="905">
        <v>2.8298241270000002</v>
      </c>
      <c r="H4" s="903">
        <v>61598448752</v>
      </c>
      <c r="I4" s="936">
        <v>28.3</v>
      </c>
      <c r="J4" s="898">
        <v>4.3648906000000001E-2</v>
      </c>
      <c r="K4" s="234">
        <f t="shared" si="0"/>
        <v>4</v>
      </c>
      <c r="L4" s="234">
        <f t="shared" si="1"/>
        <v>3</v>
      </c>
      <c r="M4" s="234">
        <f t="shared" ref="M4:M14" si="6">IFERROR(_xlfn.RANK.EQ(H4,H$3:H$14),"N/A")</f>
        <v>4</v>
      </c>
      <c r="N4" s="234">
        <f t="shared" ref="N4:N14" si="7">IFERROR(_xlfn.RANK.EQ(I4,I$3:I$14),"N/A")</f>
        <v>2</v>
      </c>
      <c r="O4" s="234">
        <f t="shared" ref="O4:O14" si="8">IFERROR(_xlfn.RANK.EQ(J4,J$3:J$14),"N/A")</f>
        <v>6</v>
      </c>
      <c r="P4" s="231">
        <f t="shared" ref="P4:P14" si="9">IFERROR(ABS(K$3-K4),"N/A")</f>
        <v>1</v>
      </c>
      <c r="Q4" s="231">
        <f t="shared" ref="Q4:Q14" si="10">IFERROR(ABS(L$3-L4),"N/A")</f>
        <v>4</v>
      </c>
      <c r="R4" s="231">
        <f t="shared" ref="R4:R14" si="11">IFERROR(ABS(M$3-M4),"N/A")</f>
        <v>3</v>
      </c>
      <c r="S4" s="231">
        <f t="shared" ref="S4:S14" si="12">IFERROR(ABS(N$3-N4),"N/A")</f>
        <v>1</v>
      </c>
      <c r="T4" s="231">
        <f t="shared" ref="T4:T14" si="13">IFERROR(ABS(O$3-O4),"N/A")</f>
        <v>3</v>
      </c>
      <c r="U4" s="231">
        <f>SUM(P4:T4)</f>
        <v>12</v>
      </c>
      <c r="V4" s="234">
        <f t="shared" ref="V4:V14" si="14">_xlfn.RANK.EQ(U4,$U$4:$U$14,1)</f>
        <v>2</v>
      </c>
      <c r="W4" s="234">
        <f t="shared" ref="W4:W6" si="15">IF(Y4="Not suitable","-",V4)</f>
        <v>2</v>
      </c>
      <c r="X4" s="120"/>
      <c r="Y4" s="234" t="str">
        <f>IF(OR(Z4="Y",AA4="Y"),"Not suitable","")</f>
        <v/>
      </c>
      <c r="Z4" s="235" t="str">
        <f>IF(N4="N/A","Y","")</f>
        <v/>
      </c>
      <c r="AA4" s="210"/>
      <c r="AB4" s="231"/>
      <c r="AD4" s="1188"/>
      <c r="AE4" s="219">
        <v>2</v>
      </c>
      <c r="AF4" s="226">
        <f t="shared" si="3"/>
        <v>12</v>
      </c>
      <c r="AG4" s="226" t="str">
        <f t="shared" si="4"/>
        <v>HUM.N</v>
      </c>
      <c r="AH4" s="226" t="str">
        <f t="shared" si="4"/>
        <v>Humana Inc</v>
      </c>
      <c r="AI4" s="915" t="str">
        <f t="shared" si="5"/>
        <v>United States of America</v>
      </c>
      <c r="AJ4" s="909">
        <v>20.7407474959594</v>
      </c>
      <c r="AK4" s="909">
        <v>3.6343411854390899</v>
      </c>
      <c r="AL4" s="909">
        <v>0.60183533870700001</v>
      </c>
      <c r="AM4" s="913">
        <v>0.56999999999999995</v>
      </c>
      <c r="AN4" s="220">
        <v>10.69</v>
      </c>
    </row>
    <row r="5" spans="1:40" ht="15" x14ac:dyDescent="0.2">
      <c r="A5" s="236"/>
      <c r="B5" s="311" t="s">
        <v>274</v>
      </c>
      <c r="C5" s="311" t="s">
        <v>275</v>
      </c>
      <c r="D5" s="311" t="s">
        <v>269</v>
      </c>
      <c r="E5" s="311" t="s">
        <v>270</v>
      </c>
      <c r="F5" s="901">
        <v>0.151001679</v>
      </c>
      <c r="G5" s="905">
        <v>3.0858475589999999</v>
      </c>
      <c r="H5" s="903">
        <v>75431574835.479996</v>
      </c>
      <c r="I5" s="936">
        <v>24.85</v>
      </c>
      <c r="J5" s="898">
        <v>5.5817766999999997E-2</v>
      </c>
      <c r="K5" s="234">
        <f t="shared" si="0"/>
        <v>6</v>
      </c>
      <c r="L5" s="234">
        <f t="shared" si="1"/>
        <v>2</v>
      </c>
      <c r="M5" s="234">
        <f t="shared" si="6"/>
        <v>3</v>
      </c>
      <c r="N5" s="234">
        <f t="shared" si="7"/>
        <v>4</v>
      </c>
      <c r="O5" s="234">
        <f t="shared" si="8"/>
        <v>4</v>
      </c>
      <c r="P5" s="234">
        <f>IFERROR(ABS(K$3-K5),"N/A")</f>
        <v>3</v>
      </c>
      <c r="Q5" s="234">
        <f t="shared" si="10"/>
        <v>5</v>
      </c>
      <c r="R5" s="234">
        <f t="shared" si="11"/>
        <v>2</v>
      </c>
      <c r="S5" s="234">
        <f t="shared" si="12"/>
        <v>1</v>
      </c>
      <c r="T5" s="234">
        <f t="shared" si="13"/>
        <v>1</v>
      </c>
      <c r="U5" s="234">
        <f t="shared" ref="U5:U14" si="16">SUM(P5:T5)</f>
        <v>12</v>
      </c>
      <c r="V5" s="234">
        <f t="shared" si="14"/>
        <v>2</v>
      </c>
      <c r="W5" s="234">
        <v>3</v>
      </c>
      <c r="Y5" s="234" t="str">
        <f>IF(OR(Z5="Y",AA5="Y"),"Not suitable","")</f>
        <v/>
      </c>
      <c r="Z5" s="243" t="str">
        <f>IF(N5="N/A","Y","")</f>
        <v/>
      </c>
      <c r="AA5" s="224"/>
      <c r="AB5" s="234"/>
      <c r="AD5" s="1188"/>
      <c r="AE5" s="219">
        <v>3</v>
      </c>
      <c r="AF5" s="226">
        <f t="shared" si="3"/>
        <v>12</v>
      </c>
      <c r="AG5" s="226" t="str">
        <f t="shared" si="4"/>
        <v>CI.N</v>
      </c>
      <c r="AH5" s="226" t="str">
        <f t="shared" si="4"/>
        <v>Cigna Group</v>
      </c>
      <c r="AI5" s="915" t="str">
        <f t="shared" si="5"/>
        <v>United States of America</v>
      </c>
      <c r="AJ5" s="909">
        <v>14.5450811185347</v>
      </c>
      <c r="AK5" s="909">
        <v>1.6547432535946101</v>
      </c>
      <c r="AL5" s="909">
        <v>0.39721316697812598</v>
      </c>
      <c r="AM5" s="913">
        <v>0.51</v>
      </c>
      <c r="AN5" s="220">
        <v>8.65</v>
      </c>
    </row>
    <row r="6" spans="1:40" ht="15" x14ac:dyDescent="0.2">
      <c r="A6" s="233"/>
      <c r="B6" s="311" t="s">
        <v>276</v>
      </c>
      <c r="C6" s="311" t="s">
        <v>277</v>
      </c>
      <c r="D6" s="311" t="s">
        <v>269</v>
      </c>
      <c r="E6" s="311" t="s">
        <v>270</v>
      </c>
      <c r="F6" s="901">
        <v>0.16607344900000001</v>
      </c>
      <c r="G6" s="905">
        <v>2.7974477960000002</v>
      </c>
      <c r="H6" s="903">
        <v>113262051026.75</v>
      </c>
      <c r="I6" s="936">
        <v>33.06</v>
      </c>
      <c r="J6" s="898">
        <v>5.5377104000000003E-2</v>
      </c>
      <c r="K6" s="234">
        <f t="shared" si="0"/>
        <v>5</v>
      </c>
      <c r="L6" s="234">
        <f t="shared" si="1"/>
        <v>4</v>
      </c>
      <c r="M6" s="234">
        <f t="shared" si="6"/>
        <v>2</v>
      </c>
      <c r="N6" s="234">
        <f t="shared" si="7"/>
        <v>1</v>
      </c>
      <c r="O6" s="234">
        <f t="shared" si="8"/>
        <v>5</v>
      </c>
      <c r="P6" s="234">
        <f>IFERROR(ABS(K$3-K6),"N/A")</f>
        <v>2</v>
      </c>
      <c r="Q6" s="234">
        <f t="shared" si="10"/>
        <v>3</v>
      </c>
      <c r="R6" s="234">
        <f t="shared" si="11"/>
        <v>1</v>
      </c>
      <c r="S6" s="234">
        <f t="shared" si="12"/>
        <v>2</v>
      </c>
      <c r="T6" s="234">
        <f t="shared" si="13"/>
        <v>2</v>
      </c>
      <c r="U6" s="234">
        <f t="shared" si="16"/>
        <v>10</v>
      </c>
      <c r="V6" s="234">
        <f t="shared" si="14"/>
        <v>1</v>
      </c>
      <c r="W6" s="234">
        <f t="shared" si="15"/>
        <v>1</v>
      </c>
      <c r="Y6" s="234" t="str">
        <f t="shared" si="2"/>
        <v/>
      </c>
      <c r="Z6" s="243" t="str">
        <f t="shared" ref="Z6:Z15" si="17">IF(N6="N/A","Y","")</f>
        <v/>
      </c>
      <c r="AA6" s="224"/>
      <c r="AB6" s="234"/>
      <c r="AD6" s="1188"/>
      <c r="AE6" s="222">
        <v>4</v>
      </c>
      <c r="AF6" s="226">
        <f t="shared" si="3"/>
        <v>13</v>
      </c>
      <c r="AG6" s="226" t="str">
        <f t="shared" si="4"/>
        <v>MOH.N</v>
      </c>
      <c r="AH6" s="226" t="str">
        <f t="shared" si="4"/>
        <v>Molina Healthcare Inc</v>
      </c>
      <c r="AI6" s="226" t="str">
        <f t="shared" si="5"/>
        <v>Brazil</v>
      </c>
      <c r="AJ6" s="908">
        <v>20.871839999999999</v>
      </c>
      <c r="AK6" s="909">
        <v>5.4874967775222396</v>
      </c>
      <c r="AL6" s="909">
        <v>0.64354979396637302</v>
      </c>
      <c r="AM6" s="914">
        <v>0.42</v>
      </c>
      <c r="AN6" s="223">
        <v>7.62</v>
      </c>
    </row>
    <row r="7" spans="1:40" ht="15" x14ac:dyDescent="0.2">
      <c r="A7" s="233"/>
      <c r="B7" s="311" t="s">
        <v>278</v>
      </c>
      <c r="C7" s="311" t="s">
        <v>279</v>
      </c>
      <c r="D7" s="311" t="s">
        <v>269</v>
      </c>
      <c r="E7" s="311" t="s">
        <v>270</v>
      </c>
      <c r="F7" s="901">
        <v>4.9964666999999997E-2</v>
      </c>
      <c r="G7" s="905">
        <v>13.367952519999999</v>
      </c>
      <c r="H7" s="903">
        <v>40070417010</v>
      </c>
      <c r="I7" s="936">
        <v>6.65</v>
      </c>
      <c r="J7" s="898">
        <v>9.3256859999999997E-3</v>
      </c>
      <c r="K7" s="234">
        <f t="shared" si="0"/>
        <v>9</v>
      </c>
      <c r="L7" s="234">
        <f t="shared" si="1"/>
        <v>1</v>
      </c>
      <c r="M7" s="234">
        <f t="shared" si="6"/>
        <v>5</v>
      </c>
      <c r="N7" s="234">
        <f t="shared" si="7"/>
        <v>6</v>
      </c>
      <c r="O7" s="234">
        <f t="shared" si="8"/>
        <v>9</v>
      </c>
      <c r="P7" s="234">
        <f t="shared" si="9"/>
        <v>6</v>
      </c>
      <c r="Q7" s="234">
        <f t="shared" si="10"/>
        <v>6</v>
      </c>
      <c r="R7" s="234">
        <f t="shared" si="11"/>
        <v>4</v>
      </c>
      <c r="S7" s="234">
        <f t="shared" si="12"/>
        <v>3</v>
      </c>
      <c r="T7" s="234">
        <f t="shared" si="13"/>
        <v>6</v>
      </c>
      <c r="U7" s="234">
        <f t="shared" si="16"/>
        <v>25</v>
      </c>
      <c r="V7" s="234">
        <f t="shared" si="14"/>
        <v>8</v>
      </c>
      <c r="W7" s="234">
        <f t="shared" ref="W7:W14" si="18">IF(Y7="Not suitable","-",V7)</f>
        <v>8</v>
      </c>
      <c r="Y7" s="234" t="str">
        <f t="shared" si="2"/>
        <v/>
      </c>
      <c r="Z7" s="243" t="str">
        <f t="shared" si="17"/>
        <v/>
      </c>
      <c r="AA7" s="224"/>
      <c r="AB7" s="234"/>
      <c r="AD7" s="1188"/>
      <c r="AE7" s="219">
        <v>5</v>
      </c>
      <c r="AF7" s="226">
        <f t="shared" si="3"/>
        <v>20</v>
      </c>
      <c r="AG7" s="226" t="str">
        <f t="shared" si="4"/>
        <v>ODPV3.SA</v>
      </c>
      <c r="AH7" s="226" t="str">
        <f t="shared" si="4"/>
        <v>Odontoprev SA</v>
      </c>
      <c r="AI7" s="226" t="str">
        <f t="shared" si="5"/>
        <v>Italy</v>
      </c>
      <c r="AJ7" s="908">
        <v>12.416288372511101</v>
      </c>
      <c r="AK7" s="909">
        <v>4.1591911466548801</v>
      </c>
      <c r="AL7" s="910">
        <v>2.9462169344529299</v>
      </c>
      <c r="AM7" s="220">
        <v>2.7</v>
      </c>
      <c r="AN7" s="220">
        <v>8.77</v>
      </c>
    </row>
    <row r="8" spans="1:40" ht="15" x14ac:dyDescent="0.2">
      <c r="A8" s="233"/>
      <c r="B8" s="311" t="s">
        <v>280</v>
      </c>
      <c r="C8" s="311" t="s">
        <v>281</v>
      </c>
      <c r="D8" s="311" t="s">
        <v>269</v>
      </c>
      <c r="E8" s="311" t="s">
        <v>282</v>
      </c>
      <c r="F8" s="901">
        <v>0.26720647800000003</v>
      </c>
      <c r="G8" s="905">
        <v>2.0571185000000001</v>
      </c>
      <c r="H8" s="903">
        <v>21396100000</v>
      </c>
      <c r="I8" s="896">
        <v>20.87</v>
      </c>
      <c r="J8" s="899">
        <v>3.6686057000000001E-2</v>
      </c>
      <c r="K8" s="234">
        <f t="shared" si="0"/>
        <v>2</v>
      </c>
      <c r="L8" s="234">
        <f t="shared" si="1"/>
        <v>6</v>
      </c>
      <c r="M8" s="234">
        <f t="shared" si="6"/>
        <v>6</v>
      </c>
      <c r="N8" s="234">
        <f t="shared" si="7"/>
        <v>5</v>
      </c>
      <c r="O8" s="234">
        <f t="shared" si="8"/>
        <v>7</v>
      </c>
      <c r="P8" s="234">
        <f t="shared" si="9"/>
        <v>1</v>
      </c>
      <c r="Q8" s="234">
        <f t="shared" si="10"/>
        <v>1</v>
      </c>
      <c r="R8" s="234">
        <f t="shared" si="11"/>
        <v>5</v>
      </c>
      <c r="S8" s="234">
        <f t="shared" si="12"/>
        <v>2</v>
      </c>
      <c r="T8" s="234">
        <f t="shared" si="13"/>
        <v>4</v>
      </c>
      <c r="U8" s="234">
        <f t="shared" si="16"/>
        <v>13</v>
      </c>
      <c r="V8" s="234">
        <f t="shared" si="14"/>
        <v>4</v>
      </c>
      <c r="W8" s="234">
        <f t="shared" si="18"/>
        <v>4</v>
      </c>
      <c r="Y8" s="234" t="str">
        <f t="shared" si="2"/>
        <v/>
      </c>
      <c r="Z8" s="243" t="str">
        <f t="shared" si="17"/>
        <v/>
      </c>
      <c r="AA8" s="224"/>
      <c r="AB8" s="234"/>
      <c r="AD8" s="1188"/>
      <c r="AE8" s="219">
        <v>6</v>
      </c>
      <c r="AF8" s="226">
        <f t="shared" si="3"/>
        <v>22</v>
      </c>
      <c r="AG8" s="226" t="str">
        <f t="shared" si="4"/>
        <v>PGNY.OQ</v>
      </c>
      <c r="AH8" s="226" t="str">
        <f t="shared" si="4"/>
        <v>Progyny Inc</v>
      </c>
      <c r="AI8" s="226" t="str">
        <f t="shared" si="5"/>
        <v>United States of America</v>
      </c>
      <c r="AJ8" s="908">
        <v>68.365985263117196</v>
      </c>
      <c r="AK8" s="909">
        <v>6.5683503491367796</v>
      </c>
      <c r="AL8" s="910">
        <v>3.2796510478915799</v>
      </c>
      <c r="AM8" s="220">
        <v>2.95</v>
      </c>
      <c r="AN8" s="220">
        <v>56.75</v>
      </c>
    </row>
    <row r="9" spans="1:40" ht="15" x14ac:dyDescent="0.2">
      <c r="A9" s="233"/>
      <c r="B9" s="311" t="s">
        <v>283</v>
      </c>
      <c r="C9" s="311" t="s">
        <v>284</v>
      </c>
      <c r="D9" s="311" t="s">
        <v>269</v>
      </c>
      <c r="E9" s="311" t="s">
        <v>285</v>
      </c>
      <c r="F9" s="901">
        <v>0.38116587400000002</v>
      </c>
      <c r="G9" s="905">
        <v>4.5917736000000001E-2</v>
      </c>
      <c r="H9" s="903">
        <v>1238201654.1900001</v>
      </c>
      <c r="I9" s="896">
        <v>0.18</v>
      </c>
      <c r="J9" s="899">
        <v>0.30150566000000001</v>
      </c>
      <c r="K9" s="234">
        <f t="shared" si="0"/>
        <v>1</v>
      </c>
      <c r="L9" s="234">
        <f t="shared" si="1"/>
        <v>9</v>
      </c>
      <c r="M9" s="234">
        <f t="shared" si="6"/>
        <v>10</v>
      </c>
      <c r="N9" s="234">
        <f t="shared" si="7"/>
        <v>8</v>
      </c>
      <c r="O9" s="234">
        <f t="shared" si="8"/>
        <v>1</v>
      </c>
      <c r="P9" s="234">
        <f t="shared" si="9"/>
        <v>2</v>
      </c>
      <c r="Q9" s="234">
        <f t="shared" si="10"/>
        <v>2</v>
      </c>
      <c r="R9" s="234">
        <f t="shared" si="11"/>
        <v>9</v>
      </c>
      <c r="S9" s="234">
        <f t="shared" si="12"/>
        <v>5</v>
      </c>
      <c r="T9" s="234">
        <f t="shared" si="13"/>
        <v>2</v>
      </c>
      <c r="U9" s="234">
        <f t="shared" si="16"/>
        <v>20</v>
      </c>
      <c r="V9" s="234">
        <f t="shared" si="14"/>
        <v>5</v>
      </c>
      <c r="W9" s="234">
        <f t="shared" si="18"/>
        <v>5</v>
      </c>
      <c r="Y9" s="234" t="str">
        <f t="shared" si="2"/>
        <v/>
      </c>
      <c r="Z9" s="243" t="str">
        <f t="shared" si="17"/>
        <v/>
      </c>
      <c r="AA9" s="224"/>
      <c r="AB9" s="234"/>
      <c r="AD9" s="1188"/>
      <c r="AE9" s="1194" t="s">
        <v>286</v>
      </c>
      <c r="AF9" s="1195"/>
      <c r="AG9" s="1195"/>
      <c r="AH9" s="1195"/>
      <c r="AI9" s="1196"/>
      <c r="AJ9" s="221">
        <f>MEDIAN(AJ3:AJ8)</f>
        <v>19.832237950158401</v>
      </c>
      <c r="AK9" s="221">
        <f t="shared" ref="AK9:AN9" si="19">MEDIAN(AK3:AK8)</f>
        <v>3.896766166046985</v>
      </c>
      <c r="AL9" s="221">
        <f t="shared" si="19"/>
        <v>0.65762090470089252</v>
      </c>
      <c r="AM9" s="221">
        <f t="shared" si="19"/>
        <v>0.65999999999999992</v>
      </c>
      <c r="AN9" s="221">
        <f t="shared" si="19"/>
        <v>9.73</v>
      </c>
    </row>
    <row r="10" spans="1:40" ht="18.75" x14ac:dyDescent="0.2">
      <c r="A10" s="233"/>
      <c r="B10" s="311" t="s">
        <v>287</v>
      </c>
      <c r="C10" s="311" t="s">
        <v>288</v>
      </c>
      <c r="D10" s="311" t="s">
        <v>269</v>
      </c>
      <c r="E10" s="311" t="s">
        <v>282</v>
      </c>
      <c r="F10" s="901">
        <v>0.116775305</v>
      </c>
      <c r="G10" s="905">
        <v>2.6976918140000001</v>
      </c>
      <c r="H10" s="903">
        <v>27967938.359999999</v>
      </c>
      <c r="I10" s="896">
        <v>0.17</v>
      </c>
      <c r="J10" s="899">
        <v>0.15918175600000001</v>
      </c>
      <c r="K10" s="234">
        <f t="shared" si="0"/>
        <v>7</v>
      </c>
      <c r="L10" s="234">
        <f t="shared" si="1"/>
        <v>5</v>
      </c>
      <c r="M10" s="234">
        <f t="shared" si="6"/>
        <v>12</v>
      </c>
      <c r="N10" s="234">
        <f t="shared" si="7"/>
        <v>9</v>
      </c>
      <c r="O10" s="234">
        <f t="shared" si="8"/>
        <v>2</v>
      </c>
      <c r="P10" s="234">
        <f t="shared" si="9"/>
        <v>4</v>
      </c>
      <c r="Q10" s="234">
        <f t="shared" si="10"/>
        <v>2</v>
      </c>
      <c r="R10" s="234">
        <f t="shared" si="11"/>
        <v>11</v>
      </c>
      <c r="S10" s="234">
        <f t="shared" si="12"/>
        <v>6</v>
      </c>
      <c r="T10" s="234">
        <f t="shared" si="13"/>
        <v>1</v>
      </c>
      <c r="U10" s="234">
        <f t="shared" si="16"/>
        <v>24</v>
      </c>
      <c r="V10" s="234">
        <f t="shared" si="14"/>
        <v>7</v>
      </c>
      <c r="W10" s="234">
        <f t="shared" si="18"/>
        <v>7</v>
      </c>
      <c r="Y10" s="234" t="str">
        <f t="shared" si="2"/>
        <v/>
      </c>
      <c r="Z10" s="243" t="str">
        <f t="shared" si="17"/>
        <v/>
      </c>
      <c r="AA10" s="224"/>
      <c r="AB10" s="234"/>
      <c r="AD10" s="1188"/>
      <c r="AE10" s="1188" t="s">
        <v>289</v>
      </c>
      <c r="AF10" s="1188"/>
      <c r="AG10" s="1188"/>
      <c r="AH10" s="1188"/>
      <c r="AI10" s="1188"/>
      <c r="AJ10" s="1189" t="s">
        <v>290</v>
      </c>
      <c r="AK10" s="1189"/>
      <c r="AL10" s="1189"/>
      <c r="AM10" s="1189"/>
      <c r="AN10" s="1189"/>
    </row>
    <row r="11" spans="1:40" ht="15" x14ac:dyDescent="0.2">
      <c r="A11" s="233"/>
      <c r="B11" s="311" t="s">
        <v>291</v>
      </c>
      <c r="C11" s="311" t="s">
        <v>292</v>
      </c>
      <c r="D11" s="311" t="s">
        <v>269</v>
      </c>
      <c r="E11" s="311" t="s">
        <v>270</v>
      </c>
      <c r="F11" s="901">
        <v>-1.5914830000000001E-2</v>
      </c>
      <c r="G11" s="921">
        <v>-90.254672249999999</v>
      </c>
      <c r="H11" s="903">
        <v>6697531556.3900003</v>
      </c>
      <c r="I11" s="896">
        <v>0</v>
      </c>
      <c r="J11" s="899">
        <v>-6.563152E-3</v>
      </c>
      <c r="K11" s="234">
        <f t="shared" si="0"/>
        <v>10</v>
      </c>
      <c r="L11" s="234">
        <f t="shared" si="1"/>
        <v>12</v>
      </c>
      <c r="M11" s="234">
        <f t="shared" si="6"/>
        <v>7</v>
      </c>
      <c r="N11" s="234">
        <f t="shared" si="7"/>
        <v>10</v>
      </c>
      <c r="O11" s="234">
        <f t="shared" si="8"/>
        <v>10</v>
      </c>
      <c r="P11" s="234">
        <f t="shared" si="9"/>
        <v>7</v>
      </c>
      <c r="Q11" s="234">
        <f t="shared" si="10"/>
        <v>5</v>
      </c>
      <c r="R11" s="234">
        <f t="shared" si="11"/>
        <v>6</v>
      </c>
      <c r="S11" s="234">
        <f t="shared" si="12"/>
        <v>7</v>
      </c>
      <c r="T11" s="234">
        <f t="shared" si="13"/>
        <v>7</v>
      </c>
      <c r="U11" s="234">
        <f t="shared" si="16"/>
        <v>32</v>
      </c>
      <c r="V11" s="234">
        <f t="shared" si="14"/>
        <v>9</v>
      </c>
      <c r="W11" s="234">
        <f t="shared" si="18"/>
        <v>9</v>
      </c>
      <c r="Y11" s="234" t="str">
        <f t="shared" si="2"/>
        <v/>
      </c>
      <c r="Z11" s="243" t="str">
        <f t="shared" si="17"/>
        <v/>
      </c>
      <c r="AA11" s="224"/>
      <c r="AB11" s="234"/>
      <c r="AD11" s="1188"/>
      <c r="AE11" s="227" t="s">
        <v>266</v>
      </c>
      <c r="AF11" s="228" t="s">
        <v>293</v>
      </c>
      <c r="AG11" s="227" t="s">
        <v>294</v>
      </c>
      <c r="AH11" s="1190" t="s">
        <v>295</v>
      </c>
      <c r="AI11" s="1191"/>
      <c r="AJ11" s="227" t="s">
        <v>261</v>
      </c>
      <c r="AK11" s="227" t="s">
        <v>262</v>
      </c>
      <c r="AL11" s="227" t="s">
        <v>263</v>
      </c>
      <c r="AM11" s="227" t="s">
        <v>264</v>
      </c>
      <c r="AN11" s="227" t="s">
        <v>265</v>
      </c>
    </row>
    <row r="12" spans="1:40" ht="24.75" x14ac:dyDescent="0.2">
      <c r="A12" s="233"/>
      <c r="B12" s="311" t="s">
        <v>296</v>
      </c>
      <c r="C12" s="311" t="s">
        <v>297</v>
      </c>
      <c r="D12" s="311" t="s">
        <v>269</v>
      </c>
      <c r="E12" s="311" t="s">
        <v>270</v>
      </c>
      <c r="F12" s="901">
        <v>8.0532035000000002E-2</v>
      </c>
      <c r="G12" s="906">
        <v>0.27770875299999997</v>
      </c>
      <c r="H12" s="903">
        <v>3387810659.8000002</v>
      </c>
      <c r="I12" s="896">
        <v>0.57999999999999996</v>
      </c>
      <c r="J12" s="899">
        <v>2.9661475E-2</v>
      </c>
      <c r="K12" s="234">
        <f t="shared" si="0"/>
        <v>8</v>
      </c>
      <c r="L12" s="234">
        <f t="shared" si="1"/>
        <v>8</v>
      </c>
      <c r="M12" s="234">
        <f t="shared" si="6"/>
        <v>8</v>
      </c>
      <c r="N12" s="234">
        <f t="shared" si="7"/>
        <v>7</v>
      </c>
      <c r="O12" s="234">
        <f t="shared" si="8"/>
        <v>8</v>
      </c>
      <c r="P12" s="234">
        <f t="shared" si="9"/>
        <v>5</v>
      </c>
      <c r="Q12" s="234">
        <f t="shared" si="10"/>
        <v>1</v>
      </c>
      <c r="R12" s="234">
        <f t="shared" si="11"/>
        <v>7</v>
      </c>
      <c r="S12" s="234">
        <f t="shared" si="12"/>
        <v>4</v>
      </c>
      <c r="T12" s="234">
        <f t="shared" si="13"/>
        <v>5</v>
      </c>
      <c r="U12" s="234">
        <f t="shared" si="16"/>
        <v>22</v>
      </c>
      <c r="V12" s="234">
        <f t="shared" si="14"/>
        <v>6</v>
      </c>
      <c r="W12" s="234">
        <f t="shared" si="18"/>
        <v>6</v>
      </c>
      <c r="Y12" s="234" t="str">
        <f t="shared" si="2"/>
        <v/>
      </c>
      <c r="Z12" s="243" t="str">
        <f t="shared" si="17"/>
        <v/>
      </c>
      <c r="AA12" s="224"/>
      <c r="AB12" s="234"/>
      <c r="AD12" s="1188"/>
      <c r="AE12" s="911" t="str">
        <f>C3</f>
        <v>UnitedHealth Group Inc</v>
      </c>
      <c r="AF12" s="126">
        <v>1000000</v>
      </c>
      <c r="AG12">
        <v>924925293</v>
      </c>
      <c r="AH12" s="1192">
        <f>-'Fin. Data'!B58*SARD!AF12+'Fin. Data'!B39*SARD!AF12</f>
        <v>-35556000000</v>
      </c>
      <c r="AI12" s="1193"/>
      <c r="AJ12" s="220">
        <f>AJ9*'Fin. Data'!B23*AF$12/AG$12</f>
        <v>442.54121078870662</v>
      </c>
      <c r="AK12" s="220">
        <f>AK9*'Fin. Data'!B64*AF$12/AG$12</f>
        <v>327.65813688890665</v>
      </c>
      <c r="AL12" s="249">
        <f>AL9*'Fin. Data'!B5*AF$12/AG$12</f>
        <v>230.47883901867814</v>
      </c>
      <c r="AM12" s="220">
        <f>(AM9*'Fin. Data'!B5*$AF12+$AH12)/$AG12</f>
        <v>192.87062571441646</v>
      </c>
      <c r="AN12" s="220">
        <f>(AN9*'Fin. Data'!B19*$AF12+$AH12)/$AG12</f>
        <v>296.45480783711253</v>
      </c>
    </row>
    <row r="13" spans="1:40" ht="18.75" x14ac:dyDescent="0.2">
      <c r="A13" s="233"/>
      <c r="B13" s="311" t="s">
        <v>298</v>
      </c>
      <c r="C13" s="311" t="s">
        <v>299</v>
      </c>
      <c r="D13" s="311" t="s">
        <v>269</v>
      </c>
      <c r="E13" s="311" t="s">
        <v>270</v>
      </c>
      <c r="F13" s="920">
        <v>-0.94944338100000003</v>
      </c>
      <c r="G13" s="906">
        <v>-1.6858555000000001E-2</v>
      </c>
      <c r="H13" s="903">
        <v>460872284.86000001</v>
      </c>
      <c r="I13" s="896">
        <v>-0.41</v>
      </c>
      <c r="J13" s="899">
        <v>-9.9979664999999995E-2</v>
      </c>
      <c r="K13" s="234">
        <f t="shared" si="0"/>
        <v>12</v>
      </c>
      <c r="L13" s="234">
        <f t="shared" si="1"/>
        <v>10</v>
      </c>
      <c r="M13" s="234">
        <f t="shared" si="6"/>
        <v>11</v>
      </c>
      <c r="N13" s="234">
        <f t="shared" si="7"/>
        <v>11</v>
      </c>
      <c r="O13" s="234">
        <f t="shared" si="8"/>
        <v>12</v>
      </c>
      <c r="P13" s="234">
        <f t="shared" si="9"/>
        <v>9</v>
      </c>
      <c r="Q13" s="234">
        <f t="shared" si="10"/>
        <v>3</v>
      </c>
      <c r="R13" s="234">
        <f t="shared" si="11"/>
        <v>10</v>
      </c>
      <c r="S13" s="234">
        <f t="shared" si="12"/>
        <v>8</v>
      </c>
      <c r="T13" s="234">
        <f t="shared" si="13"/>
        <v>9</v>
      </c>
      <c r="U13" s="234">
        <f t="shared" si="16"/>
        <v>39</v>
      </c>
      <c r="V13" s="234">
        <f t="shared" si="14"/>
        <v>11</v>
      </c>
      <c r="W13" s="234">
        <f t="shared" si="18"/>
        <v>11</v>
      </c>
      <c r="Y13" s="234" t="str">
        <f t="shared" si="2"/>
        <v/>
      </c>
      <c r="Z13" s="243" t="str">
        <f t="shared" si="17"/>
        <v/>
      </c>
      <c r="AA13" s="224"/>
      <c r="AB13" s="234"/>
      <c r="AE13" s="1185" t="s">
        <v>300</v>
      </c>
      <c r="AF13" s="1185"/>
      <c r="AG13" s="1186"/>
      <c r="AH13" s="1186"/>
      <c r="AI13" s="1185"/>
      <c r="AJ13" s="1187">
        <f>AVERAGE(AJ12:AL12)</f>
        <v>333.55939556543052</v>
      </c>
      <c r="AK13" s="1187"/>
      <c r="AL13" s="1187"/>
      <c r="AM13" s="1187">
        <f>AVERAGE(AM12:AN12)</f>
        <v>244.66271677576449</v>
      </c>
      <c r="AN13" s="1187"/>
    </row>
    <row r="14" spans="1:40" ht="18.75" x14ac:dyDescent="0.2">
      <c r="A14" s="233"/>
      <c r="B14" s="311" t="s">
        <v>301</v>
      </c>
      <c r="C14" s="311" t="s">
        <v>302</v>
      </c>
      <c r="D14" s="311" t="s">
        <v>269</v>
      </c>
      <c r="E14" s="311" t="s">
        <v>270</v>
      </c>
      <c r="F14" s="920">
        <v>-0.62840260999999997</v>
      </c>
      <c r="G14" s="905">
        <v>-1.231887492</v>
      </c>
      <c r="H14" s="903">
        <v>1467414347.1199999</v>
      </c>
      <c r="I14" s="896">
        <v>-0.77</v>
      </c>
      <c r="J14" s="899">
        <v>-9.1227681000000005E-2</v>
      </c>
      <c r="K14" s="234">
        <f t="shared" si="0"/>
        <v>11</v>
      </c>
      <c r="L14" s="234">
        <f t="shared" si="1"/>
        <v>11</v>
      </c>
      <c r="M14" s="234">
        <f t="shared" si="6"/>
        <v>9</v>
      </c>
      <c r="N14" s="234">
        <f t="shared" si="7"/>
        <v>12</v>
      </c>
      <c r="O14" s="234">
        <f t="shared" si="8"/>
        <v>11</v>
      </c>
      <c r="P14" s="234">
        <f t="shared" si="9"/>
        <v>8</v>
      </c>
      <c r="Q14" s="234">
        <f t="shared" si="10"/>
        <v>4</v>
      </c>
      <c r="R14" s="234">
        <f t="shared" si="11"/>
        <v>8</v>
      </c>
      <c r="S14" s="234">
        <f t="shared" si="12"/>
        <v>9</v>
      </c>
      <c r="T14" s="234">
        <f t="shared" si="13"/>
        <v>8</v>
      </c>
      <c r="U14" s="234">
        <f t="shared" si="16"/>
        <v>37</v>
      </c>
      <c r="V14" s="234">
        <f t="shared" si="14"/>
        <v>10</v>
      </c>
      <c r="W14" s="234">
        <f t="shared" si="18"/>
        <v>10</v>
      </c>
      <c r="Y14" s="234" t="str">
        <f t="shared" si="2"/>
        <v/>
      </c>
      <c r="Z14" s="243" t="str">
        <f t="shared" si="17"/>
        <v/>
      </c>
      <c r="AA14" s="224"/>
      <c r="AB14" s="234"/>
      <c r="AD14" s="244"/>
      <c r="AE14" s="1180" t="s">
        <v>118</v>
      </c>
      <c r="AF14" s="1181"/>
      <c r="AG14" s="1181"/>
      <c r="AH14" s="1181"/>
      <c r="AI14" s="1182"/>
      <c r="AJ14" s="1183">
        <f>AJ13/OP!C20-1</f>
        <v>-0.362560396794392</v>
      </c>
      <c r="AK14" s="1184"/>
      <c r="AL14" s="1184"/>
      <c r="AM14" s="1184">
        <f>AM13 /OP!C20-1</f>
        <v>-0.53244397497369578</v>
      </c>
      <c r="AN14" s="1184"/>
    </row>
    <row r="15" spans="1:40" ht="15" x14ac:dyDescent="0.2">
      <c r="A15" s="233"/>
      <c r="B15" s="311"/>
      <c r="C15" s="311"/>
      <c r="D15" s="311"/>
      <c r="E15" s="311"/>
      <c r="F15" s="313"/>
      <c r="G15" s="314"/>
      <c r="H15" s="315"/>
      <c r="I15" s="311"/>
      <c r="J15" s="895"/>
      <c r="K15" s="234"/>
      <c r="L15" s="234"/>
      <c r="M15" s="234"/>
      <c r="N15" s="234"/>
      <c r="O15" s="234"/>
      <c r="P15" s="234"/>
      <c r="Q15" s="234"/>
      <c r="R15" s="234"/>
      <c r="S15" s="234"/>
      <c r="T15" s="234"/>
      <c r="U15" s="234"/>
      <c r="V15" s="234"/>
      <c r="W15" s="234"/>
      <c r="Y15" s="234" t="str">
        <f t="shared" si="2"/>
        <v/>
      </c>
      <c r="Z15" s="243" t="str">
        <f t="shared" si="17"/>
        <v/>
      </c>
      <c r="AA15" s="224"/>
      <c r="AB15" s="234"/>
      <c r="AE15" s="244"/>
      <c r="AF15" s="244"/>
      <c r="AG15" s="244"/>
      <c r="AH15" s="244"/>
      <c r="AI15" s="244"/>
      <c r="AJ15" s="244"/>
      <c r="AK15" s="244"/>
      <c r="AL15" s="244"/>
      <c r="AM15" s="244"/>
      <c r="AN15" s="244"/>
    </row>
    <row r="16" spans="1:40" ht="15" x14ac:dyDescent="0.2">
      <c r="A16" s="233"/>
      <c r="B16" s="311"/>
      <c r="C16" s="311"/>
      <c r="D16" s="308"/>
      <c r="E16" s="308"/>
      <c r="F16" s="309"/>
      <c r="G16" s="309"/>
      <c r="H16" s="309"/>
      <c r="I16" s="309"/>
      <c r="J16" s="309"/>
      <c r="K16" s="243"/>
      <c r="L16" s="234"/>
      <c r="M16" s="234"/>
      <c r="N16" s="234"/>
      <c r="O16" s="234"/>
      <c r="P16" s="234"/>
      <c r="Q16" s="234"/>
      <c r="R16" s="234"/>
      <c r="S16" s="234"/>
      <c r="T16" s="234"/>
      <c r="U16" s="234"/>
      <c r="V16" s="234"/>
      <c r="W16" s="234"/>
      <c r="Y16" s="234"/>
      <c r="Z16" s="243"/>
      <c r="AA16" s="224"/>
      <c r="AB16" s="234"/>
      <c r="AE16" s="244"/>
      <c r="AF16" s="244"/>
      <c r="AG16" s="244"/>
      <c r="AH16" s="244"/>
      <c r="AI16" s="244"/>
      <c r="AJ16" s="244"/>
      <c r="AK16" s="244"/>
      <c r="AL16" s="244"/>
      <c r="AM16" s="244"/>
      <c r="AN16" s="244"/>
    </row>
    <row r="17" spans="1:28" ht="15" x14ac:dyDescent="0.15">
      <c r="A17" s="233"/>
      <c r="B17" s="237"/>
      <c r="C17" s="239"/>
      <c r="D17" s="239"/>
      <c r="E17" s="239"/>
      <c r="F17" s="225"/>
      <c r="G17" s="241"/>
      <c r="H17" s="242"/>
      <c r="I17" s="225"/>
      <c r="J17" s="225"/>
      <c r="K17" s="234"/>
      <c r="L17" s="234"/>
      <c r="M17" s="234"/>
      <c r="N17" s="234"/>
      <c r="O17" s="234"/>
      <c r="P17" s="234"/>
      <c r="Q17" s="234"/>
      <c r="R17" s="234"/>
      <c r="S17" s="234"/>
      <c r="T17" s="234"/>
      <c r="U17" s="234"/>
      <c r="V17" s="234"/>
      <c r="W17" s="234"/>
      <c r="Y17" s="234"/>
      <c r="Z17" s="243"/>
      <c r="AA17" s="224"/>
      <c r="AB17" s="234"/>
    </row>
    <row r="18" spans="1:28" ht="15" x14ac:dyDescent="0.15">
      <c r="A18" s="233"/>
      <c r="B18" s="237"/>
      <c r="C18" s="239"/>
      <c r="D18" s="239"/>
      <c r="E18" s="239"/>
      <c r="F18" s="225"/>
      <c r="G18" s="241"/>
      <c r="H18" s="242"/>
      <c r="I18" s="225"/>
      <c r="J18" s="225"/>
      <c r="K18" s="234"/>
      <c r="L18" s="234"/>
      <c r="M18" s="234"/>
      <c r="N18" s="234"/>
      <c r="O18" s="234"/>
      <c r="P18" s="234"/>
      <c r="Q18" s="234"/>
      <c r="R18" s="234"/>
      <c r="S18" s="234"/>
      <c r="T18" s="234"/>
      <c r="U18" s="234"/>
      <c r="V18" s="234"/>
      <c r="W18" s="234"/>
      <c r="Y18" s="234"/>
      <c r="Z18" s="243"/>
      <c r="AA18" s="224"/>
      <c r="AB18" s="234"/>
    </row>
    <row r="19" spans="1:28" ht="15" x14ac:dyDescent="0.15">
      <c r="A19" s="233"/>
      <c r="B19" s="237"/>
      <c r="C19" s="239"/>
      <c r="D19" s="239"/>
      <c r="E19" s="239"/>
      <c r="F19" s="225"/>
      <c r="G19" s="241"/>
      <c r="H19" s="242"/>
      <c r="I19" s="225"/>
      <c r="J19" s="225"/>
      <c r="K19" s="234"/>
      <c r="L19" s="234"/>
      <c r="M19" s="234"/>
      <c r="N19" s="234"/>
      <c r="O19" s="234"/>
      <c r="P19" s="234"/>
      <c r="Q19" s="234"/>
      <c r="R19" s="234"/>
      <c r="S19" s="234"/>
      <c r="T19" s="234"/>
      <c r="U19" s="234"/>
      <c r="V19" s="234"/>
      <c r="W19" s="234"/>
      <c r="Y19" s="234"/>
      <c r="Z19" s="243"/>
      <c r="AA19" s="224"/>
      <c r="AB19" s="234"/>
    </row>
    <row r="20" spans="1:28" ht="15" x14ac:dyDescent="0.15">
      <c r="A20" s="233"/>
      <c r="B20" s="237"/>
      <c r="C20" s="239"/>
      <c r="D20" s="239"/>
      <c r="E20" s="239"/>
      <c r="F20" s="225"/>
      <c r="G20" s="241"/>
      <c r="H20" s="242"/>
      <c r="I20" s="225"/>
      <c r="J20" s="225"/>
      <c r="K20" s="234"/>
      <c r="L20" s="234"/>
      <c r="M20" s="234"/>
      <c r="N20" s="234"/>
      <c r="O20" s="234"/>
      <c r="P20" s="234"/>
      <c r="Q20" s="234"/>
      <c r="R20" s="234"/>
      <c r="S20" s="234"/>
      <c r="T20" s="234"/>
      <c r="U20" s="234"/>
      <c r="V20" s="234"/>
      <c r="W20" s="234"/>
      <c r="Y20" s="234"/>
      <c r="Z20" s="243"/>
      <c r="AA20" s="224"/>
      <c r="AB20" s="234"/>
    </row>
    <row r="21" spans="1:28" ht="15" x14ac:dyDescent="0.15">
      <c r="A21" s="233"/>
      <c r="B21" s="237"/>
      <c r="C21" s="239"/>
      <c r="D21" s="239"/>
      <c r="E21" s="239"/>
      <c r="F21" s="225"/>
      <c r="G21" s="241"/>
      <c r="H21" s="242"/>
      <c r="I21" s="225"/>
      <c r="J21" s="225"/>
      <c r="K21" s="234"/>
      <c r="L21" s="234"/>
      <c r="M21" s="234"/>
      <c r="N21" s="234"/>
      <c r="O21" s="234"/>
      <c r="P21" s="234"/>
      <c r="Q21" s="234"/>
      <c r="R21" s="234"/>
      <c r="S21" s="234"/>
      <c r="T21" s="234"/>
      <c r="U21" s="234"/>
      <c r="V21" s="234"/>
      <c r="W21" s="234"/>
      <c r="Y21" s="234"/>
      <c r="Z21" s="243"/>
      <c r="AA21" s="224"/>
      <c r="AB21" s="234"/>
    </row>
    <row r="22" spans="1:28" ht="15" x14ac:dyDescent="0.15">
      <c r="A22" s="233"/>
      <c r="B22" s="237"/>
      <c r="C22" s="239"/>
      <c r="D22" s="239"/>
      <c r="E22" s="239"/>
      <c r="F22" s="225"/>
      <c r="G22" s="241"/>
      <c r="H22" s="242"/>
      <c r="I22" s="225"/>
      <c r="J22" s="225"/>
      <c r="K22" s="234"/>
      <c r="L22" s="234"/>
      <c r="M22" s="234"/>
      <c r="N22" s="234"/>
      <c r="O22" s="234"/>
      <c r="P22" s="234"/>
      <c r="Q22" s="234"/>
      <c r="R22" s="234"/>
      <c r="S22" s="234"/>
      <c r="T22" s="234"/>
      <c r="U22" s="234"/>
      <c r="V22" s="234"/>
      <c r="W22" s="234"/>
      <c r="Y22" s="234"/>
      <c r="Z22" s="243"/>
      <c r="AA22" s="224"/>
      <c r="AB22" s="234"/>
    </row>
    <row r="23" spans="1:28" ht="15" x14ac:dyDescent="0.15">
      <c r="A23" s="233"/>
      <c r="B23" s="237"/>
      <c r="C23" s="239"/>
      <c r="D23" s="239"/>
      <c r="E23" s="239"/>
      <c r="F23" s="225"/>
      <c r="G23" s="241"/>
      <c r="H23" s="242"/>
      <c r="I23" s="225"/>
      <c r="J23" s="225"/>
      <c r="K23" s="234"/>
      <c r="L23" s="234"/>
      <c r="M23" s="234"/>
      <c r="N23" s="234"/>
      <c r="O23" s="234"/>
      <c r="P23" s="234"/>
      <c r="Q23" s="234"/>
      <c r="R23" s="234"/>
      <c r="S23" s="234"/>
      <c r="T23" s="234"/>
      <c r="U23" s="234"/>
      <c r="V23" s="234"/>
      <c r="W23" s="234"/>
      <c r="Y23" s="234"/>
      <c r="Z23" s="243"/>
      <c r="AA23" s="224"/>
      <c r="AB23" s="234"/>
    </row>
    <row r="24" spans="1:28" ht="15" x14ac:dyDescent="0.15">
      <c r="A24" s="233"/>
      <c r="B24" s="237"/>
      <c r="C24" s="239"/>
      <c r="D24" s="239"/>
      <c r="E24" s="239"/>
      <c r="F24" s="225"/>
      <c r="G24" s="241"/>
      <c r="H24" s="242"/>
      <c r="I24" s="225"/>
      <c r="J24" s="225"/>
      <c r="K24" s="234"/>
      <c r="L24" s="234"/>
      <c r="M24" s="234"/>
      <c r="N24" s="234"/>
      <c r="O24" s="234"/>
      <c r="P24" s="234"/>
      <c r="Q24" s="234"/>
      <c r="R24" s="234"/>
      <c r="S24" s="234"/>
      <c r="T24" s="234"/>
      <c r="U24" s="234"/>
      <c r="V24" s="234"/>
      <c r="W24" s="234"/>
      <c r="Y24" s="234"/>
      <c r="Z24" s="243"/>
      <c r="AA24" s="224"/>
      <c r="AB24" s="234"/>
    </row>
    <row r="25" spans="1:28" ht="15" x14ac:dyDescent="0.15">
      <c r="A25" s="233"/>
      <c r="B25" s="237"/>
      <c r="C25" s="239"/>
      <c r="D25" s="239"/>
      <c r="E25" s="239"/>
      <c r="F25" s="225"/>
      <c r="G25" s="241"/>
      <c r="H25" s="242"/>
      <c r="I25" s="225"/>
      <c r="J25" s="225"/>
      <c r="K25" s="234"/>
      <c r="L25" s="234"/>
      <c r="M25" s="234"/>
      <c r="N25" s="234"/>
      <c r="O25" s="234"/>
      <c r="P25" s="234"/>
      <c r="Q25" s="234"/>
      <c r="R25" s="234"/>
      <c r="S25" s="234"/>
      <c r="T25" s="234"/>
      <c r="U25" s="234"/>
      <c r="V25" s="234"/>
      <c r="W25" s="234"/>
      <c r="Y25" s="234"/>
      <c r="Z25" s="243"/>
      <c r="AA25" s="224"/>
      <c r="AB25" s="234"/>
    </row>
    <row r="26" spans="1:28" ht="15" x14ac:dyDescent="0.15">
      <c r="A26" s="233"/>
      <c r="B26" s="237"/>
      <c r="C26" s="239"/>
      <c r="D26" s="239"/>
      <c r="E26" s="239"/>
      <c r="F26" s="225"/>
      <c r="G26" s="241"/>
      <c r="H26" s="242"/>
      <c r="I26" s="225"/>
      <c r="J26" s="225"/>
      <c r="K26" s="234"/>
      <c r="L26" s="234"/>
      <c r="M26" s="234"/>
      <c r="N26" s="234"/>
      <c r="O26" s="234"/>
      <c r="P26" s="234"/>
      <c r="Q26" s="234"/>
      <c r="R26" s="234"/>
      <c r="S26" s="234"/>
      <c r="T26" s="234"/>
      <c r="U26" s="234"/>
      <c r="V26" s="234"/>
      <c r="W26" s="234"/>
      <c r="Y26" s="234"/>
      <c r="Z26" s="243"/>
      <c r="AA26" s="224"/>
      <c r="AB26" s="234"/>
    </row>
    <row r="27" spans="1:28" ht="15" x14ac:dyDescent="0.15">
      <c r="A27" s="233"/>
      <c r="B27" s="237"/>
      <c r="C27" s="239"/>
      <c r="D27" s="239"/>
      <c r="E27" s="239"/>
      <c r="F27" s="225"/>
      <c r="G27" s="241"/>
      <c r="H27" s="242"/>
      <c r="I27" s="225"/>
      <c r="J27" s="225"/>
      <c r="K27" s="234"/>
      <c r="L27" s="234"/>
      <c r="M27" s="234"/>
      <c r="N27" s="234"/>
      <c r="O27" s="234"/>
      <c r="P27" s="234"/>
      <c r="Q27" s="234"/>
      <c r="R27" s="234"/>
      <c r="S27" s="234"/>
      <c r="T27" s="234"/>
      <c r="U27" s="234"/>
      <c r="V27" s="234"/>
      <c r="W27" s="234"/>
      <c r="Y27" s="234"/>
      <c r="Z27" s="243"/>
      <c r="AA27" s="224"/>
      <c r="AB27" s="234"/>
    </row>
    <row r="28" spans="1:28" ht="15" x14ac:dyDescent="0.15">
      <c r="A28" s="233"/>
      <c r="B28" s="237"/>
      <c r="C28" s="239"/>
      <c r="D28" s="239"/>
      <c r="E28" s="239"/>
      <c r="F28" s="225"/>
      <c r="G28" s="241"/>
      <c r="H28" s="242"/>
      <c r="I28" s="225"/>
      <c r="J28" s="225"/>
      <c r="K28" s="234"/>
      <c r="L28" s="234"/>
      <c r="M28" s="234"/>
      <c r="N28" s="234"/>
      <c r="O28" s="234"/>
      <c r="P28" s="234"/>
      <c r="Q28" s="234"/>
      <c r="R28" s="234"/>
      <c r="S28" s="234"/>
      <c r="T28" s="234"/>
      <c r="U28" s="234"/>
      <c r="V28" s="234"/>
      <c r="W28" s="234"/>
      <c r="Y28" s="234"/>
      <c r="Z28" s="243"/>
      <c r="AA28" s="224"/>
      <c r="AB28" s="234"/>
    </row>
    <row r="29" spans="1:28" ht="15" x14ac:dyDescent="0.15">
      <c r="A29" s="233"/>
      <c r="B29" s="237"/>
      <c r="C29" s="239"/>
      <c r="D29" s="239"/>
      <c r="E29" s="239"/>
      <c r="F29" s="225"/>
      <c r="G29" s="241"/>
      <c r="H29" s="242"/>
      <c r="I29" s="225"/>
      <c r="J29" s="225"/>
      <c r="K29" s="234"/>
      <c r="L29" s="234"/>
      <c r="M29" s="234"/>
      <c r="N29" s="234"/>
      <c r="O29" s="234"/>
      <c r="P29" s="234"/>
      <c r="Q29" s="234"/>
      <c r="R29" s="234"/>
      <c r="S29" s="234"/>
      <c r="T29" s="234"/>
      <c r="U29" s="234"/>
      <c r="V29" s="234"/>
      <c r="W29" s="234"/>
      <c r="Y29" s="234"/>
      <c r="Z29" s="243"/>
      <c r="AA29" s="224"/>
      <c r="AB29" s="234"/>
    </row>
    <row r="30" spans="1:28" ht="15" x14ac:dyDescent="0.15">
      <c r="A30" s="233"/>
      <c r="B30" s="237"/>
      <c r="C30" s="239"/>
      <c r="D30" s="239"/>
      <c r="E30" s="239"/>
      <c r="F30" s="225"/>
      <c r="G30" s="241"/>
      <c r="H30" s="242"/>
      <c r="I30" s="225"/>
      <c r="J30" s="225"/>
      <c r="K30" s="234"/>
      <c r="L30" s="234"/>
      <c r="M30" s="234"/>
      <c r="N30" s="234"/>
      <c r="O30" s="234"/>
      <c r="P30" s="234"/>
      <c r="Q30" s="234"/>
      <c r="R30" s="234"/>
      <c r="S30" s="234"/>
      <c r="T30" s="234"/>
      <c r="U30" s="234"/>
      <c r="V30" s="234"/>
      <c r="W30" s="234"/>
      <c r="Y30" s="234"/>
      <c r="Z30" s="243"/>
      <c r="AA30" s="224"/>
      <c r="AB30" s="234"/>
    </row>
    <row r="31" spans="1:28" ht="15" x14ac:dyDescent="0.15">
      <c r="A31" s="233"/>
      <c r="B31" s="237"/>
      <c r="C31" s="239"/>
      <c r="D31" s="239"/>
      <c r="E31" s="239"/>
      <c r="F31" s="225"/>
      <c r="G31" s="241"/>
      <c r="H31" s="242"/>
      <c r="I31" s="225"/>
      <c r="J31" s="225"/>
      <c r="K31" s="234"/>
      <c r="L31" s="234"/>
      <c r="M31" s="234"/>
      <c r="N31" s="234"/>
      <c r="O31" s="234"/>
      <c r="P31" s="234"/>
      <c r="Q31" s="234"/>
      <c r="R31" s="234"/>
      <c r="S31" s="234"/>
      <c r="T31" s="234"/>
      <c r="U31" s="234"/>
      <c r="V31" s="234"/>
      <c r="W31" s="234"/>
      <c r="Y31" s="234"/>
      <c r="Z31" s="243"/>
      <c r="AA31" s="224"/>
      <c r="AB31" s="234"/>
    </row>
    <row r="32" spans="1:28" ht="15" x14ac:dyDescent="0.15">
      <c r="A32" s="233"/>
      <c r="B32" s="237"/>
      <c r="C32" s="239"/>
      <c r="D32" s="239"/>
      <c r="E32" s="239"/>
      <c r="F32" s="225"/>
      <c r="G32" s="241"/>
      <c r="H32" s="242"/>
      <c r="I32" s="225"/>
      <c r="J32" s="225"/>
      <c r="K32" s="234"/>
      <c r="L32" s="234"/>
      <c r="M32" s="234"/>
      <c r="N32" s="234"/>
      <c r="O32" s="234"/>
      <c r="P32" s="234"/>
      <c r="Q32" s="234"/>
      <c r="R32" s="234"/>
      <c r="S32" s="234"/>
      <c r="T32" s="234"/>
      <c r="U32" s="234"/>
      <c r="V32" s="234"/>
      <c r="W32" s="234"/>
      <c r="Y32" s="234"/>
      <c r="Z32" s="243"/>
      <c r="AA32" s="224"/>
      <c r="AB32" s="234"/>
    </row>
    <row r="33" spans="1:28" ht="15" x14ac:dyDescent="0.15">
      <c r="A33" s="233"/>
      <c r="B33" s="237"/>
      <c r="C33" s="239"/>
      <c r="D33" s="239"/>
      <c r="E33" s="239"/>
      <c r="F33" s="225"/>
      <c r="G33" s="241"/>
      <c r="H33" s="242"/>
      <c r="I33" s="225"/>
      <c r="J33" s="225"/>
      <c r="K33" s="234"/>
      <c r="L33" s="234"/>
      <c r="M33" s="234"/>
      <c r="N33" s="234"/>
      <c r="O33" s="234"/>
      <c r="P33" s="234"/>
      <c r="Q33" s="234"/>
      <c r="R33" s="234"/>
      <c r="S33" s="234"/>
      <c r="T33" s="234"/>
      <c r="U33" s="234"/>
      <c r="V33" s="234"/>
      <c r="W33" s="234"/>
      <c r="Y33" s="234"/>
      <c r="Z33" s="243"/>
      <c r="AA33" s="224"/>
      <c r="AB33" s="234"/>
    </row>
    <row r="34" spans="1:28" ht="15" x14ac:dyDescent="0.15">
      <c r="A34" s="233"/>
      <c r="B34" s="237"/>
      <c r="C34" s="239"/>
      <c r="D34" s="239"/>
      <c r="E34" s="239"/>
      <c r="F34" s="225"/>
      <c r="G34" s="241"/>
      <c r="H34" s="242"/>
      <c r="I34" s="225"/>
      <c r="J34" s="225"/>
      <c r="K34" s="234"/>
      <c r="L34" s="234"/>
      <c r="M34" s="234"/>
      <c r="N34" s="234"/>
      <c r="O34" s="234"/>
      <c r="P34" s="234"/>
      <c r="Q34" s="234"/>
      <c r="R34" s="234"/>
      <c r="S34" s="234"/>
      <c r="T34" s="234"/>
      <c r="U34" s="234"/>
      <c r="V34" s="234"/>
      <c r="W34" s="234"/>
      <c r="Y34" s="234"/>
      <c r="Z34" s="243"/>
      <c r="AA34" s="224"/>
      <c r="AB34" s="234"/>
    </row>
    <row r="35" spans="1:28" ht="15" x14ac:dyDescent="0.15">
      <c r="A35" s="233"/>
      <c r="B35" s="237"/>
      <c r="C35" s="239"/>
      <c r="D35" s="239"/>
      <c r="E35" s="239"/>
      <c r="F35" s="225"/>
      <c r="G35" s="241"/>
      <c r="H35" s="242"/>
      <c r="I35" s="225"/>
      <c r="J35" s="225"/>
      <c r="K35" s="234"/>
      <c r="L35" s="234"/>
      <c r="M35" s="234"/>
      <c r="N35" s="234"/>
      <c r="O35" s="234"/>
      <c r="P35" s="234"/>
      <c r="Q35" s="234"/>
      <c r="R35" s="234"/>
      <c r="S35" s="234"/>
      <c r="T35" s="234"/>
      <c r="U35" s="234"/>
      <c r="V35" s="234"/>
      <c r="W35" s="234"/>
      <c r="Y35" s="234"/>
      <c r="Z35" s="243"/>
      <c r="AA35" s="224"/>
      <c r="AB35" s="234"/>
    </row>
    <row r="36" spans="1:28" ht="15" x14ac:dyDescent="0.15">
      <c r="A36" s="233"/>
      <c r="B36" s="237"/>
      <c r="C36" s="239"/>
      <c r="D36" s="239"/>
      <c r="E36" s="239"/>
      <c r="F36" s="225"/>
      <c r="G36" s="241"/>
      <c r="H36" s="242"/>
      <c r="I36" s="225"/>
      <c r="J36" s="225"/>
      <c r="K36" s="234"/>
      <c r="L36" s="234"/>
      <c r="M36" s="234"/>
      <c r="N36" s="234"/>
      <c r="O36" s="234"/>
      <c r="P36" s="234"/>
      <c r="Q36" s="234"/>
      <c r="R36" s="234"/>
      <c r="S36" s="234"/>
      <c r="T36" s="234"/>
      <c r="U36" s="234"/>
      <c r="V36" s="234"/>
      <c r="W36" s="234"/>
      <c r="Y36" s="234"/>
      <c r="Z36" s="243"/>
      <c r="AA36" s="224"/>
      <c r="AB36" s="234"/>
    </row>
    <row r="37" spans="1:28" ht="15" x14ac:dyDescent="0.15">
      <c r="A37" s="233"/>
      <c r="B37" s="237"/>
      <c r="C37" s="239"/>
      <c r="D37" s="239"/>
      <c r="E37" s="239"/>
      <c r="F37" s="225"/>
      <c r="G37" s="241"/>
      <c r="H37" s="242"/>
      <c r="I37" s="225"/>
      <c r="J37" s="225"/>
      <c r="K37" s="234"/>
      <c r="L37" s="234"/>
      <c r="M37" s="234"/>
      <c r="N37" s="234"/>
      <c r="O37" s="234"/>
      <c r="P37" s="234"/>
      <c r="Q37" s="234"/>
      <c r="R37" s="234"/>
      <c r="S37" s="234"/>
      <c r="T37" s="234"/>
      <c r="U37" s="234"/>
      <c r="V37" s="234"/>
      <c r="W37" s="234"/>
      <c r="Y37" s="234"/>
      <c r="Z37" s="243"/>
      <c r="AA37" s="224"/>
      <c r="AB37" s="234"/>
    </row>
    <row r="38" spans="1:28" ht="15" x14ac:dyDescent="0.15">
      <c r="A38" s="233"/>
      <c r="B38" s="237"/>
      <c r="C38" s="239"/>
      <c r="D38" s="239"/>
      <c r="E38" s="239"/>
      <c r="F38" s="225"/>
      <c r="G38" s="241"/>
      <c r="H38" s="242"/>
      <c r="I38" s="225"/>
      <c r="J38" s="225"/>
      <c r="K38" s="234"/>
      <c r="L38" s="234"/>
      <c r="M38" s="234"/>
      <c r="N38" s="234"/>
      <c r="O38" s="234"/>
      <c r="P38" s="234"/>
      <c r="Q38" s="234"/>
      <c r="R38" s="234"/>
      <c r="S38" s="234"/>
      <c r="T38" s="234"/>
      <c r="U38" s="234"/>
      <c r="V38" s="234"/>
      <c r="W38" s="234"/>
      <c r="Y38" s="234"/>
      <c r="Z38" s="243"/>
      <c r="AA38" s="224"/>
      <c r="AB38" s="234"/>
    </row>
    <row r="39" spans="1:28" ht="15" x14ac:dyDescent="0.15">
      <c r="A39" s="233"/>
      <c r="B39" s="237"/>
      <c r="C39" s="239"/>
      <c r="D39" s="239"/>
      <c r="E39" s="239"/>
      <c r="F39" s="225"/>
      <c r="G39" s="241"/>
      <c r="H39" s="242"/>
      <c r="I39" s="225"/>
      <c r="J39" s="225"/>
      <c r="K39" s="234"/>
      <c r="L39" s="234"/>
      <c r="M39" s="234"/>
      <c r="N39" s="234"/>
      <c r="O39" s="234"/>
      <c r="P39" s="234"/>
      <c r="Q39" s="234"/>
      <c r="R39" s="234"/>
      <c r="S39" s="234"/>
      <c r="T39" s="234"/>
      <c r="U39" s="234"/>
      <c r="V39" s="234"/>
      <c r="W39" s="234"/>
      <c r="Y39" s="234"/>
      <c r="Z39" s="243"/>
      <c r="AA39" s="224"/>
      <c r="AB39" s="234"/>
    </row>
    <row r="40" spans="1:28" ht="15" x14ac:dyDescent="0.15">
      <c r="A40" s="233"/>
      <c r="B40" s="237"/>
      <c r="C40" s="239"/>
      <c r="D40" s="239"/>
      <c r="E40" s="239"/>
      <c r="F40" s="225"/>
      <c r="G40" s="241"/>
      <c r="H40" s="242"/>
      <c r="I40" s="225"/>
      <c r="J40" s="225"/>
      <c r="K40" s="234"/>
      <c r="L40" s="234"/>
      <c r="M40" s="234"/>
      <c r="N40" s="234"/>
      <c r="O40" s="234"/>
      <c r="P40" s="234"/>
      <c r="Q40" s="234"/>
      <c r="R40" s="234"/>
      <c r="S40" s="234"/>
      <c r="T40" s="234"/>
      <c r="U40" s="234"/>
      <c r="V40" s="234"/>
      <c r="W40" s="234"/>
      <c r="Y40" s="234"/>
      <c r="Z40" s="243"/>
      <c r="AA40" s="224"/>
      <c r="AB40" s="234"/>
    </row>
    <row r="41" spans="1:28" ht="15" x14ac:dyDescent="0.15">
      <c r="A41" s="233"/>
      <c r="B41" s="237"/>
      <c r="C41" s="239"/>
      <c r="D41" s="239"/>
      <c r="E41" s="239"/>
      <c r="F41" s="225"/>
      <c r="G41" s="241"/>
      <c r="H41" s="242"/>
      <c r="I41" s="225"/>
      <c r="J41" s="225"/>
      <c r="K41" s="234"/>
      <c r="L41" s="234"/>
      <c r="M41" s="234"/>
      <c r="N41" s="234"/>
      <c r="O41" s="234"/>
      <c r="P41" s="234"/>
      <c r="Q41" s="234"/>
      <c r="R41" s="234"/>
      <c r="S41" s="234"/>
      <c r="T41" s="234"/>
      <c r="U41" s="234"/>
      <c r="V41" s="234"/>
      <c r="W41" s="234"/>
      <c r="Y41" s="234"/>
      <c r="Z41" s="243"/>
      <c r="AA41" s="224"/>
      <c r="AB41" s="234"/>
    </row>
    <row r="42" spans="1:28" ht="15" x14ac:dyDescent="0.15">
      <c r="A42" s="233"/>
      <c r="B42" s="237"/>
      <c r="C42" s="239"/>
      <c r="D42" s="239"/>
      <c r="E42" s="239"/>
      <c r="F42" s="225"/>
      <c r="G42" s="241"/>
      <c r="H42" s="242"/>
      <c r="I42" s="225"/>
      <c r="J42" s="225"/>
      <c r="K42" s="234"/>
      <c r="L42" s="234"/>
      <c r="M42" s="234"/>
      <c r="N42" s="234"/>
      <c r="O42" s="234"/>
      <c r="P42" s="234"/>
      <c r="Q42" s="234"/>
      <c r="R42" s="234"/>
      <c r="S42" s="234"/>
      <c r="T42" s="234"/>
      <c r="U42" s="234"/>
      <c r="V42" s="234"/>
      <c r="W42" s="234"/>
      <c r="Y42" s="234"/>
      <c r="Z42" s="243"/>
      <c r="AA42" s="224"/>
      <c r="AB42" s="234"/>
    </row>
    <row r="43" spans="1:28" ht="15" x14ac:dyDescent="0.15">
      <c r="A43" s="233"/>
      <c r="B43" s="237"/>
      <c r="C43" s="239"/>
      <c r="D43" s="239"/>
      <c r="E43" s="239"/>
      <c r="F43" s="225"/>
      <c r="G43" s="241"/>
      <c r="H43" s="242"/>
      <c r="I43" s="225"/>
      <c r="J43" s="225"/>
      <c r="K43" s="234"/>
      <c r="L43" s="234"/>
      <c r="M43" s="234"/>
      <c r="N43" s="234"/>
      <c r="O43" s="234"/>
      <c r="P43" s="234"/>
      <c r="Q43" s="234"/>
      <c r="R43" s="234"/>
      <c r="S43" s="234"/>
      <c r="T43" s="234"/>
      <c r="U43" s="234"/>
      <c r="V43" s="234"/>
      <c r="W43" s="234"/>
      <c r="Y43" s="234"/>
      <c r="Z43" s="243"/>
      <c r="AA43" s="224"/>
      <c r="AB43" s="234"/>
    </row>
    <row r="44" spans="1:28" ht="15" x14ac:dyDescent="0.15">
      <c r="A44" s="233"/>
      <c r="B44" s="237"/>
      <c r="C44" s="239"/>
      <c r="D44" s="239"/>
      <c r="E44" s="239"/>
      <c r="F44" s="225"/>
      <c r="G44" s="241"/>
      <c r="H44" s="242"/>
      <c r="I44" s="225"/>
      <c r="J44" s="225"/>
      <c r="K44" s="234"/>
      <c r="L44" s="234"/>
      <c r="M44" s="234"/>
      <c r="N44" s="234"/>
      <c r="O44" s="234"/>
      <c r="P44" s="234"/>
      <c r="Q44" s="234"/>
      <c r="R44" s="234"/>
      <c r="S44" s="234"/>
      <c r="T44" s="234"/>
      <c r="U44" s="234"/>
      <c r="V44" s="234"/>
      <c r="W44" s="234"/>
      <c r="Y44" s="234"/>
      <c r="Z44" s="243"/>
      <c r="AA44" s="224"/>
      <c r="AB44" s="234"/>
    </row>
    <row r="45" spans="1:28" ht="15" x14ac:dyDescent="0.15">
      <c r="A45" s="233"/>
      <c r="B45" s="237"/>
      <c r="C45" s="239"/>
      <c r="D45" s="239"/>
      <c r="E45" s="239"/>
      <c r="F45" s="225"/>
      <c r="G45" s="241"/>
      <c r="H45" s="242"/>
      <c r="I45" s="225"/>
      <c r="J45" s="225"/>
      <c r="K45" s="234"/>
      <c r="L45" s="234"/>
      <c r="M45" s="234"/>
      <c r="N45" s="234"/>
      <c r="O45" s="234"/>
      <c r="P45" s="234"/>
      <c r="Q45" s="234"/>
      <c r="R45" s="234"/>
      <c r="S45" s="234"/>
      <c r="T45" s="234"/>
      <c r="U45" s="234"/>
      <c r="V45" s="234"/>
      <c r="W45" s="234"/>
      <c r="Y45" s="234"/>
      <c r="Z45" s="243"/>
      <c r="AA45" s="224"/>
      <c r="AB45" s="234"/>
    </row>
    <row r="46" spans="1:28" ht="15" x14ac:dyDescent="0.15">
      <c r="A46" s="233"/>
      <c r="B46" s="237"/>
      <c r="C46" s="239"/>
      <c r="D46" s="239"/>
      <c r="E46" s="239"/>
      <c r="F46" s="225"/>
      <c r="G46" s="241"/>
      <c r="H46" s="242"/>
      <c r="I46" s="225"/>
      <c r="J46" s="225"/>
      <c r="K46" s="234"/>
      <c r="L46" s="234"/>
      <c r="M46" s="234"/>
      <c r="N46" s="234"/>
      <c r="O46" s="234"/>
      <c r="P46" s="234"/>
      <c r="Q46" s="234"/>
      <c r="R46" s="234"/>
      <c r="S46" s="234"/>
      <c r="T46" s="234"/>
      <c r="U46" s="234"/>
      <c r="V46" s="234"/>
      <c r="W46" s="234"/>
      <c r="Y46" s="234"/>
      <c r="Z46" s="243"/>
      <c r="AA46" s="224"/>
      <c r="AB46" s="234"/>
    </row>
    <row r="47" spans="1:28" ht="15" x14ac:dyDescent="0.15">
      <c r="A47" s="233"/>
      <c r="B47" s="237"/>
      <c r="C47" s="239"/>
      <c r="D47" s="239"/>
      <c r="E47" s="239"/>
      <c r="F47" s="225"/>
      <c r="G47" s="241"/>
      <c r="H47" s="242"/>
      <c r="I47" s="225"/>
      <c r="J47" s="225"/>
      <c r="K47" s="234"/>
      <c r="L47" s="234"/>
      <c r="M47" s="234"/>
      <c r="N47" s="234"/>
      <c r="O47" s="234"/>
      <c r="P47" s="234"/>
      <c r="Q47" s="234"/>
      <c r="R47" s="234"/>
      <c r="S47" s="234"/>
      <c r="T47" s="234"/>
      <c r="U47" s="234"/>
      <c r="V47" s="234"/>
      <c r="W47" s="234"/>
      <c r="Y47" s="234"/>
      <c r="Z47" s="243"/>
      <c r="AA47" s="224"/>
      <c r="AB47" s="234"/>
    </row>
    <row r="48" spans="1:28" ht="15" x14ac:dyDescent="0.15">
      <c r="A48" s="233"/>
      <c r="B48" s="237"/>
      <c r="C48" s="239"/>
      <c r="D48" s="239"/>
      <c r="E48" s="239"/>
      <c r="F48" s="225"/>
      <c r="G48" s="241"/>
      <c r="H48" s="242"/>
      <c r="I48" s="225"/>
      <c r="J48" s="225"/>
      <c r="K48" s="234"/>
      <c r="L48" s="234"/>
      <c r="M48" s="234"/>
      <c r="N48" s="234"/>
      <c r="O48" s="234"/>
      <c r="P48" s="234"/>
      <c r="Q48" s="234"/>
      <c r="R48" s="234"/>
      <c r="S48" s="234"/>
      <c r="T48" s="234"/>
      <c r="U48" s="234"/>
      <c r="V48" s="234"/>
      <c r="W48" s="234"/>
      <c r="Y48" s="234"/>
      <c r="Z48" s="243"/>
      <c r="AA48" s="224"/>
      <c r="AB48" s="234"/>
    </row>
    <row r="49" spans="1:28" ht="15" x14ac:dyDescent="0.15">
      <c r="A49" s="233"/>
      <c r="B49" s="237"/>
      <c r="C49" s="239"/>
      <c r="D49" s="239"/>
      <c r="E49" s="239"/>
      <c r="F49" s="225"/>
      <c r="G49" s="241"/>
      <c r="H49" s="242"/>
      <c r="I49" s="225"/>
      <c r="J49" s="225"/>
      <c r="K49" s="234"/>
      <c r="L49" s="234"/>
      <c r="M49" s="234"/>
      <c r="N49" s="234"/>
      <c r="O49" s="234"/>
      <c r="P49" s="234"/>
      <c r="Q49" s="234"/>
      <c r="R49" s="234"/>
      <c r="S49" s="234"/>
      <c r="T49" s="234"/>
      <c r="U49" s="234"/>
      <c r="V49" s="234"/>
      <c r="W49" s="234"/>
      <c r="Y49" s="234"/>
      <c r="Z49" s="243"/>
      <c r="AA49" s="224"/>
      <c r="AB49" s="234"/>
    </row>
    <row r="50" spans="1:28" ht="15" x14ac:dyDescent="0.15">
      <c r="A50" s="233"/>
      <c r="B50" s="237"/>
      <c r="C50" s="239"/>
      <c r="D50" s="239"/>
      <c r="E50" s="239"/>
      <c r="F50" s="225"/>
      <c r="G50" s="241"/>
      <c r="H50" s="242"/>
      <c r="I50" s="225"/>
      <c r="J50" s="225"/>
      <c r="K50" s="234"/>
      <c r="L50" s="234"/>
      <c r="M50" s="234"/>
      <c r="N50" s="234"/>
      <c r="O50" s="234"/>
      <c r="P50" s="234"/>
      <c r="Q50" s="234"/>
      <c r="R50" s="234"/>
      <c r="S50" s="234"/>
      <c r="T50" s="234"/>
      <c r="U50" s="234"/>
      <c r="V50" s="234"/>
      <c r="W50" s="234"/>
      <c r="Y50" s="234"/>
      <c r="Z50" s="243"/>
      <c r="AA50" s="224"/>
      <c r="AB50" s="234"/>
    </row>
    <row r="51" spans="1:28" ht="15" x14ac:dyDescent="0.15">
      <c r="A51" s="233"/>
      <c r="B51" s="237"/>
      <c r="C51" s="239"/>
      <c r="D51" s="239"/>
      <c r="E51" s="239"/>
      <c r="F51" s="225"/>
      <c r="G51" s="241"/>
      <c r="H51" s="242"/>
      <c r="I51" s="225"/>
      <c r="J51" s="225"/>
      <c r="K51" s="234"/>
      <c r="L51" s="234"/>
      <c r="M51" s="234"/>
      <c r="N51" s="234"/>
      <c r="O51" s="234"/>
      <c r="P51" s="234"/>
      <c r="Q51" s="234"/>
      <c r="R51" s="234"/>
      <c r="S51" s="234"/>
      <c r="T51" s="234"/>
      <c r="U51" s="234"/>
      <c r="V51" s="234"/>
      <c r="W51" s="234"/>
      <c r="Y51" s="234"/>
      <c r="Z51" s="243"/>
      <c r="AA51" s="224"/>
      <c r="AB51" s="234"/>
    </row>
    <row r="52" spans="1:28" ht="15" x14ac:dyDescent="0.15">
      <c r="A52" s="233"/>
      <c r="B52" s="237"/>
      <c r="C52" s="239"/>
      <c r="D52" s="239"/>
      <c r="E52" s="239"/>
      <c r="F52" s="225"/>
      <c r="G52" s="241"/>
      <c r="H52" s="242"/>
      <c r="I52" s="225"/>
      <c r="J52" s="225"/>
      <c r="K52" s="234"/>
      <c r="L52" s="234"/>
      <c r="M52" s="234"/>
      <c r="N52" s="234"/>
      <c r="O52" s="234"/>
      <c r="P52" s="234"/>
      <c r="Q52" s="234"/>
      <c r="R52" s="234"/>
      <c r="S52" s="234"/>
      <c r="T52" s="234"/>
      <c r="U52" s="234"/>
      <c r="V52" s="234"/>
      <c r="W52" s="234"/>
      <c r="Y52" s="234"/>
      <c r="Z52" s="243"/>
      <c r="AA52" s="224"/>
      <c r="AB52" s="234"/>
    </row>
    <row r="53" spans="1:28" ht="15" x14ac:dyDescent="0.15">
      <c r="A53" s="233"/>
      <c r="B53" s="237"/>
      <c r="C53" s="239"/>
      <c r="D53" s="239"/>
      <c r="E53" s="239"/>
      <c r="F53" s="225"/>
      <c r="G53" s="241"/>
      <c r="H53" s="242"/>
      <c r="I53" s="225"/>
      <c r="J53" s="225"/>
      <c r="K53" s="234"/>
      <c r="L53" s="234"/>
      <c r="M53" s="234"/>
      <c r="N53" s="234"/>
      <c r="O53" s="234"/>
      <c r="P53" s="234"/>
      <c r="Q53" s="234"/>
      <c r="R53" s="234"/>
      <c r="S53" s="234"/>
      <c r="T53" s="234"/>
      <c r="U53" s="234"/>
      <c r="V53" s="234"/>
      <c r="W53" s="234"/>
      <c r="Y53" s="234"/>
      <c r="Z53" s="243"/>
      <c r="AA53" s="224"/>
      <c r="AB53" s="234"/>
    </row>
    <row r="54" spans="1:28" ht="15" x14ac:dyDescent="0.15">
      <c r="A54" s="233"/>
      <c r="B54" s="237"/>
      <c r="C54" s="239"/>
      <c r="D54" s="239"/>
      <c r="E54" s="239"/>
      <c r="F54" s="225"/>
      <c r="G54" s="241"/>
      <c r="H54" s="242"/>
      <c r="I54" s="225"/>
      <c r="J54" s="225"/>
      <c r="K54" s="234"/>
      <c r="L54" s="234"/>
      <c r="M54" s="234"/>
      <c r="N54" s="234"/>
      <c r="O54" s="234"/>
      <c r="P54" s="234"/>
      <c r="Q54" s="234"/>
      <c r="R54" s="234"/>
      <c r="S54" s="234"/>
      <c r="T54" s="234"/>
      <c r="U54" s="234"/>
      <c r="V54" s="234"/>
      <c r="W54" s="234"/>
      <c r="Y54" s="234"/>
      <c r="Z54" s="243"/>
      <c r="AA54" s="224"/>
      <c r="AB54" s="234"/>
    </row>
    <row r="55" spans="1:28" ht="15" x14ac:dyDescent="0.15">
      <c r="A55" s="233"/>
      <c r="B55" s="237"/>
      <c r="C55" s="239"/>
      <c r="D55" s="239"/>
      <c r="E55" s="239"/>
      <c r="F55" s="225"/>
      <c r="G55" s="241"/>
      <c r="H55" s="242"/>
      <c r="I55" s="225"/>
      <c r="J55" s="225"/>
      <c r="K55" s="234"/>
      <c r="L55" s="234"/>
      <c r="M55" s="234"/>
      <c r="N55" s="234"/>
      <c r="O55" s="234"/>
      <c r="P55" s="234"/>
      <c r="Q55" s="234"/>
      <c r="R55" s="234"/>
      <c r="S55" s="234"/>
      <c r="T55" s="234"/>
      <c r="U55" s="234"/>
      <c r="V55" s="234"/>
      <c r="W55" s="234"/>
      <c r="Y55" s="234"/>
      <c r="Z55" s="243"/>
      <c r="AA55" s="224"/>
      <c r="AB55" s="234"/>
    </row>
    <row r="56" spans="1:28" ht="15" x14ac:dyDescent="0.15">
      <c r="A56" s="233"/>
      <c r="B56" s="237"/>
      <c r="C56" s="239"/>
      <c r="D56" s="239"/>
      <c r="E56" s="239"/>
      <c r="F56" s="225"/>
      <c r="G56" s="241"/>
      <c r="H56" s="242"/>
      <c r="I56" s="225"/>
      <c r="J56" s="225"/>
      <c r="K56" s="234"/>
      <c r="L56" s="234"/>
      <c r="M56" s="234"/>
      <c r="N56" s="234"/>
      <c r="O56" s="234"/>
      <c r="P56" s="234"/>
      <c r="Q56" s="234"/>
      <c r="R56" s="234"/>
      <c r="S56" s="234"/>
      <c r="T56" s="234"/>
      <c r="U56" s="234"/>
      <c r="V56" s="234"/>
      <c r="W56" s="234"/>
      <c r="Y56" s="234"/>
      <c r="Z56" s="243"/>
      <c r="AA56" s="224"/>
      <c r="AB56" s="234"/>
    </row>
    <row r="57" spans="1:28" ht="15" x14ac:dyDescent="0.15">
      <c r="A57" s="233"/>
      <c r="B57" s="237"/>
      <c r="C57" s="239"/>
      <c r="D57" s="239"/>
      <c r="E57" s="239"/>
      <c r="F57" s="225"/>
      <c r="G57" s="241"/>
      <c r="H57" s="242"/>
      <c r="I57" s="225"/>
      <c r="J57" s="225"/>
      <c r="K57" s="234"/>
      <c r="L57" s="234"/>
      <c r="M57" s="234"/>
      <c r="N57" s="234"/>
      <c r="O57" s="234"/>
      <c r="P57" s="234"/>
      <c r="Q57" s="234"/>
      <c r="R57" s="234"/>
      <c r="S57" s="234"/>
      <c r="T57" s="234"/>
      <c r="U57" s="234"/>
      <c r="V57" s="234"/>
      <c r="W57" s="234"/>
      <c r="Y57" s="234"/>
      <c r="Z57" s="243"/>
      <c r="AA57" s="224"/>
      <c r="AB57" s="234"/>
    </row>
    <row r="58" spans="1:28" ht="15" x14ac:dyDescent="0.15">
      <c r="A58" s="233"/>
      <c r="B58" s="237"/>
      <c r="C58" s="239"/>
      <c r="D58" s="239"/>
      <c r="E58" s="239"/>
      <c r="F58" s="225"/>
      <c r="G58" s="241"/>
      <c r="H58" s="242"/>
      <c r="I58" s="225"/>
      <c r="J58" s="225"/>
      <c r="K58" s="234"/>
      <c r="L58" s="234"/>
      <c r="M58" s="234"/>
      <c r="N58" s="234"/>
      <c r="O58" s="234"/>
      <c r="P58" s="234"/>
      <c r="Q58" s="234"/>
      <c r="R58" s="234"/>
      <c r="S58" s="234"/>
      <c r="T58" s="234"/>
      <c r="U58" s="234"/>
      <c r="V58" s="234"/>
      <c r="W58" s="234"/>
      <c r="Y58" s="234"/>
      <c r="Z58" s="243"/>
      <c r="AA58" s="224"/>
      <c r="AB58" s="234"/>
    </row>
    <row r="59" spans="1:28" ht="15" x14ac:dyDescent="0.15">
      <c r="A59" s="233"/>
      <c r="B59" s="237"/>
      <c r="C59" s="239"/>
      <c r="D59" s="239"/>
      <c r="E59" s="239"/>
      <c r="F59" s="225"/>
      <c r="G59" s="241"/>
      <c r="H59" s="242"/>
      <c r="I59" s="225"/>
      <c r="J59" s="225"/>
      <c r="K59" s="234"/>
      <c r="L59" s="234"/>
      <c r="M59" s="234"/>
      <c r="N59" s="234"/>
      <c r="O59" s="234"/>
      <c r="P59" s="234"/>
      <c r="Q59" s="234"/>
      <c r="R59" s="234"/>
      <c r="S59" s="234"/>
      <c r="T59" s="234"/>
      <c r="U59" s="234"/>
      <c r="V59" s="234"/>
      <c r="W59" s="234"/>
      <c r="Y59" s="234"/>
      <c r="Z59" s="243"/>
      <c r="AA59" s="224"/>
      <c r="AB59" s="234"/>
    </row>
    <row r="60" spans="1:28" ht="15" x14ac:dyDescent="0.15">
      <c r="A60" s="233"/>
      <c r="B60" s="237"/>
      <c r="C60" s="239"/>
      <c r="D60" s="239"/>
      <c r="E60" s="239"/>
      <c r="F60" s="225"/>
      <c r="G60" s="241"/>
      <c r="H60" s="242"/>
      <c r="I60" s="225"/>
      <c r="J60" s="225"/>
      <c r="K60" s="234"/>
      <c r="L60" s="234"/>
      <c r="M60" s="234"/>
      <c r="N60" s="234"/>
      <c r="O60" s="234"/>
      <c r="P60" s="234"/>
      <c r="Q60" s="234"/>
      <c r="R60" s="234"/>
      <c r="S60" s="234"/>
      <c r="T60" s="234"/>
      <c r="U60" s="234"/>
      <c r="V60" s="234"/>
      <c r="W60" s="234"/>
      <c r="Y60" s="234"/>
      <c r="Z60" s="243"/>
      <c r="AA60" s="224"/>
      <c r="AB60" s="234"/>
    </row>
    <row r="61" spans="1:28" ht="15" x14ac:dyDescent="0.15">
      <c r="A61" s="233"/>
      <c r="B61" s="237"/>
      <c r="C61" s="239"/>
      <c r="D61" s="239"/>
      <c r="E61" s="239"/>
      <c r="F61" s="225"/>
      <c r="G61" s="241"/>
      <c r="H61" s="242"/>
      <c r="I61" s="225"/>
      <c r="J61" s="225"/>
      <c r="K61" s="234"/>
      <c r="L61" s="234"/>
      <c r="M61" s="234"/>
      <c r="N61" s="234"/>
      <c r="O61" s="234"/>
      <c r="P61" s="234"/>
      <c r="Q61" s="234"/>
      <c r="R61" s="234"/>
      <c r="S61" s="234"/>
      <c r="T61" s="234"/>
      <c r="U61" s="234"/>
      <c r="V61" s="234"/>
      <c r="W61" s="234"/>
      <c r="Y61" s="234"/>
      <c r="Z61" s="120"/>
      <c r="AA61" s="224"/>
      <c r="AB61" s="243"/>
    </row>
    <row r="62" spans="1:28" x14ac:dyDescent="0.15">
      <c r="A62" s="233"/>
      <c r="B62" s="250"/>
      <c r="C62" s="240"/>
      <c r="D62" s="240"/>
      <c r="E62" s="238"/>
      <c r="F62" s="234"/>
      <c r="G62" s="243"/>
      <c r="H62" s="243"/>
      <c r="I62" s="243"/>
      <c r="J62" s="243"/>
      <c r="K62" s="243"/>
      <c r="L62" s="234"/>
      <c r="M62" s="234"/>
      <c r="N62" s="234"/>
      <c r="O62" s="234"/>
      <c r="P62" s="234"/>
      <c r="Q62" s="234"/>
      <c r="R62" s="234"/>
      <c r="S62" s="234"/>
      <c r="T62" s="234"/>
      <c r="U62" s="234"/>
      <c r="V62" s="234"/>
      <c r="W62" s="234"/>
      <c r="Y62" s="234"/>
      <c r="Z62" s="243"/>
      <c r="AA62" s="234"/>
      <c r="AB62" s="234"/>
    </row>
    <row r="63" spans="1:28" x14ac:dyDescent="0.15">
      <c r="A63" s="233"/>
      <c r="C63" s="239"/>
      <c r="D63" s="239"/>
      <c r="E63" s="239"/>
      <c r="F63" s="234"/>
      <c r="G63" s="234"/>
      <c r="H63" s="234"/>
      <c r="I63" s="234"/>
      <c r="J63" s="234"/>
      <c r="K63" s="234"/>
      <c r="L63" s="234"/>
      <c r="M63" s="234"/>
      <c r="N63" s="234"/>
      <c r="O63" s="234"/>
      <c r="P63" s="234"/>
      <c r="Q63" s="234"/>
      <c r="R63" s="234"/>
      <c r="S63" s="234"/>
      <c r="T63" s="234"/>
      <c r="U63" s="234"/>
      <c r="V63" s="234"/>
      <c r="W63" s="234"/>
      <c r="Y63" s="234"/>
      <c r="Z63" s="243"/>
      <c r="AA63" s="234"/>
      <c r="AB63" s="234"/>
    </row>
    <row r="64" spans="1:28" x14ac:dyDescent="0.15">
      <c r="A64" s="233"/>
      <c r="C64" s="239"/>
      <c r="D64" s="239"/>
      <c r="E64" s="239"/>
      <c r="F64" s="234"/>
      <c r="G64" s="234"/>
      <c r="H64" s="234"/>
      <c r="I64" s="234"/>
      <c r="J64" s="234"/>
      <c r="K64" s="234"/>
      <c r="L64" s="234"/>
      <c r="M64" s="234"/>
      <c r="N64" s="234"/>
      <c r="O64" s="234"/>
      <c r="P64" s="234"/>
      <c r="Q64" s="234"/>
      <c r="R64" s="234"/>
      <c r="S64" s="234"/>
      <c r="T64" s="234"/>
      <c r="U64" s="234"/>
      <c r="V64" s="234"/>
      <c r="W64" s="234"/>
      <c r="Y64" s="234"/>
      <c r="Z64" s="243"/>
      <c r="AA64" s="234"/>
      <c r="AB64" s="234"/>
    </row>
    <row r="65" spans="1:28" x14ac:dyDescent="0.15">
      <c r="A65" s="233"/>
      <c r="C65" s="239"/>
      <c r="D65" s="239"/>
      <c r="E65" s="239"/>
      <c r="F65" s="234"/>
      <c r="G65" s="234"/>
      <c r="H65" s="234"/>
      <c r="I65" s="234"/>
      <c r="J65" s="234"/>
      <c r="K65" s="234"/>
      <c r="L65" s="234"/>
      <c r="M65" s="234"/>
      <c r="N65" s="234"/>
      <c r="O65" s="234"/>
      <c r="P65" s="234"/>
      <c r="Q65" s="234"/>
      <c r="R65" s="234"/>
      <c r="S65" s="234"/>
      <c r="T65" s="234"/>
      <c r="U65" s="234"/>
      <c r="V65" s="234"/>
      <c r="W65" s="234"/>
      <c r="Y65" s="234"/>
      <c r="Z65" s="243"/>
      <c r="AA65" s="234"/>
      <c r="AB65" s="234"/>
    </row>
    <row r="66" spans="1:28" x14ac:dyDescent="0.15">
      <c r="A66" s="233"/>
      <c r="C66" s="239"/>
      <c r="D66" s="239"/>
      <c r="E66" s="239"/>
      <c r="F66" s="234"/>
      <c r="G66" s="234"/>
      <c r="H66" s="234"/>
      <c r="I66" s="234"/>
      <c r="J66" s="234"/>
      <c r="K66" s="234"/>
      <c r="L66" s="234"/>
      <c r="M66" s="234"/>
      <c r="N66" s="234"/>
      <c r="O66" s="234"/>
      <c r="P66" s="234"/>
      <c r="Q66" s="234"/>
      <c r="R66" s="234"/>
      <c r="S66" s="234"/>
      <c r="T66" s="234"/>
      <c r="U66" s="234"/>
      <c r="V66" s="234"/>
      <c r="W66" s="234"/>
      <c r="Y66" s="234"/>
      <c r="Z66" s="243"/>
      <c r="AA66" s="234"/>
      <c r="AB66" s="234"/>
    </row>
    <row r="67" spans="1:28" x14ac:dyDescent="0.15">
      <c r="A67" s="233"/>
      <c r="C67" s="239"/>
      <c r="D67" s="239"/>
      <c r="E67" s="239"/>
      <c r="F67" s="234"/>
      <c r="G67" s="234"/>
      <c r="H67" s="234"/>
      <c r="I67" s="234"/>
      <c r="J67" s="234"/>
      <c r="K67" s="234"/>
      <c r="L67" s="234"/>
      <c r="M67" s="234"/>
      <c r="N67" s="234"/>
      <c r="O67" s="234"/>
      <c r="P67" s="234"/>
      <c r="Q67" s="234"/>
      <c r="R67" s="234"/>
      <c r="S67" s="234"/>
      <c r="T67" s="234"/>
      <c r="U67" s="234"/>
      <c r="V67" s="234"/>
      <c r="W67" s="234"/>
      <c r="Y67" s="234"/>
      <c r="Z67" s="243"/>
      <c r="AA67" s="234"/>
      <c r="AB67" s="234"/>
    </row>
    <row r="68" spans="1:28" x14ac:dyDescent="0.15">
      <c r="A68" s="233"/>
      <c r="C68" s="239"/>
      <c r="D68" s="239"/>
      <c r="E68" s="239"/>
      <c r="F68" s="234"/>
      <c r="G68" s="234"/>
      <c r="H68" s="234"/>
      <c r="I68" s="234"/>
      <c r="J68" s="234"/>
      <c r="K68" s="234"/>
      <c r="L68" s="234"/>
      <c r="M68" s="234"/>
      <c r="N68" s="234"/>
      <c r="O68" s="234"/>
      <c r="P68" s="234"/>
      <c r="Q68" s="234"/>
      <c r="R68" s="234"/>
      <c r="S68" s="234"/>
      <c r="T68" s="234"/>
      <c r="U68" s="234"/>
      <c r="V68" s="234"/>
      <c r="W68" s="234"/>
      <c r="Y68" s="234"/>
      <c r="Z68" s="243"/>
      <c r="AA68" s="234"/>
      <c r="AB68" s="234"/>
    </row>
    <row r="69" spans="1:28" x14ac:dyDescent="0.15">
      <c r="A69" s="233"/>
      <c r="C69" s="239"/>
      <c r="D69" s="239"/>
      <c r="E69" s="239"/>
      <c r="F69" s="234"/>
      <c r="G69" s="234"/>
      <c r="H69" s="234"/>
      <c r="I69" s="234"/>
      <c r="J69" s="234"/>
      <c r="K69" s="234"/>
      <c r="L69" s="234"/>
      <c r="M69" s="234"/>
      <c r="N69" s="234"/>
      <c r="O69" s="234"/>
      <c r="P69" s="234"/>
      <c r="Q69" s="234"/>
      <c r="R69" s="234"/>
      <c r="S69" s="234"/>
      <c r="T69" s="234"/>
      <c r="U69" s="234"/>
      <c r="V69" s="234"/>
      <c r="W69" s="234"/>
      <c r="Y69" s="234"/>
      <c r="Z69" s="243"/>
      <c r="AA69" s="234"/>
      <c r="AB69" s="234"/>
    </row>
    <row r="70" spans="1:28" x14ac:dyDescent="0.15">
      <c r="A70" s="233"/>
      <c r="C70" s="239"/>
      <c r="D70" s="239"/>
      <c r="E70" s="239"/>
      <c r="F70" s="234"/>
      <c r="G70" s="234"/>
      <c r="H70" s="234"/>
      <c r="I70" s="234"/>
      <c r="J70" s="234"/>
      <c r="K70" s="234"/>
      <c r="L70" s="234"/>
      <c r="M70" s="234"/>
      <c r="N70" s="234"/>
      <c r="O70" s="234"/>
      <c r="P70" s="234"/>
      <c r="Q70" s="234"/>
      <c r="R70" s="234"/>
      <c r="S70" s="234"/>
      <c r="T70" s="234"/>
      <c r="U70" s="234"/>
      <c r="V70" s="234"/>
      <c r="W70" s="234"/>
      <c r="Y70" s="234"/>
      <c r="Z70" s="243"/>
      <c r="AA70" s="234"/>
      <c r="AB70" s="234"/>
    </row>
    <row r="71" spans="1:28" x14ac:dyDescent="0.15">
      <c r="A71" s="233"/>
      <c r="C71" s="239"/>
      <c r="D71" s="239"/>
      <c r="E71" s="239"/>
      <c r="F71" s="234"/>
      <c r="G71" s="234"/>
      <c r="H71" s="234"/>
      <c r="I71" s="234"/>
      <c r="J71" s="234"/>
      <c r="K71" s="234"/>
      <c r="L71" s="234"/>
      <c r="M71" s="234"/>
      <c r="N71" s="234"/>
      <c r="O71" s="234"/>
      <c r="P71" s="234"/>
      <c r="Q71" s="234"/>
      <c r="R71" s="234"/>
      <c r="S71" s="234"/>
      <c r="T71" s="234"/>
      <c r="U71" s="234"/>
      <c r="V71" s="234"/>
      <c r="W71" s="234"/>
      <c r="Y71" s="234"/>
      <c r="Z71" s="243"/>
      <c r="AA71" s="234"/>
      <c r="AB71" s="234"/>
    </row>
    <row r="72" spans="1:28" x14ac:dyDescent="0.15">
      <c r="A72" s="233"/>
      <c r="C72" s="239"/>
      <c r="D72" s="239"/>
      <c r="E72" s="239"/>
      <c r="F72" s="234"/>
      <c r="G72" s="234"/>
      <c r="H72" s="234"/>
      <c r="I72" s="234"/>
      <c r="J72" s="234"/>
      <c r="K72" s="234"/>
      <c r="L72" s="234"/>
      <c r="M72" s="234"/>
      <c r="N72" s="234"/>
      <c r="O72" s="234"/>
      <c r="P72" s="234"/>
      <c r="Q72" s="234"/>
      <c r="R72" s="234"/>
      <c r="S72" s="234"/>
      <c r="T72" s="234"/>
      <c r="U72" s="234"/>
      <c r="V72" s="234"/>
      <c r="W72" s="234"/>
      <c r="Y72" s="234"/>
      <c r="Z72" s="243"/>
      <c r="AA72" s="234"/>
      <c r="AB72" s="234"/>
    </row>
    <row r="73" spans="1:28" x14ac:dyDescent="0.15">
      <c r="A73" s="233"/>
      <c r="C73" s="239"/>
      <c r="D73" s="239"/>
      <c r="E73" s="239"/>
      <c r="F73" s="234"/>
      <c r="G73" s="234"/>
      <c r="H73" s="234"/>
      <c r="I73" s="234"/>
      <c r="J73" s="234"/>
      <c r="K73" s="234"/>
      <c r="L73" s="234"/>
      <c r="M73" s="234"/>
      <c r="N73" s="234"/>
      <c r="O73" s="234"/>
      <c r="P73" s="234"/>
      <c r="Q73" s="234"/>
      <c r="R73" s="234"/>
      <c r="S73" s="234"/>
      <c r="T73" s="234"/>
      <c r="U73" s="234"/>
      <c r="V73" s="234"/>
      <c r="W73" s="234"/>
      <c r="Y73" s="234"/>
      <c r="Z73" s="243"/>
      <c r="AA73" s="234"/>
      <c r="AB73" s="234"/>
    </row>
    <row r="74" spans="1:28" x14ac:dyDescent="0.15">
      <c r="A74" s="233"/>
      <c r="C74" s="239"/>
      <c r="D74" s="239"/>
      <c r="E74" s="239"/>
      <c r="F74" s="234"/>
      <c r="G74" s="234"/>
      <c r="H74" s="234"/>
      <c r="I74" s="234"/>
      <c r="J74" s="234"/>
      <c r="K74" s="234"/>
      <c r="L74" s="234"/>
      <c r="M74" s="234"/>
      <c r="N74" s="234"/>
      <c r="O74" s="234"/>
      <c r="P74" s="234"/>
      <c r="Q74" s="234"/>
      <c r="R74" s="234"/>
      <c r="S74" s="234"/>
      <c r="T74" s="234"/>
      <c r="U74" s="234"/>
      <c r="V74" s="234"/>
      <c r="W74" s="234"/>
      <c r="Y74" s="234"/>
      <c r="Z74" s="243"/>
      <c r="AA74" s="234"/>
      <c r="AB74" s="234"/>
    </row>
    <row r="75" spans="1:28" x14ac:dyDescent="0.15">
      <c r="A75" s="233"/>
      <c r="C75" s="239"/>
      <c r="D75" s="239"/>
      <c r="E75" s="239"/>
      <c r="F75" s="234"/>
      <c r="G75" s="234"/>
      <c r="H75" s="234"/>
      <c r="I75" s="234"/>
      <c r="J75" s="234"/>
      <c r="K75" s="234"/>
      <c r="L75" s="234"/>
      <c r="M75" s="234"/>
      <c r="N75" s="234"/>
      <c r="O75" s="234"/>
      <c r="P75" s="234"/>
      <c r="Q75" s="234"/>
      <c r="R75" s="234"/>
      <c r="S75" s="234"/>
      <c r="T75" s="234"/>
      <c r="U75" s="234"/>
      <c r="V75" s="234"/>
      <c r="W75" s="234"/>
      <c r="Y75" s="234"/>
      <c r="Z75" s="243"/>
      <c r="AA75" s="234"/>
      <c r="AB75" s="234"/>
    </row>
    <row r="76" spans="1:28" x14ac:dyDescent="0.15">
      <c r="A76" s="233"/>
      <c r="C76" s="239"/>
      <c r="D76" s="239"/>
      <c r="E76" s="239"/>
      <c r="F76" s="234"/>
      <c r="G76" s="234"/>
      <c r="H76" s="234"/>
      <c r="I76" s="234"/>
      <c r="J76" s="234"/>
      <c r="K76" s="234"/>
      <c r="L76" s="234"/>
      <c r="M76" s="234"/>
      <c r="N76" s="234"/>
      <c r="O76" s="234"/>
      <c r="P76" s="234"/>
      <c r="Q76" s="234"/>
      <c r="R76" s="234"/>
      <c r="S76" s="234"/>
      <c r="T76" s="234"/>
      <c r="U76" s="234"/>
      <c r="V76" s="234"/>
      <c r="W76" s="234"/>
      <c r="Y76" s="234"/>
      <c r="Z76" s="243"/>
      <c r="AA76" s="234"/>
      <c r="AB76" s="234"/>
    </row>
    <row r="77" spans="1:28" x14ac:dyDescent="0.15">
      <c r="A77" s="233"/>
      <c r="C77" s="239"/>
      <c r="D77" s="239"/>
      <c r="E77" s="239"/>
      <c r="F77" s="234"/>
      <c r="G77" s="234"/>
      <c r="H77" s="234"/>
      <c r="I77" s="234"/>
      <c r="J77" s="234"/>
      <c r="K77" s="234"/>
      <c r="L77" s="234"/>
      <c r="M77" s="234"/>
      <c r="N77" s="234"/>
      <c r="O77" s="234"/>
      <c r="P77" s="234"/>
      <c r="Q77" s="234"/>
      <c r="R77" s="234"/>
      <c r="S77" s="234"/>
      <c r="T77" s="234"/>
      <c r="U77" s="234"/>
      <c r="V77" s="234"/>
      <c r="W77" s="234"/>
      <c r="Y77" s="234"/>
      <c r="Z77" s="243"/>
      <c r="AA77" s="234"/>
      <c r="AB77" s="234"/>
    </row>
    <row r="78" spans="1:28" x14ac:dyDescent="0.15">
      <c r="A78" s="233"/>
      <c r="C78" s="239"/>
      <c r="D78" s="239"/>
      <c r="E78" s="239"/>
      <c r="F78" s="234"/>
      <c r="G78" s="234"/>
      <c r="H78" s="234"/>
      <c r="I78" s="234"/>
      <c r="J78" s="234"/>
      <c r="K78" s="234"/>
      <c r="L78" s="234"/>
      <c r="M78" s="234"/>
      <c r="N78" s="234"/>
      <c r="O78" s="234"/>
      <c r="P78" s="234"/>
      <c r="Q78" s="234"/>
      <c r="R78" s="234"/>
      <c r="S78" s="234"/>
      <c r="T78" s="234"/>
      <c r="U78" s="234"/>
      <c r="V78" s="234"/>
      <c r="W78" s="234"/>
      <c r="Y78" s="234"/>
      <c r="Z78" s="243"/>
      <c r="AA78" s="234"/>
      <c r="AB78" s="234"/>
    </row>
    <row r="79" spans="1:28" x14ac:dyDescent="0.15">
      <c r="A79" s="233"/>
      <c r="C79" s="239"/>
      <c r="D79" s="239"/>
      <c r="E79" s="239"/>
      <c r="F79" s="234"/>
      <c r="G79" s="234"/>
      <c r="H79" s="234"/>
      <c r="I79" s="234"/>
      <c r="J79" s="234"/>
      <c r="K79" s="234"/>
      <c r="L79" s="234"/>
      <c r="M79" s="234"/>
      <c r="N79" s="234"/>
      <c r="O79" s="234"/>
      <c r="P79" s="234"/>
      <c r="Q79" s="234"/>
      <c r="R79" s="234"/>
      <c r="S79" s="234"/>
      <c r="T79" s="234"/>
      <c r="U79" s="234"/>
      <c r="V79" s="234"/>
      <c r="W79" s="234"/>
      <c r="Y79" s="234"/>
      <c r="Z79" s="243"/>
      <c r="AA79" s="234"/>
      <c r="AB79" s="234"/>
    </row>
    <row r="80" spans="1:28" x14ac:dyDescent="0.15">
      <c r="A80" s="233"/>
      <c r="C80" s="239"/>
      <c r="D80" s="239"/>
      <c r="E80" s="239"/>
      <c r="F80" s="234"/>
      <c r="G80" s="234"/>
      <c r="H80" s="234"/>
      <c r="I80" s="234"/>
      <c r="J80" s="234"/>
      <c r="K80" s="234"/>
      <c r="L80" s="234"/>
      <c r="M80" s="234"/>
      <c r="N80" s="234"/>
      <c r="O80" s="234"/>
      <c r="P80" s="234"/>
      <c r="Q80" s="234"/>
      <c r="R80" s="234"/>
      <c r="S80" s="234"/>
      <c r="T80" s="234"/>
      <c r="U80" s="234"/>
      <c r="V80" s="234"/>
      <c r="W80" s="234"/>
      <c r="Y80" s="234"/>
      <c r="Z80" s="243"/>
      <c r="AA80" s="234"/>
      <c r="AB80" s="234"/>
    </row>
    <row r="81" spans="1:28" x14ac:dyDescent="0.15">
      <c r="A81" s="233"/>
      <c r="C81" s="239"/>
      <c r="D81" s="239"/>
      <c r="E81" s="239"/>
      <c r="F81" s="234"/>
      <c r="G81" s="234"/>
      <c r="H81" s="234"/>
      <c r="I81" s="234"/>
      <c r="J81" s="234"/>
      <c r="K81" s="234"/>
      <c r="L81" s="234"/>
      <c r="M81" s="234"/>
      <c r="N81" s="234"/>
      <c r="O81" s="234"/>
      <c r="P81" s="234"/>
      <c r="Q81" s="234"/>
      <c r="R81" s="234"/>
      <c r="S81" s="234"/>
      <c r="T81" s="234"/>
      <c r="U81" s="234"/>
      <c r="V81" s="234"/>
      <c r="W81" s="234"/>
      <c r="Y81" s="234"/>
      <c r="Z81" s="243"/>
      <c r="AA81" s="234"/>
      <c r="AB81" s="234"/>
    </row>
    <row r="82" spans="1:28" x14ac:dyDescent="0.15">
      <c r="A82" s="233"/>
      <c r="C82" s="239"/>
      <c r="D82" s="239"/>
      <c r="E82" s="239"/>
      <c r="F82" s="234"/>
      <c r="G82" s="234"/>
      <c r="H82" s="234"/>
      <c r="I82" s="234"/>
      <c r="J82" s="234"/>
      <c r="K82" s="234"/>
      <c r="L82" s="234"/>
      <c r="M82" s="234"/>
      <c r="N82" s="234"/>
      <c r="O82" s="234"/>
      <c r="P82" s="234"/>
      <c r="Q82" s="234"/>
      <c r="R82" s="234"/>
      <c r="S82" s="234"/>
      <c r="T82" s="234"/>
      <c r="U82" s="234"/>
      <c r="V82" s="234"/>
      <c r="W82" s="234"/>
      <c r="Y82" s="234"/>
      <c r="Z82" s="243"/>
      <c r="AA82" s="234"/>
      <c r="AB82" s="234"/>
    </row>
    <row r="83" spans="1:28" x14ac:dyDescent="0.15">
      <c r="A83" s="233"/>
      <c r="C83" s="239"/>
      <c r="D83" s="239"/>
      <c r="E83" s="239"/>
      <c r="F83" s="234"/>
      <c r="G83" s="234"/>
      <c r="H83" s="234"/>
      <c r="I83" s="234"/>
      <c r="J83" s="234"/>
      <c r="K83" s="234"/>
      <c r="L83" s="234"/>
      <c r="M83" s="234"/>
      <c r="N83" s="234"/>
      <c r="O83" s="234"/>
      <c r="P83" s="234"/>
      <c r="Q83" s="234"/>
      <c r="R83" s="234"/>
      <c r="S83" s="234"/>
      <c r="T83" s="234"/>
      <c r="U83" s="234"/>
      <c r="V83" s="234"/>
      <c r="W83" s="234"/>
      <c r="Y83" s="234"/>
      <c r="Z83" s="243"/>
      <c r="AA83" s="234"/>
      <c r="AB83" s="234"/>
    </row>
    <row r="84" spans="1:28" x14ac:dyDescent="0.15">
      <c r="A84" s="233"/>
      <c r="C84" s="239"/>
      <c r="D84" s="239"/>
      <c r="E84" s="239"/>
      <c r="F84" s="234"/>
      <c r="G84" s="234"/>
      <c r="H84" s="234"/>
      <c r="I84" s="234"/>
      <c r="J84" s="234"/>
      <c r="K84" s="234"/>
      <c r="L84" s="234"/>
      <c r="M84" s="234"/>
      <c r="N84" s="234"/>
      <c r="O84" s="234"/>
      <c r="P84" s="234"/>
      <c r="Q84" s="234"/>
      <c r="R84" s="234"/>
      <c r="S84" s="234"/>
      <c r="T84" s="234"/>
      <c r="U84" s="234"/>
      <c r="V84" s="234"/>
      <c r="W84" s="234"/>
      <c r="Y84" s="234"/>
      <c r="Z84" s="243"/>
      <c r="AA84" s="234"/>
      <c r="AB84" s="234"/>
    </row>
    <row r="85" spans="1:28" x14ac:dyDescent="0.15">
      <c r="A85" s="233"/>
      <c r="C85" s="239"/>
      <c r="D85" s="239"/>
      <c r="E85" s="239"/>
      <c r="F85" s="234"/>
      <c r="G85" s="234"/>
      <c r="H85" s="234"/>
      <c r="I85" s="234"/>
      <c r="J85" s="234"/>
      <c r="K85" s="234"/>
      <c r="L85" s="234"/>
      <c r="M85" s="234"/>
      <c r="N85" s="234"/>
      <c r="O85" s="234"/>
      <c r="P85" s="234"/>
      <c r="Q85" s="234"/>
      <c r="R85" s="234"/>
      <c r="S85" s="234"/>
      <c r="T85" s="234"/>
      <c r="U85" s="234"/>
      <c r="V85" s="234"/>
      <c r="W85" s="234"/>
      <c r="Y85" s="234"/>
      <c r="Z85" s="243"/>
      <c r="AA85" s="234"/>
      <c r="AB85" s="234"/>
    </row>
    <row r="86" spans="1:28" x14ac:dyDescent="0.15">
      <c r="A86" s="233"/>
      <c r="C86" s="239"/>
      <c r="D86" s="239"/>
      <c r="E86" s="239"/>
      <c r="F86" s="234"/>
      <c r="G86" s="234"/>
      <c r="H86" s="234"/>
      <c r="I86" s="234"/>
      <c r="J86" s="234"/>
      <c r="K86" s="234"/>
      <c r="L86" s="234"/>
      <c r="M86" s="234"/>
      <c r="N86" s="234"/>
      <c r="O86" s="234"/>
      <c r="P86" s="234"/>
      <c r="Q86" s="234"/>
      <c r="R86" s="234"/>
      <c r="S86" s="234"/>
      <c r="T86" s="234"/>
      <c r="U86" s="234"/>
      <c r="V86" s="234"/>
      <c r="W86" s="234"/>
      <c r="Y86" s="234"/>
      <c r="Z86" s="243"/>
      <c r="AA86" s="234"/>
      <c r="AB86" s="234"/>
    </row>
    <row r="87" spans="1:28" x14ac:dyDescent="0.15">
      <c r="A87" s="233"/>
      <c r="C87" s="239"/>
      <c r="D87" s="239"/>
      <c r="E87" s="239"/>
      <c r="F87" s="234"/>
      <c r="G87" s="234"/>
      <c r="H87" s="234"/>
      <c r="I87" s="234"/>
      <c r="J87" s="234"/>
      <c r="K87" s="234"/>
      <c r="L87" s="234"/>
      <c r="M87" s="234"/>
      <c r="N87" s="234"/>
      <c r="O87" s="234"/>
      <c r="P87" s="234"/>
      <c r="Q87" s="234"/>
      <c r="R87" s="234"/>
      <c r="S87" s="234"/>
      <c r="T87" s="234"/>
      <c r="U87" s="234"/>
      <c r="V87" s="234"/>
      <c r="W87" s="234"/>
      <c r="Y87" s="234"/>
      <c r="Z87" s="243"/>
      <c r="AA87" s="234"/>
      <c r="AB87" s="234"/>
    </row>
    <row r="88" spans="1:28" x14ac:dyDescent="0.15">
      <c r="A88" s="233"/>
      <c r="C88" s="239"/>
      <c r="D88" s="239"/>
      <c r="E88" s="239"/>
      <c r="F88" s="234"/>
      <c r="G88" s="234"/>
      <c r="H88" s="234"/>
      <c r="I88" s="234"/>
      <c r="J88" s="234"/>
      <c r="K88" s="234"/>
      <c r="L88" s="234"/>
      <c r="M88" s="234"/>
      <c r="N88" s="234"/>
      <c r="O88" s="234"/>
      <c r="P88" s="234"/>
      <c r="Q88" s="234"/>
      <c r="R88" s="234"/>
      <c r="S88" s="234"/>
      <c r="T88" s="234"/>
      <c r="U88" s="234"/>
      <c r="V88" s="234"/>
      <c r="W88" s="234"/>
      <c r="Y88" s="234"/>
      <c r="Z88" s="243"/>
      <c r="AA88" s="234"/>
      <c r="AB88" s="234"/>
    </row>
    <row r="89" spans="1:28" x14ac:dyDescent="0.15">
      <c r="A89" s="233"/>
      <c r="C89" s="239"/>
      <c r="D89" s="239"/>
      <c r="E89" s="239"/>
      <c r="F89" s="234"/>
      <c r="G89" s="234"/>
      <c r="H89" s="234"/>
      <c r="I89" s="234"/>
      <c r="J89" s="234"/>
      <c r="K89" s="234"/>
      <c r="L89" s="234"/>
      <c r="M89" s="234"/>
      <c r="N89" s="234"/>
      <c r="O89" s="234"/>
      <c r="P89" s="234"/>
      <c r="Q89" s="234"/>
      <c r="R89" s="234"/>
      <c r="S89" s="234"/>
      <c r="T89" s="234"/>
      <c r="U89" s="234"/>
      <c r="V89" s="234"/>
      <c r="W89" s="234"/>
      <c r="Y89" s="234"/>
      <c r="Z89" s="243"/>
      <c r="AA89" s="234"/>
      <c r="AB89" s="234"/>
    </row>
    <row r="90" spans="1:28" x14ac:dyDescent="0.15">
      <c r="A90" s="233"/>
      <c r="C90" s="239"/>
      <c r="D90" s="239"/>
      <c r="E90" s="239"/>
      <c r="F90" s="234"/>
      <c r="G90" s="234"/>
      <c r="H90" s="234"/>
      <c r="I90" s="234"/>
      <c r="J90" s="234"/>
      <c r="K90" s="234"/>
      <c r="L90" s="234"/>
      <c r="M90" s="234"/>
      <c r="N90" s="234"/>
      <c r="O90" s="234"/>
      <c r="P90" s="234"/>
      <c r="Q90" s="234"/>
      <c r="R90" s="234"/>
      <c r="S90" s="234"/>
      <c r="T90" s="234"/>
      <c r="U90" s="234"/>
      <c r="V90" s="234"/>
      <c r="W90" s="234"/>
      <c r="Y90" s="234"/>
      <c r="Z90" s="243"/>
      <c r="AA90" s="234"/>
      <c r="AB90" s="234"/>
    </row>
    <row r="91" spans="1:28" x14ac:dyDescent="0.15">
      <c r="A91" s="233"/>
      <c r="C91" s="239"/>
      <c r="D91" s="239"/>
      <c r="E91" s="239"/>
      <c r="F91" s="234"/>
      <c r="G91" s="234"/>
      <c r="H91" s="234"/>
      <c r="I91" s="234"/>
      <c r="J91" s="234"/>
      <c r="K91" s="234"/>
      <c r="L91" s="234"/>
      <c r="M91" s="234"/>
      <c r="N91" s="234"/>
      <c r="O91" s="234"/>
      <c r="P91" s="234"/>
      <c r="Q91" s="234"/>
      <c r="R91" s="234"/>
      <c r="S91" s="234"/>
      <c r="T91" s="234"/>
      <c r="U91" s="234"/>
      <c r="V91" s="234"/>
      <c r="W91" s="234"/>
      <c r="Y91" s="234"/>
      <c r="Z91" s="243"/>
      <c r="AA91" s="234"/>
      <c r="AB91" s="234"/>
    </row>
    <row r="92" spans="1:28" x14ac:dyDescent="0.15">
      <c r="A92" s="233"/>
      <c r="C92" s="239"/>
      <c r="D92" s="239"/>
      <c r="E92" s="239"/>
      <c r="F92" s="234"/>
      <c r="G92" s="234"/>
      <c r="H92" s="234"/>
      <c r="I92" s="234"/>
      <c r="J92" s="234"/>
      <c r="K92" s="234"/>
      <c r="L92" s="234"/>
      <c r="M92" s="234"/>
      <c r="N92" s="234"/>
      <c r="O92" s="234"/>
      <c r="P92" s="234"/>
      <c r="Q92" s="234"/>
      <c r="R92" s="234"/>
      <c r="S92" s="234"/>
      <c r="T92" s="234"/>
      <c r="U92" s="234"/>
      <c r="V92" s="234"/>
      <c r="W92" s="234"/>
      <c r="Y92" s="234"/>
      <c r="Z92" s="243"/>
      <c r="AA92" s="234"/>
      <c r="AB92" s="234"/>
    </row>
    <row r="93" spans="1:28" x14ac:dyDescent="0.15">
      <c r="A93" s="233"/>
      <c r="C93" s="239"/>
      <c r="D93" s="239"/>
      <c r="E93" s="239"/>
      <c r="F93" s="234"/>
      <c r="G93" s="234"/>
      <c r="H93" s="234"/>
      <c r="I93" s="234"/>
      <c r="J93" s="234"/>
      <c r="K93" s="234"/>
      <c r="L93" s="234"/>
      <c r="M93" s="234"/>
      <c r="N93" s="234"/>
      <c r="O93" s="234"/>
      <c r="P93" s="234"/>
      <c r="Q93" s="234"/>
      <c r="R93" s="234"/>
      <c r="S93" s="234"/>
      <c r="T93" s="234"/>
      <c r="U93" s="234"/>
      <c r="V93" s="234"/>
      <c r="W93" s="234"/>
      <c r="Y93" s="234"/>
      <c r="Z93" s="243"/>
      <c r="AA93" s="234"/>
      <c r="AB93" s="234"/>
    </row>
    <row r="94" spans="1:28" x14ac:dyDescent="0.15">
      <c r="A94" s="233"/>
      <c r="C94" s="239"/>
      <c r="D94" s="239"/>
      <c r="E94" s="239"/>
      <c r="F94" s="234"/>
      <c r="G94" s="234"/>
      <c r="H94" s="234"/>
      <c r="I94" s="234"/>
      <c r="J94" s="234"/>
      <c r="K94" s="234"/>
      <c r="L94" s="234"/>
      <c r="M94" s="234"/>
      <c r="N94" s="234"/>
      <c r="O94" s="234"/>
      <c r="P94" s="234"/>
      <c r="Q94" s="234"/>
      <c r="R94" s="234"/>
      <c r="S94" s="234"/>
      <c r="T94" s="234"/>
      <c r="U94" s="234"/>
      <c r="V94" s="234"/>
      <c r="W94" s="234"/>
      <c r="Y94" s="234"/>
      <c r="Z94" s="243"/>
      <c r="AA94" s="234"/>
      <c r="AB94" s="234"/>
    </row>
    <row r="95" spans="1:28" x14ac:dyDescent="0.15">
      <c r="A95" s="233"/>
      <c r="C95" s="239"/>
      <c r="D95" s="239"/>
      <c r="E95" s="239"/>
      <c r="F95" s="234"/>
      <c r="G95" s="234"/>
      <c r="H95" s="234"/>
      <c r="I95" s="234"/>
      <c r="J95" s="234"/>
      <c r="K95" s="234"/>
      <c r="L95" s="234"/>
      <c r="M95" s="234"/>
      <c r="N95" s="234"/>
      <c r="O95" s="234"/>
      <c r="P95" s="234"/>
      <c r="Q95" s="234"/>
      <c r="R95" s="234"/>
      <c r="S95" s="234"/>
      <c r="T95" s="234"/>
      <c r="U95" s="234"/>
      <c r="V95" s="234"/>
      <c r="W95" s="234"/>
      <c r="Y95" s="234"/>
      <c r="Z95" s="243"/>
      <c r="AA95" s="234"/>
      <c r="AB95" s="234"/>
    </row>
    <row r="96" spans="1:28" x14ac:dyDescent="0.15">
      <c r="A96" s="233"/>
      <c r="C96" s="239"/>
      <c r="D96" s="239"/>
      <c r="E96" s="239"/>
      <c r="F96" s="234"/>
      <c r="G96" s="234"/>
      <c r="H96" s="234"/>
      <c r="I96" s="234"/>
      <c r="J96" s="234"/>
      <c r="K96" s="234"/>
      <c r="L96" s="234"/>
      <c r="M96" s="234"/>
      <c r="N96" s="234"/>
      <c r="O96" s="234"/>
      <c r="P96" s="234"/>
      <c r="Q96" s="234"/>
      <c r="R96" s="234"/>
      <c r="S96" s="234"/>
      <c r="T96" s="234"/>
      <c r="U96" s="234"/>
      <c r="V96" s="234"/>
      <c r="W96" s="234"/>
      <c r="Y96" s="234"/>
      <c r="Z96" s="243"/>
      <c r="AA96" s="234"/>
      <c r="AB96" s="234"/>
    </row>
    <row r="97" spans="1:28" x14ac:dyDescent="0.15">
      <c r="A97" s="233"/>
      <c r="C97" s="239"/>
      <c r="D97" s="239"/>
      <c r="E97" s="239"/>
      <c r="F97" s="234"/>
      <c r="G97" s="234"/>
      <c r="H97" s="234"/>
      <c r="I97" s="234"/>
      <c r="J97" s="234"/>
      <c r="K97" s="234"/>
      <c r="L97" s="234"/>
      <c r="M97" s="234"/>
      <c r="N97" s="234"/>
      <c r="O97" s="234"/>
      <c r="P97" s="234"/>
      <c r="Q97" s="234"/>
      <c r="R97" s="234"/>
      <c r="S97" s="234"/>
      <c r="T97" s="234"/>
      <c r="U97" s="234"/>
      <c r="V97" s="234"/>
      <c r="W97" s="234"/>
      <c r="Y97" s="234"/>
      <c r="Z97" s="243"/>
      <c r="AA97" s="234"/>
      <c r="AB97" s="234"/>
    </row>
    <row r="98" spans="1:28" x14ac:dyDescent="0.15">
      <c r="A98" s="233"/>
      <c r="C98" s="239"/>
      <c r="D98" s="239"/>
      <c r="E98" s="239"/>
      <c r="F98" s="234"/>
      <c r="G98" s="234"/>
      <c r="H98" s="234"/>
      <c r="I98" s="234"/>
      <c r="J98" s="234"/>
      <c r="K98" s="234"/>
      <c r="L98" s="234"/>
      <c r="M98" s="234"/>
      <c r="N98" s="234"/>
      <c r="O98" s="234"/>
      <c r="P98" s="234"/>
      <c r="Q98" s="234"/>
      <c r="R98" s="234"/>
      <c r="S98" s="234"/>
      <c r="T98" s="234"/>
      <c r="U98" s="234"/>
      <c r="V98" s="234"/>
      <c r="W98" s="234"/>
      <c r="Y98" s="234"/>
      <c r="Z98" s="243"/>
      <c r="AA98" s="234"/>
      <c r="AB98" s="234"/>
    </row>
    <row r="99" spans="1:28" x14ac:dyDescent="0.15">
      <c r="A99" s="233"/>
      <c r="C99" s="239"/>
      <c r="D99" s="239"/>
      <c r="E99" s="239"/>
      <c r="F99" s="234"/>
      <c r="G99" s="234"/>
      <c r="H99" s="234"/>
      <c r="I99" s="234"/>
      <c r="J99" s="234"/>
      <c r="K99" s="234"/>
      <c r="L99" s="234"/>
      <c r="M99" s="234"/>
      <c r="N99" s="234"/>
      <c r="O99" s="234"/>
      <c r="P99" s="234"/>
      <c r="Q99" s="234"/>
      <c r="R99" s="234"/>
      <c r="S99" s="234"/>
      <c r="T99" s="234"/>
      <c r="U99" s="234"/>
      <c r="V99" s="234"/>
      <c r="W99" s="234"/>
      <c r="Y99" s="234"/>
      <c r="Z99" s="243"/>
      <c r="AA99" s="234"/>
      <c r="AB99" s="234"/>
    </row>
    <row r="100" spans="1:28" x14ac:dyDescent="0.15">
      <c r="A100" s="252"/>
      <c r="B100" s="251"/>
      <c r="C100" s="248"/>
      <c r="D100" s="245"/>
      <c r="E100" s="247"/>
      <c r="F100" s="247"/>
      <c r="G100" s="247"/>
      <c r="H100" s="247"/>
      <c r="I100" s="247"/>
      <c r="J100" s="247"/>
      <c r="K100" s="247"/>
      <c r="L100" s="247"/>
      <c r="M100" s="247"/>
      <c r="N100" s="247"/>
      <c r="O100" s="247"/>
      <c r="P100" s="247"/>
      <c r="Q100" s="247"/>
      <c r="R100" s="247"/>
      <c r="S100" s="247"/>
      <c r="T100" s="247"/>
      <c r="U100" s="247"/>
      <c r="V100" s="247"/>
      <c r="W100" s="247"/>
      <c r="Y100" s="247"/>
      <c r="Z100" s="248"/>
      <c r="AA100" s="247"/>
      <c r="AB100" s="247"/>
    </row>
  </sheetData>
  <mergeCells count="20">
    <mergeCell ref="F1:J1"/>
    <mergeCell ref="K1:O1"/>
    <mergeCell ref="P1:T1"/>
    <mergeCell ref="U1:W1"/>
    <mergeCell ref="Y1:AB1"/>
    <mergeCell ref="AD1:AD12"/>
    <mergeCell ref="AE1:AI1"/>
    <mergeCell ref="AJ1:AL1"/>
    <mergeCell ref="AM1:AN1"/>
    <mergeCell ref="AE10:AI10"/>
    <mergeCell ref="AJ10:AN10"/>
    <mergeCell ref="AH11:AI11"/>
    <mergeCell ref="AH12:AI12"/>
    <mergeCell ref="AE9:AI9"/>
    <mergeCell ref="AE14:AI14"/>
    <mergeCell ref="AJ14:AL14"/>
    <mergeCell ref="AM14:AN14"/>
    <mergeCell ref="AE13:AI13"/>
    <mergeCell ref="AJ13:AL13"/>
    <mergeCell ref="AM13:AN13"/>
  </mergeCells>
  <conditionalFormatting sqref="AJ14:AN14">
    <cfRule type="cellIs" dxfId="31" priority="1" operator="lessThan">
      <formula>0</formula>
    </cfRule>
    <cfRule type="cellIs" dxfId="30" priority="2" operator="greaterThan">
      <formula>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7BA1-41CF-3844-9E78-2677FE708B3E}">
  <sheetPr>
    <tabColor theme="5"/>
  </sheetPr>
  <dimension ref="A1:N78"/>
  <sheetViews>
    <sheetView showGridLines="0" topLeftCell="A4" zoomScaleNormal="100" workbookViewId="0">
      <selection activeCell="C2" sqref="C2"/>
    </sheetView>
  </sheetViews>
  <sheetFormatPr defaultColWidth="11.4609375" defaultRowHeight="12.75" x14ac:dyDescent="0.15"/>
  <cols>
    <col min="1" max="1" width="0.40234375" style="188" customWidth="1"/>
    <col min="2" max="2" width="31.6875" style="188" bestFit="1" customWidth="1"/>
    <col min="3" max="4" width="32.09375" style="188" customWidth="1"/>
    <col min="5" max="5" width="33.44140625" style="188" customWidth="1"/>
    <col min="6" max="6" width="33.84765625" style="188" customWidth="1"/>
    <col min="7" max="7" width="32.09375" style="188" customWidth="1"/>
    <col min="8" max="8" width="13.88671875" style="188" customWidth="1"/>
    <col min="9" max="9" width="15.37109375" style="188" customWidth="1"/>
    <col min="10" max="10" width="10.65234375" style="188" customWidth="1"/>
    <col min="11" max="16384" width="11.4609375" style="188"/>
  </cols>
  <sheetData>
    <row r="1" spans="2:14" ht="19.5" customHeight="1" x14ac:dyDescent="0.15">
      <c r="B1" s="751" t="s">
        <v>303</v>
      </c>
      <c r="C1" s="752" t="s">
        <v>304</v>
      </c>
      <c r="D1" s="1205" t="s">
        <v>197</v>
      </c>
      <c r="E1" s="1205"/>
      <c r="F1" s="1205"/>
      <c r="G1" s="1205"/>
      <c r="H1" s="1205"/>
    </row>
    <row r="2" spans="2:14" ht="117.75" customHeight="1" x14ac:dyDescent="0.15">
      <c r="B2" s="753"/>
      <c r="C2" s="754" t="e" vm="1">
        <v>#VALUE!</v>
      </c>
      <c r="D2" s="1206" t="str" cm="1">
        <f t="array" aca="1" ref="D2" ca="1">_FV(C2,"Description")</f>
        <v>Elevance Health, Inc. is a health company. It operates as a health insurer in the United States. The Company operates through four segments: Health Benefit, CarelonRx, Carelon Services, and Corporate &amp; Other. The Health Benefits segment offers a comprehensive suite of health plans and services to Individual, employer group risk-based, employer group fee-based, BlueCard, Medicare, Medicaid and federal employees health benefits (FEHB) program members. The CarelonRx segment includes its pharmacy business. CarelonRx markets and offers pharmacy services to affiliated health plan customers, as well as to external customers outside of the health plans. It also offers infusible and injectable therapies. Carelon Services offers healthcare-related services and capabilities to internal and external customers including integrated care delivery, behavioral health, palliative care, utilization management, payment integrity services and subrogation services, as well as health and wellness programs.</v>
      </c>
      <c r="E2" s="1207"/>
      <c r="F2" s="1207"/>
      <c r="G2" s="1207"/>
      <c r="H2" s="1208"/>
    </row>
    <row r="3" spans="2:14" ht="131.25" customHeight="1" x14ac:dyDescent="0.15">
      <c r="B3" s="753"/>
      <c r="C3" s="755" t="e" vm="2">
        <v>#VALUE!</v>
      </c>
      <c r="D3" s="1206" t="str" cm="1">
        <f t="array" aca="1" ref="D3" ca="1">_FV(C3,"Description")</f>
        <v>CVS Health Corporation is a health solutions company. The Company operates in four segments: Health Care Benefits, Health Services, Pharmacy &amp; Consumer Wellness, and Corporate/Other. Its Health Care Benefits segment offer a range of traditional, voluntary and consumer-directed health insurance products and related services, including medical, pharmacy, dental and behavioral health plans, medical management capabilities, Medicare Advantage and Medicare supplement plans, and Medicaid health care management services. Its Health Services segment provides a full range of pharmacy benefit management solutions, delivers health care services in its medical clinics, virtually, and in the home, and offers provider enablement solutions. The Pharmacy &amp; Consumer Wellness segment dispenses prescriptions in its retail pharmacies and through its infusion operations, provides ancillary pharmacy services, including pharmacy patient care programs, diagnostic testing and vaccination administration.</v>
      </c>
      <c r="E3" s="1207"/>
      <c r="F3" s="1207"/>
      <c r="G3" s="1207"/>
      <c r="H3" s="1208"/>
    </row>
    <row r="4" spans="2:14" ht="123" customHeight="1" x14ac:dyDescent="0.15">
      <c r="B4" s="753"/>
      <c r="C4" s="756" t="e" vm="3">
        <v>#VALUE!</v>
      </c>
      <c r="D4" s="1206" t="str" cm="1">
        <f t="array" aca="1" ref="D4" ca="1">_FV(C4,"Description")</f>
        <v>Humana Inc. is a healthcare company. It operates through two segments: Insurance and CenterWell. The Insurance segment consists of Medicare benefits, marketed to individuals or directly through group Medicare accounts. It also includes its contract with the Centers for Medicare and Medicaid Services (CMS) to administer the Limited Income Newly Eligible Transition (LI-NET), a prescription drug plan program and contracts with various states to provide Medicaid, dual eligible demonstration, and Long-Term Support Services benefits. It also includes products consisting of employer group commercial fully insured medical and specialty health insurance benefits. The CenterWell segment includes pharmacy solutions, primary care, and home solutions operations. It also includes its strategic partnerships with Welsh, Carson, Anderson &amp; Stowe (WCAS) to develop and operate senior-focused, payor-agnostic, primary care centers, as well as a minority ownership interest in Gentiva Hospice operations.</v>
      </c>
      <c r="E4" s="1207"/>
      <c r="F4" s="1207"/>
      <c r="G4" s="1207"/>
      <c r="H4" s="1208"/>
    </row>
    <row r="5" spans="2:14" ht="19.5" customHeight="1" x14ac:dyDescent="0.15"/>
    <row r="6" spans="2:14" ht="68.25" customHeight="1" x14ac:dyDescent="0.15">
      <c r="B6" s="757" t="s">
        <v>305</v>
      </c>
      <c r="C6" s="758" t="str">
        <f>OP!E2</f>
        <v>UNITEDHEALTH GROUP INCORPORATED (XNYS:UNH)</v>
      </c>
      <c r="D6" s="759" t="e" vm="1">
        <f>C2</f>
        <v>#VALUE!</v>
      </c>
      <c r="E6" s="760" t="e" vm="2">
        <f>C3</f>
        <v>#VALUE!</v>
      </c>
      <c r="F6" s="761" t="e" vm="3">
        <f>C4</f>
        <v>#VALUE!</v>
      </c>
      <c r="G6" s="912" t="s">
        <v>306</v>
      </c>
      <c r="H6" s="762" t="s">
        <v>307</v>
      </c>
    </row>
    <row r="7" spans="2:14" ht="16.5" customHeight="1" thickBot="1" x14ac:dyDescent="0.2">
      <c r="B7" s="763" t="s">
        <v>308</v>
      </c>
      <c r="C7" s="764"/>
      <c r="D7" s="765"/>
      <c r="E7" s="765"/>
      <c r="F7" s="765"/>
      <c r="G7" s="766" t="str">
        <f>IFERROR(AVERAGE(A7:F7),"")</f>
        <v/>
      </c>
      <c r="H7" s="767"/>
      <c r="L7" s="1215" t="s">
        <v>309</v>
      </c>
      <c r="M7" s="1216"/>
      <c r="N7" s="1217"/>
    </row>
    <row r="8" spans="2:14" ht="13.5" customHeight="1" thickBot="1" x14ac:dyDescent="0.2">
      <c r="B8" s="768" t="s">
        <v>250</v>
      </c>
      <c r="C8" s="769">
        <f>OP!C22</f>
        <v>483994.91098400002</v>
      </c>
      <c r="D8" s="769" cm="1">
        <f t="array" aca="1" ref="D8" ca="1">_FV(D6,"Market cap",TRUE)/1000000</f>
        <v>127732</v>
      </c>
      <c r="E8" s="769" cm="1">
        <f t="array" aca="1" ref="E8" ca="1">_FV(E6,"Market cap",TRUE)/1000000</f>
        <v>72937.64</v>
      </c>
      <c r="F8" s="769" cm="1">
        <f t="array" aca="1" ref="F8" ca="1">_FV(F6,"Market cap",TRUE)/1000000</f>
        <v>38716.36</v>
      </c>
      <c r="G8" s="770">
        <f ca="1">IFERROR(AVERAGE($C$8:$F$8),"")</f>
        <v>180845.22774599999</v>
      </c>
      <c r="H8" s="771">
        <f ca="1">SQRT(($C$8-$G$8)^2)</f>
        <v>303149.68323800003</v>
      </c>
      <c r="L8" s="1218"/>
      <c r="M8" s="1211" t="s">
        <v>310</v>
      </c>
      <c r="N8" s="1212"/>
    </row>
    <row r="9" spans="2:14" ht="13.5" thickBot="1" x14ac:dyDescent="0.2">
      <c r="B9" s="772" t="s">
        <v>311</v>
      </c>
      <c r="C9" s="773">
        <f>C54</f>
        <v>324162</v>
      </c>
      <c r="D9" s="774">
        <f>D54</f>
        <v>155660</v>
      </c>
      <c r="E9" s="774">
        <f>E54</f>
        <v>321629</v>
      </c>
      <c r="F9" s="774">
        <f>F54</f>
        <v>92488</v>
      </c>
      <c r="G9" s="775">
        <f>IFERROR(AVERAGE($C$9:$F$9),"")</f>
        <v>223484.75</v>
      </c>
      <c r="H9" s="776">
        <f>SQRT(($C$9-$G$9)^2)</f>
        <v>100677.25</v>
      </c>
      <c r="L9" s="1218"/>
      <c r="M9" s="1211"/>
      <c r="N9" s="1212"/>
    </row>
    <row r="10" spans="2:14" ht="16.5" customHeight="1" thickBot="1" x14ac:dyDescent="0.2">
      <c r="B10" s="763" t="s">
        <v>312</v>
      </c>
      <c r="C10" s="777"/>
      <c r="D10" s="777"/>
      <c r="E10" s="777"/>
      <c r="F10" s="777"/>
      <c r="G10" s="159" t="str">
        <f>IFERROR(AVERAGE(A10:F10),"")</f>
        <v/>
      </c>
      <c r="H10" s="778"/>
      <c r="L10" s="1219"/>
      <c r="M10" s="1211" t="s">
        <v>313</v>
      </c>
      <c r="N10" s="1212"/>
    </row>
    <row r="11" spans="2:14" ht="13.5" thickBot="1" x14ac:dyDescent="0.2">
      <c r="B11" s="768" t="s">
        <v>314</v>
      </c>
      <c r="C11" s="153">
        <f>C54/C53-1</f>
        <v>0.12713971286209524</v>
      </c>
      <c r="D11" s="153">
        <f>D54/D53-1</f>
        <v>0.1366773036956983</v>
      </c>
      <c r="E11" s="153">
        <f>E54/E53-1</f>
        <v>0.10558863161368381</v>
      </c>
      <c r="F11" s="153">
        <f>F54/F53-1</f>
        <v>0.11596703548632314</v>
      </c>
      <c r="G11" s="160">
        <f>IFERROR(AVERAGE($C$11:$F$11),"")</f>
        <v>0.12134317091445013</v>
      </c>
      <c r="H11" s="171">
        <f>SQRT(($C$11-$G$11)^2)</f>
        <v>5.7965419476451174E-3</v>
      </c>
      <c r="L11" s="1219"/>
      <c r="M11" s="1211"/>
      <c r="N11" s="1212"/>
    </row>
    <row r="12" spans="2:14" ht="13.5" thickBot="1" x14ac:dyDescent="0.2">
      <c r="B12" s="779" t="s">
        <v>315</v>
      </c>
      <c r="C12" s="150">
        <f>C54/C52-1</f>
        <v>0.33865499370238061</v>
      </c>
      <c r="D12" s="150">
        <f t="shared" ref="D12:F12" si="0">D54/D52-1</f>
        <v>0.50919614896113097</v>
      </c>
      <c r="E12" s="150">
        <f>E54/E52-1</f>
        <v>0.25751764314898451</v>
      </c>
      <c r="F12" s="150">
        <f t="shared" si="0"/>
        <v>0.43643903272399709</v>
      </c>
      <c r="G12" s="161">
        <f>IFERROR(AVERAGE($C$12:$F$12),"")</f>
        <v>0.38545195463412329</v>
      </c>
      <c r="H12" s="172">
        <f>SQRT(($C$12-$G$12)^2)</f>
        <v>4.6796960931742682E-2</v>
      </c>
      <c r="L12" s="1209"/>
      <c r="M12" s="1211" t="s">
        <v>316</v>
      </c>
      <c r="N12" s="1212"/>
    </row>
    <row r="13" spans="2:14" ht="13.5" thickBot="1" x14ac:dyDescent="0.2">
      <c r="B13" s="780" t="s">
        <v>125</v>
      </c>
      <c r="C13" s="268">
        <f>C57/C54</f>
        <v>8.7718486435794454E-2</v>
      </c>
      <c r="D13" s="154">
        <f t="shared" ref="D13" si="1">D57/D54</f>
        <v>5.537710394449441E-2</v>
      </c>
      <c r="E13" s="934">
        <f>E57/E54</f>
        <v>2.4083649173426525E-2</v>
      </c>
      <c r="F13" s="154">
        <f>F57/F54</f>
        <v>4.1086411210102931E-2</v>
      </c>
      <c r="G13" s="161">
        <f>IFERROR(AVERAGE($C$13:$F$13),"")</f>
        <v>5.2066412690954578E-2</v>
      </c>
      <c r="H13" s="173">
        <f>SQRT(($C$13-$G$13)^2)</f>
        <v>3.5652073744839877E-2</v>
      </c>
      <c r="L13" s="1210"/>
      <c r="M13" s="1213"/>
      <c r="N13" s="1214"/>
    </row>
    <row r="14" spans="2:14" ht="13.5" thickBot="1" x14ac:dyDescent="0.2">
      <c r="B14" s="779" t="s">
        <v>317</v>
      </c>
      <c r="C14" s="268">
        <f>C60/C54</f>
        <v>6.3668782892504369E-2</v>
      </c>
      <c r="D14" s="150">
        <f t="shared" ref="D14:F14" si="2">D60/D54</f>
        <v>3.8667608891173072E-2</v>
      </c>
      <c r="E14" s="150">
        <f>E60/E54</f>
        <v>1.2949702918580103E-2</v>
      </c>
      <c r="F14" s="150">
        <f t="shared" si="2"/>
        <v>3.0295822160712742E-2</v>
      </c>
      <c r="G14" s="161">
        <f>IFERROR(AVERAGE($C$14:$F$14),"")</f>
        <v>3.6395479215742571E-2</v>
      </c>
      <c r="H14" s="172">
        <f>SQRT(($C$14-$G$14)^2)</f>
        <v>2.7273303676761798E-2</v>
      </c>
    </row>
    <row r="15" spans="2:14" ht="13.5" thickBot="1" x14ac:dyDescent="0.2">
      <c r="B15" s="780" t="s">
        <v>318</v>
      </c>
      <c r="C15" s="268">
        <f>C60/C72</f>
        <v>0.26537828524404672</v>
      </c>
      <c r="D15" s="154">
        <f t="shared" ref="D15:F15" si="3">D60/D72</f>
        <v>0.16578070344561655</v>
      </c>
      <c r="E15" s="154">
        <f>E60/E72</f>
        <v>5.8402860548271755E-2</v>
      </c>
      <c r="F15" s="154">
        <f t="shared" si="3"/>
        <v>0.18230318802862719</v>
      </c>
      <c r="G15" s="161">
        <f>IFERROR(AVERAGE($C$15:$F$15),"")</f>
        <v>0.16796625931664055</v>
      </c>
      <c r="H15" s="173">
        <f>SQRT(($C$15-$G$15)^2)</f>
        <v>9.7412025927406165E-2</v>
      </c>
    </row>
    <row r="16" spans="2:14" ht="13.5" thickBot="1" x14ac:dyDescent="0.2">
      <c r="B16" s="772" t="s">
        <v>319</v>
      </c>
      <c r="C16" s="151">
        <f>(C60+C59)/(C71+C72)</f>
        <v>0.10574274810781725</v>
      </c>
      <c r="D16" s="152">
        <f t="shared" ref="D16:F16" si="4">(D60+D59)/(D71+D72)</f>
        <v>7.0654242730176592E-2</v>
      </c>
      <c r="E16" s="152">
        <f t="shared" si="4"/>
        <v>1.9021873042021301E-2</v>
      </c>
      <c r="F16" s="152">
        <f t="shared" si="4"/>
        <v>0.13449564134495642</v>
      </c>
      <c r="G16" s="162">
        <f>IFERROR(AVERAGE($C$16:$F$16),"")</f>
        <v>8.2478626306242891E-2</v>
      </c>
      <c r="H16" s="174">
        <f>SQRT(($C$16-$G$16)^2)</f>
        <v>2.3264121801574361E-2</v>
      </c>
    </row>
    <row r="17" spans="1:8" ht="15" thickBot="1" x14ac:dyDescent="0.2">
      <c r="B17" s="763" t="s">
        <v>320</v>
      </c>
      <c r="C17" s="777"/>
      <c r="D17" s="777"/>
      <c r="E17" s="777"/>
      <c r="F17" s="777"/>
      <c r="G17" s="781" t="str">
        <f>IFERROR(AVERAGE(A17:F17),"")</f>
        <v/>
      </c>
      <c r="H17" s="778"/>
    </row>
    <row r="18" spans="1:8" ht="13.5" thickBot="1" x14ac:dyDescent="0.2">
      <c r="B18" s="768" t="s">
        <v>68</v>
      </c>
      <c r="C18" s="782">
        <f>C71/C68</f>
        <v>0.25830569178486396</v>
      </c>
      <c r="D18" s="782">
        <f t="shared" ref="D18:E18" si="5">D71/D68</f>
        <v>0.2346358930447982</v>
      </c>
      <c r="E18" s="782">
        <f t="shared" si="5"/>
        <v>0.30985434235023546</v>
      </c>
      <c r="F18" s="782">
        <f>F71/F68</f>
        <v>0.25848333526884215</v>
      </c>
      <c r="G18" s="783">
        <f>IFERROR(AVERAGE($C$18:$F$18),"")</f>
        <v>0.26531981561218498</v>
      </c>
      <c r="H18" s="784">
        <f>SQRT(($C$18-$G$18)^2)</f>
        <v>7.0141238273210282E-3</v>
      </c>
    </row>
    <row r="19" spans="1:8" ht="13.5" thickBot="1" x14ac:dyDescent="0.2">
      <c r="B19" s="779" t="s">
        <v>321</v>
      </c>
      <c r="C19" s="785">
        <f>(C71-C63)/C56</f>
        <v>1.1168839327783886</v>
      </c>
      <c r="D19" s="786">
        <f t="shared" ref="D19:F19" si="6">(D71-D63)/D56</f>
        <v>1.7819324597848087</v>
      </c>
      <c r="E19" s="786">
        <f>(E71-E63)/E56</f>
        <v>4.7514389080743298</v>
      </c>
      <c r="F19" s="786">
        <f t="shared" si="6"/>
        <v>1.3457529385673099</v>
      </c>
      <c r="G19" s="783">
        <f>IFERROR(AVERAGE($C$19:$F$19),"")</f>
        <v>2.2490020598012093</v>
      </c>
      <c r="H19" s="787">
        <f>SQRT(($C$19-$G$19)^2)</f>
        <v>1.1321181270228207</v>
      </c>
    </row>
    <row r="20" spans="1:8" ht="13.5" thickBot="1" x14ac:dyDescent="0.2">
      <c r="B20" s="788" t="s">
        <v>322</v>
      </c>
      <c r="C20" s="938">
        <f>-C56/C58</f>
        <v>15.217495219885278</v>
      </c>
      <c r="D20" s="789">
        <f>-D56/D58</f>
        <v>11.030552291421857</v>
      </c>
      <c r="E20" s="789">
        <f>-E56/E58</f>
        <v>5.3178836904241367</v>
      </c>
      <c r="F20" s="789">
        <f t="shared" ref="F20" si="7">-F56/F58</f>
        <v>11.244389027431421</v>
      </c>
      <c r="G20" s="790">
        <f>IFERROR(AVERAGE($C$20:$F$20),"")</f>
        <v>10.702580057290673</v>
      </c>
      <c r="H20" s="791">
        <f>SQRT(($C$20-$G$20)^2)</f>
        <v>4.5149151625946047</v>
      </c>
    </row>
    <row r="21" spans="1:8" ht="15" thickBot="1" x14ac:dyDescent="0.2">
      <c r="B21" s="763" t="s">
        <v>323</v>
      </c>
      <c r="C21" s="777"/>
      <c r="D21" s="777"/>
      <c r="E21" s="777"/>
      <c r="F21" s="777"/>
      <c r="G21" s="163"/>
      <c r="H21" s="778"/>
    </row>
    <row r="22" spans="1:8" ht="13.5" thickBot="1" x14ac:dyDescent="0.2">
      <c r="B22" s="792" t="s">
        <v>324</v>
      </c>
      <c r="C22" s="793">
        <f>C66/C70</f>
        <v>0.7739950917220435</v>
      </c>
      <c r="D22" s="794">
        <f>D66/D70</f>
        <v>1.4010731559854896</v>
      </c>
      <c r="E22" s="794">
        <f>E66/E70</f>
        <v>0.94186646782149819</v>
      </c>
      <c r="F22" s="794">
        <f t="shared" ref="F22" si="8">F66/F70</f>
        <v>1.5242170217720339</v>
      </c>
      <c r="G22" s="795">
        <f>IFERROR(AVERAGE($C$22:$F$22),"")</f>
        <v>1.1602879343252663</v>
      </c>
      <c r="H22" s="796">
        <f>SQRT(($C$22-$G$22)^2)</f>
        <v>0.38629284260322283</v>
      </c>
    </row>
    <row r="23" spans="1:8" ht="13.5" thickBot="1" x14ac:dyDescent="0.2">
      <c r="B23" s="788" t="s">
        <v>325</v>
      </c>
      <c r="C23" s="797">
        <f>(C63+C64)/C70</f>
        <v>0.6540000224122281</v>
      </c>
      <c r="D23" s="798">
        <f>(D63+D64)/D70</f>
        <v>0.59026098347440548</v>
      </c>
      <c r="E23" s="798">
        <f t="shared" ref="E23:F23" si="9">(E63+E64)/E70</f>
        <v>0.57676092692440062</v>
      </c>
      <c r="F23" s="798">
        <f t="shared" si="9"/>
        <v>0.39207125392944464</v>
      </c>
      <c r="G23" s="790">
        <f>IFERROR(AVERAGE($C$23:$F$23),"")</f>
        <v>0.55327329668511971</v>
      </c>
      <c r="H23" s="799">
        <f>SQRT(($C$23-$G$23)^2)</f>
        <v>0.10072672572710839</v>
      </c>
    </row>
    <row r="24" spans="1:8" ht="15" thickBot="1" x14ac:dyDescent="0.2">
      <c r="B24" s="763" t="s">
        <v>326</v>
      </c>
      <c r="C24" s="777"/>
      <c r="D24" s="777"/>
      <c r="E24" s="777"/>
      <c r="F24" s="777"/>
      <c r="G24" s="163" t="str">
        <f>IFERROR(AVERAGE(A24:F24),"")</f>
        <v/>
      </c>
      <c r="H24" s="778"/>
    </row>
    <row r="25" spans="1:8" ht="13.5" thickBot="1" x14ac:dyDescent="0.2">
      <c r="B25" s="792" t="s">
        <v>327</v>
      </c>
      <c r="C25" s="794">
        <f>C55/C65</f>
        <v>1.3743424540227542</v>
      </c>
      <c r="D25" s="794">
        <v>0</v>
      </c>
      <c r="E25" s="794">
        <f>E55/E65</f>
        <v>10.313881613410162</v>
      </c>
      <c r="F25" s="794">
        <v>0</v>
      </c>
      <c r="G25" s="795">
        <f>IFERROR(AVERAGE($C$25:$F$25),"")</f>
        <v>2.922056016858229</v>
      </c>
      <c r="H25" s="796">
        <f>SQRT(($C$25-$G$25)^2)</f>
        <v>1.5477135628354748</v>
      </c>
    </row>
    <row r="26" spans="1:8" ht="13.5" thickBot="1" x14ac:dyDescent="0.2">
      <c r="B26" s="780" t="s">
        <v>328</v>
      </c>
      <c r="C26" s="798">
        <f>C54/C64</f>
        <v>10.645714285714286</v>
      </c>
      <c r="D26" s="798">
        <f t="shared" ref="D26" si="10">D54/D64</f>
        <v>9.7020693093991515</v>
      </c>
      <c r="E26" s="798">
        <f>E54/E64</f>
        <v>11.79164833553307</v>
      </c>
      <c r="F26" s="798">
        <f>F54/F64</f>
        <v>55.249701314217447</v>
      </c>
      <c r="G26" s="783">
        <f>IFERROR(AVERAGE($C$26:$F$26),"")</f>
        <v>21.847283311215989</v>
      </c>
      <c r="H26" s="799">
        <f>SQRT(($C$26-$G$26)^2)</f>
        <v>11.201569025501703</v>
      </c>
    </row>
    <row r="27" spans="1:8" ht="13.5" thickBot="1" x14ac:dyDescent="0.2">
      <c r="A27" s="188" t="s">
        <v>329</v>
      </c>
      <c r="B27" s="779" t="s">
        <v>330</v>
      </c>
      <c r="C27" s="786">
        <f>C55/C69</f>
        <v>0.59366578006376491</v>
      </c>
      <c r="D27" s="786">
        <f>D55/D70</f>
        <v>0.32837061668681983</v>
      </c>
      <c r="E27" s="786">
        <f>E55/E70</f>
        <v>2.8233910749110933</v>
      </c>
      <c r="F27" s="786">
        <f>F55/F70</f>
        <v>0</v>
      </c>
      <c r="G27" s="783">
        <f>IFERROR(AVERAGE($C$27:$F$27),"")</f>
        <v>0.9363568679154195</v>
      </c>
      <c r="H27" s="787">
        <f>SQRT(($C$27-$G$27)^2)</f>
        <v>0.34269108785165459</v>
      </c>
    </row>
    <row r="28" spans="1:8" ht="13.5" thickBot="1" x14ac:dyDescent="0.2">
      <c r="B28" s="780" t="s">
        <v>331</v>
      </c>
      <c r="C28" s="798">
        <f>C54/C67</f>
        <v>32.006516587677723</v>
      </c>
      <c r="D28" s="798">
        <f>D54/D67</f>
        <v>36.065801668211307</v>
      </c>
      <c r="E28" s="798">
        <f>E54/E67</f>
        <v>24.984774333877109</v>
      </c>
      <c r="F28" s="798">
        <f>F54/F67</f>
        <v>28.714063955293387</v>
      </c>
      <c r="G28" s="783">
        <f>IFERROR(AVERAGE($C$28:$F$28),"")</f>
        <v>30.442789136264881</v>
      </c>
      <c r="H28" s="799">
        <f>SQRT(($C$28-$G$28)^2)</f>
        <v>1.5637274514128414</v>
      </c>
    </row>
    <row r="29" spans="1:8" ht="13.5" thickBot="1" x14ac:dyDescent="0.2">
      <c r="B29" s="772" t="s">
        <v>332</v>
      </c>
      <c r="C29" s="789">
        <f>C54/C68</f>
        <v>1.3193138112777518</v>
      </c>
      <c r="D29" s="800">
        <f t="shared" ref="D29" si="11">D54/D68</f>
        <v>1.5146148756470634</v>
      </c>
      <c r="E29" s="800">
        <f>E54/E68</f>
        <v>1.4089541123644727</v>
      </c>
      <c r="F29" s="800">
        <f>F54/F68</f>
        <v>2.1481361049819996</v>
      </c>
      <c r="G29" s="783">
        <f>IFERROR(AVERAGE($C$29:$F$29),"")</f>
        <v>1.597754726067822</v>
      </c>
      <c r="H29" s="801">
        <f>SQRT(($C$29-$G$29)^2)</f>
        <v>0.27844091479007016</v>
      </c>
    </row>
    <row r="30" spans="1:8" ht="15" thickBot="1" x14ac:dyDescent="0.2">
      <c r="B30" s="802" t="s">
        <v>109</v>
      </c>
      <c r="C30" s="777"/>
      <c r="D30" s="777"/>
      <c r="E30" s="777"/>
      <c r="F30" s="777"/>
      <c r="G30" s="803" t="str">
        <f>IFERROR(AVERAGE(A30:F30),"")</f>
        <v/>
      </c>
      <c r="H30" s="778"/>
    </row>
    <row r="31" spans="1:8" ht="13.5" thickBot="1" x14ac:dyDescent="0.2">
      <c r="B31" s="768" t="s">
        <v>333</v>
      </c>
      <c r="C31" s="917">
        <f>C8/C60</f>
        <v>23.450502009981104</v>
      </c>
      <c r="D31" s="804">
        <f t="shared" ref="D31:F31" ca="1" si="12">D8/D60</f>
        <v>21.221465359694303</v>
      </c>
      <c r="E31" s="804">
        <f ca="1">E8/E60</f>
        <v>17.512038415366145</v>
      </c>
      <c r="F31" s="804">
        <f t="shared" ca="1" si="12"/>
        <v>13.817401855817273</v>
      </c>
      <c r="G31" s="795">
        <f ca="1">IFERROR(AVERAGE($C$31:$F$31),"")</f>
        <v>19.000351910214704</v>
      </c>
      <c r="H31" s="805">
        <f ca="1">SQRT(($C$31-$G$31)^2)</f>
        <v>4.4501500997664003</v>
      </c>
    </row>
    <row r="32" spans="1:8" ht="13.5" thickBot="1" x14ac:dyDescent="0.2">
      <c r="B32" s="779" t="s">
        <v>329</v>
      </c>
      <c r="C32" s="806">
        <f>C8/C54</f>
        <v>1.4930649211937241</v>
      </c>
      <c r="D32" s="807">
        <f t="shared" ref="D32:F32" ca="1" si="13">D8/D54</f>
        <v>0.82058332262623668</v>
      </c>
      <c r="E32" s="807">
        <f ca="1">E8/E54</f>
        <v>0.22677569497775388</v>
      </c>
      <c r="F32" s="807">
        <f t="shared" ca="1" si="13"/>
        <v>0.41860954934694233</v>
      </c>
      <c r="G32" s="783">
        <f ca="1">IFERROR(AVERAGE($C$32:$F$32),"")</f>
        <v>0.73975837203616424</v>
      </c>
      <c r="H32" s="808">
        <f ca="1">SQRT(($C$32-$G$32)^2)</f>
        <v>0.7533065491575599</v>
      </c>
    </row>
    <row r="33" spans="2:11" ht="13.5" thickBot="1" x14ac:dyDescent="0.2">
      <c r="B33" s="780" t="s">
        <v>334</v>
      </c>
      <c r="C33" s="809">
        <f>C8/C72</f>
        <v>6.2232540115208561</v>
      </c>
      <c r="D33" s="809">
        <f t="shared" ref="D33:F33" ca="1" si="14">D8/D72</f>
        <v>3.5181094554769055</v>
      </c>
      <c r="E33" s="809">
        <f ca="1">E8/E72</f>
        <v>1.022753137488607</v>
      </c>
      <c r="F33" s="809">
        <f t="shared" ca="1" si="14"/>
        <v>2.5189564085881586</v>
      </c>
      <c r="G33" s="783">
        <f ca="1">IFERROR(AVERAGE($C$33:$F$33),"")</f>
        <v>3.3207682532686316</v>
      </c>
      <c r="H33" s="810">
        <f ca="1">SQRT(($C$33-$G$33)^2)</f>
        <v>2.9024857582522245</v>
      </c>
    </row>
    <row r="34" spans="2:11" ht="13.5" thickBot="1" x14ac:dyDescent="0.2">
      <c r="B34" s="779" t="s">
        <v>335</v>
      </c>
      <c r="C34" s="809">
        <f>(C71+C8-C63)/C54</f>
        <v>1.6027508189855688</v>
      </c>
      <c r="D34" s="807">
        <f t="shared" ref="D34:F34" ca="1" si="15">(D71+D8-D63)/D54</f>
        <v>0.92804188616214822</v>
      </c>
      <c r="E34" s="807">
        <f ca="1">(E71+E8-E63)/E54</f>
        <v>0.4064454386886755</v>
      </c>
      <c r="F34" s="807">
        <f t="shared" ca="1" si="15"/>
        <v>0.4842180607213909</v>
      </c>
      <c r="G34" s="783">
        <f ca="1">IFERROR(AVERAGE($C$34:$F$34),"")</f>
        <v>0.8553640511394458</v>
      </c>
      <c r="H34" s="808">
        <f ca="1">SQRT(($C$34-$G$34)^2)</f>
        <v>0.74738676784612301</v>
      </c>
    </row>
    <row r="35" spans="2:11" ht="13.5" thickBot="1" x14ac:dyDescent="0.2">
      <c r="B35" s="788" t="s">
        <v>336</v>
      </c>
      <c r="C35" s="918">
        <f>(C71+C8-C63)/C56</f>
        <v>16.320116569310507</v>
      </c>
      <c r="D35" s="811">
        <f t="shared" ref="D35:F35" ca="1" si="16">(D71+D8-D63)/D56</f>
        <v>15.389261744966444</v>
      </c>
      <c r="E35" s="811">
        <f ca="1">(E71+E8-E63)/E56</f>
        <v>10.748613714849533</v>
      </c>
      <c r="F35" s="811">
        <f t="shared" ca="1" si="16"/>
        <v>9.9322155688622757</v>
      </c>
      <c r="G35" s="790">
        <f ca="1">IFERROR(AVERAGE($C$35:$F$35),"")</f>
        <v>13.097551899497191</v>
      </c>
      <c r="H35" s="812">
        <f ca="1">SQRT(($C$35-$G$35)^2)</f>
        <v>3.2225646698133161</v>
      </c>
    </row>
    <row r="36" spans="2:11" ht="15" thickBot="1" x14ac:dyDescent="0.2">
      <c r="B36" s="802" t="s">
        <v>337</v>
      </c>
      <c r="C36" s="777"/>
      <c r="D36" s="777"/>
      <c r="E36" s="777"/>
      <c r="F36" s="777"/>
      <c r="G36" s="813" t="str">
        <f>IFERROR(AVERAGE(A36:F36),"")</f>
        <v/>
      </c>
      <c r="H36" s="778"/>
    </row>
    <row r="37" spans="2:11" ht="13.5" thickBot="1" x14ac:dyDescent="0.2">
      <c r="B37" s="768" t="s">
        <v>44</v>
      </c>
      <c r="C37" s="158">
        <f>OP!M20</f>
        <v>0.996</v>
      </c>
      <c r="D37" s="158">
        <v>0.995</v>
      </c>
      <c r="E37" s="158">
        <v>0.99239999999999995</v>
      </c>
      <c r="F37" s="264">
        <v>0.99670000000000003</v>
      </c>
      <c r="G37" s="160">
        <f>IFERROR(AVERAGE($C$37:$F$37),"")</f>
        <v>0.99502500000000005</v>
      </c>
      <c r="H37" s="175">
        <f>SQRT(($C$37-$G$37)^2)</f>
        <v>9.7499999999994813E-4</v>
      </c>
    </row>
    <row r="38" spans="2:11" ht="13.5" thickBot="1" x14ac:dyDescent="0.2">
      <c r="B38" s="814" t="s">
        <v>338</v>
      </c>
      <c r="C38" s="155">
        <f>OP!M22</f>
        <v>0.55000000000000004</v>
      </c>
      <c r="D38" s="155">
        <v>0.78</v>
      </c>
      <c r="E38" s="155">
        <v>0.49</v>
      </c>
      <c r="F38" s="155">
        <v>0.47</v>
      </c>
      <c r="G38" s="164">
        <f>IFERROR(AVERAGE($C$38:$F$38),"")</f>
        <v>0.57250000000000001</v>
      </c>
      <c r="H38" s="176">
        <f>SQRT(($C$38-$G$38)^2)</f>
        <v>2.2499999999999964E-2</v>
      </c>
    </row>
    <row r="39" spans="2:11" ht="13.5" thickBot="1" x14ac:dyDescent="0.2">
      <c r="B39" s="788" t="s">
        <v>339</v>
      </c>
      <c r="C39" s="919">
        <f>[2]OP1!M32</f>
        <v>1.1818344081721879E-2</v>
      </c>
      <c r="D39" s="157">
        <v>1.2800000000000001E-2</v>
      </c>
      <c r="E39" s="157" t="s">
        <v>340</v>
      </c>
      <c r="F39" s="157">
        <v>9.5999999999999992E-3</v>
      </c>
      <c r="G39" s="161">
        <f>IFERROR(AVERAGE($C$39:$F$39),"")</f>
        <v>1.1406114693907293E-2</v>
      </c>
      <c r="H39" s="177">
        <f>SQRT(($C$39-$G$39)^2)</f>
        <v>4.1222938781458607E-4</v>
      </c>
    </row>
    <row r="40" spans="2:11" ht="15" thickBot="1" x14ac:dyDescent="0.2">
      <c r="B40" s="802" t="s">
        <v>341</v>
      </c>
      <c r="C40" s="777"/>
      <c r="D40" s="777"/>
      <c r="E40" s="777"/>
      <c r="F40" s="777"/>
      <c r="G40" s="815"/>
      <c r="H40" s="778"/>
    </row>
    <row r="41" spans="2:11" ht="13.5" thickBot="1" x14ac:dyDescent="0.2">
      <c r="B41" s="816" t="s">
        <v>342</v>
      </c>
      <c r="C41" s="269">
        <v>6.5799999999999997E-2</v>
      </c>
      <c r="D41" s="266">
        <v>5.1900000000000002E-2</v>
      </c>
      <c r="E41" s="266">
        <v>-0.125</v>
      </c>
      <c r="F41" s="265">
        <v>-0.27100000000000002</v>
      </c>
      <c r="G41" s="160">
        <f>IFERROR(AVERAGE($C$41:$F$41),"")</f>
        <v>-6.9574999999999998E-2</v>
      </c>
      <c r="H41" s="817">
        <f>SQRT(($C$41-$G$41)^2)</f>
        <v>0.135375</v>
      </c>
    </row>
    <row r="42" spans="2:11" ht="13.5" thickBot="1" x14ac:dyDescent="0.2">
      <c r="B42" s="779" t="s">
        <v>343</v>
      </c>
      <c r="C42" s="255">
        <v>1.59</v>
      </c>
      <c r="D42" s="265">
        <f ca="1">(D43/285.43) -1</f>
        <v>0.92986021090985527</v>
      </c>
      <c r="E42" s="265">
        <f ca="1" xml:space="preserve"> (E43/70.48)-1</f>
        <v>-0.17735527809307616</v>
      </c>
      <c r="F42" s="265">
        <f ca="1">(F43/372.11)-1</f>
        <v>-0.1358469269839564</v>
      </c>
      <c r="G42" s="160">
        <f ca="1">IFERROR(AVERAGE($C$42:$F$42),"")</f>
        <v>0.55166450145820578</v>
      </c>
      <c r="H42" s="178">
        <f ca="1">SQRT(($C$42-$G$42)^2)</f>
        <v>1.0383354985417943</v>
      </c>
    </row>
    <row r="43" spans="2:11" ht="13.5" thickBot="1" x14ac:dyDescent="0.2">
      <c r="B43" s="818" t="s">
        <v>344</v>
      </c>
      <c r="C43" s="819">
        <f>OP!C20</f>
        <v>523.28</v>
      </c>
      <c r="D43" s="819" cm="1">
        <f t="array" aca="1" ref="D43" ca="1">_FV(D6,"Price")</f>
        <v>550.84</v>
      </c>
      <c r="E43" s="819" cm="1">
        <f t="array" aca="1" ref="E43" ca="1">_FV(E6,"Price")</f>
        <v>57.98</v>
      </c>
      <c r="F43" s="819" cm="1">
        <f t="array" aca="1" ref="F43" ca="1">_FV(F6,"Price")</f>
        <v>321.56</v>
      </c>
      <c r="G43" s="267">
        <f ca="1">IFERROR(AVERAGE($C$43:$F$43),"")</f>
        <v>363.41499999999996</v>
      </c>
      <c r="H43" s="820">
        <f ca="1">SQRT(($C$43-$G$43)^2)</f>
        <v>159.86500000000001</v>
      </c>
    </row>
    <row r="44" spans="2:11" x14ac:dyDescent="0.15">
      <c r="B44" s="779" t="s">
        <v>345</v>
      </c>
      <c r="C44" s="819">
        <v>599.98</v>
      </c>
      <c r="D44" s="819">
        <v>572.87</v>
      </c>
      <c r="E44" s="819">
        <v>88.57</v>
      </c>
      <c r="F44" s="819">
        <v>411.53</v>
      </c>
      <c r="G44" s="267">
        <f>IFERROR(AVERAGE($C$44:$F$44),"")</f>
        <v>418.23749999999995</v>
      </c>
      <c r="H44" s="787">
        <f>SQRT(($C$44-$G$44)^2)</f>
        <v>181.74250000000006</v>
      </c>
    </row>
    <row r="45" spans="2:11" ht="13.5" thickBot="1" x14ac:dyDescent="0.2">
      <c r="B45" s="821" t="s">
        <v>346</v>
      </c>
      <c r="C45" s="156">
        <f>C44/C43-1</f>
        <v>0.14657544717933058</v>
      </c>
      <c r="D45" s="156">
        <f ca="1">(D44/D43)-1</f>
        <v>3.9993464526904221E-2</v>
      </c>
      <c r="E45" s="156">
        <f ca="1">E44/E43-1</f>
        <v>0.52759572266298727</v>
      </c>
      <c r="F45" s="156">
        <f ca="1">F44/F43-1</f>
        <v>0.27979226271924351</v>
      </c>
      <c r="G45" s="165">
        <f ca="1">IFERROR(AVERAGE($C$45:$F$45),"")</f>
        <v>0.24848922427211639</v>
      </c>
      <c r="H45" s="179">
        <f ca="1">SQRT(($C$45-$G$45)^2)</f>
        <v>0.10191377709278582</v>
      </c>
    </row>
    <row r="46" spans="2:11" ht="15" thickBot="1" x14ac:dyDescent="0.2">
      <c r="B46" s="802" t="s">
        <v>347</v>
      </c>
      <c r="C46" s="802"/>
      <c r="D46" s="802"/>
      <c r="E46" s="802"/>
      <c r="F46" s="802"/>
      <c r="G46" s="802" t="str">
        <f>IFERROR(AVERAGE(A46:F46),"")</f>
        <v/>
      </c>
      <c r="H46" s="822"/>
      <c r="K46" s="823"/>
    </row>
    <row r="47" spans="2:11" ht="13.5" thickBot="1" x14ac:dyDescent="0.2">
      <c r="B47" s="816" t="s">
        <v>348</v>
      </c>
      <c r="C47" s="937">
        <f>([2]Inputs1!B59-[2]Inputs1!E59)/[2]Inputs1!E59</f>
        <v>0.41937929913881816</v>
      </c>
      <c r="D47" s="550">
        <f>(8399-6061)/6061</f>
        <v>0.38574492657977233</v>
      </c>
      <c r="E47" s="550">
        <f>(16177-12848)/12848</f>
        <v>0.25910647571606477</v>
      </c>
      <c r="F47" s="550">
        <f>(4587-5284)/5284</f>
        <v>-0.13190764572293717</v>
      </c>
      <c r="G47" s="165">
        <f>IFERROR(AVERAGE($C$47:$F$47),"")</f>
        <v>0.23308076392792954</v>
      </c>
      <c r="H47" s="817">
        <f>SQRT(($C$47-$G$47)^2)</f>
        <v>0.18629853521088863</v>
      </c>
      <c r="K47" s="550"/>
    </row>
    <row r="48" spans="2:11" ht="13.5" thickBot="1" x14ac:dyDescent="0.2">
      <c r="B48" s="824" t="s">
        <v>349</v>
      </c>
      <c r="C48" s="168">
        <f>C61/C9</f>
        <v>0</v>
      </c>
      <c r="D48" s="168">
        <f t="shared" ref="D48" si="17">D61/D9</f>
        <v>0</v>
      </c>
      <c r="E48" s="168">
        <f>E61/E9</f>
        <v>0</v>
      </c>
      <c r="F48" s="168">
        <f>F61/F9</f>
        <v>0</v>
      </c>
      <c r="G48" s="165">
        <f>IFERROR(AVERAGE($C$48:$F$48),"")</f>
        <v>0</v>
      </c>
      <c r="H48" s="169">
        <f>SQRT(($C$48-$G$48)^2)</f>
        <v>0</v>
      </c>
      <c r="K48" s="170"/>
    </row>
    <row r="49" spans="2:7" ht="13.5" thickBot="1" x14ac:dyDescent="0.2"/>
    <row r="50" spans="2:7" ht="54.75" customHeight="1" x14ac:dyDescent="0.15">
      <c r="B50" s="825" t="s">
        <v>350</v>
      </c>
      <c r="C50" s="758" t="str">
        <f>OP!E2</f>
        <v>UNITEDHEALTH GROUP INCORPORATED (XNYS:UNH)</v>
      </c>
      <c r="D50" s="759" t="e" vm="1">
        <f>D6</f>
        <v>#VALUE!</v>
      </c>
      <c r="E50" s="760" t="e" vm="2">
        <f>E6</f>
        <v>#VALUE!</v>
      </c>
      <c r="F50" s="761" t="e" vm="3">
        <f>F6</f>
        <v>#VALUE!</v>
      </c>
    </row>
    <row r="51" spans="2:7" ht="13.5" thickBot="1" x14ac:dyDescent="0.2">
      <c r="B51" s="826" t="s">
        <v>351</v>
      </c>
      <c r="C51" s="827"/>
      <c r="D51" s="827"/>
      <c r="E51" s="827"/>
      <c r="F51" s="827"/>
    </row>
    <row r="52" spans="2:7" ht="13.5" thickBot="1" x14ac:dyDescent="0.2">
      <c r="B52" s="828" t="s">
        <v>352</v>
      </c>
      <c r="C52" s="829">
        <f>'[2]Fin. Data1'!E5</f>
        <v>242155</v>
      </c>
      <c r="D52" s="830">
        <v>103141</v>
      </c>
      <c r="E52" s="830">
        <v>255765</v>
      </c>
      <c r="F52" s="830">
        <v>64387</v>
      </c>
    </row>
    <row r="53" spans="2:7" ht="15" thickBot="1" x14ac:dyDescent="0.25">
      <c r="B53" s="828" t="s">
        <v>353</v>
      </c>
      <c r="C53" s="829">
        <f>'[2]Fin. Data1'!C5</f>
        <v>287597</v>
      </c>
      <c r="D53" s="830">
        <v>136943</v>
      </c>
      <c r="E53" s="830">
        <v>290912</v>
      </c>
      <c r="F53" s="830">
        <v>82877</v>
      </c>
      <c r="G53" s="929"/>
    </row>
    <row r="54" spans="2:7" ht="13.5" thickBot="1" x14ac:dyDescent="0.2">
      <c r="B54" s="828" t="s">
        <v>311</v>
      </c>
      <c r="C54" s="829">
        <f>'[2]Fin. Data1'!B5</f>
        <v>324162</v>
      </c>
      <c r="D54" s="830">
        <v>155660</v>
      </c>
      <c r="E54" s="830">
        <v>321629</v>
      </c>
      <c r="F54" s="830">
        <v>92488</v>
      </c>
      <c r="G54"/>
    </row>
    <row r="55" spans="2:7" ht="13.5" thickBot="1" x14ac:dyDescent="0.2">
      <c r="B55" s="828" t="s">
        <v>354</v>
      </c>
      <c r="C55" s="829">
        <f>'[2]Fin. Data1'!B5-'[2]Fin. Data1'!B7</f>
        <v>33703</v>
      </c>
      <c r="D55" s="830">
        <v>13035</v>
      </c>
      <c r="E55" s="830">
        <v>196892</v>
      </c>
      <c r="F55" s="830">
        <v>0</v>
      </c>
    </row>
    <row r="56" spans="2:7" ht="13.5" thickBot="1" x14ac:dyDescent="0.2">
      <c r="B56" s="828" t="s">
        <v>52</v>
      </c>
      <c r="C56" s="829">
        <f>'[2]Fin. Data1'!B19</f>
        <v>31835</v>
      </c>
      <c r="D56" s="830">
        <v>9387</v>
      </c>
      <c r="E56" s="830">
        <v>12162</v>
      </c>
      <c r="F56" s="830">
        <v>4509</v>
      </c>
    </row>
    <row r="57" spans="2:7" ht="13.5" thickBot="1" x14ac:dyDescent="0.2">
      <c r="B57" s="828" t="s">
        <v>355</v>
      </c>
      <c r="C57" s="831">
        <f>'[2]Fin. Data1'!B11</f>
        <v>28435</v>
      </c>
      <c r="D57" s="830">
        <v>8620</v>
      </c>
      <c r="E57" s="830">
        <v>7746</v>
      </c>
      <c r="F57" s="830">
        <v>3800</v>
      </c>
    </row>
    <row r="58" spans="2:7" ht="13.5" thickBot="1" x14ac:dyDescent="0.2">
      <c r="B58" s="828" t="s">
        <v>356</v>
      </c>
      <c r="C58" s="831">
        <f>'[2]Fin. Data1'!B14</f>
        <v>-2092</v>
      </c>
      <c r="D58" s="830">
        <v>-851</v>
      </c>
      <c r="E58" s="830">
        <v>-2287</v>
      </c>
      <c r="F58" s="832">
        <v>-401</v>
      </c>
    </row>
    <row r="59" spans="2:7" ht="13.5" thickBot="1" x14ac:dyDescent="0.2">
      <c r="B59" s="828" t="s">
        <v>357</v>
      </c>
      <c r="C59" s="831">
        <f>'[2]Fin. Data1'!B21</f>
        <v>-5704</v>
      </c>
      <c r="D59" s="830">
        <v>-1750</v>
      </c>
      <c r="E59" s="830">
        <v>-1463</v>
      </c>
      <c r="F59" s="830">
        <v>762</v>
      </c>
    </row>
    <row r="60" spans="2:7" ht="13.5" thickBot="1" x14ac:dyDescent="0.2">
      <c r="B60" s="828" t="s">
        <v>64</v>
      </c>
      <c r="C60" s="831">
        <f>'[2]Fin. Data1'!B23</f>
        <v>20639</v>
      </c>
      <c r="D60" s="830">
        <v>6019</v>
      </c>
      <c r="E60" s="830">
        <v>4165</v>
      </c>
      <c r="F60" s="830">
        <v>2802</v>
      </c>
    </row>
    <row r="61" spans="2:7" ht="13.5" thickBot="1" x14ac:dyDescent="0.2">
      <c r="B61" s="828" t="s">
        <v>358</v>
      </c>
      <c r="C61" s="831">
        <v>0</v>
      </c>
      <c r="D61" s="830">
        <v>0</v>
      </c>
      <c r="E61" s="830">
        <v>0</v>
      </c>
      <c r="F61" s="830">
        <v>0</v>
      </c>
    </row>
    <row r="62" spans="2:7" ht="13.5" thickBot="1" x14ac:dyDescent="0.2">
      <c r="B62" s="833" t="s">
        <v>359</v>
      </c>
      <c r="C62" s="834"/>
      <c r="D62" s="834"/>
      <c r="E62" s="834"/>
      <c r="F62" s="834"/>
    </row>
    <row r="63" spans="2:7" ht="13.5" thickBot="1" x14ac:dyDescent="0.2">
      <c r="B63" s="828" t="s">
        <v>360</v>
      </c>
      <c r="C63" s="829">
        <f>'[2]Fin. Data1'!B39</f>
        <v>27911</v>
      </c>
      <c r="D63" s="830">
        <v>7387</v>
      </c>
      <c r="E63" s="830">
        <v>12945</v>
      </c>
      <c r="F63" s="830">
        <v>5061</v>
      </c>
    </row>
    <row r="64" spans="2:7" ht="13.5" thickBot="1" x14ac:dyDescent="0.2">
      <c r="B64" s="828" t="s">
        <v>361</v>
      </c>
      <c r="C64" s="829">
        <f>'[2]Fin. Data1'!B40</f>
        <v>30450</v>
      </c>
      <c r="D64" s="830">
        <v>16044</v>
      </c>
      <c r="E64" s="830">
        <v>27276</v>
      </c>
      <c r="F64" s="830">
        <v>1674</v>
      </c>
    </row>
    <row r="65" spans="2:8" ht="13.5" thickBot="1" x14ac:dyDescent="0.2">
      <c r="B65" s="828" t="s">
        <v>362</v>
      </c>
      <c r="C65" s="829">
        <f>'[2]Fin. Data1'!B41</f>
        <v>24523</v>
      </c>
      <c r="D65" s="830">
        <v>0</v>
      </c>
      <c r="E65" s="830">
        <v>19090</v>
      </c>
      <c r="F65" s="830">
        <v>0</v>
      </c>
    </row>
    <row r="66" spans="2:8" ht="13.5" thickBot="1" x14ac:dyDescent="0.2">
      <c r="B66" s="828" t="s">
        <v>363</v>
      </c>
      <c r="C66" s="829">
        <f>[2]Inputs1!B27</f>
        <v>69069</v>
      </c>
      <c r="D66" s="830">
        <v>55617</v>
      </c>
      <c r="E66" s="835">
        <v>65682</v>
      </c>
      <c r="F66" s="830">
        <v>26183</v>
      </c>
      <c r="G66" s="836"/>
      <c r="H66" s="836"/>
    </row>
    <row r="67" spans="2:8" ht="13.5" thickBot="1" x14ac:dyDescent="0.2">
      <c r="B67" s="828" t="s">
        <v>364</v>
      </c>
      <c r="C67" s="829">
        <f>'[2]Fin. Data1'!B42</f>
        <v>10128</v>
      </c>
      <c r="D67" s="830">
        <v>4316</v>
      </c>
      <c r="E67" s="830">
        <v>12873</v>
      </c>
      <c r="F67" s="830">
        <v>3221</v>
      </c>
    </row>
    <row r="68" spans="2:8" ht="13.5" thickBot="1" x14ac:dyDescent="0.2">
      <c r="B68" s="828" t="s">
        <v>40</v>
      </c>
      <c r="C68" s="829">
        <f>'[2]Fin. Data1'!B44</f>
        <v>245705</v>
      </c>
      <c r="D68" s="830">
        <v>102772</v>
      </c>
      <c r="E68" s="830">
        <v>228275</v>
      </c>
      <c r="F68" s="830">
        <v>43055</v>
      </c>
    </row>
    <row r="69" spans="2:8" ht="13.5" thickBot="1" x14ac:dyDescent="0.2">
      <c r="B69" s="828" t="s">
        <v>365</v>
      </c>
      <c r="C69" s="829">
        <f>[2]Inputs1!B43</f>
        <v>56771</v>
      </c>
      <c r="D69" s="830">
        <v>21203</v>
      </c>
      <c r="E69" s="830">
        <v>14838</v>
      </c>
      <c r="F69" s="830">
        <v>14502</v>
      </c>
    </row>
    <row r="70" spans="2:8" ht="13.5" thickBot="1" x14ac:dyDescent="0.2">
      <c r="B70" s="828" t="s">
        <v>366</v>
      </c>
      <c r="C70" s="829">
        <f>[2]Inputs1!B42</f>
        <v>89237</v>
      </c>
      <c r="D70" s="830">
        <v>39696</v>
      </c>
      <c r="E70" s="830">
        <v>69736</v>
      </c>
      <c r="F70" s="830">
        <v>17178</v>
      </c>
    </row>
    <row r="71" spans="2:8" ht="13.5" thickBot="1" x14ac:dyDescent="0.2">
      <c r="B71" s="828" t="s">
        <v>367</v>
      </c>
      <c r="C71" s="829">
        <f>'[2]Fin. Data1'!B58</f>
        <v>63467</v>
      </c>
      <c r="D71" s="830">
        <v>24114</v>
      </c>
      <c r="E71" s="830">
        <v>70732</v>
      </c>
      <c r="F71" s="830">
        <v>11129</v>
      </c>
    </row>
    <row r="72" spans="2:8" ht="13.5" thickBot="1" x14ac:dyDescent="0.2">
      <c r="B72" s="837" t="s">
        <v>368</v>
      </c>
      <c r="C72" s="838">
        <f>'[2]Fin. Data1'!B64</f>
        <v>77772</v>
      </c>
      <c r="D72" s="839">
        <v>36307</v>
      </c>
      <c r="E72" s="839">
        <v>71315</v>
      </c>
      <c r="F72" s="839">
        <v>15370</v>
      </c>
    </row>
    <row r="75" spans="2:8" x14ac:dyDescent="0.15">
      <c r="E75" s="836"/>
    </row>
    <row r="76" spans="2:8" x14ac:dyDescent="0.15">
      <c r="C76" s="582"/>
      <c r="D76" s="582"/>
      <c r="E76" s="582"/>
      <c r="F76" s="582"/>
      <c r="G76" s="582"/>
      <c r="H76" s="197"/>
    </row>
    <row r="77" spans="2:8" x14ac:dyDescent="0.15">
      <c r="C77" s="582"/>
      <c r="D77" s="582"/>
      <c r="E77" s="582"/>
      <c r="F77" s="582"/>
      <c r="G77" s="582"/>
      <c r="H77" s="197"/>
    </row>
    <row r="78" spans="2:8" x14ac:dyDescent="0.15">
      <c r="E78" s="836"/>
    </row>
  </sheetData>
  <mergeCells count="11">
    <mergeCell ref="M12:N13"/>
    <mergeCell ref="L7:N7"/>
    <mergeCell ref="L8:L9"/>
    <mergeCell ref="M8:N9"/>
    <mergeCell ref="L10:L11"/>
    <mergeCell ref="M10:N11"/>
    <mergeCell ref="D1:H1"/>
    <mergeCell ref="D2:H2"/>
    <mergeCell ref="D3:H3"/>
    <mergeCell ref="D4:H4"/>
    <mergeCell ref="L12:L13"/>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BC116"/>
  <sheetViews>
    <sheetView showGridLines="0" topLeftCell="A11" zoomScale="90" zoomScaleNormal="90" workbookViewId="0">
      <selection activeCell="L4" sqref="L4"/>
    </sheetView>
  </sheetViews>
  <sheetFormatPr defaultColWidth="11.4609375" defaultRowHeight="12.75" x14ac:dyDescent="0.15"/>
  <cols>
    <col min="1" max="1" width="1.078125" style="18" customWidth="1"/>
    <col min="2" max="2" width="59.46875" style="18" customWidth="1"/>
    <col min="3" max="4" width="12.80859375" style="18" customWidth="1"/>
    <col min="5" max="5" width="11.4609375" style="18" bestFit="1" customWidth="1"/>
    <col min="6" max="6" width="11.0546875" style="18" customWidth="1"/>
    <col min="7" max="7" width="10.3828125" style="18" customWidth="1"/>
    <col min="8" max="8" width="20.2265625" style="144" customWidth="1"/>
    <col min="9" max="9" width="22.3828125" style="144" customWidth="1"/>
    <col min="10" max="10" width="64.1875" style="18" customWidth="1"/>
    <col min="11" max="11" width="34.65625" style="18" bestFit="1" customWidth="1"/>
    <col min="12" max="12" width="21.3046875" style="18" customWidth="1"/>
    <col min="13" max="13" width="19.8203125" style="18" customWidth="1"/>
    <col min="14" max="14" width="20.90234375" style="18" bestFit="1" customWidth="1"/>
    <col min="15" max="15" width="19.8203125" style="18" bestFit="1" customWidth="1"/>
    <col min="16" max="16" width="19.8203125" style="18" customWidth="1"/>
    <col min="17" max="17" width="22.25" style="18" bestFit="1" customWidth="1"/>
    <col min="18" max="18" width="11.4609375" style="18" customWidth="1"/>
    <col min="19" max="19" width="10.3828125" style="18" customWidth="1"/>
    <col min="20" max="20" width="12.26953125" style="18" bestFit="1" customWidth="1"/>
    <col min="21" max="21" width="15.37109375" style="18" customWidth="1"/>
    <col min="22" max="22" width="18.203125" style="18" bestFit="1" customWidth="1"/>
    <col min="23" max="23" width="18.33984375" style="18" bestFit="1" customWidth="1"/>
    <col min="24" max="24" width="17.2578125" style="18" bestFit="1" customWidth="1"/>
    <col min="25" max="30" width="11.4609375" style="18"/>
    <col min="31" max="31" width="12.9453125" style="18" bestFit="1" customWidth="1"/>
    <col min="32" max="36" width="11.4609375" style="18"/>
    <col min="37" max="37" width="13.078125" style="18" customWidth="1"/>
    <col min="38" max="16384" width="11.4609375" style="18"/>
  </cols>
  <sheetData>
    <row r="1" spans="1:24" x14ac:dyDescent="0.15">
      <c r="B1" s="73" t="s">
        <v>369</v>
      </c>
      <c r="C1" s="22"/>
      <c r="D1" s="22"/>
      <c r="E1" s="22"/>
      <c r="F1" s="22"/>
      <c r="G1" s="22"/>
      <c r="H1" s="138"/>
      <c r="I1" s="138"/>
      <c r="J1" s="22"/>
      <c r="T1" s="32" t="s">
        <v>20</v>
      </c>
    </row>
    <row r="2" spans="1:24" ht="13.5" thickBot="1" x14ac:dyDescent="0.2">
      <c r="B2" s="28" t="s">
        <v>370</v>
      </c>
      <c r="C2" s="74"/>
      <c r="D2" s="22"/>
      <c r="E2" s="22"/>
      <c r="F2" s="22"/>
      <c r="G2" s="22"/>
      <c r="H2" s="138"/>
      <c r="I2" s="138"/>
      <c r="J2" s="22"/>
      <c r="T2" s="32" t="s">
        <v>11</v>
      </c>
    </row>
    <row r="3" spans="1:24" ht="21" thickBot="1" x14ac:dyDescent="0.3">
      <c r="B3" s="1225" t="s">
        <v>371</v>
      </c>
      <c r="C3" s="1225"/>
      <c r="D3" s="1225"/>
      <c r="E3" s="1225"/>
      <c r="F3" s="1225"/>
      <c r="G3" s="1225"/>
      <c r="H3" s="1225"/>
      <c r="I3" s="1225"/>
      <c r="J3" s="1225"/>
      <c r="K3" s="1226" t="s">
        <v>372</v>
      </c>
      <c r="L3" s="1226"/>
      <c r="M3" s="1226"/>
      <c r="N3" s="1226"/>
      <c r="O3" s="1226"/>
      <c r="P3" s="1226"/>
      <c r="Q3" s="1226"/>
    </row>
    <row r="4" spans="1:24" ht="29.25" thickBot="1" x14ac:dyDescent="0.2">
      <c r="B4" s="64" t="s">
        <v>373</v>
      </c>
      <c r="C4" s="96" t="s">
        <v>374</v>
      </c>
      <c r="D4" s="96" t="s">
        <v>375</v>
      </c>
      <c r="E4" s="96" t="s">
        <v>376</v>
      </c>
      <c r="F4" s="96" t="s">
        <v>377</v>
      </c>
      <c r="G4" s="96" t="s">
        <v>378</v>
      </c>
      <c r="H4" s="65" t="s">
        <v>379</v>
      </c>
      <c r="I4" s="65" t="s">
        <v>380</v>
      </c>
      <c r="J4" s="66" t="s">
        <v>381</v>
      </c>
      <c r="K4" s="64" t="s">
        <v>373</v>
      </c>
      <c r="L4" s="99" t="s">
        <v>1</v>
      </c>
      <c r="M4" s="99" t="s">
        <v>382</v>
      </c>
      <c r="N4" s="99" t="s">
        <v>383</v>
      </c>
      <c r="O4" s="99" t="s">
        <v>384</v>
      </c>
      <c r="P4" s="99" t="s">
        <v>306</v>
      </c>
      <c r="Q4" s="99" t="s">
        <v>307</v>
      </c>
      <c r="R4" s="209" t="s">
        <v>306</v>
      </c>
    </row>
    <row r="5" spans="1:24" ht="13.5" x14ac:dyDescent="0.15">
      <c r="B5" s="75" t="s">
        <v>385</v>
      </c>
      <c r="C5" s="76"/>
      <c r="D5" s="77"/>
      <c r="E5" s="77"/>
      <c r="F5" s="77"/>
      <c r="G5" s="77"/>
      <c r="H5" s="139"/>
      <c r="I5" s="139"/>
      <c r="J5" s="78"/>
      <c r="K5" s="75" t="s">
        <v>386</v>
      </c>
      <c r="L5" s="77"/>
      <c r="M5" s="77"/>
      <c r="N5" s="77"/>
      <c r="O5" s="77"/>
      <c r="P5" s="78"/>
      <c r="Q5" s="78"/>
      <c r="R5" s="78"/>
    </row>
    <row r="6" spans="1:24" ht="24.75" x14ac:dyDescent="0.2">
      <c r="A6" s="18">
        <v>1</v>
      </c>
      <c r="B6" s="69" t="s">
        <v>387</v>
      </c>
      <c r="C6" s="67" t="str">
        <f>VLOOKUP($B$2,'Sector Impact'!$K$4:$AA$16,A6+1,FALSE)</f>
        <v>Low</v>
      </c>
      <c r="D6" s="67" t="s">
        <v>20</v>
      </c>
      <c r="E6" s="67" t="s">
        <v>388</v>
      </c>
      <c r="F6" s="79" t="s">
        <v>20</v>
      </c>
      <c r="G6" s="107"/>
      <c r="H6" s="68" t="s">
        <v>11</v>
      </c>
      <c r="I6" s="68" t="s">
        <v>389</v>
      </c>
      <c r="J6" s="68" t="s">
        <v>390</v>
      </c>
      <c r="K6" s="69" t="s">
        <v>391</v>
      </c>
      <c r="L6" s="135">
        <f>L12/L$11</f>
        <v>3.7758898328613474E-4</v>
      </c>
      <c r="M6" s="135">
        <f t="shared" ref="M6:O6" si="0">M12/M$11</f>
        <v>1.0086085057175896E-4</v>
      </c>
      <c r="N6" s="135">
        <f t="shared" si="0"/>
        <v>7.7729309235174688E-4</v>
      </c>
      <c r="O6" s="135">
        <f t="shared" si="0"/>
        <v>5.1249891877865235E-4</v>
      </c>
      <c r="P6" s="135">
        <f t="shared" ref="P6:Q9" si="1">P12/P$11</f>
        <v>4.8716970621037899E-4</v>
      </c>
      <c r="Q6" s="135">
        <f>Q12/Q$11</f>
        <v>1.3434018112334223E-4</v>
      </c>
      <c r="R6" s="306">
        <f>IFERROR(AVERAGE(L6:Q6),"")</f>
        <v>3.9829195538700226E-4</v>
      </c>
    </row>
    <row r="7" spans="1:24" s="22" customFormat="1" ht="93.75" x14ac:dyDescent="0.2">
      <c r="A7" s="22">
        <v>2</v>
      </c>
      <c r="B7" s="87" t="s">
        <v>392</v>
      </c>
      <c r="C7" s="67" t="str">
        <f>VLOOKUP($B$2,'Sector Impact'!$K$4:$AA$16,A7+1,FALSE)</f>
        <v>Medium</v>
      </c>
      <c r="D7" s="67" t="s">
        <v>20</v>
      </c>
      <c r="E7" s="67" t="s">
        <v>393</v>
      </c>
      <c r="F7" s="79" t="s">
        <v>20</v>
      </c>
      <c r="G7" s="107"/>
      <c r="H7" s="68" t="s">
        <v>20</v>
      </c>
      <c r="I7" s="277" t="s">
        <v>394</v>
      </c>
      <c r="J7" s="289" t="s">
        <v>395</v>
      </c>
      <c r="K7" s="69" t="s">
        <v>396</v>
      </c>
      <c r="L7" s="135">
        <f t="shared" ref="L7:O9" si="2">L13/L$11</f>
        <v>1.3184765641870426E-3</v>
      </c>
      <c r="M7" s="135">
        <f t="shared" si="2"/>
        <v>1.0381600925093151E-3</v>
      </c>
      <c r="N7" s="135">
        <f t="shared" si="2"/>
        <v>5.4876892320033328E-3</v>
      </c>
      <c r="O7" s="135">
        <f t="shared" si="2"/>
        <v>8.1556526252054319E-3</v>
      </c>
      <c r="P7" s="135">
        <f t="shared" si="1"/>
        <v>3.4770828882060185E-3</v>
      </c>
      <c r="Q7" s="135">
        <f t="shared" si="1"/>
        <v>3.473227566307184E-3</v>
      </c>
      <c r="R7" s="307">
        <f t="shared" ref="R7:R9" si="3">IFERROR(AVERAGE(L7:Q7),"")</f>
        <v>3.8250481614030538E-3</v>
      </c>
    </row>
    <row r="8" spans="1:24" ht="18" x14ac:dyDescent="0.2">
      <c r="A8" s="18">
        <v>3</v>
      </c>
      <c r="B8" s="69" t="s">
        <v>397</v>
      </c>
      <c r="C8" s="67" t="str">
        <f>VLOOKUP($B$2,'Sector Impact'!$K$4:$AA$16,A8+1,FALSE)</f>
        <v>Low</v>
      </c>
      <c r="D8" s="67"/>
      <c r="E8" s="67" t="s">
        <v>388</v>
      </c>
      <c r="F8" s="79" t="s">
        <v>20</v>
      </c>
      <c r="G8" s="104"/>
      <c r="H8" s="68" t="s">
        <v>11</v>
      </c>
      <c r="I8" s="68"/>
      <c r="J8" s="68"/>
      <c r="K8" s="69" t="s">
        <v>398</v>
      </c>
      <c r="L8" s="135">
        <f t="shared" si="2"/>
        <v>4.8876796169816331E-3</v>
      </c>
      <c r="M8" s="135">
        <f t="shared" si="2"/>
        <v>1.5810098933573171E-3</v>
      </c>
      <c r="N8" s="135">
        <f t="shared" si="2"/>
        <v>9.6468291105590593E-3</v>
      </c>
      <c r="O8" s="135">
        <f t="shared" si="2"/>
        <v>3.8859095233976298E-3</v>
      </c>
      <c r="P8" s="135">
        <f t="shared" si="1"/>
        <v>5.9205382022710718E-3</v>
      </c>
      <c r="Q8" s="135">
        <f t="shared" si="1"/>
        <v>2.59492586458212E-3</v>
      </c>
      <c r="R8" s="307">
        <f>IFERROR(AVERAGE(L8:Q8),"")</f>
        <v>4.7528153685248049E-3</v>
      </c>
    </row>
    <row r="9" spans="1:24" ht="18" x14ac:dyDescent="0.2">
      <c r="A9" s="18">
        <v>4</v>
      </c>
      <c r="B9" s="69" t="s">
        <v>399</v>
      </c>
      <c r="C9" s="67" t="str">
        <f>VLOOKUP($B$2,'Sector Impact'!$K$4:$AA$16,A9+1,FALSE)</f>
        <v>Low</v>
      </c>
      <c r="D9" s="67" t="s">
        <v>20</v>
      </c>
      <c r="E9" s="67" t="s">
        <v>400</v>
      </c>
      <c r="F9" s="79" t="s">
        <v>20</v>
      </c>
      <c r="G9" s="104"/>
      <c r="H9" s="68" t="s">
        <v>11</v>
      </c>
      <c r="I9" s="68"/>
      <c r="J9" s="70"/>
      <c r="K9" s="69" t="s">
        <v>401</v>
      </c>
      <c r="L9" s="135">
        <f t="shared" si="2"/>
        <v>3.0848773144292053E-4</v>
      </c>
      <c r="M9" s="305">
        <f t="shared" si="2"/>
        <v>7.7091095978414497E-6</v>
      </c>
      <c r="N9" s="305">
        <f t="shared" si="2"/>
        <v>2.984805474630708E-5</v>
      </c>
      <c r="O9" s="305">
        <f t="shared" si="2"/>
        <v>9.6228699939451614E-5</v>
      </c>
      <c r="P9" s="305">
        <f>P15/P$11</f>
        <v>1.3390175392280682E-4</v>
      </c>
      <c r="Q9" s="135">
        <f t="shared" si="1"/>
        <v>6.9603609554293546E-4</v>
      </c>
      <c r="R9" s="307">
        <f t="shared" si="3"/>
        <v>2.1203524086537716E-4</v>
      </c>
    </row>
    <row r="10" spans="1:24" ht="13.5" x14ac:dyDescent="0.15">
      <c r="A10" s="18">
        <v>5</v>
      </c>
      <c r="B10" s="69" t="s">
        <v>402</v>
      </c>
      <c r="C10" s="67" t="str">
        <f>VLOOKUP($B$2,'Sector Impact'!$K$4:$AA$16,A10+1,FALSE)</f>
        <v>Low</v>
      </c>
      <c r="D10" s="67" t="s">
        <v>11</v>
      </c>
      <c r="E10" s="67"/>
      <c r="F10" s="79"/>
      <c r="G10" s="104"/>
      <c r="H10" s="68"/>
      <c r="I10" s="68"/>
      <c r="J10" s="70"/>
      <c r="K10" s="75" t="s">
        <v>403</v>
      </c>
      <c r="L10" s="77"/>
      <c r="M10" s="77"/>
      <c r="N10" s="77"/>
      <c r="O10" s="77"/>
      <c r="P10" s="77"/>
      <c r="Q10" s="78"/>
      <c r="S10"/>
      <c r="V10" s="22"/>
      <c r="W10" s="22"/>
      <c r="X10" s="22"/>
    </row>
    <row r="11" spans="1:24" ht="13.5" x14ac:dyDescent="0.15">
      <c r="B11" s="75" t="s">
        <v>404</v>
      </c>
      <c r="C11" s="72"/>
      <c r="D11" s="72"/>
      <c r="E11" s="81"/>
      <c r="F11" s="81"/>
      <c r="G11" s="82"/>
      <c r="H11" s="140"/>
      <c r="I11" s="140"/>
      <c r="J11" s="83"/>
      <c r="K11" s="69" t="s">
        <v>405</v>
      </c>
      <c r="L11" s="136">
        <v>324162</v>
      </c>
      <c r="M11" s="136">
        <v>155660</v>
      </c>
      <c r="N11" s="136">
        <v>321629</v>
      </c>
      <c r="O11" s="136">
        <v>92488</v>
      </c>
      <c r="P11" s="136">
        <f>IFERROR(AVERAGE($L$11:$O$11),"")</f>
        <v>223484.75</v>
      </c>
      <c r="Q11" s="136">
        <f>SQRT(($L$11-$P$11)^2)</f>
        <v>100677.25</v>
      </c>
      <c r="S11"/>
    </row>
    <row r="12" spans="1:24" x14ac:dyDescent="0.15">
      <c r="A12" s="18">
        <v>6</v>
      </c>
      <c r="B12" s="69" t="s">
        <v>406</v>
      </c>
      <c r="C12" s="67" t="str">
        <f>VLOOKUP($B$2,'Sector Impact'!$K$4:$AA$16,A12+1,FALSE)</f>
        <v>Low</v>
      </c>
      <c r="D12" s="67" t="s">
        <v>20</v>
      </c>
      <c r="E12" s="67"/>
      <c r="F12" s="79" t="s">
        <v>11</v>
      </c>
      <c r="G12" s="108"/>
      <c r="H12" s="68" t="s">
        <v>11</v>
      </c>
      <c r="I12" s="68" t="s">
        <v>25</v>
      </c>
      <c r="J12" s="84" t="s">
        <v>407</v>
      </c>
      <c r="K12" s="69" t="s">
        <v>408</v>
      </c>
      <c r="L12" s="98">
        <v>122.4</v>
      </c>
      <c r="M12" s="98">
        <v>15.7</v>
      </c>
      <c r="N12" s="98">
        <v>250</v>
      </c>
      <c r="O12" s="98">
        <v>47.4</v>
      </c>
      <c r="P12" s="136">
        <f>IFERROR(AVERAGE($L$12:$O$12),"")</f>
        <v>108.875</v>
      </c>
      <c r="Q12" s="98">
        <f>SQRT(($L$12-$P$12)^2)</f>
        <v>13.525000000000006</v>
      </c>
      <c r="S12"/>
    </row>
    <row r="13" spans="1:24" ht="46.5" x14ac:dyDescent="0.15">
      <c r="A13" s="18">
        <v>7</v>
      </c>
      <c r="B13" s="303" t="s">
        <v>409</v>
      </c>
      <c r="C13" s="67" t="str">
        <f>VLOOKUP($B$2,'Sector Impact'!$K$4:$AA$16,A13+1,FALSE)</f>
        <v>Low</v>
      </c>
      <c r="D13" s="67"/>
      <c r="E13" s="67"/>
      <c r="F13" s="85"/>
      <c r="G13" s="109"/>
      <c r="H13" s="68"/>
      <c r="I13" s="68"/>
      <c r="J13" s="86" t="s">
        <v>410</v>
      </c>
      <c r="K13" s="69" t="s">
        <v>411</v>
      </c>
      <c r="L13" s="98">
        <f>1810-1382.6</f>
        <v>427.40000000000009</v>
      </c>
      <c r="M13" s="98">
        <v>161.6</v>
      </c>
      <c r="N13" s="98">
        <v>1765</v>
      </c>
      <c r="O13" s="98">
        <v>754.3</v>
      </c>
      <c r="P13" s="136">
        <f>IFERROR(AVERAGE($L$13:$O$13),"")</f>
        <v>777.07500000000005</v>
      </c>
      <c r="Q13" s="98">
        <f>SQRT(($L$13-$P$13)^2)</f>
        <v>349.67499999999995</v>
      </c>
      <c r="S13"/>
    </row>
    <row r="14" spans="1:24" ht="93" x14ac:dyDescent="0.15">
      <c r="A14" s="18">
        <v>8</v>
      </c>
      <c r="B14" s="303" t="s">
        <v>412</v>
      </c>
      <c r="C14" s="67" t="str">
        <f>VLOOKUP($B$2,'Sector Impact'!$K$4:$AA$16,A14+1,FALSE)</f>
        <v>Medium</v>
      </c>
      <c r="D14" s="67" t="s">
        <v>20</v>
      </c>
      <c r="E14" s="67" t="s">
        <v>388</v>
      </c>
      <c r="F14" s="79" t="s">
        <v>11</v>
      </c>
      <c r="G14" s="930"/>
      <c r="H14" s="68"/>
      <c r="I14" s="68" t="s">
        <v>25</v>
      </c>
      <c r="J14" s="304" t="s">
        <v>413</v>
      </c>
      <c r="K14" s="69" t="s">
        <v>414</v>
      </c>
      <c r="L14" s="98">
        <v>1584.4</v>
      </c>
      <c r="M14" s="98">
        <v>246.1</v>
      </c>
      <c r="N14" s="98">
        <v>3102.7</v>
      </c>
      <c r="O14" s="98">
        <v>359.4</v>
      </c>
      <c r="P14" s="136">
        <f>IFERROR(AVERAGE($L$14:$O$14),"")</f>
        <v>1323.1499999999999</v>
      </c>
      <c r="Q14" s="98">
        <f>SQRT(($L$14-$P$14)^2)</f>
        <v>261.25000000000023</v>
      </c>
      <c r="S14"/>
    </row>
    <row r="15" spans="1:24" x14ac:dyDescent="0.15">
      <c r="A15" s="18">
        <v>9</v>
      </c>
      <c r="B15" s="303" t="s">
        <v>415</v>
      </c>
      <c r="C15" s="67" t="str">
        <f>VLOOKUP($B$2,'Sector Impact'!$K$4:$AA$16,A15+1,FALSE)</f>
        <v>Low</v>
      </c>
      <c r="D15" s="67"/>
      <c r="E15" s="67"/>
      <c r="F15" s="79" t="s">
        <v>20</v>
      </c>
      <c r="G15" s="80"/>
      <c r="H15" s="141"/>
      <c r="I15" s="141"/>
      <c r="J15" s="86"/>
      <c r="K15" s="69" t="s">
        <v>416</v>
      </c>
      <c r="L15" s="98">
        <v>100</v>
      </c>
      <c r="M15" s="98">
        <v>1.2</v>
      </c>
      <c r="N15" s="98">
        <v>9.6</v>
      </c>
      <c r="O15" s="98">
        <v>8.9</v>
      </c>
      <c r="P15" s="136">
        <f>IFERROR(AVERAGE($L$15:$O$15),"")</f>
        <v>29.925000000000001</v>
      </c>
      <c r="Q15" s="98">
        <f>SQRT(($L$15-$P$15)^2)</f>
        <v>70.075000000000003</v>
      </c>
      <c r="S15"/>
    </row>
    <row r="16" spans="1:24" ht="42" customHeight="1" x14ac:dyDescent="0.15">
      <c r="A16" s="18">
        <v>10</v>
      </c>
      <c r="B16" s="303" t="s">
        <v>417</v>
      </c>
      <c r="C16" s="67" t="str">
        <f>VLOOKUP($B$2,'Sector Impact'!$K$4:$AA$16,A16+1,FALSE)</f>
        <v>High</v>
      </c>
      <c r="D16" s="67" t="s">
        <v>11</v>
      </c>
      <c r="E16" s="67" t="s">
        <v>418</v>
      </c>
      <c r="F16" s="79" t="s">
        <v>11</v>
      </c>
      <c r="G16" s="290"/>
      <c r="H16" s="68"/>
      <c r="I16" s="270" t="s">
        <v>25</v>
      </c>
      <c r="J16" s="292" t="s">
        <v>419</v>
      </c>
      <c r="K16" s="75" t="s">
        <v>420</v>
      </c>
      <c r="L16" s="77"/>
      <c r="M16" s="77"/>
      <c r="N16" s="77"/>
      <c r="O16" s="77"/>
      <c r="P16" s="78"/>
      <c r="Q16" s="78"/>
      <c r="S16"/>
    </row>
    <row r="17" spans="1:19" x14ac:dyDescent="0.15">
      <c r="A17" s="18">
        <v>11</v>
      </c>
      <c r="B17" s="303" t="s">
        <v>421</v>
      </c>
      <c r="C17" s="67" t="str">
        <f>VLOOKUP($B$2,'Sector Impact'!$K$4:$AA$16,A17+1,FALSE)</f>
        <v>Low</v>
      </c>
      <c r="D17" s="88" t="s">
        <v>20</v>
      </c>
      <c r="E17" s="88"/>
      <c r="F17" s="88" t="s">
        <v>20</v>
      </c>
      <c r="G17" s="104"/>
      <c r="H17" s="68" t="s">
        <v>20</v>
      </c>
      <c r="I17" s="270" t="s">
        <v>25</v>
      </c>
      <c r="J17" s="86" t="s">
        <v>422</v>
      </c>
      <c r="K17" s="69" t="s">
        <v>423</v>
      </c>
      <c r="L17" s="97">
        <v>80</v>
      </c>
      <c r="M17" s="97">
        <v>83</v>
      </c>
      <c r="N17" s="97">
        <v>91</v>
      </c>
      <c r="O17" s="97">
        <v>88</v>
      </c>
      <c r="P17" s="97">
        <v>85.5</v>
      </c>
      <c r="Q17" s="97">
        <v>5.5</v>
      </c>
      <c r="S17"/>
    </row>
    <row r="18" spans="1:19" x14ac:dyDescent="0.15">
      <c r="A18" s="18">
        <v>12</v>
      </c>
      <c r="B18" s="303" t="s">
        <v>424</v>
      </c>
      <c r="C18" s="67" t="str">
        <f>VLOOKUP($B$2,'Sector Impact'!$K$4:$AA$16,A18+1,FALSE)</f>
        <v>Low</v>
      </c>
      <c r="D18" s="67"/>
      <c r="E18" s="67"/>
      <c r="F18" s="79"/>
      <c r="G18" s="80"/>
      <c r="H18" s="141"/>
      <c r="I18" s="141"/>
      <c r="J18" s="89"/>
      <c r="K18" s="69" t="s">
        <v>425</v>
      </c>
      <c r="L18" s="97">
        <v>15.3</v>
      </c>
      <c r="M18" s="97">
        <v>10.6</v>
      </c>
      <c r="N18" s="97">
        <v>22</v>
      </c>
      <c r="O18" s="97">
        <v>22.5</v>
      </c>
      <c r="P18" s="97">
        <v>17.600000000000001</v>
      </c>
      <c r="Q18" s="97">
        <v>2.2999999999999998</v>
      </c>
    </row>
    <row r="19" spans="1:19" ht="102.75" customHeight="1" x14ac:dyDescent="0.15">
      <c r="A19" s="18">
        <v>13</v>
      </c>
      <c r="B19" s="303" t="s">
        <v>426</v>
      </c>
      <c r="C19" s="67" t="str">
        <f>VLOOKUP($B$2,'Sector Impact'!$K$4:$AA$16,A19+1,FALSE)</f>
        <v>Low</v>
      </c>
      <c r="D19" s="67" t="s">
        <v>20</v>
      </c>
      <c r="E19" s="67"/>
      <c r="F19" s="79"/>
      <c r="G19" s="107"/>
      <c r="H19" s="68" t="s">
        <v>25</v>
      </c>
      <c r="I19" s="271" t="s">
        <v>427</v>
      </c>
      <c r="J19" s="86"/>
      <c r="K19" s="69" t="s">
        <v>428</v>
      </c>
      <c r="L19" s="318" t="s">
        <v>429</v>
      </c>
      <c r="M19" s="319" t="s">
        <v>430</v>
      </c>
      <c r="N19" s="319" t="s">
        <v>431</v>
      </c>
      <c r="O19" s="319" t="s">
        <v>429</v>
      </c>
      <c r="P19" s="319" t="s">
        <v>431</v>
      </c>
      <c r="Q19" s="320" t="s">
        <v>67</v>
      </c>
    </row>
    <row r="20" spans="1:19" x14ac:dyDescent="0.15">
      <c r="A20" s="18">
        <v>14</v>
      </c>
      <c r="B20" s="303" t="s">
        <v>432</v>
      </c>
      <c r="C20" s="67" t="str">
        <f>VLOOKUP($B$2,'Sector Impact'!$K$4:$AA$16,A20+1,FALSE)</f>
        <v>Low</v>
      </c>
      <c r="D20" s="67"/>
      <c r="E20" s="67"/>
      <c r="F20" s="79"/>
      <c r="G20" s="80"/>
      <c r="H20" s="141"/>
      <c r="I20" s="141" t="s">
        <v>433</v>
      </c>
      <c r="J20" s="86"/>
      <c r="K20" s="69" t="s">
        <v>434</v>
      </c>
      <c r="L20" s="321" t="s">
        <v>435</v>
      </c>
      <c r="M20" s="322" t="s">
        <v>435</v>
      </c>
      <c r="N20" s="322" t="s">
        <v>435</v>
      </c>
      <c r="O20" s="322" t="s">
        <v>435</v>
      </c>
      <c r="P20" s="322" t="s">
        <v>435</v>
      </c>
      <c r="Q20" s="323" t="s">
        <v>67</v>
      </c>
    </row>
    <row r="21" spans="1:19" ht="58.5" x14ac:dyDescent="0.15">
      <c r="A21" s="18">
        <v>15</v>
      </c>
      <c r="B21" s="303" t="s">
        <v>436</v>
      </c>
      <c r="C21" s="67" t="str">
        <f>VLOOKUP($B$2,'Sector Impact'!$K$4:$AA$16,A21+1,FALSE)</f>
        <v>Low</v>
      </c>
      <c r="D21" s="67" t="s">
        <v>20</v>
      </c>
      <c r="E21" s="67"/>
      <c r="F21" s="79"/>
      <c r="G21" s="104"/>
      <c r="H21" s="68"/>
      <c r="I21" s="270" t="s">
        <v>25</v>
      </c>
      <c r="J21" s="86" t="s">
        <v>437</v>
      </c>
    </row>
    <row r="22" spans="1:19" x14ac:dyDescent="0.15">
      <c r="A22" s="18">
        <v>16</v>
      </c>
      <c r="B22" s="69" t="s">
        <v>438</v>
      </c>
      <c r="C22" s="71" t="str">
        <f>VLOOKUP($B$2,'Sector Impact'!$K$4:$AA$16,A22+1,FALSE)</f>
        <v>Low</v>
      </c>
      <c r="D22" s="67" t="s">
        <v>20</v>
      </c>
      <c r="E22" s="67"/>
      <c r="F22" s="79"/>
      <c r="G22" s="80"/>
      <c r="H22" s="141"/>
      <c r="I22" s="141"/>
      <c r="J22" s="70"/>
    </row>
    <row r="23" spans="1:19" ht="13.5" x14ac:dyDescent="0.15">
      <c r="B23" s="75" t="s">
        <v>439</v>
      </c>
      <c r="C23" s="90"/>
      <c r="D23" s="72"/>
      <c r="E23" s="81"/>
      <c r="F23" s="81"/>
      <c r="G23" s="82"/>
      <c r="H23" s="140"/>
      <c r="I23" s="140"/>
      <c r="J23" s="83"/>
      <c r="K23" s="1228" t="s">
        <v>440</v>
      </c>
      <c r="L23" s="1229"/>
      <c r="M23" s="1230"/>
    </row>
    <row r="24" spans="1:19" ht="24.75" x14ac:dyDescent="0.2">
      <c r="A24" s="18">
        <v>17</v>
      </c>
      <c r="B24" s="69" t="s">
        <v>441</v>
      </c>
      <c r="C24" s="91"/>
      <c r="D24" s="92"/>
      <c r="E24" s="85" t="s">
        <v>393</v>
      </c>
      <c r="F24" s="85" t="s">
        <v>11</v>
      </c>
      <c r="G24" s="104"/>
      <c r="H24" s="68"/>
      <c r="I24" s="297" t="s">
        <v>442</v>
      </c>
      <c r="J24" s="93" t="s">
        <v>443</v>
      </c>
      <c r="K24" s="100" t="s">
        <v>444</v>
      </c>
      <c r="L24" s="19" t="s">
        <v>445</v>
      </c>
      <c r="M24" s="20" t="s">
        <v>446</v>
      </c>
      <c r="O24" s="180" t="s">
        <v>309</v>
      </c>
    </row>
    <row r="25" spans="1:19" ht="15.75" customHeight="1" x14ac:dyDescent="0.15">
      <c r="A25" s="18">
        <v>17</v>
      </c>
      <c r="B25" s="69" t="s">
        <v>447</v>
      </c>
      <c r="C25" s="91"/>
      <c r="D25" s="92"/>
      <c r="E25" s="85" t="s">
        <v>393</v>
      </c>
      <c r="F25" s="85" t="s">
        <v>11</v>
      </c>
      <c r="G25" s="104"/>
      <c r="H25" s="68"/>
      <c r="I25" s="142" t="s">
        <v>448</v>
      </c>
      <c r="J25" s="86" t="s">
        <v>449</v>
      </c>
      <c r="K25" s="58" t="s">
        <v>450</v>
      </c>
      <c r="L25" s="59" t="s">
        <v>418</v>
      </c>
      <c r="M25" s="1231" t="s">
        <v>451</v>
      </c>
      <c r="O25" s="181"/>
    </row>
    <row r="26" spans="1:19" ht="15.75" customHeight="1" x14ac:dyDescent="0.15">
      <c r="A26" s="18">
        <v>17</v>
      </c>
      <c r="B26" s="69" t="s">
        <v>452</v>
      </c>
      <c r="C26" s="91"/>
      <c r="D26" s="92"/>
      <c r="E26" s="85" t="s">
        <v>393</v>
      </c>
      <c r="F26" s="85" t="s">
        <v>11</v>
      </c>
      <c r="G26" s="104"/>
      <c r="H26" s="68"/>
      <c r="I26" s="142" t="s">
        <v>448</v>
      </c>
      <c r="J26" s="93" t="s">
        <v>453</v>
      </c>
      <c r="K26" s="58" t="s">
        <v>388</v>
      </c>
      <c r="L26" s="59" t="s">
        <v>393</v>
      </c>
      <c r="M26" s="1232"/>
      <c r="O26" s="182"/>
    </row>
    <row r="27" spans="1:19" ht="35.25" x14ac:dyDescent="0.15">
      <c r="A27" s="18">
        <v>17</v>
      </c>
      <c r="B27" s="69" t="s">
        <v>454</v>
      </c>
      <c r="C27" s="91"/>
      <c r="D27" s="92"/>
      <c r="E27" s="85" t="s">
        <v>393</v>
      </c>
      <c r="F27" s="85" t="s">
        <v>11</v>
      </c>
      <c r="G27" s="104"/>
      <c r="H27" s="68"/>
      <c r="I27" s="142" t="s">
        <v>455</v>
      </c>
      <c r="J27" s="93" t="s">
        <v>456</v>
      </c>
      <c r="K27" s="60" t="s">
        <v>457</v>
      </c>
      <c r="L27" s="61" t="s">
        <v>388</v>
      </c>
      <c r="M27" s="1232"/>
      <c r="O27" s="183"/>
    </row>
    <row r="28" spans="1:19" x14ac:dyDescent="0.15">
      <c r="A28" s="18">
        <v>17</v>
      </c>
      <c r="B28" s="69" t="s">
        <v>458</v>
      </c>
      <c r="C28" s="91"/>
      <c r="D28" s="92"/>
      <c r="E28" s="85" t="s">
        <v>418</v>
      </c>
      <c r="F28" s="85" t="s">
        <v>11</v>
      </c>
      <c r="G28" s="107"/>
      <c r="H28" s="68"/>
      <c r="I28" s="142" t="s">
        <v>448</v>
      </c>
      <c r="J28" s="86" t="s">
        <v>459</v>
      </c>
      <c r="K28" s="62" t="s">
        <v>460</v>
      </c>
      <c r="L28" s="63" t="s">
        <v>400</v>
      </c>
      <c r="M28" s="1233"/>
    </row>
    <row r="29" spans="1:19" x14ac:dyDescent="0.15">
      <c r="A29" s="18">
        <v>17</v>
      </c>
      <c r="B29" s="69" t="s">
        <v>461</v>
      </c>
      <c r="C29" s="91"/>
      <c r="D29" s="92"/>
      <c r="E29" s="85" t="s">
        <v>418</v>
      </c>
      <c r="F29" s="85" t="s">
        <v>11</v>
      </c>
      <c r="G29" s="107"/>
      <c r="H29" s="68"/>
      <c r="I29" s="142" t="s">
        <v>448</v>
      </c>
      <c r="J29" s="86" t="s">
        <v>462</v>
      </c>
    </row>
    <row r="30" spans="1:19" ht="26.1" customHeight="1" x14ac:dyDescent="0.15">
      <c r="A30" s="18">
        <v>17</v>
      </c>
      <c r="B30" s="69" t="s">
        <v>463</v>
      </c>
      <c r="C30" s="91"/>
      <c r="D30" s="92"/>
      <c r="E30" s="85" t="s">
        <v>418</v>
      </c>
      <c r="F30" s="85" t="s">
        <v>11</v>
      </c>
      <c r="G30" s="107"/>
      <c r="H30" s="68"/>
      <c r="I30" s="142" t="s">
        <v>448</v>
      </c>
      <c r="J30" s="93" t="s">
        <v>464</v>
      </c>
    </row>
    <row r="31" spans="1:19" ht="27.75" customHeight="1" x14ac:dyDescent="0.15">
      <c r="A31" s="18">
        <v>17</v>
      </c>
      <c r="B31" s="94" t="s">
        <v>465</v>
      </c>
      <c r="C31" s="91"/>
      <c r="D31" s="92"/>
      <c r="E31" s="85" t="s">
        <v>393</v>
      </c>
      <c r="F31" s="85" t="s">
        <v>11</v>
      </c>
      <c r="G31" s="104"/>
      <c r="H31" s="68"/>
      <c r="I31" s="142" t="s">
        <v>448</v>
      </c>
      <c r="J31" s="84" t="s">
        <v>466</v>
      </c>
      <c r="L31" s="166"/>
    </row>
    <row r="32" spans="1:19" ht="13.5" customHeight="1" x14ac:dyDescent="0.15">
      <c r="A32" s="18">
        <v>17</v>
      </c>
      <c r="B32" s="69" t="s">
        <v>467</v>
      </c>
      <c r="C32" s="91"/>
      <c r="D32" s="85" t="s">
        <v>20</v>
      </c>
      <c r="E32" s="85" t="s">
        <v>418</v>
      </c>
      <c r="F32" s="85" t="s">
        <v>11</v>
      </c>
      <c r="G32" s="107"/>
      <c r="H32" s="68"/>
      <c r="I32" s="142" t="s">
        <v>448</v>
      </c>
      <c r="J32" s="86" t="s">
        <v>468</v>
      </c>
      <c r="L32" s="167"/>
    </row>
    <row r="33" spans="1:55" ht="13.5" customHeight="1" x14ac:dyDescent="0.15">
      <c r="A33" s="18">
        <v>17</v>
      </c>
      <c r="B33" s="69" t="s">
        <v>469</v>
      </c>
      <c r="C33" s="91"/>
      <c r="D33" s="85" t="s">
        <v>11</v>
      </c>
      <c r="E33" s="85" t="s">
        <v>388</v>
      </c>
      <c r="F33" s="85" t="s">
        <v>11</v>
      </c>
      <c r="G33" s="104"/>
      <c r="H33" s="68"/>
      <c r="I33" s="142" t="s">
        <v>448</v>
      </c>
      <c r="J33" s="86" t="s">
        <v>470</v>
      </c>
      <c r="L33" s="105"/>
      <c r="N33" s="105"/>
    </row>
    <row r="34" spans="1:55" ht="13.5" customHeight="1" x14ac:dyDescent="0.15">
      <c r="A34" s="18">
        <v>17</v>
      </c>
      <c r="B34" s="69" t="s">
        <v>471</v>
      </c>
      <c r="C34" s="91"/>
      <c r="D34" s="95" t="s">
        <v>20</v>
      </c>
      <c r="E34" s="85" t="s">
        <v>393</v>
      </c>
      <c r="F34" s="85" t="s">
        <v>11</v>
      </c>
      <c r="G34" s="104"/>
      <c r="H34" s="68"/>
      <c r="I34" s="142" t="s">
        <v>448</v>
      </c>
      <c r="J34" s="86" t="s">
        <v>472</v>
      </c>
      <c r="L34" s="106"/>
      <c r="N34" s="106"/>
    </row>
    <row r="35" spans="1:55" x14ac:dyDescent="0.15">
      <c r="B35" s="25"/>
      <c r="C35" s="25"/>
      <c r="D35" s="25"/>
      <c r="E35" s="25"/>
      <c r="F35" s="25"/>
      <c r="G35" s="25"/>
      <c r="H35" s="143"/>
      <c r="I35" s="143"/>
      <c r="J35" s="25"/>
      <c r="T35" s="26"/>
    </row>
    <row r="36" spans="1:55" ht="18" x14ac:dyDescent="0.2">
      <c r="B36" s="27"/>
      <c r="T36" s="26"/>
    </row>
    <row r="37" spans="1:55" x14ac:dyDescent="0.15">
      <c r="K37"/>
      <c r="T37" s="26"/>
    </row>
    <row r="38" spans="1:55" x14ac:dyDescent="0.15">
      <c r="C38"/>
      <c r="D38"/>
      <c r="E38"/>
      <c r="F38"/>
      <c r="G38"/>
      <c r="H38" s="145"/>
      <c r="I38" s="145"/>
      <c r="J38"/>
      <c r="K38"/>
      <c r="L38"/>
      <c r="M38"/>
      <c r="N38"/>
      <c r="O38"/>
      <c r="P38"/>
      <c r="Q38"/>
      <c r="R38"/>
      <c r="S38"/>
      <c r="T38"/>
      <c r="U38"/>
      <c r="V38"/>
      <c r="W38"/>
      <c r="X38"/>
      <c r="Y38"/>
      <c r="Z38"/>
      <c r="AA38"/>
    </row>
    <row r="39" spans="1:55" x14ac:dyDescent="0.15">
      <c r="C39"/>
      <c r="D39"/>
      <c r="E39"/>
      <c r="F39"/>
      <c r="G39"/>
      <c r="H39" s="145"/>
      <c r="I39" s="145"/>
      <c r="J39"/>
      <c r="M39"/>
      <c r="N39"/>
      <c r="O39"/>
      <c r="P39"/>
      <c r="Q39"/>
      <c r="R39"/>
      <c r="S39"/>
      <c r="T39"/>
      <c r="U39"/>
      <c r="V39"/>
      <c r="W39"/>
      <c r="X39"/>
      <c r="Y39"/>
      <c r="Z39"/>
      <c r="AA39"/>
    </row>
    <row r="47" spans="1:55" x14ac:dyDescent="0.15">
      <c r="AC47" s="1220"/>
      <c r="AD47" s="1220"/>
      <c r="AE47" s="1220"/>
      <c r="AF47" s="1220"/>
    </row>
    <row r="48" spans="1:55" x14ac:dyDescent="0.15">
      <c r="T48" s="278"/>
      <c r="U48" s="1221" t="s">
        <v>473</v>
      </c>
      <c r="V48" s="1221"/>
      <c r="W48" s="1221"/>
      <c r="X48" s="1221"/>
      <c r="Y48" s="73"/>
      <c r="Z48" s="73"/>
      <c r="AA48" s="73"/>
      <c r="AB48" s="278"/>
      <c r="AC48" s="1221" t="s">
        <v>405</v>
      </c>
      <c r="AD48" s="1221"/>
      <c r="AE48" s="1221"/>
      <c r="AF48" s="1221"/>
      <c r="AG48" s="73"/>
      <c r="AH48" s="73"/>
      <c r="AI48" s="73"/>
      <c r="AJ48" s="278"/>
      <c r="AK48" s="1222" t="s">
        <v>474</v>
      </c>
      <c r="AL48" s="1222"/>
      <c r="AM48" s="1222"/>
      <c r="AN48" s="1222"/>
      <c r="AO48" s="281"/>
      <c r="AP48" s="281"/>
      <c r="AQ48" s="281"/>
      <c r="AR48" s="278"/>
      <c r="AS48" s="278"/>
      <c r="AT48" s="278"/>
      <c r="AU48" s="278"/>
      <c r="AV48" s="278"/>
      <c r="AW48" s="278"/>
      <c r="AX48" s="278"/>
      <c r="AY48" s="278"/>
      <c r="AZ48" s="278"/>
      <c r="BA48" s="278"/>
      <c r="BB48" s="278"/>
      <c r="BC48" s="278"/>
    </row>
    <row r="49" spans="14:55" x14ac:dyDescent="0.15">
      <c r="T49" s="278"/>
      <c r="U49" s="279" t="s">
        <v>475</v>
      </c>
      <c r="V49" s="279" t="s">
        <v>476</v>
      </c>
      <c r="W49" s="279" t="s">
        <v>477</v>
      </c>
      <c r="X49" s="279" t="s">
        <v>478</v>
      </c>
      <c r="Y49" s="278"/>
      <c r="Z49" s="278"/>
      <c r="AA49" s="278"/>
      <c r="AB49" s="278"/>
      <c r="AC49" s="279" t="s">
        <v>475</v>
      </c>
      <c r="AD49" s="279" t="s">
        <v>476</v>
      </c>
      <c r="AE49" s="279" t="s">
        <v>477</v>
      </c>
      <c r="AF49" s="279" t="s">
        <v>478</v>
      </c>
      <c r="AG49" s="278"/>
      <c r="AH49" s="278"/>
      <c r="AI49" s="278"/>
      <c r="AJ49" s="278"/>
      <c r="AK49" s="279" t="s">
        <v>475</v>
      </c>
      <c r="AL49" s="279" t="s">
        <v>476</v>
      </c>
      <c r="AM49" s="279" t="s">
        <v>477</v>
      </c>
      <c r="AN49" s="279" t="s">
        <v>478</v>
      </c>
      <c r="AO49" s="278"/>
      <c r="AP49" s="278"/>
      <c r="AQ49" s="278"/>
      <c r="AR49" s="278"/>
      <c r="AS49" s="278"/>
      <c r="AT49" s="278"/>
      <c r="AU49" s="278"/>
      <c r="AV49" s="278"/>
      <c r="AW49" s="278"/>
      <c r="AX49" s="278"/>
      <c r="AY49" s="278"/>
      <c r="AZ49" s="278"/>
      <c r="BA49" s="278"/>
      <c r="BB49" s="278"/>
      <c r="BC49" s="278"/>
    </row>
    <row r="50" spans="14:55" x14ac:dyDescent="0.15">
      <c r="T50" s="278">
        <v>2011</v>
      </c>
      <c r="U50" s="284" t="s">
        <v>479</v>
      </c>
      <c r="V50" s="284" t="s">
        <v>479</v>
      </c>
      <c r="W50" s="284">
        <v>234.1</v>
      </c>
      <c r="X50" s="284" t="s">
        <v>479</v>
      </c>
      <c r="Y50" s="278"/>
      <c r="Z50" s="278"/>
      <c r="AA50" s="278"/>
      <c r="AB50" s="278">
        <v>2011</v>
      </c>
      <c r="AC50" s="288">
        <v>101862</v>
      </c>
      <c r="AD50" s="288">
        <v>60710.7</v>
      </c>
      <c r="AE50" s="288">
        <v>107100</v>
      </c>
      <c r="AF50" s="288">
        <f>36832</f>
        <v>36832</v>
      </c>
      <c r="AG50" s="278"/>
      <c r="AH50" s="278"/>
      <c r="AI50" s="278"/>
      <c r="AJ50" s="278">
        <v>2011</v>
      </c>
      <c r="AK50" s="278"/>
      <c r="AL50" s="278"/>
      <c r="AM50" s="285">
        <f>W50/AE50</f>
        <v>2.1858076563958917E-3</v>
      </c>
      <c r="AN50" s="285"/>
      <c r="AO50" s="278"/>
      <c r="AP50" s="278"/>
      <c r="AQ50" s="278"/>
      <c r="AR50" s="278"/>
      <c r="AS50" s="278"/>
      <c r="AT50" s="278"/>
      <c r="AU50" s="278"/>
      <c r="AV50" s="278"/>
      <c r="AW50" s="278"/>
      <c r="AX50" s="278"/>
      <c r="AY50" s="278"/>
      <c r="AZ50" s="278"/>
      <c r="BA50" s="278"/>
      <c r="BB50" s="278"/>
      <c r="BC50" s="278"/>
    </row>
    <row r="51" spans="14:55" x14ac:dyDescent="0.15">
      <c r="T51" s="278">
        <v>2012</v>
      </c>
      <c r="U51" s="284" t="s">
        <v>479</v>
      </c>
      <c r="V51" s="284" t="s">
        <v>479</v>
      </c>
      <c r="W51" s="284">
        <v>156.1</v>
      </c>
      <c r="X51" s="284">
        <v>12.7</v>
      </c>
      <c r="Y51" s="278"/>
      <c r="Z51" s="278"/>
      <c r="AA51" s="278"/>
      <c r="AB51" s="278">
        <v>2012</v>
      </c>
      <c r="AC51" s="288">
        <v>110618</v>
      </c>
      <c r="AD51" s="288">
        <v>61497.2</v>
      </c>
      <c r="AE51" s="288">
        <v>123133</v>
      </c>
      <c r="AF51" s="288">
        <f>39126</f>
        <v>39126</v>
      </c>
      <c r="AG51" s="278"/>
      <c r="AH51" s="278"/>
      <c r="AI51" s="278"/>
      <c r="AJ51" s="278">
        <v>2012</v>
      </c>
      <c r="AK51" s="278"/>
      <c r="AL51" s="278"/>
      <c r="AM51" s="285">
        <f t="shared" ref="AM51:AN55" si="4">W51/AE51</f>
        <v>1.2677348882915221E-3</v>
      </c>
      <c r="AN51" s="285">
        <f t="shared" si="4"/>
        <v>3.2459234268772684E-4</v>
      </c>
      <c r="AO51" s="278"/>
      <c r="AP51" s="278"/>
      <c r="AQ51" s="278"/>
      <c r="AR51" s="278"/>
      <c r="AS51" s="278"/>
      <c r="AT51" s="278"/>
      <c r="AU51" s="278"/>
      <c r="AV51" s="278"/>
      <c r="AW51" s="278"/>
      <c r="AX51" s="278"/>
      <c r="AY51" s="278"/>
      <c r="AZ51" s="278"/>
      <c r="BA51" s="278"/>
      <c r="BB51" s="278"/>
      <c r="BC51" s="278"/>
    </row>
    <row r="52" spans="14:55" x14ac:dyDescent="0.15">
      <c r="T52" s="278">
        <v>2013</v>
      </c>
      <c r="U52" s="284" t="s">
        <v>479</v>
      </c>
      <c r="V52" s="284" t="s">
        <v>479</v>
      </c>
      <c r="W52" s="284">
        <v>245.6</v>
      </c>
      <c r="X52" s="284">
        <v>17.5</v>
      </c>
      <c r="Y52" s="278"/>
      <c r="Z52" s="278"/>
      <c r="AA52" s="278"/>
      <c r="AB52" s="278">
        <v>2013</v>
      </c>
      <c r="AC52" s="288">
        <v>122489</v>
      </c>
      <c r="AD52" s="288">
        <v>71023.5</v>
      </c>
      <c r="AE52" s="288">
        <v>126761</v>
      </c>
      <c r="AF52" s="288">
        <f>41313</f>
        <v>41313</v>
      </c>
      <c r="AG52" s="278"/>
      <c r="AH52" s="278"/>
      <c r="AI52" s="278"/>
      <c r="AJ52" s="278">
        <v>2013</v>
      </c>
      <c r="AK52" s="278"/>
      <c r="AL52" s="278"/>
      <c r="AM52" s="285">
        <f t="shared" si="4"/>
        <v>1.9375044374847154E-3</v>
      </c>
      <c r="AN52" s="285">
        <f t="shared" si="4"/>
        <v>4.2359547842083607E-4</v>
      </c>
      <c r="AO52" s="280"/>
      <c r="AP52" s="278"/>
      <c r="AQ52" s="278"/>
      <c r="AR52" s="278"/>
      <c r="AS52" s="278"/>
      <c r="AT52" s="278"/>
      <c r="AU52" s="278"/>
      <c r="AV52" s="278"/>
      <c r="AW52" s="278"/>
      <c r="AX52" s="278"/>
      <c r="AY52" s="278"/>
      <c r="AZ52" s="278"/>
      <c r="BA52" s="278"/>
      <c r="BB52" s="278"/>
      <c r="BC52" s="278"/>
    </row>
    <row r="53" spans="14:55" x14ac:dyDescent="0.15">
      <c r="T53" s="278">
        <v>2014</v>
      </c>
      <c r="U53" s="284" t="s">
        <v>479</v>
      </c>
      <c r="V53" s="284" t="s">
        <v>479</v>
      </c>
      <c r="W53" s="284">
        <v>188.5</v>
      </c>
      <c r="X53" s="284">
        <v>16.899999999999999</v>
      </c>
      <c r="Y53" s="278"/>
      <c r="Z53" s="278"/>
      <c r="AA53" s="278"/>
      <c r="AB53" s="278">
        <v>2014</v>
      </c>
      <c r="AC53" s="288">
        <v>130474</v>
      </c>
      <c r="AD53" s="288">
        <v>73874.100000000006</v>
      </c>
      <c r="AE53" s="288">
        <v>139367</v>
      </c>
      <c r="AF53" s="288">
        <f>48500</f>
        <v>48500</v>
      </c>
      <c r="AG53" s="278"/>
      <c r="AH53" s="278"/>
      <c r="AI53" s="278"/>
      <c r="AJ53" s="278">
        <v>2014</v>
      </c>
      <c r="AK53" s="278"/>
      <c r="AL53" s="278"/>
      <c r="AM53" s="285">
        <f t="shared" si="4"/>
        <v>1.3525440025257056E-3</v>
      </c>
      <c r="AN53" s="285">
        <f t="shared" si="4"/>
        <v>3.4845360824742268E-4</v>
      </c>
      <c r="AO53" s="278"/>
      <c r="AP53" s="278"/>
      <c r="AQ53" s="278"/>
      <c r="AR53" s="278"/>
      <c r="AS53" s="278"/>
      <c r="AT53" s="278"/>
      <c r="AU53" s="278"/>
      <c r="AV53" s="278"/>
      <c r="AW53" s="278"/>
      <c r="AX53" s="278"/>
      <c r="AY53" s="278"/>
      <c r="AZ53" s="278"/>
      <c r="BA53" s="278"/>
      <c r="BB53" s="278"/>
      <c r="BC53" s="278"/>
    </row>
    <row r="54" spans="14:55" x14ac:dyDescent="0.15">
      <c r="T54" s="278">
        <v>2015</v>
      </c>
      <c r="U54" s="284">
        <v>16.600000000000001</v>
      </c>
      <c r="V54" s="284" t="s">
        <v>479</v>
      </c>
      <c r="W54" s="284">
        <v>214.2</v>
      </c>
      <c r="X54" s="284">
        <v>15.7</v>
      </c>
      <c r="Y54" s="278"/>
      <c r="Z54" s="278"/>
      <c r="AA54" s="278"/>
      <c r="AB54" s="278">
        <v>2015</v>
      </c>
      <c r="AC54" s="288">
        <v>157107</v>
      </c>
      <c r="AD54" s="288">
        <v>79156.5</v>
      </c>
      <c r="AE54" s="288">
        <v>153290</v>
      </c>
      <c r="AF54" s="288">
        <f>54289</f>
        <v>54289</v>
      </c>
      <c r="AG54" s="278"/>
      <c r="AH54" s="278"/>
      <c r="AI54" s="278"/>
      <c r="AJ54" s="278">
        <v>2015</v>
      </c>
      <c r="AK54" s="285">
        <f>U54/AC54</f>
        <v>1.0566047343530206E-4</v>
      </c>
      <c r="AL54" s="278"/>
      <c r="AM54" s="285">
        <f t="shared" si="4"/>
        <v>1.3973514254028313E-3</v>
      </c>
      <c r="AN54" s="285">
        <f t="shared" si="4"/>
        <v>2.8919302252758384E-4</v>
      </c>
      <c r="AO54" s="280"/>
      <c r="AP54" s="278"/>
      <c r="AQ54" s="278"/>
      <c r="AR54" s="278"/>
      <c r="AS54" s="278"/>
      <c r="AT54" s="278"/>
      <c r="AU54" s="278"/>
      <c r="AV54" s="278"/>
      <c r="AW54" s="278"/>
      <c r="AX54" s="278"/>
      <c r="AY54" s="278"/>
      <c r="AZ54" s="278"/>
      <c r="BA54" s="278"/>
      <c r="BB54" s="278"/>
      <c r="BC54" s="278"/>
    </row>
    <row r="55" spans="14:55" x14ac:dyDescent="0.15">
      <c r="T55" s="278">
        <v>2016</v>
      </c>
      <c r="U55" s="284">
        <v>15.8</v>
      </c>
      <c r="V55" s="284" t="s">
        <v>479</v>
      </c>
      <c r="W55" s="284">
        <v>220.6</v>
      </c>
      <c r="X55" s="284">
        <v>16.100000000000001</v>
      </c>
      <c r="Y55" s="278"/>
      <c r="Z55" s="278"/>
      <c r="AA55" s="278"/>
      <c r="AB55" s="278">
        <v>2016</v>
      </c>
      <c r="AC55" s="288">
        <v>184840</v>
      </c>
      <c r="AD55" s="288">
        <v>84863</v>
      </c>
      <c r="AE55" s="288">
        <v>177526</v>
      </c>
      <c r="AF55" s="288">
        <f>54379</f>
        <v>54379</v>
      </c>
      <c r="AG55" s="278"/>
      <c r="AH55" s="278"/>
      <c r="AI55" s="278"/>
      <c r="AJ55" s="278">
        <v>2016</v>
      </c>
      <c r="AK55" s="285">
        <f>U55/AC55</f>
        <v>8.5479333477602248E-5</v>
      </c>
      <c r="AL55" s="278"/>
      <c r="AM55" s="285">
        <f t="shared" si="4"/>
        <v>1.2426348816511384E-3</v>
      </c>
      <c r="AN55" s="285">
        <f t="shared" si="4"/>
        <v>2.960701741481087E-4</v>
      </c>
      <c r="AO55" s="280"/>
      <c r="AP55" s="280"/>
      <c r="AQ55" s="278"/>
      <c r="AR55" s="278"/>
      <c r="AS55" s="278"/>
      <c r="AT55" s="278"/>
      <c r="AU55" s="278"/>
      <c r="AV55" s="278"/>
      <c r="AW55" s="278"/>
      <c r="AX55" s="278"/>
      <c r="AY55" s="278"/>
      <c r="AZ55" s="278"/>
      <c r="BA55" s="278"/>
      <c r="BB55" s="278"/>
      <c r="BC55" s="278"/>
    </row>
    <row r="56" spans="14:55" x14ac:dyDescent="0.15">
      <c r="N56" s="1227"/>
      <c r="O56" s="1227"/>
      <c r="P56" s="1227"/>
      <c r="Q56" s="1227"/>
      <c r="R56" s="1227"/>
      <c r="S56" s="1227"/>
      <c r="T56" s="278">
        <v>2017</v>
      </c>
      <c r="U56" s="284">
        <v>16.600000000000001</v>
      </c>
      <c r="V56" s="284">
        <v>6</v>
      </c>
      <c r="W56" s="284">
        <v>206.1</v>
      </c>
      <c r="X56" s="284">
        <v>16.399999999999999</v>
      </c>
      <c r="Y56" s="278"/>
      <c r="Z56" s="278"/>
      <c r="AA56" s="278"/>
      <c r="AB56" s="278">
        <v>2017</v>
      </c>
      <c r="AC56" s="288">
        <v>201159</v>
      </c>
      <c r="AD56" s="288">
        <v>90040</v>
      </c>
      <c r="AE56" s="288">
        <f>184786</f>
        <v>184786</v>
      </c>
      <c r="AF56" s="288">
        <f>53767</f>
        <v>53767</v>
      </c>
      <c r="AG56" s="278"/>
      <c r="AH56" s="278"/>
      <c r="AI56" s="278"/>
      <c r="AJ56" s="278">
        <v>2017</v>
      </c>
      <c r="AK56" s="285">
        <f t="shared" ref="AK56:AK61" si="5">U56/AC56</f>
        <v>8.2521786248688855E-5</v>
      </c>
      <c r="AL56" s="285">
        <f>V56/AD56</f>
        <v>6.6637050199911156E-5</v>
      </c>
      <c r="AM56" s="285">
        <f t="shared" ref="AM56:AN61" si="6">W56/AE56</f>
        <v>1.1153442360351973E-3</v>
      </c>
      <c r="AN56" s="285">
        <f t="shared" si="6"/>
        <v>3.0501980768873096E-4</v>
      </c>
      <c r="AO56" s="280"/>
      <c r="AP56" s="280"/>
      <c r="AQ56" s="278"/>
      <c r="AR56" s="278"/>
      <c r="AS56" s="278"/>
      <c r="AT56" s="278"/>
      <c r="AU56" s="278"/>
      <c r="AV56" s="278"/>
      <c r="AW56" s="278"/>
      <c r="AX56" s="278"/>
      <c r="AY56" s="278"/>
      <c r="AZ56" s="278"/>
      <c r="BA56" s="278"/>
      <c r="BB56" s="278"/>
      <c r="BC56" s="278"/>
    </row>
    <row r="57" spans="14:55" x14ac:dyDescent="0.15">
      <c r="O57" s="146"/>
      <c r="P57" s="146"/>
      <c r="Q57" s="146"/>
      <c r="R57" s="146"/>
      <c r="S57" s="146"/>
      <c r="T57" s="278">
        <v>2018</v>
      </c>
      <c r="U57" s="284">
        <v>13.9</v>
      </c>
      <c r="V57" s="284">
        <v>11.2</v>
      </c>
      <c r="W57" s="284">
        <v>177.3</v>
      </c>
      <c r="X57" s="284">
        <v>16.399999999999999</v>
      </c>
      <c r="Y57" s="278"/>
      <c r="Z57" s="278"/>
      <c r="AA57" s="278"/>
      <c r="AB57" s="278">
        <v>2018</v>
      </c>
      <c r="AC57" s="288">
        <v>226247</v>
      </c>
      <c r="AD57" s="288">
        <v>92105</v>
      </c>
      <c r="AE57" s="288">
        <f>194579</f>
        <v>194579</v>
      </c>
      <c r="AF57" s="288">
        <f>56912</f>
        <v>56912</v>
      </c>
      <c r="AG57" s="278"/>
      <c r="AH57" s="278"/>
      <c r="AI57" s="278"/>
      <c r="AJ57" s="278">
        <v>2018</v>
      </c>
      <c r="AK57" s="285">
        <f t="shared" si="5"/>
        <v>6.1437278726347749E-5</v>
      </c>
      <c r="AL57" s="285">
        <f t="shared" ref="AL57:AL61" si="7">V57/AD57</f>
        <v>1.2160034742956408E-4</v>
      </c>
      <c r="AM57" s="285">
        <f t="shared" si="6"/>
        <v>9.1119802239707269E-4</v>
      </c>
      <c r="AN57" s="285">
        <f t="shared" si="6"/>
        <v>2.8816418330053414E-4</v>
      </c>
      <c r="AO57" s="280"/>
      <c r="AP57" s="280"/>
      <c r="AQ57" s="278"/>
      <c r="AR57" s="278"/>
      <c r="AS57" s="278"/>
      <c r="AT57" s="278"/>
      <c r="AU57" s="278"/>
      <c r="AV57" s="278"/>
      <c r="AW57" s="278"/>
      <c r="AX57" s="278"/>
      <c r="AY57" s="278"/>
      <c r="AZ57" s="278"/>
      <c r="BA57" s="278"/>
      <c r="BB57" s="278"/>
      <c r="BC57" s="278"/>
    </row>
    <row r="58" spans="14:55" x14ac:dyDescent="0.15">
      <c r="N58" s="147"/>
      <c r="O58" s="147"/>
      <c r="P58" s="147"/>
      <c r="Q58" s="147"/>
      <c r="R58" s="147"/>
      <c r="S58" s="147"/>
      <c r="T58" s="278">
        <v>2019</v>
      </c>
      <c r="U58" s="284">
        <v>17.7</v>
      </c>
      <c r="V58" s="284">
        <v>17.100000000000001</v>
      </c>
      <c r="W58" s="284">
        <v>157.19999999999999</v>
      </c>
      <c r="X58" s="284">
        <v>15</v>
      </c>
      <c r="Y58" s="278"/>
      <c r="Z58" s="278"/>
      <c r="AA58" s="278"/>
      <c r="AB58" s="278">
        <v>2019</v>
      </c>
      <c r="AC58" s="288">
        <v>242155</v>
      </c>
      <c r="AD58" s="288">
        <v>104213</v>
      </c>
      <c r="AE58" s="288">
        <f>256776</f>
        <v>256776</v>
      </c>
      <c r="AF58" s="288">
        <f>64888</f>
        <v>64888</v>
      </c>
      <c r="AG58" s="278"/>
      <c r="AH58" s="278"/>
      <c r="AI58" s="278"/>
      <c r="AJ58" s="278">
        <v>2019</v>
      </c>
      <c r="AK58" s="285">
        <f t="shared" si="5"/>
        <v>7.3093679667981252E-5</v>
      </c>
      <c r="AL58" s="285">
        <f t="shared" si="7"/>
        <v>1.6408701409613007E-4</v>
      </c>
      <c r="AM58" s="285">
        <f t="shared" si="6"/>
        <v>6.1220674829423301E-4</v>
      </c>
      <c r="AN58" s="285">
        <f t="shared" si="6"/>
        <v>2.3116755024041424E-4</v>
      </c>
      <c r="AO58" s="280"/>
      <c r="AP58" s="280"/>
      <c r="AQ58" s="278"/>
      <c r="AR58" s="278"/>
      <c r="AS58" s="278"/>
      <c r="AT58" s="278"/>
      <c r="AU58" s="278"/>
      <c r="AV58" s="278"/>
      <c r="AW58" s="278"/>
      <c r="AX58" s="278"/>
      <c r="AY58" s="278"/>
      <c r="AZ58" s="278"/>
      <c r="BA58" s="278"/>
      <c r="BB58" s="278"/>
      <c r="BC58" s="278"/>
    </row>
    <row r="59" spans="14:55" x14ac:dyDescent="0.15">
      <c r="N59" s="147"/>
      <c r="O59" s="147"/>
      <c r="P59" s="147"/>
      <c r="Q59" s="147"/>
      <c r="R59" s="147"/>
      <c r="S59" s="147"/>
      <c r="T59" s="278">
        <v>2020</v>
      </c>
      <c r="U59" s="284">
        <v>24.5</v>
      </c>
      <c r="V59" s="284">
        <v>12.2</v>
      </c>
      <c r="W59" s="284">
        <v>165.4</v>
      </c>
      <c r="X59" s="284">
        <v>10.8</v>
      </c>
      <c r="Y59" s="278"/>
      <c r="Z59" s="278"/>
      <c r="AA59" s="278"/>
      <c r="AB59" s="278">
        <v>2020</v>
      </c>
      <c r="AC59" s="288">
        <v>257141</v>
      </c>
      <c r="AD59" s="288">
        <v>121867</v>
      </c>
      <c r="AE59" s="288">
        <f>268706</f>
        <v>268706</v>
      </c>
      <c r="AF59" s="288">
        <f>77155</f>
        <v>77155</v>
      </c>
      <c r="AG59" s="278"/>
      <c r="AH59" s="278"/>
      <c r="AI59" s="278"/>
      <c r="AJ59" s="278">
        <v>2020</v>
      </c>
      <c r="AK59" s="285">
        <f t="shared" si="5"/>
        <v>9.5278465900031504E-5</v>
      </c>
      <c r="AL59" s="285">
        <f t="shared" si="7"/>
        <v>1.0010913536888575E-4</v>
      </c>
      <c r="AM59" s="285">
        <f t="shared" si="6"/>
        <v>6.1554263767835485E-4</v>
      </c>
      <c r="AN59" s="285">
        <f t="shared" si="6"/>
        <v>1.3997796643120991E-4</v>
      </c>
      <c r="AO59" s="280"/>
      <c r="AP59" s="280"/>
      <c r="AQ59" s="278"/>
      <c r="AR59" s="278"/>
      <c r="AS59" s="278"/>
      <c r="AT59" s="278"/>
      <c r="AU59" s="278"/>
      <c r="AV59" s="278"/>
      <c r="AW59" s="278"/>
      <c r="AX59" s="278"/>
      <c r="AY59" s="278"/>
      <c r="AZ59" s="278"/>
      <c r="BA59" s="278"/>
      <c r="BB59" s="278"/>
      <c r="BC59" s="278"/>
    </row>
    <row r="60" spans="14:55" x14ac:dyDescent="0.15">
      <c r="N60" s="147"/>
      <c r="O60" s="147"/>
      <c r="P60" s="147"/>
      <c r="Q60" s="147"/>
      <c r="R60" s="147"/>
      <c r="S60" s="147"/>
      <c r="T60" s="278">
        <v>2021</v>
      </c>
      <c r="U60" s="284">
        <v>121.6</v>
      </c>
      <c r="V60" s="284">
        <v>11.8</v>
      </c>
      <c r="W60" s="284">
        <v>188.3</v>
      </c>
      <c r="X60" s="284">
        <v>15.7</v>
      </c>
      <c r="Y60" s="278"/>
      <c r="Z60" s="278"/>
      <c r="AA60" s="278"/>
      <c r="AB60" s="278">
        <v>2021</v>
      </c>
      <c r="AC60" s="288">
        <v>287597</v>
      </c>
      <c r="AD60" s="288">
        <v>138639</v>
      </c>
      <c r="AE60" s="288">
        <f>292111</f>
        <v>292111</v>
      </c>
      <c r="AF60" s="288">
        <f>83064</f>
        <v>83064</v>
      </c>
      <c r="AG60" s="278"/>
      <c r="AH60" s="278"/>
      <c r="AI60" s="278"/>
      <c r="AJ60" s="278">
        <v>2021</v>
      </c>
      <c r="AK60" s="285">
        <f t="shared" si="5"/>
        <v>4.2281386801670389E-4</v>
      </c>
      <c r="AL60" s="285">
        <f t="shared" si="7"/>
        <v>8.5113135553487837E-5</v>
      </c>
      <c r="AM60" s="285">
        <f t="shared" si="6"/>
        <v>6.4461797056598348E-4</v>
      </c>
      <c r="AN60" s="285">
        <f t="shared" si="6"/>
        <v>1.8901088317441973E-4</v>
      </c>
      <c r="AO60" s="280"/>
      <c r="AP60" s="280"/>
      <c r="AQ60" s="278"/>
      <c r="AR60" s="278"/>
      <c r="AS60" s="278"/>
      <c r="AT60" s="278"/>
      <c r="AU60" s="278"/>
      <c r="AV60" s="278"/>
      <c r="AW60" s="278"/>
      <c r="AX60" s="278"/>
      <c r="AY60" s="278"/>
      <c r="AZ60" s="278"/>
      <c r="BA60" s="278"/>
      <c r="BB60" s="278"/>
      <c r="BC60" s="278"/>
    </row>
    <row r="61" spans="14:55" x14ac:dyDescent="0.15">
      <c r="N61" s="147"/>
      <c r="O61" s="147"/>
      <c r="P61" s="147"/>
      <c r="Q61" s="147"/>
      <c r="R61" s="147"/>
      <c r="S61" s="147"/>
      <c r="T61" s="278">
        <v>2022</v>
      </c>
      <c r="U61" s="284">
        <v>122.4</v>
      </c>
      <c r="V61" s="284">
        <v>15.7</v>
      </c>
      <c r="W61" s="284">
        <v>250</v>
      </c>
      <c r="X61" s="284">
        <v>47.4</v>
      </c>
      <c r="Y61" s="278"/>
      <c r="Z61" s="278"/>
      <c r="AA61" s="278"/>
      <c r="AB61" s="278">
        <v>2022</v>
      </c>
      <c r="AC61" s="288">
        <v>324162</v>
      </c>
      <c r="AD61" s="288">
        <v>156595</v>
      </c>
      <c r="AE61" s="288">
        <v>322467</v>
      </c>
      <c r="AF61" s="288">
        <v>92870</v>
      </c>
      <c r="AG61" s="278"/>
      <c r="AH61" s="278"/>
      <c r="AI61" s="278"/>
      <c r="AJ61" s="278">
        <v>2022</v>
      </c>
      <c r="AK61" s="285">
        <f t="shared" si="5"/>
        <v>3.7758898328613474E-4</v>
      </c>
      <c r="AL61" s="285">
        <f t="shared" si="7"/>
        <v>1.0025862894728439E-4</v>
      </c>
      <c r="AM61" s="285">
        <f t="shared" si="6"/>
        <v>7.7527312872324923E-4</v>
      </c>
      <c r="AN61" s="285">
        <f t="shared" si="6"/>
        <v>5.10390868956606E-4</v>
      </c>
      <c r="AO61" s="280"/>
      <c r="AP61" s="278"/>
      <c r="AQ61" s="278"/>
      <c r="AR61" s="278"/>
      <c r="AS61" s="278"/>
      <c r="AT61" s="278"/>
      <c r="AU61" s="278"/>
      <c r="AV61" s="278"/>
      <c r="AW61" s="278"/>
      <c r="AX61" s="278"/>
      <c r="AY61" s="278"/>
      <c r="AZ61" s="278"/>
      <c r="BA61" s="278"/>
      <c r="BB61" s="278"/>
      <c r="BC61" s="278"/>
    </row>
    <row r="62" spans="14:55" x14ac:dyDescent="0.15">
      <c r="N62" s="147"/>
      <c r="O62" s="147"/>
      <c r="P62" s="147"/>
      <c r="Q62" s="147"/>
      <c r="R62" s="147"/>
      <c r="S62" s="147"/>
      <c r="T62" s="278"/>
      <c r="U62" s="282"/>
      <c r="V62" s="282"/>
      <c r="W62" s="282"/>
      <c r="X62" s="282"/>
      <c r="Y62" s="278"/>
      <c r="Z62" s="278"/>
      <c r="AA62" s="278"/>
      <c r="AB62" s="278"/>
      <c r="AC62" s="278"/>
      <c r="AD62" s="278"/>
      <c r="AE62" s="278"/>
      <c r="AF62" s="278"/>
      <c r="AG62" s="278"/>
      <c r="AH62" s="278"/>
      <c r="AI62" s="278"/>
      <c r="AJ62" s="278"/>
      <c r="AK62" s="278"/>
      <c r="AL62" s="278"/>
      <c r="AM62" s="278"/>
      <c r="AN62" s="278"/>
      <c r="AO62" s="278"/>
      <c r="AP62" s="278"/>
      <c r="AQ62" s="278"/>
      <c r="AR62" s="278"/>
      <c r="AS62" s="278"/>
      <c r="AT62" s="278"/>
      <c r="AU62" s="278"/>
      <c r="AV62" s="278"/>
      <c r="AW62" s="278"/>
      <c r="AX62" s="278"/>
      <c r="AY62" s="278"/>
      <c r="AZ62" s="278"/>
      <c r="BA62" s="278"/>
      <c r="BB62" s="278"/>
      <c r="BC62" s="278"/>
    </row>
    <row r="63" spans="14:55" x14ac:dyDescent="0.15">
      <c r="N63" s="147"/>
      <c r="O63" s="147"/>
      <c r="P63" s="147"/>
      <c r="Q63" s="147"/>
      <c r="R63" s="147"/>
      <c r="S63" s="147"/>
      <c r="T63" s="278"/>
      <c r="U63" s="1223" t="s">
        <v>480</v>
      </c>
      <c r="V63" s="1223"/>
      <c r="W63" s="1223"/>
      <c r="X63" s="1223"/>
      <c r="Y63" s="73"/>
      <c r="Z63" s="73"/>
      <c r="AA63" s="73"/>
      <c r="AB63" s="278"/>
      <c r="AC63" s="278"/>
      <c r="AD63" s="278"/>
      <c r="AE63" s="278"/>
      <c r="AF63" s="278"/>
      <c r="AG63" s="278"/>
      <c r="AH63" s="278"/>
      <c r="AI63" s="278"/>
      <c r="AJ63" s="278"/>
      <c r="AK63" s="1221" t="s">
        <v>481</v>
      </c>
      <c r="AL63" s="1221"/>
      <c r="AM63" s="1221"/>
      <c r="AN63" s="1221"/>
      <c r="AO63" s="73"/>
      <c r="AP63" s="73"/>
      <c r="AQ63" s="73"/>
      <c r="AR63" s="278"/>
      <c r="AS63" s="278"/>
      <c r="AT63" s="278"/>
      <c r="AU63" s="278"/>
      <c r="AV63" s="278"/>
      <c r="AW63" s="278"/>
      <c r="AX63" s="278"/>
      <c r="AY63" s="278"/>
      <c r="AZ63" s="278"/>
      <c r="BA63" s="278"/>
      <c r="BB63" s="278"/>
      <c r="BC63" s="278"/>
    </row>
    <row r="64" spans="14:55" x14ac:dyDescent="0.15">
      <c r="N64" s="147"/>
      <c r="O64" s="147"/>
      <c r="P64" s="147"/>
      <c r="Q64" s="147"/>
      <c r="R64" s="147"/>
      <c r="S64" s="147"/>
      <c r="T64" s="278"/>
      <c r="U64" s="283" t="s">
        <v>475</v>
      </c>
      <c r="V64" s="283" t="s">
        <v>476</v>
      </c>
      <c r="W64" s="283" t="s">
        <v>477</v>
      </c>
      <c r="X64" s="283" t="s">
        <v>478</v>
      </c>
      <c r="Y64" s="278"/>
      <c r="Z64" s="278"/>
      <c r="AA64" s="278"/>
      <c r="AB64" s="278"/>
      <c r="AC64" s="278"/>
      <c r="AD64" s="278"/>
      <c r="AE64" s="278"/>
      <c r="AF64" s="278"/>
      <c r="AG64" s="278"/>
      <c r="AH64" s="278"/>
      <c r="AI64" s="278"/>
      <c r="AJ64" s="278"/>
      <c r="AK64" s="279" t="s">
        <v>475</v>
      </c>
      <c r="AL64" s="279" t="s">
        <v>476</v>
      </c>
      <c r="AM64" s="279" t="s">
        <v>477</v>
      </c>
      <c r="AN64" s="279" t="s">
        <v>478</v>
      </c>
      <c r="AO64" s="278"/>
      <c r="AP64" s="278"/>
      <c r="AQ64" s="278"/>
      <c r="AR64" s="278"/>
      <c r="AS64" s="278"/>
      <c r="AT64" s="278"/>
      <c r="AU64" s="278"/>
      <c r="AV64" s="278"/>
      <c r="AW64" s="278"/>
      <c r="AX64" s="278"/>
      <c r="AY64" s="278"/>
      <c r="AZ64" s="278"/>
      <c r="BA64" s="278"/>
      <c r="BB64" s="278"/>
      <c r="BC64" s="278"/>
    </row>
    <row r="65" spans="14:55" x14ac:dyDescent="0.15">
      <c r="N65" s="147"/>
      <c r="O65" s="147"/>
      <c r="P65" s="147"/>
      <c r="Q65" s="147"/>
      <c r="R65" s="147"/>
      <c r="S65" s="147"/>
      <c r="T65" s="278">
        <v>2013</v>
      </c>
      <c r="U65" s="284" t="s">
        <v>479</v>
      </c>
      <c r="V65" s="284" t="s">
        <v>479</v>
      </c>
      <c r="W65" s="284" t="s">
        <v>479</v>
      </c>
      <c r="X65" s="284" t="s">
        <v>479</v>
      </c>
      <c r="Y65" s="278"/>
      <c r="Z65" s="278"/>
      <c r="AA65" s="278"/>
      <c r="AB65" s="278"/>
      <c r="AC65" s="278"/>
      <c r="AD65" s="278"/>
      <c r="AE65" s="278"/>
      <c r="AF65" s="278"/>
      <c r="AG65" s="278"/>
      <c r="AH65" s="278"/>
      <c r="AI65" s="278"/>
      <c r="AJ65" s="278">
        <v>2013</v>
      </c>
      <c r="AK65" s="286"/>
      <c r="AL65" s="286"/>
      <c r="AM65" s="286"/>
      <c r="AN65" s="286"/>
      <c r="AO65" s="278"/>
      <c r="AP65" s="278"/>
      <c r="AQ65" s="278"/>
      <c r="AR65" s="278"/>
      <c r="AS65" s="278"/>
      <c r="AT65" s="278"/>
      <c r="AU65" s="278"/>
      <c r="AV65" s="278"/>
      <c r="AW65" s="278"/>
      <c r="AX65" s="278"/>
      <c r="AY65" s="278"/>
      <c r="AZ65" s="278"/>
      <c r="BA65" s="278"/>
      <c r="BB65" s="278"/>
      <c r="BC65" s="278"/>
    </row>
    <row r="66" spans="14:55" x14ac:dyDescent="0.15">
      <c r="N66" s="147"/>
      <c r="O66" s="147"/>
      <c r="P66" s="147"/>
      <c r="Q66" s="147"/>
      <c r="R66" s="147"/>
      <c r="S66" s="147"/>
      <c r="T66" s="278">
        <v>2014</v>
      </c>
      <c r="U66" s="284" t="s">
        <v>479</v>
      </c>
      <c r="V66" s="284" t="s">
        <v>479</v>
      </c>
      <c r="W66" s="284" t="s">
        <v>479</v>
      </c>
      <c r="X66" s="284">
        <v>404.5</v>
      </c>
      <c r="Y66" s="278"/>
      <c r="Z66" s="278"/>
      <c r="AA66" s="278"/>
      <c r="AB66" s="278"/>
      <c r="AC66" s="278"/>
      <c r="AD66" s="278"/>
      <c r="AE66" s="278"/>
      <c r="AF66" s="278"/>
      <c r="AG66" s="278"/>
      <c r="AH66" s="278"/>
      <c r="AI66" s="278"/>
      <c r="AJ66" s="278">
        <v>2014</v>
      </c>
      <c r="AK66" s="286"/>
      <c r="AL66" s="286"/>
      <c r="AM66" s="286"/>
      <c r="AN66" s="286">
        <f t="shared" ref="AL66:AN74" si="8">X66/AF53</f>
        <v>8.3402061855670107E-3</v>
      </c>
      <c r="AO66" s="278"/>
      <c r="AP66" s="278"/>
      <c r="AQ66" s="278"/>
      <c r="AR66" s="278"/>
      <c r="AS66" s="278"/>
      <c r="AT66" s="278"/>
      <c r="AU66" s="278"/>
      <c r="AV66" s="278"/>
      <c r="AW66" s="278"/>
      <c r="AX66" s="278"/>
      <c r="AY66" s="278"/>
      <c r="AZ66" s="278"/>
      <c r="BA66" s="278"/>
      <c r="BB66" s="278"/>
      <c r="BC66" s="278"/>
    </row>
    <row r="67" spans="14:55" x14ac:dyDescent="0.15">
      <c r="N67" s="147"/>
      <c r="O67" s="147"/>
      <c r="P67" s="147"/>
      <c r="Q67" s="147"/>
      <c r="R67" s="147"/>
      <c r="S67" s="147"/>
      <c r="T67" s="278">
        <v>2015</v>
      </c>
      <c r="U67" s="284">
        <v>690</v>
      </c>
      <c r="V67" s="284">
        <v>658.7</v>
      </c>
      <c r="W67" s="284" t="s">
        <v>479</v>
      </c>
      <c r="X67" s="284">
        <v>358.2</v>
      </c>
      <c r="Y67" s="278"/>
      <c r="Z67" s="278"/>
      <c r="AA67" s="278"/>
      <c r="AB67" s="278"/>
      <c r="AC67" s="278"/>
      <c r="AD67" s="278"/>
      <c r="AE67" s="278"/>
      <c r="AF67" s="278"/>
      <c r="AG67" s="278"/>
      <c r="AH67" s="278"/>
      <c r="AI67" s="278"/>
      <c r="AJ67" s="278">
        <v>2015</v>
      </c>
      <c r="AK67" s="286">
        <f t="shared" ref="AK67:AK74" si="9">U67/AC54</f>
        <v>4.3919112452023143E-3</v>
      </c>
      <c r="AL67" s="286">
        <f t="shared" si="8"/>
        <v>8.3214897070992278E-3</v>
      </c>
      <c r="AM67" s="286"/>
      <c r="AN67" s="286">
        <f t="shared" si="8"/>
        <v>6.5980216986866579E-3</v>
      </c>
      <c r="AO67" s="278"/>
      <c r="AP67" s="278"/>
      <c r="AQ67" s="278"/>
      <c r="AR67" s="278"/>
      <c r="AS67" s="278"/>
      <c r="AT67" s="278"/>
      <c r="AU67" s="278"/>
      <c r="AV67" s="278"/>
      <c r="AW67" s="278"/>
      <c r="AX67" s="278"/>
      <c r="AY67" s="278"/>
      <c r="AZ67" s="278"/>
      <c r="BA67" s="278"/>
      <c r="BB67" s="278"/>
      <c r="BC67" s="278"/>
    </row>
    <row r="68" spans="14:55" x14ac:dyDescent="0.15">
      <c r="N68" s="1224"/>
      <c r="O68" s="1224"/>
      <c r="P68" s="1224"/>
      <c r="Q68" s="1224"/>
      <c r="R68" s="1224"/>
      <c r="S68" s="1224"/>
      <c r="T68" s="278">
        <v>2016</v>
      </c>
      <c r="U68" s="284">
        <v>942.9</v>
      </c>
      <c r="V68" s="284">
        <v>534.79999999999995</v>
      </c>
      <c r="W68" s="284" t="s">
        <v>479</v>
      </c>
      <c r="X68" s="284">
        <v>421.6</v>
      </c>
      <c r="Y68" s="278"/>
      <c r="Z68" s="278"/>
      <c r="AA68" s="278"/>
      <c r="AB68" s="278"/>
      <c r="AC68" s="278"/>
      <c r="AD68" s="278"/>
      <c r="AE68" s="278"/>
      <c r="AF68" s="278"/>
      <c r="AG68" s="278"/>
      <c r="AH68" s="278"/>
      <c r="AI68" s="278"/>
      <c r="AJ68" s="278">
        <v>2016</v>
      </c>
      <c r="AK68" s="286">
        <f t="shared" si="9"/>
        <v>5.1011685782298205E-3</v>
      </c>
      <c r="AL68" s="286">
        <f t="shared" si="8"/>
        <v>6.301921921214192E-3</v>
      </c>
      <c r="AM68" s="286"/>
      <c r="AN68" s="286">
        <f t="shared" si="8"/>
        <v>7.7529928832821499E-3</v>
      </c>
      <c r="AO68" s="280"/>
      <c r="AP68" s="278"/>
      <c r="AQ68" s="278"/>
      <c r="AR68" s="278"/>
      <c r="AS68" s="278"/>
      <c r="AT68" s="278"/>
      <c r="AU68" s="278"/>
      <c r="AV68" s="278"/>
      <c r="AW68" s="278"/>
      <c r="AX68" s="278"/>
      <c r="AY68" s="278"/>
      <c r="AZ68" s="278"/>
      <c r="BA68" s="278"/>
      <c r="BB68" s="278"/>
      <c r="BC68" s="278"/>
    </row>
    <row r="69" spans="14:55" x14ac:dyDescent="0.15">
      <c r="N69" s="147"/>
      <c r="O69" s="147"/>
      <c r="P69" s="147"/>
      <c r="Q69" s="147"/>
      <c r="R69" s="147"/>
      <c r="S69" s="147"/>
      <c r="T69" s="278">
        <v>2017</v>
      </c>
      <c r="U69" s="284">
        <v>816.2</v>
      </c>
      <c r="V69" s="284">
        <v>489.4</v>
      </c>
      <c r="W69" s="284" t="s">
        <v>479</v>
      </c>
      <c r="X69" s="284">
        <v>397.1</v>
      </c>
      <c r="Y69" s="278"/>
      <c r="Z69" s="278"/>
      <c r="AA69" s="278"/>
      <c r="AB69" s="278"/>
      <c r="AC69" s="278"/>
      <c r="AD69" s="278"/>
      <c r="AE69" s="278"/>
      <c r="AF69" s="278"/>
      <c r="AG69" s="278"/>
      <c r="AH69" s="278"/>
      <c r="AI69" s="278"/>
      <c r="AJ69" s="278">
        <v>2017</v>
      </c>
      <c r="AK69" s="286">
        <f t="shared" si="9"/>
        <v>4.0574868636252918E-3</v>
      </c>
      <c r="AL69" s="286">
        <f t="shared" si="8"/>
        <v>5.4353620613060861E-3</v>
      </c>
      <c r="AM69" s="286"/>
      <c r="AN69" s="286">
        <f t="shared" si="8"/>
        <v>7.3855710751948222E-3</v>
      </c>
      <c r="AO69" s="280"/>
      <c r="AP69" s="278"/>
      <c r="AQ69" s="278"/>
      <c r="AR69" s="278"/>
      <c r="AS69" s="278"/>
      <c r="AT69" s="278"/>
      <c r="AU69" s="278"/>
      <c r="AV69" s="278"/>
      <c r="AW69" s="278"/>
      <c r="AX69" s="278"/>
      <c r="AY69" s="278"/>
      <c r="AZ69" s="278"/>
      <c r="BA69" s="278"/>
      <c r="BB69" s="278"/>
      <c r="BC69" s="278"/>
    </row>
    <row r="70" spans="14:55" x14ac:dyDescent="0.15">
      <c r="N70" s="147"/>
      <c r="O70" s="147"/>
      <c r="P70" s="147"/>
      <c r="Q70" s="147"/>
      <c r="R70" s="147"/>
      <c r="S70" s="147"/>
      <c r="T70" s="278">
        <v>2018</v>
      </c>
      <c r="U70" s="284">
        <v>736.8</v>
      </c>
      <c r="V70" s="284">
        <v>492.9</v>
      </c>
      <c r="W70" s="284" t="s">
        <v>479</v>
      </c>
      <c r="X70" s="284">
        <v>337.1</v>
      </c>
      <c r="Y70" s="278"/>
      <c r="Z70" s="278"/>
      <c r="AA70" s="278"/>
      <c r="AB70" s="278"/>
      <c r="AC70" s="278"/>
      <c r="AD70" s="278"/>
      <c r="AE70" s="278"/>
      <c r="AF70" s="278"/>
      <c r="AG70" s="278"/>
      <c r="AH70" s="278"/>
      <c r="AI70" s="278"/>
      <c r="AJ70" s="278">
        <v>2018</v>
      </c>
      <c r="AK70" s="286">
        <f t="shared" si="9"/>
        <v>3.2566177673074115E-3</v>
      </c>
      <c r="AL70" s="286">
        <f t="shared" si="8"/>
        <v>5.3515010042885832E-3</v>
      </c>
      <c r="AM70" s="286"/>
      <c r="AN70" s="286">
        <f t="shared" si="8"/>
        <v>5.9231796457689069E-3</v>
      </c>
      <c r="AO70" s="280"/>
      <c r="AP70" s="278"/>
      <c r="AQ70" s="278"/>
      <c r="AR70" s="278"/>
      <c r="AS70" s="278"/>
      <c r="AT70" s="278"/>
      <c r="AU70" s="278"/>
      <c r="AV70" s="278"/>
      <c r="AW70" s="278"/>
      <c r="AX70" s="278"/>
      <c r="AY70" s="278"/>
      <c r="AZ70" s="278"/>
      <c r="BA70" s="278"/>
      <c r="BB70" s="278"/>
      <c r="BC70" s="278"/>
    </row>
    <row r="71" spans="14:55" x14ac:dyDescent="0.15">
      <c r="N71" s="147"/>
      <c r="O71" s="147"/>
      <c r="P71" s="147"/>
      <c r="Q71" s="147"/>
      <c r="R71" s="147"/>
      <c r="S71" s="147"/>
      <c r="T71" s="278">
        <v>2019</v>
      </c>
      <c r="U71" s="284">
        <v>648.6</v>
      </c>
      <c r="V71" s="284">
        <v>539.4</v>
      </c>
      <c r="W71" s="284" t="s">
        <v>479</v>
      </c>
      <c r="X71" s="284">
        <v>300.10000000000002</v>
      </c>
      <c r="Y71" s="278"/>
      <c r="Z71" s="278"/>
      <c r="AA71" s="278"/>
      <c r="AB71" s="278"/>
      <c r="AC71" s="278"/>
      <c r="AD71" s="278"/>
      <c r="AE71" s="278"/>
      <c r="AF71" s="278"/>
      <c r="AG71" s="278"/>
      <c r="AH71" s="278"/>
      <c r="AI71" s="278"/>
      <c r="AJ71" s="278">
        <v>2019</v>
      </c>
      <c r="AK71" s="286">
        <f t="shared" si="9"/>
        <v>2.6784497532572112E-3</v>
      </c>
      <c r="AL71" s="286">
        <f t="shared" si="8"/>
        <v>5.1759377428919617E-3</v>
      </c>
      <c r="AM71" s="286"/>
      <c r="AN71" s="286">
        <f t="shared" si="8"/>
        <v>4.6248921218098879E-3</v>
      </c>
      <c r="AO71" s="280"/>
      <c r="AP71" s="278"/>
      <c r="AQ71" s="278"/>
      <c r="AR71" s="278"/>
      <c r="AS71" s="278"/>
      <c r="AT71" s="278"/>
      <c r="AU71" s="278"/>
      <c r="AV71" s="278"/>
      <c r="AW71" s="278"/>
      <c r="AX71" s="278"/>
      <c r="AY71" s="278"/>
      <c r="AZ71" s="278"/>
      <c r="BA71" s="278"/>
      <c r="BB71" s="278"/>
      <c r="BC71" s="278"/>
    </row>
    <row r="72" spans="14:55" x14ac:dyDescent="0.15">
      <c r="N72" s="147"/>
      <c r="O72" s="147"/>
      <c r="P72" s="147"/>
      <c r="Q72" s="147"/>
      <c r="R72" s="147"/>
      <c r="S72" s="147"/>
      <c r="T72" s="278">
        <v>2020</v>
      </c>
      <c r="U72" s="284">
        <f>557.2-18</f>
        <v>539.20000000000005</v>
      </c>
      <c r="V72" s="284">
        <v>302.8</v>
      </c>
      <c r="W72" s="284">
        <v>1194</v>
      </c>
      <c r="X72" s="284">
        <v>703.8</v>
      </c>
      <c r="Y72" s="278"/>
      <c r="Z72" s="278"/>
      <c r="AA72" s="278"/>
      <c r="AB72" s="278"/>
      <c r="AC72" s="278"/>
      <c r="AD72" s="278"/>
      <c r="AE72" s="278"/>
      <c r="AF72" s="278"/>
      <c r="AG72" s="278"/>
      <c r="AH72" s="278"/>
      <c r="AI72" s="278"/>
      <c r="AJ72" s="278">
        <v>2020</v>
      </c>
      <c r="AK72" s="286">
        <f t="shared" si="9"/>
        <v>2.0969040331957956E-3</v>
      </c>
      <c r="AL72" s="286">
        <f t="shared" si="8"/>
        <v>2.4846759171884103E-3</v>
      </c>
      <c r="AM72" s="286">
        <f t="shared" si="8"/>
        <v>4.4435181946067452E-3</v>
      </c>
      <c r="AN72" s="286">
        <f t="shared" si="8"/>
        <v>9.1218974791005113E-3</v>
      </c>
      <c r="AO72" s="280"/>
      <c r="AP72" s="278"/>
      <c r="AQ72" s="278"/>
      <c r="AR72" s="278"/>
      <c r="AS72" s="278"/>
      <c r="AT72" s="278"/>
      <c r="AU72" s="278"/>
      <c r="AV72" s="278"/>
      <c r="AW72" s="278"/>
      <c r="AX72" s="278"/>
      <c r="AY72" s="278"/>
      <c r="AZ72" s="278"/>
      <c r="BA72" s="278"/>
      <c r="BB72" s="278"/>
      <c r="BC72" s="278"/>
    </row>
    <row r="73" spans="14:55" x14ac:dyDescent="0.15">
      <c r="N73" s="147"/>
      <c r="O73" s="147"/>
      <c r="P73" s="147"/>
      <c r="Q73" s="147"/>
      <c r="R73" s="147"/>
      <c r="S73" s="147"/>
      <c r="T73" s="278">
        <v>2021</v>
      </c>
      <c r="U73" s="284">
        <f>1250-1040.8</f>
        <v>209.20000000000005</v>
      </c>
      <c r="V73" s="284">
        <v>228.3</v>
      </c>
      <c r="W73" s="284">
        <v>1179</v>
      </c>
      <c r="X73" s="284">
        <v>677.5</v>
      </c>
      <c r="Y73" s="278"/>
      <c r="Z73" s="278"/>
      <c r="AA73" s="278"/>
      <c r="AB73" s="278"/>
      <c r="AC73" s="278"/>
      <c r="AD73" s="278"/>
      <c r="AE73" s="278"/>
      <c r="AF73" s="278"/>
      <c r="AG73" s="278"/>
      <c r="AH73" s="278"/>
      <c r="AI73" s="278"/>
      <c r="AJ73" s="278">
        <v>2021</v>
      </c>
      <c r="AK73" s="286">
        <f t="shared" si="9"/>
        <v>7.2740675319979018E-4</v>
      </c>
      <c r="AL73" s="286">
        <f t="shared" si="8"/>
        <v>1.6467227836323114E-3</v>
      </c>
      <c r="AM73" s="286">
        <f t="shared" si="8"/>
        <v>4.0361369479410226E-3</v>
      </c>
      <c r="AN73" s="286">
        <f t="shared" si="8"/>
        <v>8.156361359915246E-3</v>
      </c>
      <c r="AO73" s="278"/>
      <c r="AP73" s="278"/>
      <c r="AQ73" s="278"/>
      <c r="AR73" s="278"/>
      <c r="AS73" s="278"/>
      <c r="AT73" s="278"/>
      <c r="AU73" s="278"/>
      <c r="AV73" s="278"/>
      <c r="AW73" s="278"/>
      <c r="AX73" s="278"/>
      <c r="AY73" s="278"/>
      <c r="AZ73" s="278"/>
      <c r="BA73" s="278"/>
      <c r="BB73" s="278"/>
      <c r="BC73" s="278"/>
    </row>
    <row r="74" spans="14:55" x14ac:dyDescent="0.15">
      <c r="N74" s="147"/>
      <c r="O74" s="147"/>
      <c r="P74" s="147"/>
      <c r="Q74" s="147"/>
      <c r="R74" s="147"/>
      <c r="S74" s="147"/>
      <c r="T74" s="278">
        <v>2022</v>
      </c>
      <c r="U74" s="284">
        <f>1810-1382.6</f>
        <v>427.40000000000009</v>
      </c>
      <c r="V74" s="284">
        <v>161.6</v>
      </c>
      <c r="W74" s="284">
        <v>1765</v>
      </c>
      <c r="X74" s="284">
        <v>754.3</v>
      </c>
      <c r="Y74" s="278"/>
      <c r="Z74" s="278"/>
      <c r="AA74" s="278"/>
      <c r="AB74" s="278"/>
      <c r="AC74" s="278"/>
      <c r="AD74" s="278"/>
      <c r="AE74" s="278"/>
      <c r="AF74" s="278"/>
      <c r="AG74" s="278"/>
      <c r="AH74" s="278"/>
      <c r="AI74" s="278"/>
      <c r="AJ74" s="278">
        <v>2022</v>
      </c>
      <c r="AK74" s="286">
        <f t="shared" si="9"/>
        <v>1.3184765641870426E-3</v>
      </c>
      <c r="AL74" s="286">
        <f t="shared" si="8"/>
        <v>1.031961429164405E-3</v>
      </c>
      <c r="AM74" s="286">
        <f t="shared" si="8"/>
        <v>5.4734282887861398E-3</v>
      </c>
      <c r="AN74" s="286">
        <f t="shared" si="8"/>
        <v>8.122106169914935E-3</v>
      </c>
      <c r="AO74" s="278"/>
      <c r="AP74" s="278"/>
      <c r="AQ74" s="278"/>
      <c r="AR74" s="278"/>
      <c r="AS74" s="278"/>
      <c r="AT74" s="278"/>
      <c r="AU74" s="278"/>
      <c r="AV74" s="278"/>
      <c r="AW74" s="278"/>
      <c r="AX74" s="278"/>
      <c r="AY74" s="278"/>
      <c r="AZ74" s="278"/>
      <c r="BA74" s="278"/>
      <c r="BB74" s="278"/>
      <c r="BC74" s="278"/>
    </row>
    <row r="75" spans="14:55" x14ac:dyDescent="0.15">
      <c r="N75" s="147"/>
      <c r="O75" s="147"/>
      <c r="P75" s="147"/>
      <c r="Q75" s="147"/>
      <c r="R75" s="147"/>
      <c r="S75" s="147"/>
      <c r="T75" s="278"/>
      <c r="U75" s="282"/>
      <c r="V75" s="282"/>
      <c r="W75" s="282"/>
      <c r="X75" s="282"/>
      <c r="Y75" s="278"/>
      <c r="Z75" s="278"/>
      <c r="AA75" s="278"/>
      <c r="AB75" s="278"/>
      <c r="AC75" s="278"/>
      <c r="AD75" s="278"/>
      <c r="AE75" s="278"/>
      <c r="AF75" s="278"/>
      <c r="AG75" s="278"/>
      <c r="AH75" s="278"/>
      <c r="AI75" s="278"/>
      <c r="AJ75" s="278"/>
      <c r="AK75" s="278"/>
      <c r="AL75" s="278"/>
      <c r="AM75" s="278"/>
      <c r="AN75" s="278"/>
      <c r="AO75" s="278"/>
      <c r="AP75" s="278"/>
      <c r="AQ75" s="278"/>
      <c r="AR75" s="278"/>
      <c r="AS75" s="278"/>
      <c r="AT75" s="278"/>
      <c r="AU75" s="278"/>
      <c r="AV75" s="278"/>
      <c r="AW75" s="278"/>
      <c r="AX75" s="278"/>
      <c r="AY75" s="278"/>
      <c r="AZ75" s="278"/>
      <c r="BA75" s="278"/>
      <c r="BB75" s="278"/>
      <c r="BC75" s="278"/>
    </row>
    <row r="76" spans="14:55" x14ac:dyDescent="0.15">
      <c r="N76" s="148"/>
      <c r="O76" s="147"/>
      <c r="P76" s="147"/>
      <c r="Q76" s="147"/>
      <c r="R76" s="147"/>
      <c r="S76" s="147"/>
      <c r="T76" s="278"/>
      <c r="U76" s="1223" t="s">
        <v>482</v>
      </c>
      <c r="V76" s="1223"/>
      <c r="W76" s="1223"/>
      <c r="X76" s="1223"/>
      <c r="Y76" s="73"/>
      <c r="Z76" s="73"/>
      <c r="AA76" s="73"/>
      <c r="AB76" s="278"/>
      <c r="AC76" s="278"/>
      <c r="AD76" s="278"/>
      <c r="AE76" s="278"/>
      <c r="AF76" s="278"/>
      <c r="AG76" s="278"/>
      <c r="AH76" s="278"/>
      <c r="AI76" s="278"/>
      <c r="AJ76" s="278"/>
      <c r="AK76" s="1221" t="s">
        <v>483</v>
      </c>
      <c r="AL76" s="1221"/>
      <c r="AM76" s="1221"/>
      <c r="AN76" s="1221"/>
      <c r="AO76" s="73"/>
      <c r="AP76" s="73"/>
      <c r="AQ76" s="73"/>
      <c r="AR76" s="278"/>
      <c r="AS76" s="278"/>
      <c r="AT76" s="278"/>
      <c r="AU76" s="278"/>
      <c r="AV76" s="278"/>
      <c r="AW76" s="278"/>
      <c r="AX76" s="278"/>
      <c r="AY76" s="278"/>
      <c r="AZ76" s="278"/>
      <c r="BA76" s="278"/>
      <c r="BB76" s="278"/>
      <c r="BC76" s="278"/>
    </row>
    <row r="77" spans="14:55" x14ac:dyDescent="0.15">
      <c r="N77" s="148"/>
      <c r="O77" s="147"/>
      <c r="P77" s="147"/>
      <c r="Q77" s="147"/>
      <c r="R77" s="147"/>
      <c r="S77" s="147"/>
      <c r="T77" s="278"/>
      <c r="U77" s="283" t="s">
        <v>475</v>
      </c>
      <c r="V77" s="283" t="s">
        <v>476</v>
      </c>
      <c r="W77" s="283" t="s">
        <v>477</v>
      </c>
      <c r="X77" s="283" t="s">
        <v>478</v>
      </c>
      <c r="Y77" s="278"/>
      <c r="Z77" s="278"/>
      <c r="AA77" s="278"/>
      <c r="AB77" s="278"/>
      <c r="AC77" s="278"/>
      <c r="AD77" s="278"/>
      <c r="AE77" s="278"/>
      <c r="AF77" s="278"/>
      <c r="AG77" s="278"/>
      <c r="AH77" s="278"/>
      <c r="AI77" s="278"/>
      <c r="AJ77" s="278"/>
      <c r="AK77" s="279" t="s">
        <v>475</v>
      </c>
      <c r="AL77" s="279" t="s">
        <v>476</v>
      </c>
      <c r="AM77" s="279" t="s">
        <v>477</v>
      </c>
      <c r="AN77" s="279" t="s">
        <v>478</v>
      </c>
      <c r="AO77" s="278"/>
      <c r="AP77" s="278"/>
      <c r="AQ77" s="278"/>
      <c r="AR77" s="278"/>
      <c r="AS77" s="278"/>
      <c r="AT77" s="278"/>
      <c r="AU77" s="278"/>
      <c r="AV77" s="278"/>
      <c r="AW77" s="278"/>
      <c r="AX77" s="278"/>
      <c r="AY77" s="278"/>
      <c r="AZ77" s="278"/>
      <c r="BA77" s="278"/>
      <c r="BB77" s="278"/>
      <c r="BC77" s="278"/>
    </row>
    <row r="78" spans="14:55" x14ac:dyDescent="0.15">
      <c r="N78" s="148"/>
      <c r="O78" s="147"/>
      <c r="P78" s="147"/>
      <c r="Q78" s="147"/>
      <c r="R78" s="147"/>
      <c r="S78" s="147"/>
      <c r="T78" s="278">
        <v>2011</v>
      </c>
      <c r="U78" s="284" t="s">
        <v>479</v>
      </c>
      <c r="V78" s="284" t="s">
        <v>479</v>
      </c>
      <c r="W78" s="284" t="s">
        <v>479</v>
      </c>
      <c r="X78" s="284">
        <v>195.6</v>
      </c>
      <c r="Y78" s="278"/>
      <c r="Z78" s="278"/>
      <c r="AA78" s="278"/>
      <c r="AB78" s="278"/>
      <c r="AC78" s="278"/>
      <c r="AD78" s="278"/>
      <c r="AE78" s="278"/>
      <c r="AF78" s="278"/>
      <c r="AG78" s="278"/>
      <c r="AH78" s="278"/>
      <c r="AI78" s="278"/>
      <c r="AJ78" s="278">
        <v>2011</v>
      </c>
      <c r="AK78" s="286"/>
      <c r="AL78" s="286"/>
      <c r="AM78" s="286"/>
      <c r="AN78" s="286">
        <f t="shared" ref="AL78:AN89" si="10">X78/AF50</f>
        <v>5.3105994787141612E-3</v>
      </c>
      <c r="AO78" s="278"/>
      <c r="AP78" s="278"/>
      <c r="AQ78" s="278"/>
      <c r="AR78" s="278"/>
      <c r="AS78" s="278"/>
      <c r="AT78" s="278"/>
      <c r="AU78" s="278"/>
      <c r="AV78" s="278"/>
      <c r="AW78" s="278"/>
      <c r="AX78" s="278"/>
      <c r="AY78" s="278"/>
      <c r="AZ78" s="278"/>
      <c r="BA78" s="278"/>
      <c r="BB78" s="278"/>
      <c r="BC78" s="278"/>
    </row>
    <row r="79" spans="14:55" x14ac:dyDescent="0.15">
      <c r="N79" s="148"/>
      <c r="O79" s="147"/>
      <c r="P79" s="147"/>
      <c r="Q79" s="147"/>
      <c r="R79" s="147"/>
      <c r="S79" s="147"/>
      <c r="T79" s="278">
        <v>2012</v>
      </c>
      <c r="U79" s="284" t="s">
        <v>479</v>
      </c>
      <c r="V79" s="284" t="s">
        <v>479</v>
      </c>
      <c r="W79" s="284" t="s">
        <v>479</v>
      </c>
      <c r="X79" s="284">
        <v>56.6</v>
      </c>
      <c r="Y79" s="278"/>
      <c r="Z79" s="278"/>
      <c r="AA79" s="278"/>
      <c r="AB79" s="278"/>
      <c r="AC79" s="278"/>
      <c r="AD79" s="278"/>
      <c r="AE79" s="278"/>
      <c r="AF79" s="278"/>
      <c r="AG79" s="278"/>
      <c r="AH79" s="278"/>
      <c r="AI79" s="278"/>
      <c r="AJ79" s="278">
        <v>2012</v>
      </c>
      <c r="AK79" s="286"/>
      <c r="AL79" s="286"/>
      <c r="AM79" s="286"/>
      <c r="AN79" s="286">
        <f t="shared" si="10"/>
        <v>1.4466083933956961E-3</v>
      </c>
      <c r="AO79" s="278"/>
      <c r="AP79" s="278"/>
      <c r="AQ79" s="278"/>
      <c r="AR79" s="278"/>
      <c r="AS79" s="278"/>
      <c r="AT79" s="278"/>
      <c r="AU79" s="278"/>
      <c r="AV79" s="278"/>
      <c r="AW79" s="278"/>
      <c r="AX79" s="278"/>
      <c r="AY79" s="278"/>
      <c r="AZ79" s="278"/>
      <c r="BA79" s="278"/>
      <c r="BB79" s="278"/>
      <c r="BC79" s="278"/>
    </row>
    <row r="80" spans="14:55" x14ac:dyDescent="0.15">
      <c r="N80" s="148"/>
      <c r="O80" s="147"/>
      <c r="P80" s="147"/>
      <c r="Q80" s="147"/>
      <c r="R80" s="147"/>
      <c r="S80" s="147"/>
      <c r="T80" s="278">
        <v>2013</v>
      </c>
      <c r="U80" s="284" t="s">
        <v>479</v>
      </c>
      <c r="V80" s="284" t="s">
        <v>479</v>
      </c>
      <c r="W80" s="284" t="s">
        <v>479</v>
      </c>
      <c r="X80" s="284">
        <v>82.3</v>
      </c>
      <c r="Y80" s="278"/>
      <c r="Z80" s="278"/>
      <c r="AA80" s="278"/>
      <c r="AB80" s="278"/>
      <c r="AC80" s="278"/>
      <c r="AD80" s="278"/>
      <c r="AE80" s="278"/>
      <c r="AF80" s="278"/>
      <c r="AG80" s="278"/>
      <c r="AH80" s="278"/>
      <c r="AI80" s="278"/>
      <c r="AJ80" s="278">
        <v>2013</v>
      </c>
      <c r="AK80" s="286"/>
      <c r="AL80" s="286"/>
      <c r="AM80" s="286"/>
      <c r="AN80" s="286">
        <f t="shared" si="10"/>
        <v>1.9921090213734175E-3</v>
      </c>
      <c r="AO80" s="278"/>
      <c r="AP80" s="278"/>
      <c r="AQ80" s="278"/>
      <c r="AR80" s="278"/>
      <c r="AS80" s="278"/>
      <c r="AT80" s="278"/>
      <c r="AU80" s="278"/>
      <c r="AV80" s="278"/>
      <c r="AW80" s="278"/>
      <c r="AX80" s="278"/>
      <c r="AY80" s="278"/>
      <c r="AZ80" s="278"/>
      <c r="BA80" s="278"/>
      <c r="BB80" s="278"/>
      <c r="BC80" s="278"/>
    </row>
    <row r="81" spans="14:55" x14ac:dyDescent="0.15">
      <c r="N81" s="147"/>
      <c r="O81" s="147"/>
      <c r="P81" s="147"/>
      <c r="Q81" s="147"/>
      <c r="R81" s="147"/>
      <c r="S81" s="147"/>
      <c r="T81" s="278">
        <v>2014</v>
      </c>
      <c r="U81" s="284" t="s">
        <v>479</v>
      </c>
      <c r="V81" s="284" t="s">
        <v>479</v>
      </c>
      <c r="W81" s="284" t="s">
        <v>479</v>
      </c>
      <c r="X81" s="284">
        <v>259.7</v>
      </c>
      <c r="Y81" s="278"/>
      <c r="Z81" s="278"/>
      <c r="AA81" s="278"/>
      <c r="AB81" s="278"/>
      <c r="AC81" s="278"/>
      <c r="AD81" s="278"/>
      <c r="AE81" s="278"/>
      <c r="AF81" s="278"/>
      <c r="AG81" s="278"/>
      <c r="AH81" s="278"/>
      <c r="AI81" s="278"/>
      <c r="AJ81" s="278">
        <v>2014</v>
      </c>
      <c r="AK81" s="286"/>
      <c r="AL81" s="286"/>
      <c r="AM81" s="286"/>
      <c r="AN81" s="286">
        <f t="shared" si="10"/>
        <v>5.3546391752577315E-3</v>
      </c>
      <c r="AO81" s="278"/>
      <c r="AP81" s="278"/>
      <c r="AQ81" s="278"/>
      <c r="AR81" s="278"/>
      <c r="AS81" s="278"/>
      <c r="AT81" s="278"/>
      <c r="AU81" s="278"/>
      <c r="AV81" s="278"/>
      <c r="AW81" s="278"/>
      <c r="AX81" s="278"/>
      <c r="AY81" s="278"/>
      <c r="AZ81" s="278"/>
      <c r="BA81" s="278"/>
      <c r="BB81" s="278"/>
      <c r="BC81" s="278"/>
    </row>
    <row r="82" spans="14:55" x14ac:dyDescent="0.15">
      <c r="N82" s="1224"/>
      <c r="O82" s="1224"/>
      <c r="P82" s="1224"/>
      <c r="Q82" s="1224"/>
      <c r="R82" s="1224"/>
      <c r="S82" s="1224"/>
      <c r="T82" s="278">
        <v>2015</v>
      </c>
      <c r="U82" s="284">
        <v>372.2</v>
      </c>
      <c r="V82" s="284" t="s">
        <v>479</v>
      </c>
      <c r="W82" s="284">
        <v>3716.3</v>
      </c>
      <c r="X82" s="284">
        <v>251.9</v>
      </c>
      <c r="Y82" s="278"/>
      <c r="Z82" s="278"/>
      <c r="AA82" s="278"/>
      <c r="AB82" s="278"/>
      <c r="AC82" s="278"/>
      <c r="AD82" s="278"/>
      <c r="AE82" s="278"/>
      <c r="AF82" s="278"/>
      <c r="AG82" s="278"/>
      <c r="AH82" s="278"/>
      <c r="AI82" s="278"/>
      <c r="AJ82" s="278">
        <v>2015</v>
      </c>
      <c r="AK82" s="286">
        <f t="shared" ref="AK82:AK89" si="11">U82/AC54</f>
        <v>2.3690860369047846E-3</v>
      </c>
      <c r="AL82" s="286"/>
      <c r="AM82" s="286">
        <f t="shared" si="10"/>
        <v>2.4243590579946506E-2</v>
      </c>
      <c r="AN82" s="286">
        <f t="shared" si="10"/>
        <v>4.6399823168597693E-3</v>
      </c>
      <c r="AO82" s="278"/>
      <c r="AP82" s="280"/>
      <c r="AQ82" s="278"/>
      <c r="AR82" s="278"/>
      <c r="AS82" s="278"/>
      <c r="AT82" s="278"/>
      <c r="AU82" s="278"/>
      <c r="AV82" s="278"/>
      <c r="AW82" s="278"/>
      <c r="AX82" s="278"/>
      <c r="AY82" s="278"/>
      <c r="AZ82" s="278"/>
      <c r="BA82" s="278"/>
      <c r="BB82" s="278"/>
      <c r="BC82" s="278"/>
    </row>
    <row r="83" spans="14:55" x14ac:dyDescent="0.15">
      <c r="N83" s="147"/>
      <c r="O83" s="147"/>
      <c r="P83" s="147"/>
      <c r="Q83" s="147"/>
      <c r="R83" s="147"/>
      <c r="S83" s="147"/>
      <c r="T83" s="278">
        <v>2016</v>
      </c>
      <c r="U83" s="284">
        <v>372.9</v>
      </c>
      <c r="V83" s="284" t="s">
        <v>479</v>
      </c>
      <c r="W83" s="284">
        <v>3655.6</v>
      </c>
      <c r="X83" s="284">
        <v>254.1</v>
      </c>
      <c r="Y83" s="278"/>
      <c r="Z83" s="278"/>
      <c r="AA83" s="278"/>
      <c r="AB83" s="278"/>
      <c r="AC83" s="278"/>
      <c r="AD83" s="278"/>
      <c r="AE83" s="278"/>
      <c r="AF83" s="278"/>
      <c r="AG83" s="278"/>
      <c r="AH83" s="278"/>
      <c r="AI83" s="278"/>
      <c r="AJ83" s="278">
        <v>2016</v>
      </c>
      <c r="AK83" s="286">
        <f t="shared" si="11"/>
        <v>2.0174204717593592E-3</v>
      </c>
      <c r="AL83" s="286"/>
      <c r="AM83" s="286">
        <f t="shared" si="10"/>
        <v>2.0591913297207168E-2</v>
      </c>
      <c r="AN83" s="286">
        <f t="shared" si="10"/>
        <v>4.6727597050331927E-3</v>
      </c>
      <c r="AO83" s="280"/>
      <c r="AP83" s="280"/>
      <c r="AQ83" s="278"/>
      <c r="AR83" s="278"/>
      <c r="AS83" s="278"/>
      <c r="AT83" s="278"/>
      <c r="AU83" s="278"/>
      <c r="AV83" s="278"/>
      <c r="AW83" s="278"/>
      <c r="AX83" s="278"/>
      <c r="AY83" s="278"/>
      <c r="AZ83" s="278"/>
      <c r="BA83" s="278"/>
      <c r="BB83" s="278"/>
      <c r="BC83" s="278"/>
    </row>
    <row r="84" spans="14:55" x14ac:dyDescent="0.15">
      <c r="N84" s="147"/>
      <c r="O84" s="147"/>
      <c r="P84" s="147"/>
      <c r="Q84" s="147"/>
      <c r="R84" s="147"/>
      <c r="S84" s="147"/>
      <c r="T84" s="278">
        <v>2017</v>
      </c>
      <c r="U84" s="284">
        <v>366.5</v>
      </c>
      <c r="V84" s="284" t="s">
        <v>479</v>
      </c>
      <c r="W84" s="284">
        <v>3523.3</v>
      </c>
      <c r="X84" s="284">
        <v>261.60000000000002</v>
      </c>
      <c r="Y84" s="278"/>
      <c r="Z84" s="278"/>
      <c r="AA84" s="278"/>
      <c r="AB84" s="278"/>
      <c r="AC84" s="278"/>
      <c r="AD84" s="278"/>
      <c r="AE84" s="278"/>
      <c r="AF84" s="278"/>
      <c r="AG84" s="278"/>
      <c r="AH84" s="278"/>
      <c r="AI84" s="278"/>
      <c r="AJ84" s="278">
        <v>2017</v>
      </c>
      <c r="AK84" s="286">
        <f t="shared" si="11"/>
        <v>1.8219418469966543E-3</v>
      </c>
      <c r="AL84" s="286"/>
      <c r="AM84" s="286">
        <f t="shared" si="10"/>
        <v>1.9066920654162114E-2</v>
      </c>
      <c r="AN84" s="286">
        <f t="shared" si="10"/>
        <v>4.8654379080104899E-3</v>
      </c>
      <c r="AO84" s="280"/>
      <c r="AP84" s="280"/>
      <c r="AQ84" s="278"/>
      <c r="AR84" s="278"/>
      <c r="AS84" s="278"/>
      <c r="AT84" s="278"/>
      <c r="AU84" s="278"/>
      <c r="AV84" s="278"/>
      <c r="AW84" s="278"/>
      <c r="AX84" s="278"/>
      <c r="AY84" s="278"/>
      <c r="AZ84" s="278"/>
      <c r="BA84" s="278"/>
      <c r="BB84" s="278"/>
      <c r="BC84" s="278"/>
    </row>
    <row r="85" spans="14:55" x14ac:dyDescent="0.15">
      <c r="N85" s="147"/>
      <c r="O85" s="147"/>
      <c r="P85" s="147"/>
      <c r="Q85" s="147"/>
      <c r="R85" s="147"/>
      <c r="S85" s="147"/>
      <c r="T85" s="278">
        <v>2018</v>
      </c>
      <c r="U85" s="284">
        <v>364.7</v>
      </c>
      <c r="V85" s="284">
        <v>282.5</v>
      </c>
      <c r="W85" s="284">
        <v>3221.4</v>
      </c>
      <c r="X85" s="284">
        <v>239.9</v>
      </c>
      <c r="Y85" s="278"/>
      <c r="Z85" s="278"/>
      <c r="AA85" s="278"/>
      <c r="AB85" s="278"/>
      <c r="AC85" s="278"/>
      <c r="AD85" s="278"/>
      <c r="AE85" s="278"/>
      <c r="AF85" s="278"/>
      <c r="AG85" s="278"/>
      <c r="AH85" s="278"/>
      <c r="AI85" s="278"/>
      <c r="AJ85" s="278">
        <v>2018</v>
      </c>
      <c r="AK85" s="286">
        <f t="shared" si="11"/>
        <v>1.6119550756474119E-3</v>
      </c>
      <c r="AL85" s="286">
        <f t="shared" si="10"/>
        <v>3.0671516204332011E-3</v>
      </c>
      <c r="AM85" s="286">
        <f t="shared" si="10"/>
        <v>1.655574342554952E-2</v>
      </c>
      <c r="AN85" s="286">
        <f t="shared" si="10"/>
        <v>4.2152797301096435E-3</v>
      </c>
      <c r="AO85" s="280"/>
      <c r="AP85" s="280"/>
      <c r="AQ85" s="278"/>
      <c r="AR85" s="278"/>
      <c r="AS85" s="278"/>
      <c r="AT85" s="278"/>
      <c r="AU85" s="278"/>
      <c r="AV85" s="278"/>
      <c r="AW85" s="278"/>
      <c r="AX85" s="278"/>
      <c r="AY85" s="278"/>
      <c r="AZ85" s="278"/>
      <c r="BA85" s="278"/>
      <c r="BB85" s="278"/>
      <c r="BC85" s="278"/>
    </row>
    <row r="86" spans="14:55" x14ac:dyDescent="0.15">
      <c r="N86" s="147"/>
      <c r="O86" s="147"/>
      <c r="P86" s="147"/>
      <c r="Q86" s="147"/>
      <c r="R86" s="147"/>
      <c r="S86" s="147"/>
      <c r="T86" s="278">
        <v>2019</v>
      </c>
      <c r="U86" s="284">
        <v>375.7</v>
      </c>
      <c r="V86" s="284">
        <v>292.5</v>
      </c>
      <c r="W86" s="284">
        <v>3234.2</v>
      </c>
      <c r="X86" s="284">
        <v>215</v>
      </c>
      <c r="Y86" s="278"/>
      <c r="Z86" s="278"/>
      <c r="AA86" s="278"/>
      <c r="AB86" s="278"/>
      <c r="AC86" s="278"/>
      <c r="AD86" s="278"/>
      <c r="AE86" s="278"/>
      <c r="AF86" s="278"/>
      <c r="AG86" s="278"/>
      <c r="AH86" s="278"/>
      <c r="AI86" s="278"/>
      <c r="AJ86" s="278">
        <v>2019</v>
      </c>
      <c r="AK86" s="286">
        <f t="shared" si="11"/>
        <v>1.5514856187152856E-3</v>
      </c>
      <c r="AL86" s="286">
        <f t="shared" si="10"/>
        <v>2.8067515569074877E-3</v>
      </c>
      <c r="AM86" s="286">
        <f t="shared" si="10"/>
        <v>1.2595413901610742E-2</v>
      </c>
      <c r="AN86" s="286">
        <f t="shared" si="10"/>
        <v>3.3134015534459376E-3</v>
      </c>
      <c r="AO86" s="280"/>
      <c r="AP86" s="280"/>
      <c r="AQ86" s="278"/>
      <c r="AR86" s="278"/>
      <c r="AS86" s="278"/>
      <c r="AT86" s="278"/>
      <c r="AU86" s="278"/>
      <c r="AV86" s="278"/>
      <c r="AW86" s="278"/>
      <c r="AX86" s="278"/>
      <c r="AY86" s="278"/>
      <c r="AZ86" s="278"/>
      <c r="BA86" s="278"/>
      <c r="BB86" s="278"/>
      <c r="BC86" s="278"/>
    </row>
    <row r="87" spans="14:55" x14ac:dyDescent="0.15">
      <c r="N87" s="147"/>
      <c r="O87" s="147"/>
      <c r="P87" s="147"/>
      <c r="Q87" s="147"/>
      <c r="R87" s="147"/>
      <c r="S87" s="147"/>
      <c r="T87" s="278">
        <v>2020</v>
      </c>
      <c r="U87" s="284">
        <v>381.7</v>
      </c>
      <c r="V87" s="284">
        <v>275.10000000000002</v>
      </c>
      <c r="W87" s="284">
        <v>3042.3</v>
      </c>
      <c r="X87" s="284">
        <v>198.6</v>
      </c>
      <c r="Y87" s="278"/>
      <c r="Z87" s="278"/>
      <c r="AA87" s="278"/>
      <c r="AB87" s="278"/>
      <c r="AC87" s="278"/>
      <c r="AD87" s="278"/>
      <c r="AE87" s="278"/>
      <c r="AF87" s="278"/>
      <c r="AG87" s="278"/>
      <c r="AH87" s="278"/>
      <c r="AI87" s="278"/>
      <c r="AJ87" s="278">
        <v>2020</v>
      </c>
      <c r="AK87" s="286">
        <f t="shared" si="11"/>
        <v>1.4843996095527357E-3</v>
      </c>
      <c r="AL87" s="286">
        <f t="shared" si="10"/>
        <v>2.2573789459000388E-3</v>
      </c>
      <c r="AM87" s="286">
        <f t="shared" si="10"/>
        <v>1.1322039701383669E-2</v>
      </c>
      <c r="AN87" s="286">
        <f t="shared" si="10"/>
        <v>2.5740392715961377E-3</v>
      </c>
      <c r="AO87" s="280"/>
      <c r="AP87" s="280"/>
      <c r="AQ87" s="278"/>
      <c r="AR87" s="278"/>
      <c r="AS87" s="278"/>
      <c r="AT87" s="278"/>
      <c r="AU87" s="278"/>
      <c r="AV87" s="278"/>
      <c r="AW87" s="278"/>
      <c r="AX87" s="278"/>
      <c r="AY87" s="278"/>
      <c r="AZ87" s="278"/>
      <c r="BA87" s="278"/>
      <c r="BB87" s="278"/>
      <c r="BC87" s="278"/>
    </row>
    <row r="88" spans="14:55" x14ac:dyDescent="0.15">
      <c r="N88" s="147"/>
      <c r="O88" s="147"/>
      <c r="P88" s="147"/>
      <c r="Q88" s="147"/>
      <c r="R88" s="147"/>
      <c r="S88" s="147"/>
      <c r="T88" s="278">
        <v>2021</v>
      </c>
      <c r="U88" s="284">
        <v>1436.8</v>
      </c>
      <c r="V88" s="284">
        <v>213.1</v>
      </c>
      <c r="W88" s="284">
        <v>3020.6</v>
      </c>
      <c r="X88" s="284">
        <v>258.2</v>
      </c>
      <c r="Y88" s="278"/>
      <c r="Z88" s="278"/>
      <c r="AA88" s="278"/>
      <c r="AB88" s="278"/>
      <c r="AC88" s="278"/>
      <c r="AD88" s="278"/>
      <c r="AE88" s="278"/>
      <c r="AF88" s="278"/>
      <c r="AG88" s="278"/>
      <c r="AH88" s="278"/>
      <c r="AI88" s="278"/>
      <c r="AJ88" s="278">
        <v>2021</v>
      </c>
      <c r="AK88" s="286">
        <f t="shared" si="11"/>
        <v>4.9958796510394749E-3</v>
      </c>
      <c r="AL88" s="286">
        <f t="shared" si="10"/>
        <v>1.5370855242752761E-3</v>
      </c>
      <c r="AM88" s="286">
        <f t="shared" si="10"/>
        <v>1.034058970733728E-2</v>
      </c>
      <c r="AN88" s="286">
        <f t="shared" si="10"/>
        <v>3.1084464990850428E-3</v>
      </c>
      <c r="AO88" s="280"/>
      <c r="AP88" s="280"/>
      <c r="AQ88" s="278"/>
      <c r="AR88" s="278"/>
      <c r="AS88" s="278"/>
      <c r="AT88" s="278"/>
      <c r="AU88" s="278"/>
      <c r="AV88" s="278"/>
      <c r="AW88" s="278"/>
      <c r="AX88" s="278"/>
      <c r="AY88" s="278"/>
      <c r="AZ88" s="278"/>
      <c r="BA88" s="278"/>
      <c r="BB88" s="278"/>
      <c r="BC88" s="278"/>
    </row>
    <row r="89" spans="14:55" x14ac:dyDescent="0.15">
      <c r="N89" s="147"/>
      <c r="O89" s="147"/>
      <c r="P89" s="147"/>
      <c r="Q89" s="147"/>
      <c r="R89" s="147"/>
      <c r="S89" s="147"/>
      <c r="T89" s="278">
        <v>2022</v>
      </c>
      <c r="U89" s="284">
        <v>1584.4</v>
      </c>
      <c r="V89" s="284">
        <v>246.1</v>
      </c>
      <c r="W89" s="284">
        <v>3102.7</v>
      </c>
      <c r="X89" s="284">
        <v>359.4</v>
      </c>
      <c r="Y89" s="278"/>
      <c r="Z89" s="278"/>
      <c r="AA89" s="278"/>
      <c r="AB89" s="278"/>
      <c r="AC89" s="278"/>
      <c r="AD89" s="278"/>
      <c r="AE89" s="278"/>
      <c r="AF89" s="278"/>
      <c r="AG89" s="278"/>
      <c r="AH89" s="278"/>
      <c r="AI89" s="278"/>
      <c r="AJ89" s="278">
        <v>2022</v>
      </c>
      <c r="AK89" s="286">
        <f t="shared" si="11"/>
        <v>4.8876796169816331E-3</v>
      </c>
      <c r="AL89" s="286">
        <f t="shared" si="10"/>
        <v>1.5715699734985152E-3</v>
      </c>
      <c r="AM89" s="286">
        <f t="shared" si="10"/>
        <v>9.6217597459585004E-3</v>
      </c>
      <c r="AN89" s="286">
        <f t="shared" si="10"/>
        <v>3.8699257025950249E-3</v>
      </c>
      <c r="AO89" s="278"/>
      <c r="AP89" s="278"/>
      <c r="AQ89" s="278"/>
      <c r="AR89" s="278"/>
      <c r="AS89" s="278"/>
      <c r="AT89" s="278"/>
      <c r="AU89" s="278"/>
      <c r="AV89" s="278"/>
      <c r="AW89" s="278"/>
      <c r="AX89" s="278"/>
      <c r="AY89" s="278"/>
      <c r="AZ89" s="278"/>
      <c r="BA89" s="278"/>
      <c r="BB89" s="278"/>
      <c r="BC89" s="278"/>
    </row>
    <row r="90" spans="14:55" x14ac:dyDescent="0.15">
      <c r="N90" s="148"/>
      <c r="O90" s="147"/>
      <c r="P90" s="147"/>
      <c r="Q90" s="147"/>
      <c r="R90" s="147"/>
      <c r="S90" s="147"/>
      <c r="T90" s="278"/>
      <c r="U90" s="282"/>
      <c r="V90" s="282"/>
      <c r="W90" s="282"/>
      <c r="X90" s="282"/>
      <c r="Y90" s="278"/>
      <c r="Z90" s="278"/>
      <c r="AA90" s="278"/>
      <c r="AB90" s="278"/>
      <c r="AC90" s="278"/>
      <c r="AD90" s="278"/>
      <c r="AE90" s="278"/>
      <c r="AF90" s="278"/>
      <c r="AG90" s="278"/>
      <c r="AH90" s="278"/>
      <c r="AI90" s="278"/>
      <c r="AJ90" s="278"/>
      <c r="AK90" s="278"/>
      <c r="AL90" s="278"/>
      <c r="AM90" s="278"/>
      <c r="AN90" s="278"/>
      <c r="AO90" s="278"/>
      <c r="AP90" s="278"/>
      <c r="AQ90" s="278"/>
      <c r="AR90" s="278"/>
      <c r="AS90" s="278"/>
      <c r="AT90" s="278"/>
      <c r="AU90" s="278"/>
      <c r="AV90" s="278"/>
      <c r="AW90" s="278"/>
      <c r="AX90" s="278"/>
      <c r="AY90" s="278"/>
      <c r="AZ90" s="278"/>
      <c r="BA90" s="278"/>
      <c r="BB90" s="278"/>
      <c r="BC90" s="278"/>
    </row>
    <row r="91" spans="14:55" x14ac:dyDescent="0.15">
      <c r="N91" s="148"/>
      <c r="O91" s="147"/>
      <c r="P91" s="147"/>
      <c r="Q91" s="147"/>
      <c r="R91" s="147"/>
      <c r="S91" s="147"/>
      <c r="T91" s="278"/>
      <c r="U91" s="1223" t="s">
        <v>484</v>
      </c>
      <c r="V91" s="1223"/>
      <c r="W91" s="1223"/>
      <c r="X91" s="1223"/>
      <c r="Y91" s="73"/>
      <c r="Z91" s="73"/>
      <c r="AA91" s="73"/>
      <c r="AB91" s="278"/>
      <c r="AC91" s="278"/>
      <c r="AD91" s="278"/>
      <c r="AE91" s="278"/>
      <c r="AF91" s="278"/>
      <c r="AG91" s="278"/>
      <c r="AH91" s="278"/>
      <c r="AI91" s="278"/>
      <c r="AJ91" s="278"/>
      <c r="AK91" s="1221" t="s">
        <v>485</v>
      </c>
      <c r="AL91" s="1221"/>
      <c r="AM91" s="1221"/>
      <c r="AN91" s="1221"/>
      <c r="AO91" s="73"/>
      <c r="AP91" s="73"/>
      <c r="AQ91" s="73"/>
      <c r="AR91" s="278"/>
      <c r="AS91" s="278"/>
      <c r="AT91" s="278"/>
      <c r="AU91" s="278"/>
      <c r="AV91" s="278"/>
      <c r="AW91" s="278"/>
      <c r="AX91" s="278"/>
      <c r="AY91" s="278"/>
      <c r="AZ91" s="278"/>
      <c r="BA91" s="278"/>
      <c r="BB91" s="278"/>
      <c r="BC91" s="278"/>
    </row>
    <row r="92" spans="14:55" x14ac:dyDescent="0.15">
      <c r="N92" s="148"/>
      <c r="O92" s="147"/>
      <c r="P92" s="147"/>
      <c r="Q92" s="147"/>
      <c r="R92" s="147"/>
      <c r="S92" s="147"/>
      <c r="T92" s="278"/>
      <c r="U92" s="283" t="s">
        <v>475</v>
      </c>
      <c r="V92" s="283" t="s">
        <v>476</v>
      </c>
      <c r="W92" s="283" t="s">
        <v>477</v>
      </c>
      <c r="X92" s="283" t="s">
        <v>478</v>
      </c>
      <c r="Y92" s="278"/>
      <c r="Z92" s="278"/>
      <c r="AA92" s="278"/>
      <c r="AB92" s="278"/>
      <c r="AC92" s="278"/>
      <c r="AD92" s="278"/>
      <c r="AE92" s="278"/>
      <c r="AF92" s="278"/>
      <c r="AG92" s="278"/>
      <c r="AH92" s="278"/>
      <c r="AI92" s="278"/>
      <c r="AJ92" s="278"/>
      <c r="AK92" s="279" t="s">
        <v>475</v>
      </c>
      <c r="AL92" s="279" t="s">
        <v>476</v>
      </c>
      <c r="AM92" s="279" t="s">
        <v>477</v>
      </c>
      <c r="AN92" s="279" t="s">
        <v>478</v>
      </c>
      <c r="AO92" s="278"/>
      <c r="AP92" s="278"/>
      <c r="AQ92" s="278"/>
      <c r="AR92" s="278"/>
      <c r="AS92" s="278"/>
      <c r="AT92" s="278"/>
      <c r="AU92" s="278"/>
      <c r="AV92" s="278"/>
      <c r="AW92" s="278"/>
      <c r="AX92" s="278"/>
      <c r="AY92" s="278"/>
      <c r="AZ92" s="278"/>
      <c r="BA92" s="278"/>
      <c r="BB92" s="278"/>
      <c r="BC92" s="278"/>
    </row>
    <row r="93" spans="14:55" x14ac:dyDescent="0.15">
      <c r="N93" s="148"/>
      <c r="O93" s="147"/>
      <c r="P93" s="147"/>
      <c r="Q93" s="147"/>
      <c r="R93" s="147"/>
      <c r="S93" s="147"/>
      <c r="T93" s="278">
        <v>2012</v>
      </c>
      <c r="U93" s="284" t="s">
        <v>479</v>
      </c>
      <c r="V93" s="284" t="s">
        <v>479</v>
      </c>
      <c r="W93" s="284" t="s">
        <v>479</v>
      </c>
      <c r="X93" s="284">
        <v>5.4</v>
      </c>
      <c r="Y93" s="278"/>
      <c r="Z93" s="278"/>
      <c r="AA93" s="278"/>
      <c r="AB93" s="278"/>
      <c r="AC93" s="278"/>
      <c r="AD93" s="278"/>
      <c r="AE93" s="278"/>
      <c r="AF93" s="278"/>
      <c r="AG93" s="278"/>
      <c r="AH93" s="278"/>
      <c r="AI93" s="278"/>
      <c r="AJ93" s="278">
        <v>2012</v>
      </c>
      <c r="AK93" s="287"/>
      <c r="AL93" s="287"/>
      <c r="AM93" s="287"/>
      <c r="AN93" s="287">
        <f t="shared" ref="AN93:AN103" si="12">X93/AF51</f>
        <v>1.3801564177273425E-4</v>
      </c>
      <c r="AO93" s="278"/>
      <c r="AP93" s="278"/>
      <c r="AQ93" s="278"/>
      <c r="AR93" s="278"/>
      <c r="AS93" s="278"/>
      <c r="AT93" s="278"/>
      <c r="AU93" s="278"/>
      <c r="AV93" s="278"/>
      <c r="AW93" s="278"/>
      <c r="AX93" s="278"/>
      <c r="AY93" s="278"/>
      <c r="AZ93" s="278"/>
      <c r="BA93" s="278"/>
      <c r="BB93" s="278"/>
      <c r="BC93" s="278"/>
    </row>
    <row r="94" spans="14:55" x14ac:dyDescent="0.15">
      <c r="N94" s="147"/>
      <c r="O94" s="147"/>
      <c r="P94" s="147"/>
      <c r="Q94" s="147"/>
      <c r="R94" s="147"/>
      <c r="S94" s="147"/>
      <c r="T94" s="278">
        <v>2013</v>
      </c>
      <c r="U94" s="284" t="s">
        <v>479</v>
      </c>
      <c r="V94" s="284" t="s">
        <v>479</v>
      </c>
      <c r="W94" s="284" t="s">
        <v>479</v>
      </c>
      <c r="X94" s="284">
        <v>8.3000000000000007</v>
      </c>
      <c r="Y94" s="278"/>
      <c r="Z94" s="278"/>
      <c r="AA94" s="278"/>
      <c r="AB94" s="278"/>
      <c r="AC94" s="278"/>
      <c r="AD94" s="278"/>
      <c r="AE94" s="278"/>
      <c r="AF94" s="278"/>
      <c r="AG94" s="278"/>
      <c r="AH94" s="278"/>
      <c r="AI94" s="278"/>
      <c r="AJ94" s="278">
        <v>2013</v>
      </c>
      <c r="AK94" s="287"/>
      <c r="AL94" s="287"/>
      <c r="AM94" s="287"/>
      <c r="AN94" s="287">
        <f t="shared" si="12"/>
        <v>2.0090528405102511E-4</v>
      </c>
      <c r="AO94" s="280"/>
      <c r="AP94" s="278"/>
      <c r="AQ94" s="278"/>
      <c r="AR94" s="278"/>
      <c r="AS94" s="278"/>
      <c r="AT94" s="278"/>
      <c r="AU94" s="278"/>
      <c r="AV94" s="278"/>
      <c r="AW94" s="278"/>
      <c r="AX94" s="278"/>
      <c r="AY94" s="278"/>
      <c r="AZ94" s="278"/>
      <c r="BA94" s="278"/>
      <c r="BB94" s="278"/>
      <c r="BC94" s="278"/>
    </row>
    <row r="95" spans="14:55" x14ac:dyDescent="0.15">
      <c r="N95" s="1224"/>
      <c r="O95" s="1224"/>
      <c r="P95" s="1224"/>
      <c r="Q95" s="1224"/>
      <c r="R95" s="1224"/>
      <c r="S95" s="1224"/>
      <c r="T95" s="278">
        <v>2014</v>
      </c>
      <c r="U95" s="284">
        <v>13.4</v>
      </c>
      <c r="V95" s="284" t="s">
        <v>479</v>
      </c>
      <c r="W95" s="284" t="s">
        <v>479</v>
      </c>
      <c r="X95" s="284">
        <v>8.6</v>
      </c>
      <c r="Y95" s="278"/>
      <c r="Z95" s="278"/>
      <c r="AA95" s="278"/>
      <c r="AB95" s="278"/>
      <c r="AC95" s="278"/>
      <c r="AD95" s="278"/>
      <c r="AE95" s="278"/>
      <c r="AF95" s="278"/>
      <c r="AG95" s="278"/>
      <c r="AH95" s="278"/>
      <c r="AI95" s="278"/>
      <c r="AJ95" s="278">
        <v>2014</v>
      </c>
      <c r="AK95" s="287">
        <f t="shared" ref="AK95:AK103" si="13">U95/AC53</f>
        <v>1.0270245412879195E-4</v>
      </c>
      <c r="AL95" s="287"/>
      <c r="AM95" s="287"/>
      <c r="AN95" s="287">
        <f t="shared" si="12"/>
        <v>1.7731958762886598E-4</v>
      </c>
      <c r="AO95" s="278"/>
      <c r="AP95" s="278"/>
      <c r="AQ95" s="278"/>
      <c r="AR95" s="278"/>
      <c r="AS95" s="278"/>
      <c r="AT95" s="278"/>
      <c r="AU95" s="278"/>
      <c r="AV95" s="278"/>
      <c r="AW95" s="278"/>
      <c r="AX95" s="278"/>
      <c r="AY95" s="278"/>
      <c r="AZ95" s="278"/>
      <c r="BA95" s="278"/>
      <c r="BB95" s="278"/>
      <c r="BC95" s="278"/>
    </row>
    <row r="96" spans="14:55" x14ac:dyDescent="0.15">
      <c r="N96" s="147"/>
      <c r="O96" s="147"/>
      <c r="P96" s="147"/>
      <c r="Q96" s="147"/>
      <c r="R96" s="147"/>
      <c r="S96" s="147"/>
      <c r="T96" s="278">
        <v>2015</v>
      </c>
      <c r="U96" s="284">
        <v>12.9</v>
      </c>
      <c r="V96" s="284" t="s">
        <v>479</v>
      </c>
      <c r="W96" s="284">
        <v>3.4</v>
      </c>
      <c r="X96" s="284">
        <v>9.1999999999999993</v>
      </c>
      <c r="Y96" s="278"/>
      <c r="Z96" s="278"/>
      <c r="AA96" s="278"/>
      <c r="AB96" s="278"/>
      <c r="AC96" s="278"/>
      <c r="AD96" s="278"/>
      <c r="AE96" s="278"/>
      <c r="AF96" s="278"/>
      <c r="AG96" s="278"/>
      <c r="AH96" s="278"/>
      <c r="AI96" s="278"/>
      <c r="AJ96" s="278">
        <v>2015</v>
      </c>
      <c r="AK96" s="287">
        <f t="shared" si="13"/>
        <v>8.2109645018999797E-5</v>
      </c>
      <c r="AL96" s="287"/>
      <c r="AM96" s="287">
        <f t="shared" ref="AM96:AM103" si="14">W96/AE54</f>
        <v>2.2180181355600494E-5</v>
      </c>
      <c r="AN96" s="287">
        <f t="shared" si="12"/>
        <v>1.6946342721361601E-4</v>
      </c>
      <c r="AO96" s="280"/>
      <c r="AP96" s="278"/>
      <c r="AQ96" s="278"/>
      <c r="AR96" s="278"/>
      <c r="AS96" s="278"/>
      <c r="AT96" s="278"/>
      <c r="AU96" s="278"/>
      <c r="AV96" s="278"/>
      <c r="AW96" s="278"/>
      <c r="AX96" s="278"/>
      <c r="AY96" s="278"/>
      <c r="AZ96" s="278"/>
      <c r="BA96" s="278"/>
      <c r="BB96" s="278"/>
      <c r="BC96" s="278"/>
    </row>
    <row r="97" spans="14:55" x14ac:dyDescent="0.15">
      <c r="N97" s="148"/>
      <c r="O97" s="147"/>
      <c r="P97" s="147"/>
      <c r="Q97" s="147"/>
      <c r="R97" s="147"/>
      <c r="S97" s="147"/>
      <c r="T97" s="278">
        <v>2016</v>
      </c>
      <c r="U97" s="284">
        <v>13.5</v>
      </c>
      <c r="V97" s="284" t="s">
        <v>479</v>
      </c>
      <c r="W97" s="284">
        <v>3.4</v>
      </c>
      <c r="X97" s="284">
        <v>8.6999999999999993</v>
      </c>
      <c r="Y97" s="278"/>
      <c r="Z97" s="278"/>
      <c r="AA97" s="278"/>
      <c r="AB97" s="278"/>
      <c r="AC97" s="278"/>
      <c r="AD97" s="278"/>
      <c r="AE97" s="278"/>
      <c r="AF97" s="278"/>
      <c r="AG97" s="278"/>
      <c r="AH97" s="278"/>
      <c r="AI97" s="278"/>
      <c r="AJ97" s="278">
        <v>2016</v>
      </c>
      <c r="AK97" s="287">
        <f t="shared" si="13"/>
        <v>7.3036139363774071E-5</v>
      </c>
      <c r="AL97" s="287"/>
      <c r="AM97" s="287">
        <f t="shared" si="14"/>
        <v>1.9152124195892434E-5</v>
      </c>
      <c r="AN97" s="287">
        <f t="shared" si="12"/>
        <v>1.599882307508413E-4</v>
      </c>
      <c r="AO97" s="280"/>
      <c r="AP97" s="278"/>
      <c r="AQ97" s="278"/>
      <c r="AR97" s="278"/>
      <c r="AS97" s="278"/>
      <c r="AT97" s="278"/>
      <c r="AU97" s="278"/>
      <c r="AV97" s="278"/>
      <c r="AW97" s="278"/>
      <c r="AX97" s="278"/>
      <c r="AY97" s="278"/>
      <c r="AZ97" s="278"/>
      <c r="BA97" s="278"/>
      <c r="BB97" s="278"/>
      <c r="BC97" s="278"/>
    </row>
    <row r="98" spans="14:55" x14ac:dyDescent="0.15">
      <c r="N98" s="148"/>
      <c r="O98" s="147"/>
      <c r="P98" s="147"/>
      <c r="Q98" s="147"/>
      <c r="R98" s="147"/>
      <c r="S98" s="147"/>
      <c r="T98" s="278">
        <v>2017</v>
      </c>
      <c r="U98" s="284">
        <v>15.9</v>
      </c>
      <c r="V98" s="284">
        <v>4</v>
      </c>
      <c r="W98" s="284">
        <v>4.7</v>
      </c>
      <c r="X98" s="284">
        <v>9.1</v>
      </c>
      <c r="Y98" s="278"/>
      <c r="Z98" s="278"/>
      <c r="AA98" s="278"/>
      <c r="AB98" s="278"/>
      <c r="AC98" s="278"/>
      <c r="AD98" s="278"/>
      <c r="AE98" s="278"/>
      <c r="AF98" s="278"/>
      <c r="AG98" s="278"/>
      <c r="AH98" s="278"/>
      <c r="AI98" s="278"/>
      <c r="AJ98" s="278">
        <v>2017</v>
      </c>
      <c r="AK98" s="287">
        <f t="shared" si="13"/>
        <v>7.9041951888804383E-5</v>
      </c>
      <c r="AL98" s="287">
        <f t="shared" ref="AL98:AL103" si="15">V98/AD56</f>
        <v>4.4424700133274104E-5</v>
      </c>
      <c r="AM98" s="287">
        <f t="shared" si="14"/>
        <v>2.5434827313757537E-5</v>
      </c>
      <c r="AN98" s="287">
        <f t="shared" si="12"/>
        <v>1.6924879572972269E-4</v>
      </c>
      <c r="AO98" s="280"/>
      <c r="AP98" s="278"/>
      <c r="AQ98" s="278"/>
      <c r="AR98" s="278"/>
      <c r="AS98" s="278"/>
      <c r="AT98" s="278"/>
      <c r="AU98" s="278"/>
      <c r="AV98" s="278"/>
      <c r="AW98" s="278"/>
      <c r="AX98" s="278"/>
      <c r="AY98" s="278"/>
      <c r="AZ98" s="278"/>
      <c r="BA98" s="278"/>
      <c r="BB98" s="278"/>
      <c r="BC98" s="278"/>
    </row>
    <row r="99" spans="14:55" x14ac:dyDescent="0.15">
      <c r="N99" s="148"/>
      <c r="O99" s="147"/>
      <c r="P99" s="147"/>
      <c r="Q99" s="147"/>
      <c r="R99" s="147"/>
      <c r="S99" s="147"/>
      <c r="T99" s="278">
        <v>2018</v>
      </c>
      <c r="U99" s="284">
        <v>15.5</v>
      </c>
      <c r="V99" s="284">
        <v>4.0999999999999996</v>
      </c>
      <c r="W99" s="284">
        <v>5.0999999999999996</v>
      </c>
      <c r="X99" s="284">
        <v>6.8</v>
      </c>
      <c r="Y99" s="278"/>
      <c r="Z99" s="278"/>
      <c r="AA99" s="278"/>
      <c r="AB99" s="278"/>
      <c r="AC99" s="278"/>
      <c r="AD99" s="278"/>
      <c r="AE99" s="278"/>
      <c r="AF99" s="278"/>
      <c r="AG99" s="278"/>
      <c r="AH99" s="278"/>
      <c r="AI99" s="278"/>
      <c r="AJ99" s="278">
        <v>2018</v>
      </c>
      <c r="AK99" s="287">
        <f t="shared" si="13"/>
        <v>6.8509195702042453E-5</v>
      </c>
      <c r="AL99" s="287">
        <f t="shared" si="15"/>
        <v>4.4514412898322562E-5</v>
      </c>
      <c r="AM99" s="287">
        <f t="shared" si="14"/>
        <v>2.621043380837603E-5</v>
      </c>
      <c r="AN99" s="287">
        <f t="shared" si="12"/>
        <v>1.1948271014900196E-4</v>
      </c>
      <c r="AO99" s="280"/>
      <c r="AP99" s="278"/>
      <c r="AQ99" s="278"/>
      <c r="AR99" s="278"/>
      <c r="AS99" s="278"/>
      <c r="AT99" s="278"/>
      <c r="AU99" s="278"/>
      <c r="AV99" s="278"/>
      <c r="AW99" s="278"/>
      <c r="AX99" s="278"/>
      <c r="AY99" s="278"/>
      <c r="AZ99" s="278"/>
      <c r="BA99" s="278"/>
      <c r="BB99" s="278"/>
      <c r="BC99" s="278"/>
    </row>
    <row r="100" spans="14:55" x14ac:dyDescent="0.15">
      <c r="N100" s="148"/>
      <c r="O100" s="147"/>
      <c r="P100" s="147"/>
      <c r="Q100" s="147"/>
      <c r="R100" s="147"/>
      <c r="S100" s="147"/>
      <c r="T100" s="278">
        <v>2019</v>
      </c>
      <c r="U100" s="284">
        <v>15.4</v>
      </c>
      <c r="V100" s="284">
        <v>4.0999999999999996</v>
      </c>
      <c r="W100" s="284">
        <v>4.4000000000000004</v>
      </c>
      <c r="X100" s="284">
        <v>6.6</v>
      </c>
      <c r="Y100" s="278"/>
      <c r="Z100" s="278"/>
      <c r="AA100" s="278"/>
      <c r="AB100" s="278"/>
      <c r="AC100" s="278"/>
      <c r="AD100" s="278"/>
      <c r="AE100" s="278"/>
      <c r="AF100" s="278"/>
      <c r="AG100" s="278"/>
      <c r="AH100" s="278"/>
      <c r="AI100" s="278"/>
      <c r="AJ100" s="278">
        <v>2019</v>
      </c>
      <c r="AK100" s="287">
        <f t="shared" si="13"/>
        <v>6.3595630897565612E-5</v>
      </c>
      <c r="AL100" s="287">
        <f t="shared" si="15"/>
        <v>3.9342500455797257E-5</v>
      </c>
      <c r="AM100" s="287">
        <f t="shared" si="14"/>
        <v>1.7135557840296601E-5</v>
      </c>
      <c r="AN100" s="287">
        <f t="shared" si="12"/>
        <v>1.0171372210578227E-4</v>
      </c>
      <c r="AO100" s="280"/>
      <c r="AP100" s="278"/>
      <c r="AQ100" s="278"/>
      <c r="AR100" s="278"/>
      <c r="AS100" s="278"/>
      <c r="AT100" s="278"/>
      <c r="AU100" s="278"/>
      <c r="AV100" s="278"/>
      <c r="AW100" s="278"/>
      <c r="AX100" s="278"/>
      <c r="AY100" s="278"/>
      <c r="AZ100" s="278"/>
      <c r="BA100" s="278"/>
      <c r="BB100" s="278"/>
      <c r="BC100" s="278"/>
    </row>
    <row r="101" spans="14:55" x14ac:dyDescent="0.15">
      <c r="N101" s="148"/>
      <c r="O101" s="147"/>
      <c r="P101" s="147"/>
      <c r="Q101" s="147"/>
      <c r="R101" s="147"/>
      <c r="S101" s="147"/>
      <c r="T101" s="278">
        <v>2020</v>
      </c>
      <c r="U101" s="284">
        <v>14.4</v>
      </c>
      <c r="V101" s="284">
        <v>1.8</v>
      </c>
      <c r="W101" s="284">
        <v>4.3</v>
      </c>
      <c r="X101" s="284">
        <v>4.2</v>
      </c>
      <c r="Y101" s="278"/>
      <c r="Z101" s="278"/>
      <c r="AA101" s="278"/>
      <c r="AB101" s="278"/>
      <c r="AC101" s="278"/>
      <c r="AD101" s="278"/>
      <c r="AE101" s="278"/>
      <c r="AF101" s="278"/>
      <c r="AG101" s="278"/>
      <c r="AH101" s="278"/>
      <c r="AI101" s="278"/>
      <c r="AJ101" s="278">
        <v>2020</v>
      </c>
      <c r="AK101" s="287">
        <f t="shared" si="13"/>
        <v>5.6000404447365456E-5</v>
      </c>
      <c r="AL101" s="287">
        <f t="shared" si="15"/>
        <v>1.4770200300327406E-5</v>
      </c>
      <c r="AM101" s="287">
        <f t="shared" si="14"/>
        <v>1.6002619963826634E-5</v>
      </c>
      <c r="AN101" s="287">
        <f t="shared" si="12"/>
        <v>5.4435875834359406E-5</v>
      </c>
      <c r="AO101" s="280"/>
      <c r="AP101" s="278"/>
      <c r="AQ101" s="278"/>
      <c r="AR101" s="278"/>
      <c r="AS101" s="278"/>
      <c r="AT101" s="278"/>
      <c r="AU101" s="278"/>
      <c r="AV101" s="278"/>
      <c r="AW101" s="278"/>
      <c r="AX101" s="278"/>
      <c r="AY101" s="278"/>
      <c r="AZ101" s="278"/>
      <c r="BA101" s="278"/>
      <c r="BB101" s="278"/>
      <c r="BC101" s="278"/>
    </row>
    <row r="102" spans="14:55" x14ac:dyDescent="0.15">
      <c r="N102" s="148"/>
      <c r="O102" s="147"/>
      <c r="P102" s="147"/>
      <c r="Q102" s="147"/>
      <c r="R102" s="147"/>
      <c r="S102" s="147"/>
      <c r="T102" s="278">
        <v>2021</v>
      </c>
      <c r="U102" s="284">
        <v>17.600000000000001</v>
      </c>
      <c r="V102" s="284">
        <v>1.1000000000000001</v>
      </c>
      <c r="W102" s="284">
        <v>5.6</v>
      </c>
      <c r="X102" s="284">
        <v>7.3</v>
      </c>
      <c r="Y102" s="278"/>
      <c r="Z102" s="278"/>
      <c r="AA102" s="278"/>
      <c r="AB102" s="278"/>
      <c r="AC102" s="278"/>
      <c r="AD102" s="278"/>
      <c r="AE102" s="278"/>
      <c r="AF102" s="278"/>
      <c r="AG102" s="278"/>
      <c r="AH102" s="278"/>
      <c r="AI102" s="278"/>
      <c r="AJ102" s="278">
        <v>2021</v>
      </c>
      <c r="AK102" s="287">
        <f t="shared" si="13"/>
        <v>6.1196744055049264E-5</v>
      </c>
      <c r="AL102" s="287">
        <f t="shared" si="15"/>
        <v>7.9342753482064943E-6</v>
      </c>
      <c r="AM102" s="287">
        <f t="shared" si="14"/>
        <v>1.9170794663672371E-5</v>
      </c>
      <c r="AN102" s="287">
        <f t="shared" si="12"/>
        <v>8.7884041221227008E-5</v>
      </c>
      <c r="AO102" s="280"/>
      <c r="AP102" s="278"/>
      <c r="AQ102" s="278"/>
      <c r="AR102" s="278"/>
      <c r="AS102" s="278"/>
      <c r="AT102" s="278"/>
      <c r="AU102" s="278"/>
      <c r="AV102" s="278"/>
      <c r="AW102" s="278"/>
      <c r="AX102" s="278"/>
      <c r="AY102" s="278"/>
      <c r="AZ102" s="278"/>
      <c r="BA102" s="278"/>
      <c r="BB102" s="278"/>
      <c r="BC102" s="278"/>
    </row>
    <row r="103" spans="14:55" x14ac:dyDescent="0.15">
      <c r="N103" s="148"/>
      <c r="O103" s="147"/>
      <c r="P103" s="147"/>
      <c r="Q103" s="147"/>
      <c r="R103" s="147"/>
      <c r="S103" s="147"/>
      <c r="T103" s="278">
        <v>2022</v>
      </c>
      <c r="U103" s="284">
        <v>100</v>
      </c>
      <c r="V103" s="284">
        <v>1.2</v>
      </c>
      <c r="W103" s="284">
        <v>9.6</v>
      </c>
      <c r="X103" s="284">
        <v>8.9</v>
      </c>
      <c r="Y103" s="278"/>
      <c r="Z103" s="278"/>
      <c r="AA103" s="278"/>
      <c r="AB103" s="278"/>
      <c r="AC103" s="278"/>
      <c r="AD103" s="278"/>
      <c r="AE103" s="278"/>
      <c r="AF103" s="278"/>
      <c r="AG103" s="278"/>
      <c r="AH103" s="278"/>
      <c r="AI103" s="278"/>
      <c r="AJ103" s="278">
        <v>2022</v>
      </c>
      <c r="AK103" s="287">
        <f t="shared" si="13"/>
        <v>3.0848773144292053E-4</v>
      </c>
      <c r="AL103" s="287">
        <f t="shared" si="15"/>
        <v>7.6630799195376601E-6</v>
      </c>
      <c r="AM103" s="287">
        <f t="shared" si="14"/>
        <v>2.9770488142972768E-5</v>
      </c>
      <c r="AN103" s="287">
        <f t="shared" si="12"/>
        <v>9.5832884677506192E-5</v>
      </c>
      <c r="AO103" s="278"/>
      <c r="AP103" s="278"/>
      <c r="AQ103" s="278"/>
      <c r="AR103" s="278"/>
      <c r="AS103" s="278"/>
      <c r="AT103" s="278"/>
      <c r="AU103" s="278"/>
      <c r="AV103" s="278"/>
      <c r="AW103" s="278"/>
      <c r="AX103" s="278"/>
      <c r="AY103" s="278"/>
      <c r="AZ103" s="278"/>
      <c r="BA103" s="278"/>
      <c r="BB103" s="278"/>
      <c r="BC103" s="278"/>
    </row>
    <row r="104" spans="14:55" x14ac:dyDescent="0.15">
      <c r="N104" s="148"/>
      <c r="O104" s="147"/>
      <c r="P104" s="147"/>
      <c r="Q104" s="147"/>
      <c r="R104" s="147"/>
      <c r="S104" s="147"/>
      <c r="T104" s="278"/>
      <c r="U104" s="282"/>
      <c r="V104" s="282"/>
      <c r="W104" s="282"/>
      <c r="X104" s="282"/>
      <c r="Y104" s="278"/>
      <c r="Z104" s="278"/>
      <c r="AA104" s="278"/>
      <c r="AB104" s="278"/>
      <c r="AC104" s="278"/>
      <c r="AD104" s="278"/>
      <c r="AE104" s="278"/>
      <c r="AF104" s="278"/>
      <c r="AG104" s="278"/>
      <c r="AH104" s="278"/>
      <c r="AI104" s="278"/>
      <c r="AJ104" s="278"/>
      <c r="AK104" s="278"/>
      <c r="AL104" s="278"/>
      <c r="AM104" s="278"/>
      <c r="AN104" s="278"/>
      <c r="AO104" s="278"/>
      <c r="AP104" s="278"/>
      <c r="AQ104" s="278"/>
      <c r="AR104" s="278"/>
      <c r="AS104" s="278"/>
      <c r="AT104" s="278"/>
      <c r="AU104" s="278"/>
      <c r="AV104" s="278"/>
      <c r="AW104" s="278"/>
      <c r="AX104" s="278"/>
      <c r="AY104" s="278"/>
      <c r="AZ104" s="278"/>
      <c r="BA104" s="278"/>
      <c r="BB104" s="278"/>
      <c r="BC104" s="278"/>
    </row>
    <row r="105" spans="14:55" x14ac:dyDescent="0.15">
      <c r="N105" s="148"/>
      <c r="O105" s="147"/>
      <c r="P105" s="147"/>
      <c r="Q105" s="147"/>
      <c r="R105" s="147"/>
      <c r="S105" s="147"/>
      <c r="T105" s="278"/>
      <c r="U105" s="278"/>
      <c r="V105" s="278"/>
      <c r="W105" s="278"/>
      <c r="X105" s="278"/>
      <c r="Y105" s="278"/>
      <c r="Z105" s="278"/>
      <c r="AA105" s="278"/>
      <c r="AB105" s="278"/>
      <c r="AC105" s="278"/>
      <c r="AD105" s="278"/>
      <c r="AE105" s="278"/>
      <c r="AF105" s="278"/>
      <c r="AG105" s="278"/>
      <c r="AH105" s="278"/>
      <c r="AI105" s="278"/>
      <c r="AJ105" s="278"/>
      <c r="AK105" s="278"/>
      <c r="AL105" s="278"/>
      <c r="AM105" s="278"/>
      <c r="AN105" s="278"/>
      <c r="AO105" s="278"/>
      <c r="AP105" s="278"/>
      <c r="AQ105" s="278"/>
      <c r="AR105" s="278"/>
      <c r="AS105" s="278"/>
      <c r="AT105" s="278"/>
      <c r="AU105" s="278"/>
      <c r="AV105" s="278"/>
      <c r="AW105" s="278"/>
      <c r="AX105" s="278"/>
      <c r="AY105" s="278"/>
      <c r="AZ105" s="278"/>
      <c r="BA105" s="278"/>
      <c r="BB105" s="278"/>
      <c r="BC105" s="278"/>
    </row>
    <row r="106" spans="14:55" x14ac:dyDescent="0.15">
      <c r="T106" s="278"/>
      <c r="U106" s="278"/>
      <c r="V106" s="278"/>
      <c r="W106" s="278"/>
      <c r="X106" s="278"/>
      <c r="Y106" s="278"/>
      <c r="Z106" s="278"/>
      <c r="AA106" s="278"/>
      <c r="AB106" s="278"/>
      <c r="AC106" s="278"/>
      <c r="AD106" s="278"/>
      <c r="AE106" s="278"/>
      <c r="AF106" s="278"/>
      <c r="AG106" s="278"/>
      <c r="AH106" s="278"/>
      <c r="AI106" s="278"/>
      <c r="AJ106" s="278"/>
      <c r="AK106" s="278"/>
      <c r="AL106" s="278"/>
      <c r="AM106" s="278"/>
      <c r="AN106" s="278"/>
      <c r="AO106" s="278"/>
      <c r="AP106" s="278"/>
      <c r="AQ106" s="278"/>
      <c r="AR106" s="278"/>
      <c r="AS106" s="278"/>
      <c r="AT106" s="278"/>
      <c r="AU106" s="278"/>
      <c r="AV106" s="278"/>
      <c r="AW106" s="278"/>
      <c r="AX106" s="278"/>
      <c r="AY106" s="278"/>
      <c r="AZ106" s="278"/>
      <c r="BA106" s="278"/>
      <c r="BB106" s="278"/>
      <c r="BC106" s="278"/>
    </row>
    <row r="107" spans="14:55" x14ac:dyDescent="0.15">
      <c r="T107" s="278"/>
      <c r="U107" s="278"/>
      <c r="V107" s="278"/>
      <c r="W107" s="278"/>
      <c r="X107" s="278"/>
      <c r="Y107" s="278"/>
      <c r="Z107" s="278"/>
      <c r="AA107" s="278"/>
      <c r="AB107" s="278"/>
      <c r="AC107" s="278"/>
      <c r="AD107" s="278"/>
      <c r="AE107" s="278"/>
      <c r="AF107" s="278"/>
      <c r="AG107" s="278"/>
      <c r="AH107" s="278"/>
      <c r="AI107" s="278"/>
      <c r="AJ107" s="278"/>
      <c r="AK107" s="278"/>
      <c r="AL107" s="278"/>
      <c r="AM107" s="278"/>
      <c r="AN107" s="278"/>
      <c r="AO107" s="278"/>
      <c r="AP107" s="278"/>
      <c r="AQ107" s="278"/>
      <c r="AR107" s="278"/>
      <c r="AS107" s="278"/>
      <c r="AT107" s="278"/>
      <c r="AU107" s="278"/>
      <c r="AV107" s="278"/>
      <c r="AW107" s="278"/>
      <c r="AX107" s="278"/>
      <c r="AY107" s="278"/>
      <c r="AZ107" s="278"/>
      <c r="BA107" s="278"/>
      <c r="BB107" s="278"/>
      <c r="BC107" s="278"/>
    </row>
    <row r="108" spans="14:55" x14ac:dyDescent="0.15">
      <c r="T108" s="278"/>
      <c r="U108" s="278"/>
      <c r="V108" s="278"/>
      <c r="W108" s="278"/>
      <c r="X108" s="278"/>
      <c r="Y108" s="278"/>
      <c r="Z108" s="278"/>
      <c r="AA108" s="278"/>
      <c r="AB108" s="278"/>
      <c r="AC108" s="278"/>
      <c r="AD108" s="278"/>
      <c r="AE108" s="278"/>
      <c r="AF108" s="278"/>
      <c r="AG108" s="278"/>
      <c r="AH108" s="278"/>
      <c r="AI108" s="278"/>
      <c r="AJ108" s="278"/>
      <c r="AK108" s="278"/>
      <c r="AL108" s="278"/>
      <c r="AM108" s="278"/>
      <c r="AN108" s="278"/>
      <c r="AO108" s="278"/>
      <c r="AP108" s="278"/>
      <c r="AQ108" s="278"/>
      <c r="AR108" s="278"/>
      <c r="AS108" s="278"/>
      <c r="AT108" s="278"/>
      <c r="AU108" s="278"/>
      <c r="AV108" s="278"/>
      <c r="AW108" s="278"/>
      <c r="AX108" s="278"/>
      <c r="AY108" s="278"/>
      <c r="AZ108" s="278"/>
      <c r="BA108" s="278"/>
      <c r="BB108" s="278"/>
      <c r="BC108" s="278"/>
    </row>
    <row r="109" spans="14:55" x14ac:dyDescent="0.15">
      <c r="T109" s="278"/>
      <c r="U109" s="278"/>
      <c r="V109" s="278"/>
      <c r="W109" s="278"/>
      <c r="X109" s="278"/>
      <c r="Y109" s="278"/>
      <c r="Z109" s="278"/>
      <c r="AA109" s="278"/>
      <c r="AB109" s="278"/>
      <c r="AC109" s="278"/>
      <c r="AD109" s="278"/>
      <c r="AE109" s="278"/>
      <c r="AF109" s="278"/>
      <c r="AG109" s="278"/>
      <c r="AH109" s="278"/>
      <c r="AI109" s="278"/>
      <c r="AJ109" s="278"/>
      <c r="AK109" s="278"/>
      <c r="AL109" s="278"/>
      <c r="AM109" s="278"/>
      <c r="AN109" s="278"/>
      <c r="AO109" s="278"/>
      <c r="AP109" s="278"/>
      <c r="AQ109" s="278"/>
      <c r="AR109" s="278"/>
      <c r="AS109" s="278"/>
      <c r="AT109" s="278"/>
      <c r="AU109" s="278"/>
      <c r="AV109" s="278"/>
      <c r="AW109" s="278"/>
      <c r="AX109" s="278"/>
      <c r="AY109" s="278"/>
      <c r="AZ109" s="278"/>
      <c r="BA109" s="278"/>
      <c r="BB109" s="278"/>
      <c r="BC109" s="278"/>
    </row>
    <row r="110" spans="14:55" x14ac:dyDescent="0.15">
      <c r="T110" s="278"/>
      <c r="U110" s="278"/>
      <c r="V110" s="278"/>
      <c r="W110" s="278"/>
      <c r="X110" s="278"/>
      <c r="Y110" s="278"/>
      <c r="Z110" s="278"/>
      <c r="AA110" s="278"/>
      <c r="AB110" s="278"/>
      <c r="AC110" s="278"/>
      <c r="AD110" s="278"/>
      <c r="AE110" s="278"/>
      <c r="AF110" s="278"/>
      <c r="AG110" s="278"/>
      <c r="AH110" s="278"/>
      <c r="AI110" s="278"/>
      <c r="AJ110" s="278"/>
      <c r="AK110" s="278"/>
      <c r="AL110" s="278"/>
      <c r="AM110" s="278"/>
      <c r="AN110" s="278"/>
      <c r="AO110" s="278"/>
      <c r="AP110" s="278"/>
      <c r="AQ110" s="278"/>
      <c r="AR110" s="278"/>
      <c r="AS110" s="278"/>
      <c r="AT110" s="278"/>
      <c r="AU110" s="278"/>
      <c r="AV110" s="278"/>
      <c r="AW110" s="278"/>
      <c r="AX110" s="278"/>
      <c r="AY110" s="278"/>
      <c r="AZ110" s="278"/>
      <c r="BA110" s="278"/>
      <c r="BB110" s="278"/>
      <c r="BC110" s="278"/>
    </row>
    <row r="111" spans="14:55" x14ac:dyDescent="0.15">
      <c r="T111" s="278"/>
      <c r="U111" s="278"/>
      <c r="V111" s="278"/>
      <c r="W111" s="278"/>
      <c r="X111" s="278"/>
      <c r="Y111" s="278"/>
      <c r="Z111" s="278"/>
      <c r="AA111" s="278"/>
      <c r="AB111" s="278"/>
      <c r="AC111" s="278"/>
      <c r="AD111" s="278"/>
      <c r="AE111" s="278"/>
      <c r="AF111" s="278"/>
      <c r="AG111" s="278"/>
      <c r="AH111" s="278"/>
      <c r="AI111" s="278"/>
      <c r="AJ111" s="278"/>
      <c r="AK111" s="278"/>
      <c r="AL111" s="278"/>
      <c r="AM111" s="278"/>
      <c r="AN111" s="278"/>
      <c r="AO111" s="278"/>
      <c r="AP111" s="278"/>
      <c r="AQ111" s="278"/>
      <c r="AR111" s="278"/>
      <c r="AS111" s="278"/>
      <c r="AT111" s="278"/>
      <c r="AU111" s="278"/>
      <c r="AV111" s="278"/>
      <c r="AW111" s="278"/>
      <c r="AX111" s="278"/>
      <c r="AY111" s="278"/>
      <c r="AZ111" s="278"/>
      <c r="BA111" s="278"/>
      <c r="BB111" s="278"/>
      <c r="BC111" s="278"/>
    </row>
    <row r="112" spans="14:55" x14ac:dyDescent="0.15">
      <c r="T112" s="278"/>
      <c r="U112" s="278"/>
      <c r="V112" s="278"/>
      <c r="W112" s="278"/>
      <c r="X112" s="278"/>
      <c r="Y112" s="278"/>
      <c r="Z112" s="278"/>
      <c r="AA112" s="278"/>
      <c r="AB112" s="278"/>
      <c r="AC112" s="278"/>
      <c r="AD112" s="278"/>
      <c r="AE112" s="278"/>
      <c r="AF112" s="278"/>
      <c r="AG112" s="278"/>
      <c r="AH112" s="278"/>
      <c r="AI112" s="278"/>
      <c r="AJ112" s="278"/>
      <c r="AK112" s="278"/>
      <c r="AL112" s="278"/>
      <c r="AM112" s="278"/>
      <c r="AN112" s="278"/>
      <c r="AO112" s="278"/>
      <c r="AP112" s="278"/>
      <c r="AQ112" s="278"/>
      <c r="AR112" s="278"/>
      <c r="AS112" s="278"/>
      <c r="AT112" s="278"/>
      <c r="AU112" s="278"/>
      <c r="AV112" s="278"/>
      <c r="AW112" s="278"/>
      <c r="AX112" s="278"/>
      <c r="AY112" s="278"/>
      <c r="AZ112" s="278"/>
      <c r="BA112" s="278"/>
      <c r="BB112" s="278"/>
      <c r="BC112" s="278"/>
    </row>
    <row r="113" spans="20:55" x14ac:dyDescent="0.15">
      <c r="T113" s="278"/>
      <c r="U113" s="278"/>
      <c r="V113" s="278"/>
      <c r="W113" s="278"/>
      <c r="X113" s="278"/>
      <c r="Y113" s="278"/>
      <c r="Z113" s="278"/>
      <c r="AA113" s="278"/>
      <c r="AB113" s="278"/>
      <c r="AC113" s="278"/>
      <c r="AD113" s="278"/>
      <c r="AE113" s="278"/>
      <c r="AF113" s="278"/>
      <c r="AG113" s="278"/>
      <c r="AH113" s="278"/>
      <c r="AI113" s="278"/>
      <c r="AJ113" s="278"/>
      <c r="AK113" s="278"/>
      <c r="AL113" s="278"/>
      <c r="AM113" s="278"/>
      <c r="AN113" s="278"/>
      <c r="AO113" s="278"/>
      <c r="AP113" s="278"/>
      <c r="AQ113" s="278"/>
      <c r="AR113" s="278"/>
      <c r="AS113" s="278"/>
      <c r="AT113" s="278"/>
      <c r="AU113" s="278"/>
      <c r="AV113" s="278"/>
      <c r="AW113" s="278"/>
      <c r="AX113" s="278"/>
      <c r="AY113" s="278"/>
      <c r="AZ113" s="278"/>
      <c r="BA113" s="278"/>
      <c r="BB113" s="278"/>
      <c r="BC113" s="278"/>
    </row>
    <row r="114" spans="20:55" x14ac:dyDescent="0.15">
      <c r="T114" s="278"/>
      <c r="U114" s="278"/>
      <c r="V114" s="278"/>
      <c r="W114" s="278"/>
      <c r="X114" s="278"/>
      <c r="Y114" s="278"/>
      <c r="Z114" s="278"/>
      <c r="AA114" s="278"/>
      <c r="AB114" s="278"/>
      <c r="AC114" s="278"/>
      <c r="AD114" s="278"/>
      <c r="AE114" s="278"/>
      <c r="AF114" s="278"/>
      <c r="AG114" s="278"/>
      <c r="AH114" s="278"/>
      <c r="AI114" s="278"/>
      <c r="AJ114" s="278"/>
      <c r="AK114" s="278"/>
      <c r="AL114" s="278"/>
      <c r="AM114" s="278"/>
      <c r="AN114" s="278"/>
      <c r="AO114" s="278"/>
      <c r="AP114" s="278"/>
      <c r="AQ114" s="278"/>
      <c r="AR114" s="278"/>
      <c r="AS114" s="278"/>
      <c r="AT114" s="278"/>
      <c r="AU114" s="278"/>
      <c r="AV114" s="278"/>
      <c r="AW114" s="278"/>
      <c r="AX114" s="278"/>
      <c r="AY114" s="278"/>
      <c r="AZ114" s="278"/>
      <c r="BA114" s="278"/>
      <c r="BB114" s="278"/>
      <c r="BC114" s="278"/>
    </row>
    <row r="115" spans="20:55" x14ac:dyDescent="0.15">
      <c r="T115" s="278"/>
      <c r="U115" s="278"/>
      <c r="V115" s="278"/>
      <c r="W115" s="278"/>
      <c r="X115" s="278"/>
      <c r="Y115" s="278"/>
      <c r="Z115" s="278"/>
      <c r="AA115" s="278"/>
      <c r="AB115" s="278"/>
      <c r="AC115" s="278"/>
      <c r="AD115" s="278"/>
      <c r="AE115" s="278"/>
      <c r="AF115" s="278"/>
      <c r="AG115" s="278"/>
      <c r="AH115" s="278"/>
      <c r="AI115" s="278"/>
      <c r="AJ115" s="278"/>
      <c r="AK115" s="278"/>
      <c r="AL115" s="278"/>
      <c r="AM115" s="278"/>
      <c r="AN115" s="278"/>
      <c r="AO115" s="278"/>
      <c r="AP115" s="278"/>
      <c r="AQ115" s="278"/>
      <c r="AR115" s="278"/>
      <c r="AS115" s="278"/>
      <c r="AT115" s="278"/>
      <c r="AU115" s="278"/>
      <c r="AV115" s="278"/>
      <c r="AW115" s="278"/>
      <c r="AX115" s="278"/>
      <c r="AY115" s="278"/>
      <c r="AZ115" s="278"/>
      <c r="BA115" s="278"/>
      <c r="BB115" s="278"/>
      <c r="BC115" s="278"/>
    </row>
    <row r="116" spans="20:55" x14ac:dyDescent="0.15">
      <c r="T116" s="278"/>
      <c r="U116" s="278"/>
      <c r="V116" s="278"/>
      <c r="W116" s="278"/>
      <c r="X116" s="278"/>
      <c r="Y116" s="278"/>
      <c r="Z116" s="278"/>
      <c r="AA116" s="278"/>
      <c r="AB116" s="278"/>
      <c r="AC116" s="278"/>
      <c r="AD116" s="278"/>
      <c r="AE116" s="278"/>
      <c r="AF116" s="278"/>
      <c r="AG116" s="278"/>
      <c r="AH116" s="278"/>
      <c r="AI116" s="278"/>
      <c r="AJ116" s="278"/>
      <c r="AK116" s="278"/>
      <c r="AL116" s="278"/>
      <c r="AM116" s="278"/>
      <c r="AN116" s="278"/>
      <c r="AO116" s="278"/>
      <c r="AP116" s="278"/>
      <c r="AQ116" s="278"/>
      <c r="AR116" s="278"/>
      <c r="AS116" s="278"/>
      <c r="AT116" s="278"/>
      <c r="AU116" s="278"/>
      <c r="AV116" s="278"/>
      <c r="AW116" s="278"/>
      <c r="AX116" s="278"/>
      <c r="AY116" s="278"/>
      <c r="AZ116" s="278"/>
      <c r="BA116" s="278"/>
      <c r="BB116" s="278"/>
      <c r="BC116" s="278"/>
    </row>
  </sheetData>
  <mergeCells count="18">
    <mergeCell ref="N95:S95"/>
    <mergeCell ref="B3:J3"/>
    <mergeCell ref="K3:Q3"/>
    <mergeCell ref="N56:S56"/>
    <mergeCell ref="N68:S68"/>
    <mergeCell ref="N82:S82"/>
    <mergeCell ref="K23:M23"/>
    <mergeCell ref="M25:M28"/>
    <mergeCell ref="U48:X48"/>
    <mergeCell ref="U63:X63"/>
    <mergeCell ref="U76:X76"/>
    <mergeCell ref="U91:X91"/>
    <mergeCell ref="AK91:AN91"/>
    <mergeCell ref="AC47:AF47"/>
    <mergeCell ref="AC48:AF48"/>
    <mergeCell ref="AK48:AN48"/>
    <mergeCell ref="AK63:AN63"/>
    <mergeCell ref="AK76:AN76"/>
  </mergeCells>
  <conditionalFormatting sqref="C10:G10">
    <cfRule type="expression" dxfId="29" priority="18">
      <formula>$C$10="Low"</formula>
    </cfRule>
  </conditionalFormatting>
  <conditionalFormatting sqref="D6:F6 H6:J6">
    <cfRule type="expression" dxfId="28" priority="35">
      <formula>$C$6="Low"</formula>
    </cfRule>
  </conditionalFormatting>
  <conditionalFormatting sqref="D7:G7 J7">
    <cfRule type="expression" dxfId="27" priority="34">
      <formula>$C$7="Low"</formula>
    </cfRule>
  </conditionalFormatting>
  <conditionalFormatting sqref="D8:G8 J8">
    <cfRule type="expression" dxfId="26" priority="33">
      <formula>$C$8="Low"</formula>
    </cfRule>
  </conditionalFormatting>
  <conditionalFormatting sqref="D9:G9 J9:J10">
    <cfRule type="expression" dxfId="25" priority="32">
      <formula>$C$9="Low"</formula>
    </cfRule>
  </conditionalFormatting>
  <conditionalFormatting sqref="D12:G12 J12">
    <cfRule type="expression" dxfId="24" priority="30">
      <formula>$C$12="Low"</formula>
    </cfRule>
  </conditionalFormatting>
  <conditionalFormatting sqref="D13:G13 J13">
    <cfRule type="expression" dxfId="23" priority="29">
      <formula>$C$13="Low"</formula>
    </cfRule>
  </conditionalFormatting>
  <conditionalFormatting sqref="D14:G14 J14">
    <cfRule type="expression" dxfId="22" priority="28">
      <formula>$C$14="Low"</formula>
    </cfRule>
  </conditionalFormatting>
  <conditionalFormatting sqref="D16:G16 I16:J16">
    <cfRule type="expression" dxfId="21" priority="26">
      <formula>$C$16="Low"</formula>
    </cfRule>
  </conditionalFormatting>
  <conditionalFormatting sqref="D17:G17 J17">
    <cfRule type="expression" dxfId="20" priority="25">
      <formula>$C$17="Low"</formula>
    </cfRule>
  </conditionalFormatting>
  <conditionalFormatting sqref="D19:G19 J20">
    <cfRule type="expression" dxfId="19" priority="23">
      <formula>$C$19="Low"</formula>
    </cfRule>
  </conditionalFormatting>
  <conditionalFormatting sqref="D21:G21 J21">
    <cfRule type="expression" dxfId="18" priority="21">
      <formula>$C$21="Low"</formula>
    </cfRule>
  </conditionalFormatting>
  <conditionalFormatting sqref="D15:J15">
    <cfRule type="expression" dxfId="17" priority="27">
      <formula>$C$15="Low"</formula>
    </cfRule>
  </conditionalFormatting>
  <conditionalFormatting sqref="D18:J18">
    <cfRule type="expression" dxfId="16" priority="24">
      <formula>$C$18="Low"</formula>
    </cfRule>
  </conditionalFormatting>
  <conditionalFormatting sqref="D20:J20">
    <cfRule type="expression" dxfId="15" priority="22">
      <formula>$C$20="Low"</formula>
    </cfRule>
  </conditionalFormatting>
  <conditionalFormatting sqref="D22:J22">
    <cfRule type="expression" dxfId="14" priority="20">
      <formula>$C$22="Low"</formula>
    </cfRule>
  </conditionalFormatting>
  <conditionalFormatting sqref="G6">
    <cfRule type="expression" dxfId="13" priority="16">
      <formula>$C$7="Low"</formula>
    </cfRule>
  </conditionalFormatting>
  <conditionalFormatting sqref="H16:H17">
    <cfRule type="expression" dxfId="12" priority="5">
      <formula>$C$6="Low"</formula>
    </cfRule>
  </conditionalFormatting>
  <conditionalFormatting sqref="H19">
    <cfRule type="expression" dxfId="11" priority="4">
      <formula>$C$6="Low"</formula>
    </cfRule>
  </conditionalFormatting>
  <conditionalFormatting sqref="H21">
    <cfRule type="expression" dxfId="10" priority="3">
      <formula>$C$6="Low"</formula>
    </cfRule>
  </conditionalFormatting>
  <conditionalFormatting sqref="H24:H34">
    <cfRule type="expression" dxfId="9" priority="2">
      <formula>$C$6="Low"</formula>
    </cfRule>
  </conditionalFormatting>
  <conditionalFormatting sqref="H7:I10">
    <cfRule type="expression" dxfId="8" priority="13">
      <formula>$C$6="Low"</formula>
    </cfRule>
  </conditionalFormatting>
  <conditionalFormatting sqref="H12:I14">
    <cfRule type="expression" dxfId="7" priority="6">
      <formula>$C$6="Low"</formula>
    </cfRule>
  </conditionalFormatting>
  <conditionalFormatting sqref="I17">
    <cfRule type="expression" dxfId="6" priority="10">
      <formula>$C$16="Low"</formula>
    </cfRule>
  </conditionalFormatting>
  <conditionalFormatting sqref="I19">
    <cfRule type="expression" dxfId="5" priority="9">
      <formula>$C$16="Low"</formula>
    </cfRule>
  </conditionalFormatting>
  <conditionalFormatting sqref="I21">
    <cfRule type="expression" dxfId="4" priority="8">
      <formula>$C$16="Low"</formula>
    </cfRule>
  </conditionalFormatting>
  <conditionalFormatting sqref="I25:I34">
    <cfRule type="expression" dxfId="3" priority="7">
      <formula>$C$16="Low"</formula>
    </cfRule>
  </conditionalFormatting>
  <conditionalFormatting sqref="J19">
    <cfRule type="expression" dxfId="2" priority="1">
      <formula>$C$17="Low"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6:E10 E24:E34 E12:E22" xr:uid="{21B53BAA-5CFE-4F77-8669-06D93A31F2C2}">
      <formula1>$L$25:$L$28</formula1>
    </dataValidation>
  </dataValidations>
  <pageMargins left="0.7" right="0.7" top="0.75" bottom="0.75" header="0.3" footer="0.3"/>
  <pageSetup paperSize="9" orientation="portrait" horizontalDpi="4294967293" verticalDpi="0" r:id="rId1"/>
  <ignoredErrors>
    <ignoredError sqref="AL57" evalError="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6915-C4A6-C941-B979-FCD1872A6777}">
  <sheetPr>
    <tabColor rgb="FF0070C0"/>
  </sheetPr>
  <dimension ref="A1:AN89"/>
  <sheetViews>
    <sheetView showGridLines="0" tabSelected="1" zoomScaleNormal="100" workbookViewId="0">
      <selection activeCell="E69" sqref="E69"/>
    </sheetView>
  </sheetViews>
  <sheetFormatPr defaultColWidth="11.4609375" defaultRowHeight="12.75" outlineLevelRow="1" outlineLevelCol="1" x14ac:dyDescent="0.15"/>
  <cols>
    <col min="1" max="1" width="24.40625" style="188" bestFit="1" customWidth="1"/>
    <col min="2" max="2" width="11.4609375" style="188" customWidth="1" outlineLevel="1"/>
    <col min="3" max="3" width="32.09375" style="188" customWidth="1" outlineLevel="1"/>
    <col min="4" max="4" width="19.95703125" style="188" customWidth="1" outlineLevel="1"/>
    <col min="5" max="5" width="24.00390625" style="188" customWidth="1"/>
    <col min="6" max="6" width="27.23828125" style="188" customWidth="1"/>
    <col min="7" max="7" width="14.15625" style="294" customWidth="1"/>
    <col min="8" max="8" width="12.40625" style="294" customWidth="1"/>
    <col min="9" max="11" width="11.19140625" style="294" customWidth="1"/>
    <col min="12" max="12" width="19.01171875" style="294" customWidth="1"/>
    <col min="13" max="14" width="24.2734375" style="294" bestFit="1" customWidth="1"/>
    <col min="15" max="15" width="23.19140625" style="294" bestFit="1" customWidth="1"/>
    <col min="16" max="25" width="24.2734375" style="294" bestFit="1" customWidth="1"/>
    <col min="26" max="28" width="23.19140625" style="294" bestFit="1" customWidth="1"/>
    <col min="29" max="30" width="24.2734375" style="294" bestFit="1" customWidth="1"/>
    <col min="31" max="32" width="23.19140625" style="294" bestFit="1" customWidth="1"/>
    <col min="33" max="33" width="14.42578125" style="188" customWidth="1"/>
    <col min="34" max="16384" width="11.4609375" style="188"/>
  </cols>
  <sheetData>
    <row r="1" spans="1:36" ht="21" customHeight="1" x14ac:dyDescent="0.15">
      <c r="A1" s="1237" t="s">
        <v>486</v>
      </c>
      <c r="B1" s="1237"/>
      <c r="C1" s="1237"/>
      <c r="D1" s="1237"/>
      <c r="E1" s="1237"/>
      <c r="F1" s="1237"/>
      <c r="G1" s="1237"/>
      <c r="H1" s="1237"/>
      <c r="I1" s="1237"/>
      <c r="J1" s="1237"/>
      <c r="K1" s="1237"/>
      <c r="L1" s="1237"/>
      <c r="M1" s="1237"/>
      <c r="N1" s="1237"/>
      <c r="O1" s="1237"/>
      <c r="P1" s="1237"/>
      <c r="Q1" s="1237"/>
      <c r="R1" s="1237"/>
      <c r="S1" s="1237"/>
      <c r="T1" s="1237"/>
      <c r="U1" s="1237"/>
      <c r="V1" s="1237"/>
      <c r="W1" s="1237"/>
      <c r="X1" s="1237"/>
      <c r="Y1" s="1237"/>
      <c r="Z1" s="1237"/>
      <c r="AA1" s="1237"/>
      <c r="AB1" s="1237"/>
      <c r="AC1" s="1237"/>
      <c r="AD1" s="1237"/>
      <c r="AE1" s="1237"/>
      <c r="AF1" s="1237"/>
    </row>
    <row r="2" spans="1:36" ht="3.75" customHeight="1" thickBot="1" x14ac:dyDescent="0.25">
      <c r="A2" s="1238"/>
      <c r="B2" s="1238"/>
      <c r="C2" s="1238"/>
      <c r="D2" s="1238"/>
      <c r="E2" s="1238"/>
      <c r="F2" s="1238"/>
      <c r="G2" s="1238"/>
      <c r="H2" s="1238"/>
      <c r="I2" s="1238"/>
      <c r="J2" s="1238"/>
      <c r="K2" s="1238"/>
      <c r="L2" s="1238"/>
      <c r="M2" s="1238"/>
      <c r="N2" s="1238"/>
      <c r="O2" s="1238"/>
      <c r="P2" s="1238"/>
      <c r="Q2" s="1238"/>
      <c r="R2" s="1238"/>
      <c r="S2" s="1238"/>
      <c r="T2" s="1238"/>
      <c r="U2" s="1238"/>
      <c r="V2" s="1238"/>
      <c r="W2" s="1238"/>
      <c r="X2" s="1238"/>
      <c r="Y2" s="1238"/>
      <c r="Z2" s="1238"/>
      <c r="AA2" s="1238"/>
      <c r="AB2" s="1238"/>
      <c r="AC2" s="1238"/>
      <c r="AD2" s="1238"/>
      <c r="AE2" s="1238"/>
      <c r="AF2" s="1238"/>
      <c r="AG2" s="325"/>
    </row>
    <row r="3" spans="1:36" ht="19.5" thickBot="1" x14ac:dyDescent="0.3">
      <c r="A3" s="326"/>
      <c r="B3" s="326"/>
      <c r="C3" s="326"/>
      <c r="D3" s="326"/>
      <c r="E3" s="326"/>
      <c r="F3" s="326"/>
      <c r="G3" s="1239" t="s">
        <v>487</v>
      </c>
      <c r="H3" s="1240"/>
      <c r="I3" s="1240"/>
      <c r="J3" s="1240"/>
      <c r="K3" s="1241" t="s">
        <v>488</v>
      </c>
      <c r="L3" s="1242"/>
      <c r="M3" s="1242"/>
      <c r="N3" s="1242"/>
      <c r="O3" s="1242"/>
      <c r="P3" s="1242"/>
      <c r="Q3" s="1242"/>
      <c r="R3" s="1242"/>
      <c r="S3" s="1242"/>
      <c r="T3" s="1242"/>
      <c r="U3" s="1242"/>
      <c r="V3" s="1242"/>
      <c r="W3" s="1242"/>
      <c r="X3" s="1242"/>
      <c r="Y3" s="1242"/>
      <c r="Z3" s="1242"/>
      <c r="AA3" s="1242"/>
      <c r="AB3" s="1242"/>
      <c r="AC3" s="1242"/>
      <c r="AD3" s="1242"/>
      <c r="AE3" s="1242"/>
      <c r="AF3" s="1243"/>
      <c r="AG3" s="325"/>
    </row>
    <row r="4" spans="1:36" ht="15.75" thickBot="1" x14ac:dyDescent="0.25">
      <c r="A4" s="327" t="s">
        <v>489</v>
      </c>
      <c r="B4" s="328" t="s">
        <v>490</v>
      </c>
      <c r="C4" s="329" t="s">
        <v>491</v>
      </c>
      <c r="D4" s="330" t="s">
        <v>492</v>
      </c>
      <c r="E4" s="330" t="s">
        <v>493</v>
      </c>
      <c r="F4" s="331" t="s">
        <v>494</v>
      </c>
      <c r="G4" s="330">
        <v>2023</v>
      </c>
      <c r="H4" s="330">
        <f>G4+1</f>
        <v>2024</v>
      </c>
      <c r="I4" s="330">
        <f t="shared" ref="I4:AF4" si="0">H4+1</f>
        <v>2025</v>
      </c>
      <c r="J4" s="331">
        <f t="shared" si="0"/>
        <v>2026</v>
      </c>
      <c r="K4" s="332">
        <f t="shared" si="0"/>
        <v>2027</v>
      </c>
      <c r="L4" s="332">
        <f t="shared" si="0"/>
        <v>2028</v>
      </c>
      <c r="M4" s="332">
        <f t="shared" si="0"/>
        <v>2029</v>
      </c>
      <c r="N4" s="332">
        <f t="shared" si="0"/>
        <v>2030</v>
      </c>
      <c r="O4" s="332">
        <f t="shared" si="0"/>
        <v>2031</v>
      </c>
      <c r="P4" s="332">
        <f t="shared" si="0"/>
        <v>2032</v>
      </c>
      <c r="Q4" s="332">
        <f t="shared" si="0"/>
        <v>2033</v>
      </c>
      <c r="R4" s="332">
        <f t="shared" si="0"/>
        <v>2034</v>
      </c>
      <c r="S4" s="332">
        <f t="shared" si="0"/>
        <v>2035</v>
      </c>
      <c r="T4" s="332">
        <f t="shared" si="0"/>
        <v>2036</v>
      </c>
      <c r="U4" s="332">
        <f t="shared" si="0"/>
        <v>2037</v>
      </c>
      <c r="V4" s="332">
        <f t="shared" si="0"/>
        <v>2038</v>
      </c>
      <c r="W4" s="332">
        <f t="shared" si="0"/>
        <v>2039</v>
      </c>
      <c r="X4" s="332">
        <f t="shared" si="0"/>
        <v>2040</v>
      </c>
      <c r="Y4" s="332">
        <f t="shared" si="0"/>
        <v>2041</v>
      </c>
      <c r="Z4" s="332">
        <f t="shared" si="0"/>
        <v>2042</v>
      </c>
      <c r="AA4" s="332">
        <f t="shared" si="0"/>
        <v>2043</v>
      </c>
      <c r="AB4" s="332">
        <f t="shared" si="0"/>
        <v>2044</v>
      </c>
      <c r="AC4" s="332">
        <f t="shared" si="0"/>
        <v>2045</v>
      </c>
      <c r="AD4" s="332">
        <f t="shared" si="0"/>
        <v>2046</v>
      </c>
      <c r="AE4" s="332">
        <f t="shared" si="0"/>
        <v>2047</v>
      </c>
      <c r="AF4" s="333">
        <f t="shared" si="0"/>
        <v>2048</v>
      </c>
      <c r="AG4" s="325"/>
    </row>
    <row r="5" spans="1:36" x14ac:dyDescent="0.15">
      <c r="A5" s="994" t="s">
        <v>495</v>
      </c>
      <c r="B5" s="334">
        <v>1</v>
      </c>
      <c r="C5" s="335" t="s">
        <v>496</v>
      </c>
      <c r="D5" s="102">
        <f>'Fin. Data'!D6</f>
        <v>6.1885982118890848E-2</v>
      </c>
      <c r="E5" s="336">
        <f t="shared" ref="E5:AF5" si="1">+E6/D6-1</f>
        <v>0.11844085540617799</v>
      </c>
      <c r="F5" s="337">
        <f t="shared" si="1"/>
        <v>0.12713971286209524</v>
      </c>
      <c r="G5" s="113">
        <f>+G6/F6-1</f>
        <v>0.14809822341915457</v>
      </c>
      <c r="H5" s="114">
        <f>+H6/G6-1</f>
        <v>8.7109582604655955E-2</v>
      </c>
      <c r="I5" s="114">
        <f>+I6/H6-1</f>
        <v>9.5035682149007705E-2</v>
      </c>
      <c r="J5" s="115">
        <f>+J6/I6-1</f>
        <v>0.11791771238873716</v>
      </c>
      <c r="K5" s="113">
        <f t="shared" si="1"/>
        <v>0.11791771238873761</v>
      </c>
      <c r="L5" s="114">
        <f t="shared" si="1"/>
        <v>9.3633333333333235E-2</v>
      </c>
      <c r="M5" s="114">
        <f t="shared" si="1"/>
        <v>9.3633333333333235E-2</v>
      </c>
      <c r="N5" s="114">
        <f t="shared" si="1"/>
        <v>9.3633333333333235E-2</v>
      </c>
      <c r="O5" s="114">
        <f t="shared" si="1"/>
        <v>9.3633333333333235E-2</v>
      </c>
      <c r="P5" s="114">
        <f t="shared" si="1"/>
        <v>9.3633333333333235E-2</v>
      </c>
      <c r="Q5" s="114">
        <f t="shared" si="1"/>
        <v>9.3633333333333235E-2</v>
      </c>
      <c r="R5" s="114">
        <f t="shared" si="1"/>
        <v>2.0000000000000018E-2</v>
      </c>
      <c r="S5" s="114">
        <f t="shared" si="1"/>
        <v>2.0000000000000018E-2</v>
      </c>
      <c r="T5" s="114">
        <f t="shared" si="1"/>
        <v>2.0000000000000018E-2</v>
      </c>
      <c r="U5" s="114">
        <f t="shared" si="1"/>
        <v>2.0000000000000018E-2</v>
      </c>
      <c r="V5" s="114">
        <f t="shared" si="1"/>
        <v>2.0000000000000018E-2</v>
      </c>
      <c r="W5" s="114">
        <f t="shared" si="1"/>
        <v>2.0000000000000018E-2</v>
      </c>
      <c r="X5" s="114">
        <f t="shared" si="1"/>
        <v>2.0000000000000018E-2</v>
      </c>
      <c r="Y5" s="114">
        <f t="shared" si="1"/>
        <v>2.0000000000000018E-2</v>
      </c>
      <c r="Z5" s="114">
        <f t="shared" si="1"/>
        <v>2.0000000000000018E-2</v>
      </c>
      <c r="AA5" s="114">
        <f t="shared" si="1"/>
        <v>2.0000000000000018E-2</v>
      </c>
      <c r="AB5" s="114">
        <f t="shared" si="1"/>
        <v>2.0000000000000018E-2</v>
      </c>
      <c r="AC5" s="114">
        <f t="shared" si="1"/>
        <v>2.0000000000000018E-2</v>
      </c>
      <c r="AD5" s="114">
        <f t="shared" si="1"/>
        <v>2.0000000000000018E-2</v>
      </c>
      <c r="AE5" s="114">
        <f t="shared" si="1"/>
        <v>2.0000000000000018E-2</v>
      </c>
      <c r="AF5" s="115">
        <f t="shared" si="1"/>
        <v>2.0000000000000018E-2</v>
      </c>
      <c r="AG5" s="294"/>
    </row>
    <row r="6" spans="1:36" ht="15" x14ac:dyDescent="0.2">
      <c r="A6" s="994"/>
      <c r="B6" s="334">
        <v>2</v>
      </c>
      <c r="C6" s="338" t="s">
        <v>497</v>
      </c>
      <c r="D6" s="339">
        <f>Inputs!D6</f>
        <v>257141</v>
      </c>
      <c r="E6" s="340">
        <f>Inputs!C6</f>
        <v>287597</v>
      </c>
      <c r="F6" s="340">
        <f>Inputs!B6</f>
        <v>324162</v>
      </c>
      <c r="G6" s="341">
        <f>Assumptions!G43</f>
        <v>372169.81630000001</v>
      </c>
      <c r="H6" s="342">
        <f>Assumptions!H43</f>
        <v>404589.37365594448</v>
      </c>
      <c r="I6" s="342">
        <f>Assumptions!I43</f>
        <v>443039.80077157693</v>
      </c>
      <c r="J6" s="343">
        <f>Assumptions!J43</f>
        <v>495282.04057572316</v>
      </c>
      <c r="K6" s="341">
        <f>Assumptions!K43</f>
        <v>553684.5657876383</v>
      </c>
      <c r="L6" s="342">
        <f>Assumptions!L43</f>
        <v>605527.89729755407</v>
      </c>
      <c r="M6" s="342">
        <f>Assumptions!M43</f>
        <v>662225.49274784827</v>
      </c>
      <c r="N6" s="342">
        <f>Assumptions!N43</f>
        <v>724231.87305213837</v>
      </c>
      <c r="O6" s="342">
        <f>Assumptions!O43</f>
        <v>792044.11743225355</v>
      </c>
      <c r="P6" s="342">
        <f>Assumptions!P43</f>
        <v>866205.84829449351</v>
      </c>
      <c r="Q6" s="342">
        <f>Assumptions!Q43</f>
        <v>947311.58922313445</v>
      </c>
      <c r="R6" s="342">
        <f>Assumptions!R43</f>
        <v>966257.82100759714</v>
      </c>
      <c r="S6" s="342">
        <f>Assumptions!S43</f>
        <v>985582.97742774908</v>
      </c>
      <c r="T6" s="342">
        <f>Assumptions!T43</f>
        <v>1005294.6369763041</v>
      </c>
      <c r="U6" s="342">
        <f>Assumptions!U43</f>
        <v>1025400.5297158302</v>
      </c>
      <c r="V6" s="342">
        <f>Assumptions!V43</f>
        <v>1045908.5403101469</v>
      </c>
      <c r="W6" s="342">
        <f>Assumptions!W43</f>
        <v>1066826.7111163498</v>
      </c>
      <c r="X6" s="342">
        <f>Assumptions!X43</f>
        <v>1088163.2453386767</v>
      </c>
      <c r="Y6" s="342">
        <f>Assumptions!Y43</f>
        <v>1109926.5102454503</v>
      </c>
      <c r="Z6" s="342">
        <f>Assumptions!Z43</f>
        <v>1132125.0404503592</v>
      </c>
      <c r="AA6" s="342">
        <f>Assumptions!AA43</f>
        <v>1154767.5412593663</v>
      </c>
      <c r="AB6" s="342">
        <f>Assumptions!AB43</f>
        <v>1177862.8920845536</v>
      </c>
      <c r="AC6" s="342">
        <f>Assumptions!AC43</f>
        <v>1201420.1499262447</v>
      </c>
      <c r="AD6" s="342">
        <f>Assumptions!AD43</f>
        <v>1225448.5529247697</v>
      </c>
      <c r="AE6" s="342">
        <f>Assumptions!AE43</f>
        <v>1249957.523983265</v>
      </c>
      <c r="AF6" s="342">
        <f>Assumptions!AF43</f>
        <v>1274956.6744629303</v>
      </c>
      <c r="AG6" s="344"/>
    </row>
    <row r="7" spans="1:36" x14ac:dyDescent="0.15">
      <c r="A7" s="994"/>
      <c r="B7" s="334">
        <v>3</v>
      </c>
      <c r="C7" s="345" t="s">
        <v>498</v>
      </c>
      <c r="D7" s="111">
        <f>D8/D6</f>
        <v>8.7131184836334932E-2</v>
      </c>
      <c r="E7" s="110">
        <f t="shared" ref="E7:F7" si="2">E8/E6</f>
        <v>8.3345792897700596E-2</v>
      </c>
      <c r="F7" s="112">
        <f t="shared" si="2"/>
        <v>8.7718486435794454E-2</v>
      </c>
      <c r="G7" s="116">
        <v>8.8499999999999995E-2</v>
      </c>
      <c r="H7" s="117">
        <v>8.6999999999999994E-2</v>
      </c>
      <c r="I7" s="117">
        <v>8.5999999999999993E-2</v>
      </c>
      <c r="J7" s="118">
        <v>8.2000000000000003E-2</v>
      </c>
      <c r="K7" s="116">
        <f>Assumptions!$L$15</f>
        <v>7.9659228567202089E-2</v>
      </c>
      <c r="L7" s="117">
        <f>7.97%</f>
        <v>7.9699999999999993E-2</v>
      </c>
      <c r="M7" s="117">
        <f t="shared" ref="M7:AE7" si="3">7.97%</f>
        <v>7.9699999999999993E-2</v>
      </c>
      <c r="N7" s="117">
        <f t="shared" si="3"/>
        <v>7.9699999999999993E-2</v>
      </c>
      <c r="O7" s="117">
        <f t="shared" si="3"/>
        <v>7.9699999999999993E-2</v>
      </c>
      <c r="P7" s="117">
        <f t="shared" si="3"/>
        <v>7.9699999999999993E-2</v>
      </c>
      <c r="Q7" s="117">
        <f t="shared" si="3"/>
        <v>7.9699999999999993E-2</v>
      </c>
      <c r="R7" s="117">
        <f t="shared" si="3"/>
        <v>7.9699999999999993E-2</v>
      </c>
      <c r="S7" s="117">
        <f t="shared" si="3"/>
        <v>7.9699999999999993E-2</v>
      </c>
      <c r="T7" s="117">
        <f t="shared" si="3"/>
        <v>7.9699999999999993E-2</v>
      </c>
      <c r="U7" s="117">
        <f t="shared" si="3"/>
        <v>7.9699999999999993E-2</v>
      </c>
      <c r="V7" s="117">
        <f t="shared" si="3"/>
        <v>7.9699999999999993E-2</v>
      </c>
      <c r="W7" s="117">
        <f t="shared" si="3"/>
        <v>7.9699999999999993E-2</v>
      </c>
      <c r="X7" s="117">
        <f t="shared" si="3"/>
        <v>7.9699999999999993E-2</v>
      </c>
      <c r="Y7" s="117">
        <f t="shared" si="3"/>
        <v>7.9699999999999993E-2</v>
      </c>
      <c r="Z7" s="117">
        <f t="shared" si="3"/>
        <v>7.9699999999999993E-2</v>
      </c>
      <c r="AA7" s="117">
        <f t="shared" si="3"/>
        <v>7.9699999999999993E-2</v>
      </c>
      <c r="AB7" s="117">
        <f t="shared" si="3"/>
        <v>7.9699999999999993E-2</v>
      </c>
      <c r="AC7" s="117">
        <f t="shared" si="3"/>
        <v>7.9699999999999993E-2</v>
      </c>
      <c r="AD7" s="117">
        <f t="shared" si="3"/>
        <v>7.9699999999999993E-2</v>
      </c>
      <c r="AE7" s="117">
        <f t="shared" si="3"/>
        <v>7.9699999999999993E-2</v>
      </c>
      <c r="AF7" s="118">
        <v>7.9699999999999993E-2</v>
      </c>
      <c r="AG7" s="294"/>
    </row>
    <row r="8" spans="1:36" ht="15" x14ac:dyDescent="0.2">
      <c r="A8" s="994"/>
      <c r="B8" s="334">
        <v>4</v>
      </c>
      <c r="C8" s="346" t="s">
        <v>60</v>
      </c>
      <c r="D8" s="347">
        <f>'Fin. Data'!D11</f>
        <v>22405</v>
      </c>
      <c r="E8" s="348">
        <f>'Fin. Data'!C11</f>
        <v>23970</v>
      </c>
      <c r="F8" s="349">
        <f>'Fin. Data'!B11</f>
        <v>28435</v>
      </c>
      <c r="G8" s="341">
        <f>G7*G6</f>
        <v>32937.028742549999</v>
      </c>
      <c r="H8" s="342">
        <f t="shared" ref="H8:AF8" si="4">H7*H6</f>
        <v>35199.27550806717</v>
      </c>
      <c r="I8" s="342">
        <f t="shared" si="4"/>
        <v>38101.422866355613</v>
      </c>
      <c r="J8" s="343">
        <f t="shared" si="4"/>
        <v>40613.127327209302</v>
      </c>
      <c r="K8" s="341">
        <f t="shared" si="4"/>
        <v>44106.085380209523</v>
      </c>
      <c r="L8" s="342">
        <f t="shared" si="4"/>
        <v>48260.573414615057</v>
      </c>
      <c r="M8" s="342">
        <f t="shared" si="4"/>
        <v>52779.371772003506</v>
      </c>
      <c r="N8" s="342">
        <f t="shared" si="4"/>
        <v>57721.280282255422</v>
      </c>
      <c r="O8" s="342">
        <f t="shared" si="4"/>
        <v>63125.9161593506</v>
      </c>
      <c r="P8" s="342">
        <f t="shared" si="4"/>
        <v>69036.60610907113</v>
      </c>
      <c r="Q8" s="342">
        <f t="shared" si="4"/>
        <v>75500.73366108381</v>
      </c>
      <c r="R8" s="342">
        <f t="shared" si="4"/>
        <v>77010.748334305492</v>
      </c>
      <c r="S8" s="342">
        <f t="shared" si="4"/>
        <v>78550.9633009916</v>
      </c>
      <c r="T8" s="342">
        <f t="shared" si="4"/>
        <v>80121.982567011437</v>
      </c>
      <c r="U8" s="342">
        <f t="shared" si="4"/>
        <v>81724.422218351669</v>
      </c>
      <c r="V8" s="342">
        <f t="shared" si="4"/>
        <v>83358.910662718699</v>
      </c>
      <c r="W8" s="342">
        <f t="shared" si="4"/>
        <v>85026.088875973073</v>
      </c>
      <c r="X8" s="342">
        <f t="shared" si="4"/>
        <v>86726.610653492535</v>
      </c>
      <c r="Y8" s="342">
        <f t="shared" si="4"/>
        <v>88461.142866562383</v>
      </c>
      <c r="Z8" s="342">
        <f t="shared" si="4"/>
        <v>90230.365723893628</v>
      </c>
      <c r="AA8" s="342">
        <f t="shared" si="4"/>
        <v>92034.973038371492</v>
      </c>
      <c r="AB8" s="342">
        <f t="shared" si="4"/>
        <v>93875.67249913892</v>
      </c>
      <c r="AC8" s="342">
        <f t="shared" si="4"/>
        <v>95753.185949121704</v>
      </c>
      <c r="AD8" s="342">
        <f t="shared" si="4"/>
        <v>97668.249668104138</v>
      </c>
      <c r="AE8" s="342">
        <f t="shared" si="4"/>
        <v>99621.614661466214</v>
      </c>
      <c r="AF8" s="343">
        <f t="shared" si="4"/>
        <v>101614.04695469554</v>
      </c>
      <c r="AG8" s="350"/>
      <c r="AH8" s="351"/>
      <c r="AI8" s="351"/>
      <c r="AJ8" s="351"/>
    </row>
    <row r="9" spans="1:36" ht="15" x14ac:dyDescent="0.2">
      <c r="A9" s="994"/>
      <c r="B9" s="334" t="s">
        <v>499</v>
      </c>
      <c r="C9" s="338" t="s">
        <v>500</v>
      </c>
      <c r="D9" s="352">
        <v>-1450</v>
      </c>
      <c r="E9" s="353">
        <v>-1560</v>
      </c>
      <c r="F9" s="354">
        <v>-1700</v>
      </c>
      <c r="G9" s="355">
        <f>$D$53*DCF!F40</f>
        <v>-1754.5795939149257</v>
      </c>
      <c r="H9" s="356">
        <f>$D$53*DCF!G40</f>
        <v>-2060.829595158235</v>
      </c>
      <c r="I9" s="356">
        <f>$D$53*DCF!H40</f>
        <v>-2393.7569061825247</v>
      </c>
      <c r="J9" s="357">
        <f>$D$53*DCF!I40</f>
        <v>-2758.3241913160423</v>
      </c>
      <c r="K9" s="358">
        <f>$E$53*DCF!J40</f>
        <v>-3505.2230243378872</v>
      </c>
      <c r="L9" s="359">
        <f>$E$53*DCF!K40</f>
        <v>-4009.6734790631031</v>
      </c>
      <c r="M9" s="359">
        <f>$E$53*DCF!L40</f>
        <v>-4561.3573113657558</v>
      </c>
      <c r="N9" s="359">
        <f>$E$53*DCF!M40</f>
        <v>-5164.6971398330143</v>
      </c>
      <c r="O9" s="359">
        <f>$E$53*DCF!N40</f>
        <v>-5824.5296875724234</v>
      </c>
      <c r="P9" s="359">
        <f>$E$53*DCF!O40</f>
        <v>-6546.1445561984992</v>
      </c>
      <c r="Q9" s="359">
        <f>$E$53*DCF!P40</f>
        <v>-7335.3266303569308</v>
      </c>
      <c r="R9" s="359">
        <f>$E$53*DCF!Q40</f>
        <v>-8198.4024527257279</v>
      </c>
      <c r="S9" s="359">
        <f>$E$53*DCF!R40</f>
        <v>-9078.7397915419024</v>
      </c>
      <c r="T9" s="359">
        <f>$E$53*DCF!S40</f>
        <v>-9976.683877134401</v>
      </c>
      <c r="U9" s="359">
        <f>$E$53*DCF!T40</f>
        <v>-10892.586844438751</v>
      </c>
      <c r="V9" s="359">
        <f>$E$53*DCF!U40</f>
        <v>-11826.807871089186</v>
      </c>
      <c r="W9" s="359">
        <f>$E$53*DCF!V40</f>
        <v>-12779.71331827263</v>
      </c>
      <c r="X9" s="359">
        <f>$E$53*DCF!W40</f>
        <v>-13751.676874399742</v>
      </c>
      <c r="Y9" s="359">
        <f>$E$53*DCF!X40</f>
        <v>-14743.079701649396</v>
      </c>
      <c r="Z9" s="359">
        <f>$E$53*DCF!Y40</f>
        <v>-15754.310585444044</v>
      </c>
      <c r="AA9" s="359">
        <f>$E$53*DCF!Z40</f>
        <v>-16785.766086914584</v>
      </c>
      <c r="AB9" s="359">
        <f>$E$53*DCF!AA40</f>
        <v>-17837.850698414539</v>
      </c>
      <c r="AC9" s="359">
        <f>$E$53*DCF!AB40</f>
        <v>-18910.977002144489</v>
      </c>
      <c r="AD9" s="359">
        <f>$E$53*DCF!AC40</f>
        <v>-20005.565831949039</v>
      </c>
      <c r="AE9" s="359">
        <f>$E$53*DCF!AD40</f>
        <v>-21122.046438349676</v>
      </c>
      <c r="AF9" s="360">
        <f>$E$53*DCF!AE40</f>
        <v>-22260.856656878332</v>
      </c>
      <c r="AG9" s="361">
        <f>SUM(D9:AF9)</f>
        <v>-274549.50614664576</v>
      </c>
      <c r="AH9" s="351"/>
      <c r="AI9" s="351"/>
      <c r="AJ9" s="351"/>
    </row>
    <row r="10" spans="1:36" ht="15" x14ac:dyDescent="0.2">
      <c r="A10" s="994"/>
      <c r="B10" s="334" t="s">
        <v>501</v>
      </c>
      <c r="C10" s="338" t="s">
        <v>502</v>
      </c>
      <c r="D10" s="352">
        <v>-1441</v>
      </c>
      <c r="E10" s="353">
        <v>-1543</v>
      </c>
      <c r="F10" s="354">
        <v>-1700</v>
      </c>
      <c r="G10" s="355">
        <f t="shared" ref="G10:J10" si="5">F38*$D$54</f>
        <v>-1831.1782168347252</v>
      </c>
      <c r="H10" s="362">
        <f t="shared" si="5"/>
        <v>-1860.6207812548673</v>
      </c>
      <c r="I10" s="362">
        <f t="shared" si="5"/>
        <v>-1890.5367373917006</v>
      </c>
      <c r="J10" s="363">
        <f t="shared" si="5"/>
        <v>-1920.9336966650121</v>
      </c>
      <c r="K10" s="358">
        <f t="shared" ref="K10:AF10" si="6">J38*$E$54</f>
        <v>-1712.3955336782053</v>
      </c>
      <c r="L10" s="359">
        <f t="shared" si="6"/>
        <v>-1736.5508964711985</v>
      </c>
      <c r="M10" s="359">
        <f t="shared" si="6"/>
        <v>-1761.0469992043431</v>
      </c>
      <c r="N10" s="359">
        <f t="shared" si="6"/>
        <v>-1785.8886484171976</v>
      </c>
      <c r="O10" s="359">
        <f t="shared" si="6"/>
        <v>-1811.0807184512416</v>
      </c>
      <c r="P10" s="359">
        <f t="shared" si="6"/>
        <v>-1836.628152406302</v>
      </c>
      <c r="Q10" s="359">
        <f t="shared" si="6"/>
        <v>-1862.5359631104707</v>
      </c>
      <c r="R10" s="359">
        <f t="shared" si="6"/>
        <v>-1888.8092341037045</v>
      </c>
      <c r="S10" s="359">
        <f t="shared" si="6"/>
        <v>-1915.4531206352988</v>
      </c>
      <c r="T10" s="359">
        <f t="shared" si="6"/>
        <v>-1942.4728506754329</v>
      </c>
      <c r="U10" s="359">
        <f t="shared" si="6"/>
        <v>-1969.8737259409847</v>
      </c>
      <c r="V10" s="359">
        <f t="shared" si="6"/>
        <v>-1997.6611229358148</v>
      </c>
      <c r="W10" s="359">
        <f t="shared" si="6"/>
        <v>-2025.8404940057237</v>
      </c>
      <c r="X10" s="359">
        <f t="shared" si="6"/>
        <v>-2054.4173684082944</v>
      </c>
      <c r="Y10" s="359">
        <f t="shared" si="6"/>
        <v>-2083.3973533978224</v>
      </c>
      <c r="Z10" s="359">
        <f t="shared" si="6"/>
        <v>-2112.7861353255516</v>
      </c>
      <c r="AA10" s="359">
        <f t="shared" si="6"/>
        <v>-2142.5894807554314</v>
      </c>
      <c r="AB10" s="359">
        <f t="shared" si="6"/>
        <v>-2172.8132375956102</v>
      </c>
      <c r="AC10" s="359">
        <f t="shared" si="6"/>
        <v>-2203.4633362458926</v>
      </c>
      <c r="AD10" s="359">
        <f t="shared" si="6"/>
        <v>-2234.5457907613813</v>
      </c>
      <c r="AE10" s="359">
        <f t="shared" si="6"/>
        <v>-2266.0667000325334</v>
      </c>
      <c r="AF10" s="360">
        <f t="shared" si="6"/>
        <v>-2298.0322489818645</v>
      </c>
      <c r="AG10" s="350"/>
      <c r="AH10" s="351"/>
      <c r="AI10" s="351"/>
      <c r="AJ10" s="351"/>
    </row>
    <row r="11" spans="1:36" ht="15" x14ac:dyDescent="0.2">
      <c r="A11" s="994"/>
      <c r="B11" s="334" t="s">
        <v>503</v>
      </c>
      <c r="C11" s="338" t="s">
        <v>504</v>
      </c>
      <c r="D11" s="352">
        <v>-647</v>
      </c>
      <c r="E11" s="353">
        <v>-729</v>
      </c>
      <c r="F11" s="354">
        <v>-875</v>
      </c>
      <c r="G11" s="355">
        <f>G6*$D$55</f>
        <v>-987.72182414443023</v>
      </c>
      <c r="H11" s="362">
        <f t="shared" ref="H11:AF11" si="7">H6*$D$55</f>
        <v>-1073.7618599751609</v>
      </c>
      <c r="I11" s="362">
        <f t="shared" si="7"/>
        <v>-1175.8075508034876</v>
      </c>
      <c r="J11" s="363">
        <f t="shared" si="7"/>
        <v>-1314.4560874036388</v>
      </c>
      <c r="K11" s="355">
        <f t="shared" si="7"/>
        <v>-1469.4537422657263</v>
      </c>
      <c r="L11" s="362">
        <f t="shared" si="7"/>
        <v>-1607.0435943332068</v>
      </c>
      <c r="M11" s="362">
        <f t="shared" si="7"/>
        <v>-1757.5164428826058</v>
      </c>
      <c r="N11" s="362">
        <f t="shared" si="7"/>
        <v>-1922.078565817847</v>
      </c>
      <c r="O11" s="362">
        <f t="shared" si="7"/>
        <v>-2102.0491888639244</v>
      </c>
      <c r="P11" s="362">
        <f t="shared" si="7"/>
        <v>-2298.8710612478831</v>
      </c>
      <c r="Q11" s="362">
        <f t="shared" si="7"/>
        <v>-2514.1220216160596</v>
      </c>
      <c r="R11" s="362">
        <f t="shared" si="7"/>
        <v>-2564.404462048381</v>
      </c>
      <c r="S11" s="362">
        <f t="shared" si="7"/>
        <v>-2615.6925512893486</v>
      </c>
      <c r="T11" s="362">
        <f t="shared" si="7"/>
        <v>-2668.0064023151353</v>
      </c>
      <c r="U11" s="362">
        <f t="shared" si="7"/>
        <v>-2721.3665303614384</v>
      </c>
      <c r="V11" s="362">
        <f t="shared" si="7"/>
        <v>-2775.7938609686671</v>
      </c>
      <c r="W11" s="362">
        <f t="shared" si="7"/>
        <v>-2831.3097381880407</v>
      </c>
      <c r="X11" s="362">
        <f t="shared" si="7"/>
        <v>-2887.9359329518011</v>
      </c>
      <c r="Y11" s="362">
        <f t="shared" si="7"/>
        <v>-2945.6946516108374</v>
      </c>
      <c r="Z11" s="362">
        <f t="shared" si="7"/>
        <v>-3004.6085446430538</v>
      </c>
      <c r="AA11" s="362">
        <f t="shared" si="7"/>
        <v>-3064.7007155359147</v>
      </c>
      <c r="AB11" s="362">
        <f t="shared" si="7"/>
        <v>-3125.9947298466327</v>
      </c>
      <c r="AC11" s="362">
        <f t="shared" si="7"/>
        <v>-3188.5146244435655</v>
      </c>
      <c r="AD11" s="362">
        <f t="shared" si="7"/>
        <v>-3252.2849169324372</v>
      </c>
      <c r="AE11" s="362">
        <f t="shared" si="7"/>
        <v>-3317.3306152710857</v>
      </c>
      <c r="AF11" s="363">
        <f t="shared" si="7"/>
        <v>-3383.6772275765074</v>
      </c>
      <c r="AG11" s="350"/>
      <c r="AH11" s="351"/>
      <c r="AI11" s="351"/>
      <c r="AJ11" s="351"/>
    </row>
    <row r="12" spans="1:36" ht="15" x14ac:dyDescent="0.15">
      <c r="A12" s="994"/>
      <c r="B12" s="334">
        <v>6</v>
      </c>
      <c r="C12" s="346" t="s">
        <v>52</v>
      </c>
      <c r="D12" s="347">
        <f>D8-D9-D10</f>
        <v>25296</v>
      </c>
      <c r="E12" s="364">
        <f t="shared" ref="E12:AF12" si="8">E8-E9-E10</f>
        <v>27073</v>
      </c>
      <c r="F12" s="365">
        <f t="shared" si="8"/>
        <v>31835</v>
      </c>
      <c r="G12" s="366">
        <f>G8-G9-G10</f>
        <v>36522.786553299651</v>
      </c>
      <c r="H12" s="367">
        <f t="shared" si="8"/>
        <v>39120.725884480271</v>
      </c>
      <c r="I12" s="367">
        <f t="shared" si="8"/>
        <v>42385.716509929844</v>
      </c>
      <c r="J12" s="368">
        <f t="shared" si="8"/>
        <v>45292.385215190363</v>
      </c>
      <c r="K12" s="366">
        <f t="shared" si="8"/>
        <v>49323.703938225612</v>
      </c>
      <c r="L12" s="367">
        <f t="shared" si="8"/>
        <v>54006.797790149358</v>
      </c>
      <c r="M12" s="367">
        <f t="shared" si="8"/>
        <v>59101.776082573604</v>
      </c>
      <c r="N12" s="367">
        <f t="shared" si="8"/>
        <v>64671.866070505632</v>
      </c>
      <c r="O12" s="367">
        <f t="shared" si="8"/>
        <v>70761.526565374254</v>
      </c>
      <c r="P12" s="367">
        <f t="shared" si="8"/>
        <v>77419.378817675941</v>
      </c>
      <c r="Q12" s="367">
        <f t="shared" si="8"/>
        <v>84698.596254551201</v>
      </c>
      <c r="R12" s="367">
        <f t="shared" si="8"/>
        <v>87097.960021134932</v>
      </c>
      <c r="S12" s="367">
        <f t="shared" si="8"/>
        <v>89545.156213168797</v>
      </c>
      <c r="T12" s="367">
        <f t="shared" si="8"/>
        <v>92041.139294821274</v>
      </c>
      <c r="U12" s="367">
        <f t="shared" si="8"/>
        <v>94586.882788731396</v>
      </c>
      <c r="V12" s="367">
        <f t="shared" si="8"/>
        <v>97183.379656743695</v>
      </c>
      <c r="W12" s="367">
        <f t="shared" si="8"/>
        <v>99831.642688251421</v>
      </c>
      <c r="X12" s="367">
        <f t="shared" si="8"/>
        <v>102532.70489630057</v>
      </c>
      <c r="Y12" s="367">
        <f t="shared" si="8"/>
        <v>105287.61992160961</v>
      </c>
      <c r="Z12" s="367">
        <f t="shared" si="8"/>
        <v>108097.46244466322</v>
      </c>
      <c r="AA12" s="367">
        <f t="shared" si="8"/>
        <v>110963.32860604151</v>
      </c>
      <c r="AB12" s="367">
        <f t="shared" si="8"/>
        <v>113886.33643514906</v>
      </c>
      <c r="AC12" s="367">
        <f t="shared" si="8"/>
        <v>116867.62628751209</v>
      </c>
      <c r="AD12" s="367">
        <f t="shared" si="8"/>
        <v>119908.36129081454</v>
      </c>
      <c r="AE12" s="367">
        <f t="shared" si="8"/>
        <v>123009.72779984842</v>
      </c>
      <c r="AF12" s="368">
        <f t="shared" si="8"/>
        <v>126172.93586055574</v>
      </c>
      <c r="AG12" s="369"/>
      <c r="AH12" s="351"/>
      <c r="AI12" s="351"/>
      <c r="AJ12" s="351"/>
    </row>
    <row r="13" spans="1:36" ht="15" x14ac:dyDescent="0.2">
      <c r="A13" s="994"/>
      <c r="B13" s="334">
        <v>7</v>
      </c>
      <c r="C13" s="338" t="s">
        <v>505</v>
      </c>
      <c r="D13" s="370">
        <f>'Fin. Data'!D14</f>
        <v>-1663</v>
      </c>
      <c r="E13" s="371">
        <f>'Fin. Data'!C14</f>
        <v>-1660</v>
      </c>
      <c r="F13" s="372">
        <f>'Fin. Data'!B14</f>
        <v>-2092</v>
      </c>
      <c r="G13" s="358">
        <f t="shared" ref="G13:J13" si="9">F43*$D$58-F44*$D$57</f>
        <v>-1059.1610922595744</v>
      </c>
      <c r="H13" s="359">
        <f t="shared" si="9"/>
        <v>-1013.7533792097647</v>
      </c>
      <c r="I13" s="359">
        <f t="shared" si="9"/>
        <v>-1074.128178297826</v>
      </c>
      <c r="J13" s="360">
        <f t="shared" si="9"/>
        <v>-1097.8405654872938</v>
      </c>
      <c r="K13" s="358">
        <f>J43*$E$58-J44*$E$57</f>
        <v>-1685.2453411394245</v>
      </c>
      <c r="L13" s="359">
        <f t="shared" ref="L13:AF13" si="10">K43*$E$58-K44*$E$57</f>
        <v>-1789.9197547496296</v>
      </c>
      <c r="M13" s="359">
        <f t="shared" si="10"/>
        <v>-1930.4153522458653</v>
      </c>
      <c r="N13" s="359">
        <f t="shared" si="10"/>
        <v>-2088.9273540755648</v>
      </c>
      <c r="O13" s="359">
        <f t="shared" si="10"/>
        <v>-2263.2041907714051</v>
      </c>
      <c r="P13" s="359">
        <f t="shared" si="10"/>
        <v>-2455.6338375704258</v>
      </c>
      <c r="Q13" s="359">
        <f t="shared" si="10"/>
        <v>-2669.1916348993359</v>
      </c>
      <c r="R13" s="359">
        <f t="shared" si="10"/>
        <v>-2905.1469594235887</v>
      </c>
      <c r="S13" s="359">
        <f t="shared" si="10"/>
        <v>-3228.472129148106</v>
      </c>
      <c r="T13" s="359">
        <f t="shared" si="10"/>
        <v>-3538.8710008660119</v>
      </c>
      <c r="U13" s="359">
        <f t="shared" si="10"/>
        <v>-3836.409193779552</v>
      </c>
      <c r="V13" s="359">
        <f t="shared" si="10"/>
        <v>-4121.6490834201104</v>
      </c>
      <c r="W13" s="359">
        <f t="shared" si="10"/>
        <v>-4393.4599922113848</v>
      </c>
      <c r="X13" s="359">
        <f t="shared" si="10"/>
        <v>-4651.6624422004579</v>
      </c>
      <c r="Y13" s="359">
        <f t="shared" si="10"/>
        <v>-4895.9934586011777</v>
      </c>
      <c r="Z13" s="359">
        <f t="shared" si="10"/>
        <v>-5125.9092805014006</v>
      </c>
      <c r="AA13" s="359">
        <f t="shared" si="10"/>
        <v>-5341.0655283553651</v>
      </c>
      <c r="AB13" s="359">
        <f t="shared" si="10"/>
        <v>-5541.0615824297984</v>
      </c>
      <c r="AC13" s="359">
        <f t="shared" si="10"/>
        <v>-5725.4498466505247</v>
      </c>
      <c r="AD13" s="359">
        <f t="shared" si="10"/>
        <v>-5893.8152404487264</v>
      </c>
      <c r="AE13" s="359">
        <f t="shared" si="10"/>
        <v>-6045.7184608184398</v>
      </c>
      <c r="AF13" s="360">
        <f t="shared" si="10"/>
        <v>-6180.7068647314481</v>
      </c>
      <c r="AG13" s="350"/>
      <c r="AH13" s="351"/>
      <c r="AI13" s="351"/>
      <c r="AJ13" s="351"/>
    </row>
    <row r="14" spans="1:36" ht="15" x14ac:dyDescent="0.2">
      <c r="A14" s="994"/>
      <c r="B14" s="334">
        <v>8</v>
      </c>
      <c r="C14" s="338" t="s">
        <v>506</v>
      </c>
      <c r="D14" s="373">
        <f>'Fin. Data'!D15</f>
        <v>0</v>
      </c>
      <c r="E14" s="374">
        <f>'Fin. Data'!C15</f>
        <v>0</v>
      </c>
      <c r="F14" s="375">
        <f>'Fin. Data'!B15</f>
        <v>0</v>
      </c>
      <c r="G14" s="341">
        <f>AVERAGE(D14:F14)*(1+G5)</f>
        <v>0</v>
      </c>
      <c r="H14" s="342">
        <f t="shared" ref="H14:AF14" si="11">AVERAGE(E14:G14)*(1+H5)</f>
        <v>0</v>
      </c>
      <c r="I14" s="342">
        <f t="shared" si="11"/>
        <v>0</v>
      </c>
      <c r="J14" s="343">
        <f t="shared" si="11"/>
        <v>0</v>
      </c>
      <c r="K14" s="341">
        <f t="shared" si="11"/>
        <v>0</v>
      </c>
      <c r="L14" s="342">
        <f t="shared" si="11"/>
        <v>0</v>
      </c>
      <c r="M14" s="342">
        <f t="shared" si="11"/>
        <v>0</v>
      </c>
      <c r="N14" s="342">
        <f t="shared" si="11"/>
        <v>0</v>
      </c>
      <c r="O14" s="342">
        <f t="shared" si="11"/>
        <v>0</v>
      </c>
      <c r="P14" s="342">
        <f t="shared" si="11"/>
        <v>0</v>
      </c>
      <c r="Q14" s="342">
        <f t="shared" si="11"/>
        <v>0</v>
      </c>
      <c r="R14" s="342">
        <f t="shared" si="11"/>
        <v>0</v>
      </c>
      <c r="S14" s="342">
        <f t="shared" si="11"/>
        <v>0</v>
      </c>
      <c r="T14" s="342">
        <f t="shared" si="11"/>
        <v>0</v>
      </c>
      <c r="U14" s="342">
        <f t="shared" si="11"/>
        <v>0</v>
      </c>
      <c r="V14" s="342">
        <f t="shared" si="11"/>
        <v>0</v>
      </c>
      <c r="W14" s="342">
        <f t="shared" si="11"/>
        <v>0</v>
      </c>
      <c r="X14" s="342">
        <f t="shared" si="11"/>
        <v>0</v>
      </c>
      <c r="Y14" s="342">
        <f t="shared" si="11"/>
        <v>0</v>
      </c>
      <c r="Z14" s="342">
        <f t="shared" si="11"/>
        <v>0</v>
      </c>
      <c r="AA14" s="342">
        <f t="shared" si="11"/>
        <v>0</v>
      </c>
      <c r="AB14" s="342">
        <f t="shared" si="11"/>
        <v>0</v>
      </c>
      <c r="AC14" s="342">
        <f t="shared" si="11"/>
        <v>0</v>
      </c>
      <c r="AD14" s="342">
        <f t="shared" si="11"/>
        <v>0</v>
      </c>
      <c r="AE14" s="342">
        <f t="shared" si="11"/>
        <v>0</v>
      </c>
      <c r="AF14" s="343">
        <f t="shared" si="11"/>
        <v>0</v>
      </c>
      <c r="AG14" s="350"/>
      <c r="AH14" s="351"/>
      <c r="AI14" s="351"/>
      <c r="AJ14" s="351"/>
    </row>
    <row r="15" spans="1:36" ht="15" x14ac:dyDescent="0.2">
      <c r="A15" s="994"/>
      <c r="B15" s="334">
        <v>9</v>
      </c>
      <c r="C15" s="346" t="s">
        <v>507</v>
      </c>
      <c r="D15" s="376">
        <f t="shared" ref="D15:AF15" si="12">D8+D13+D14</f>
        <v>20742</v>
      </c>
      <c r="E15" s="364">
        <f t="shared" si="12"/>
        <v>22310</v>
      </c>
      <c r="F15" s="365">
        <f t="shared" si="12"/>
        <v>26343</v>
      </c>
      <c r="G15" s="366">
        <f t="shared" si="12"/>
        <v>31877.867650290424</v>
      </c>
      <c r="H15" s="367">
        <f t="shared" si="12"/>
        <v>34185.522128857403</v>
      </c>
      <c r="I15" s="367">
        <f t="shared" si="12"/>
        <v>37027.294688057787</v>
      </c>
      <c r="J15" s="368">
        <f t="shared" si="12"/>
        <v>39515.286761722011</v>
      </c>
      <c r="K15" s="366">
        <f t="shared" si="12"/>
        <v>42420.840039070099</v>
      </c>
      <c r="L15" s="367">
        <f t="shared" si="12"/>
        <v>46470.653659865427</v>
      </c>
      <c r="M15" s="367">
        <f t="shared" si="12"/>
        <v>50848.95641975764</v>
      </c>
      <c r="N15" s="367">
        <f t="shared" si="12"/>
        <v>55632.352928179855</v>
      </c>
      <c r="O15" s="367">
        <f t="shared" si="12"/>
        <v>60862.711968579191</v>
      </c>
      <c r="P15" s="367">
        <f t="shared" si="12"/>
        <v>66580.972271500708</v>
      </c>
      <c r="Q15" s="367">
        <f t="shared" si="12"/>
        <v>72831.54202618447</v>
      </c>
      <c r="R15" s="367">
        <f t="shared" si="12"/>
        <v>74105.60137488191</v>
      </c>
      <c r="S15" s="367">
        <f t="shared" si="12"/>
        <v>75322.491171843489</v>
      </c>
      <c r="T15" s="367">
        <f t="shared" si="12"/>
        <v>76583.111566145424</v>
      </c>
      <c r="U15" s="367">
        <f t="shared" si="12"/>
        <v>77888.013024572123</v>
      </c>
      <c r="V15" s="367">
        <f t="shared" si="12"/>
        <v>79237.261579298589</v>
      </c>
      <c r="W15" s="367">
        <f t="shared" si="12"/>
        <v>80632.628883761688</v>
      </c>
      <c r="X15" s="367">
        <f t="shared" si="12"/>
        <v>82074.948211292081</v>
      </c>
      <c r="Y15" s="367">
        <f t="shared" si="12"/>
        <v>83565.149407961202</v>
      </c>
      <c r="Z15" s="367">
        <f t="shared" si="12"/>
        <v>85104.456443392235</v>
      </c>
      <c r="AA15" s="367">
        <f t="shared" si="12"/>
        <v>86693.907510016128</v>
      </c>
      <c r="AB15" s="367">
        <f t="shared" si="12"/>
        <v>88334.61091670912</v>
      </c>
      <c r="AC15" s="367">
        <f t="shared" si="12"/>
        <v>90027.736102471186</v>
      </c>
      <c r="AD15" s="367">
        <f t="shared" si="12"/>
        <v>91774.434427655418</v>
      </c>
      <c r="AE15" s="367">
        <f t="shared" si="12"/>
        <v>93575.896200647781</v>
      </c>
      <c r="AF15" s="368">
        <f t="shared" si="12"/>
        <v>95433.340089964098</v>
      </c>
      <c r="AG15" s="350"/>
      <c r="AH15" s="351"/>
      <c r="AI15" s="351"/>
      <c r="AJ15" s="351"/>
    </row>
    <row r="16" spans="1:36" ht="15" x14ac:dyDescent="0.2">
      <c r="A16" s="994"/>
      <c r="B16" s="334">
        <v>10</v>
      </c>
      <c r="C16" s="338" t="s">
        <v>508</v>
      </c>
      <c r="D16" s="377">
        <f>'Fin. Data'!D21</f>
        <v>-4973</v>
      </c>
      <c r="E16" s="378">
        <f>'Fin. Data'!C21</f>
        <v>-4578</v>
      </c>
      <c r="F16" s="379">
        <f>'Fin. Data'!B21</f>
        <v>-5704</v>
      </c>
      <c r="G16" s="380">
        <f>-(1*$D$56)*G15</f>
        <v>-6968.4900201573937</v>
      </c>
      <c r="H16" s="381">
        <f t="shared" ref="H16:J16" si="13">-(1*$D$56)*H15</f>
        <v>-7472.9424314754069</v>
      </c>
      <c r="I16" s="381">
        <f t="shared" si="13"/>
        <v>-8094.1528567017194</v>
      </c>
      <c r="J16" s="382">
        <f t="shared" si="13"/>
        <v>-8638.0269992810736</v>
      </c>
      <c r="K16" s="383">
        <f>-(1*$E$56)*K15</f>
        <v>-9273.1798657887957</v>
      </c>
      <c r="L16" s="381">
        <f t="shared" ref="L16:AF16" si="14">-(1*$E$56)*L15</f>
        <v>-10158.467618081495</v>
      </c>
      <c r="M16" s="381">
        <f t="shared" si="14"/>
        <v>-11115.562974089678</v>
      </c>
      <c r="N16" s="381">
        <f t="shared" si="14"/>
        <v>-12161.211672963433</v>
      </c>
      <c r="O16" s="381">
        <f t="shared" si="14"/>
        <v>-13304.566215202731</v>
      </c>
      <c r="P16" s="381">
        <f t="shared" si="14"/>
        <v>-14554.575792088835</v>
      </c>
      <c r="Q16" s="381">
        <f t="shared" si="14"/>
        <v>-15920.948017284225</v>
      </c>
      <c r="R16" s="381">
        <f t="shared" si="14"/>
        <v>-16199.456917373891</v>
      </c>
      <c r="S16" s="381">
        <f t="shared" si="14"/>
        <v>-16465.468574702572</v>
      </c>
      <c r="T16" s="381">
        <f t="shared" si="14"/>
        <v>-16741.039724356302</v>
      </c>
      <c r="U16" s="381">
        <f t="shared" si="14"/>
        <v>-17026.290698169552</v>
      </c>
      <c r="V16" s="381">
        <f t="shared" si="14"/>
        <v>-17321.235930751242</v>
      </c>
      <c r="W16" s="381">
        <f t="shared" si="14"/>
        <v>-17626.262704884186</v>
      </c>
      <c r="X16" s="381">
        <f t="shared" si="14"/>
        <v>-17941.553173808763</v>
      </c>
      <c r="Y16" s="381">
        <f t="shared" si="14"/>
        <v>-18267.310601530586</v>
      </c>
      <c r="Z16" s="381">
        <f t="shared" si="14"/>
        <v>-18603.802547354368</v>
      </c>
      <c r="AA16" s="381">
        <f t="shared" si="14"/>
        <v>-18951.255959759641</v>
      </c>
      <c r="AB16" s="381">
        <f t="shared" si="14"/>
        <v>-19309.913114654824</v>
      </c>
      <c r="AC16" s="381">
        <f t="shared" si="14"/>
        <v>-19680.02965097066</v>
      </c>
      <c r="AD16" s="381">
        <f t="shared" si="14"/>
        <v>-20061.857255652401</v>
      </c>
      <c r="AE16" s="381">
        <f t="shared" si="14"/>
        <v>-20455.656129670813</v>
      </c>
      <c r="AF16" s="382">
        <f t="shared" si="14"/>
        <v>-20861.692673510508</v>
      </c>
      <c r="AG16" s="350"/>
      <c r="AH16" s="351"/>
      <c r="AI16" s="351"/>
      <c r="AJ16" s="351"/>
    </row>
    <row r="17" spans="1:40" ht="15.75" thickBot="1" x14ac:dyDescent="0.25">
      <c r="A17" s="994"/>
      <c r="B17" s="384">
        <v>11</v>
      </c>
      <c r="C17" s="385" t="s">
        <v>509</v>
      </c>
      <c r="D17" s="386">
        <f>'Fin. Data'!D23</f>
        <v>15769</v>
      </c>
      <c r="E17" s="387">
        <f>'Fin. Data'!C23</f>
        <v>17732</v>
      </c>
      <c r="F17" s="388">
        <f>'Fin. Data'!B23</f>
        <v>20639</v>
      </c>
      <c r="G17" s="389">
        <f t="shared" ref="G17:AF17" si="15">G16+G15</f>
        <v>24909.377630133029</v>
      </c>
      <c r="H17" s="390">
        <f t="shared" si="15"/>
        <v>26712.579697381996</v>
      </c>
      <c r="I17" s="390">
        <f t="shared" si="15"/>
        <v>28933.141831356068</v>
      </c>
      <c r="J17" s="391">
        <f t="shared" si="15"/>
        <v>30877.259762440939</v>
      </c>
      <c r="K17" s="389">
        <f t="shared" si="15"/>
        <v>33147.6601732813</v>
      </c>
      <c r="L17" s="390">
        <f t="shared" si="15"/>
        <v>36312.186041783934</v>
      </c>
      <c r="M17" s="390">
        <f t="shared" si="15"/>
        <v>39733.393445667964</v>
      </c>
      <c r="N17" s="390">
        <f t="shared" si="15"/>
        <v>43471.141255216426</v>
      </c>
      <c r="O17" s="390">
        <f t="shared" si="15"/>
        <v>47558.145753376462</v>
      </c>
      <c r="P17" s="390">
        <f t="shared" si="15"/>
        <v>52026.396479411873</v>
      </c>
      <c r="Q17" s="390">
        <f t="shared" si="15"/>
        <v>56910.594008900247</v>
      </c>
      <c r="R17" s="390">
        <f t="shared" si="15"/>
        <v>57906.144457508017</v>
      </c>
      <c r="S17" s="390">
        <f t="shared" si="15"/>
        <v>58857.022597140916</v>
      </c>
      <c r="T17" s="390">
        <f t="shared" si="15"/>
        <v>59842.071841789118</v>
      </c>
      <c r="U17" s="390">
        <f t="shared" si="15"/>
        <v>60861.722326402567</v>
      </c>
      <c r="V17" s="390">
        <f t="shared" si="15"/>
        <v>61916.025648547351</v>
      </c>
      <c r="W17" s="390">
        <f t="shared" si="15"/>
        <v>63006.366178877506</v>
      </c>
      <c r="X17" s="390">
        <f t="shared" si="15"/>
        <v>64133.395037483322</v>
      </c>
      <c r="Y17" s="390">
        <f t="shared" si="15"/>
        <v>65297.83880643062</v>
      </c>
      <c r="Z17" s="390">
        <f t="shared" si="15"/>
        <v>66500.653896037868</v>
      </c>
      <c r="AA17" s="390">
        <f t="shared" si="15"/>
        <v>67742.651550256487</v>
      </c>
      <c r="AB17" s="390">
        <f t="shared" si="15"/>
        <v>69024.697802054288</v>
      </c>
      <c r="AC17" s="390">
        <f t="shared" si="15"/>
        <v>70347.706451500533</v>
      </c>
      <c r="AD17" s="390">
        <f t="shared" si="15"/>
        <v>71712.577172003017</v>
      </c>
      <c r="AE17" s="390">
        <f t="shared" si="15"/>
        <v>73120.240070976972</v>
      </c>
      <c r="AF17" s="391">
        <f t="shared" si="15"/>
        <v>74571.64741645359</v>
      </c>
      <c r="AG17" s="350"/>
      <c r="AH17" s="351"/>
      <c r="AI17" s="351"/>
      <c r="AJ17" s="351"/>
    </row>
    <row r="18" spans="1:40" ht="15.75" thickBot="1" x14ac:dyDescent="0.25">
      <c r="A18" s="392"/>
      <c r="B18" s="393"/>
      <c r="C18" s="394" t="s">
        <v>510</v>
      </c>
      <c r="D18" s="395" t="s">
        <v>510</v>
      </c>
      <c r="E18" s="395" t="s">
        <v>510</v>
      </c>
      <c r="F18" s="395" t="s">
        <v>510</v>
      </c>
      <c r="G18" s="396" t="s">
        <v>510</v>
      </c>
      <c r="H18" s="396" t="s">
        <v>510</v>
      </c>
      <c r="I18" s="396" t="s">
        <v>510</v>
      </c>
      <c r="J18" s="396" t="s">
        <v>510</v>
      </c>
      <c r="K18" s="396" t="s">
        <v>510</v>
      </c>
      <c r="L18" s="396" t="s">
        <v>510</v>
      </c>
      <c r="M18" s="396" t="s">
        <v>510</v>
      </c>
      <c r="N18" s="396" t="s">
        <v>510</v>
      </c>
      <c r="O18" s="396" t="s">
        <v>510</v>
      </c>
      <c r="P18" s="396" t="s">
        <v>510</v>
      </c>
      <c r="Q18" s="396" t="s">
        <v>510</v>
      </c>
      <c r="R18" s="396" t="s">
        <v>510</v>
      </c>
      <c r="S18" s="396" t="s">
        <v>510</v>
      </c>
      <c r="T18" s="396" t="s">
        <v>510</v>
      </c>
      <c r="U18" s="396" t="s">
        <v>510</v>
      </c>
      <c r="V18" s="396" t="s">
        <v>510</v>
      </c>
      <c r="W18" s="396" t="s">
        <v>510</v>
      </c>
      <c r="X18" s="396" t="s">
        <v>510</v>
      </c>
      <c r="Y18" s="396" t="s">
        <v>510</v>
      </c>
      <c r="Z18" s="396" t="s">
        <v>510</v>
      </c>
      <c r="AA18" s="396" t="s">
        <v>510</v>
      </c>
      <c r="AB18" s="396" t="s">
        <v>510</v>
      </c>
      <c r="AC18" s="396" t="s">
        <v>510</v>
      </c>
      <c r="AD18" s="396" t="s">
        <v>510</v>
      </c>
      <c r="AE18" s="396" t="s">
        <v>510</v>
      </c>
      <c r="AF18" s="397" t="s">
        <v>510</v>
      </c>
      <c r="AG18" s="350"/>
      <c r="AH18" s="351"/>
      <c r="AI18" s="351"/>
      <c r="AJ18" s="351"/>
    </row>
    <row r="19" spans="1:40" ht="15" x14ac:dyDescent="0.2">
      <c r="A19" s="1244" t="s">
        <v>511</v>
      </c>
      <c r="B19" s="398">
        <v>12</v>
      </c>
      <c r="C19" s="338" t="s">
        <v>512</v>
      </c>
      <c r="D19" s="399">
        <f>D22-D21</f>
        <v>19279</v>
      </c>
      <c r="E19" s="400">
        <f>E22-E21</f>
        <v>20821</v>
      </c>
      <c r="F19" s="401">
        <f>F22-F21</f>
        <v>23960</v>
      </c>
      <c r="G19" s="402">
        <f>G17-G10-G9-G11</f>
        <v>29482.857265027109</v>
      </c>
      <c r="H19" s="403">
        <f t="shared" ref="H19:AF19" si="16">H17-H10-H9-H11</f>
        <v>31707.791933770259</v>
      </c>
      <c r="I19" s="403">
        <f t="shared" si="16"/>
        <v>34393.243025733784</v>
      </c>
      <c r="J19" s="404">
        <f t="shared" si="16"/>
        <v>36870.97373782564</v>
      </c>
      <c r="K19" s="402">
        <f t="shared" si="16"/>
        <v>39834.732473563112</v>
      </c>
      <c r="L19" s="403">
        <f t="shared" si="16"/>
        <v>43665.45401165144</v>
      </c>
      <c r="M19" s="403">
        <f t="shared" si="16"/>
        <v>47813.314199120665</v>
      </c>
      <c r="N19" s="403">
        <f t="shared" si="16"/>
        <v>52343.805609284485</v>
      </c>
      <c r="O19" s="403">
        <f t="shared" si="16"/>
        <v>57295.805348264053</v>
      </c>
      <c r="P19" s="403">
        <f t="shared" si="16"/>
        <v>62708.040249264559</v>
      </c>
      <c r="Q19" s="403">
        <f t="shared" si="16"/>
        <v>68622.578623983703</v>
      </c>
      <c r="R19" s="403">
        <f t="shared" si="16"/>
        <v>70557.760606385826</v>
      </c>
      <c r="S19" s="403">
        <f t="shared" si="16"/>
        <v>72466.908060607471</v>
      </c>
      <c r="T19" s="403">
        <f t="shared" si="16"/>
        <v>74429.234971914091</v>
      </c>
      <c r="U19" s="403">
        <f t="shared" si="16"/>
        <v>76445.549427143735</v>
      </c>
      <c r="V19" s="403">
        <f t="shared" si="16"/>
        <v>78516.288503541029</v>
      </c>
      <c r="W19" s="403">
        <f t="shared" si="16"/>
        <v>80643.22972934389</v>
      </c>
      <c r="X19" s="403">
        <f t="shared" si="16"/>
        <v>82827.425213243157</v>
      </c>
      <c r="Y19" s="403">
        <f t="shared" si="16"/>
        <v>85070.01051308868</v>
      </c>
      <c r="Z19" s="403">
        <f t="shared" si="16"/>
        <v>87372.359161450513</v>
      </c>
      <c r="AA19" s="403">
        <f t="shared" si="16"/>
        <v>89735.707833462409</v>
      </c>
      <c r="AB19" s="403">
        <f t="shared" si="16"/>
        <v>92161.356467911057</v>
      </c>
      <c r="AC19" s="403">
        <f t="shared" si="16"/>
        <v>94650.661414334478</v>
      </c>
      <c r="AD19" s="403">
        <f t="shared" si="16"/>
        <v>97204.973711645871</v>
      </c>
      <c r="AE19" s="403">
        <f t="shared" si="16"/>
        <v>99825.683824630265</v>
      </c>
      <c r="AF19" s="405">
        <f t="shared" si="16"/>
        <v>102514.21354989029</v>
      </c>
      <c r="AG19" s="350"/>
      <c r="AH19" s="351"/>
      <c r="AI19" s="351"/>
      <c r="AJ19" s="351"/>
    </row>
    <row r="20" spans="1:40" ht="15" x14ac:dyDescent="0.2">
      <c r="A20" s="1245"/>
      <c r="B20" s="398">
        <v>13</v>
      </c>
      <c r="C20" s="338" t="s">
        <v>513</v>
      </c>
      <c r="D20" s="406">
        <f>D11</f>
        <v>-647</v>
      </c>
      <c r="E20" s="407">
        <f>E11</f>
        <v>-729</v>
      </c>
      <c r="F20" s="408">
        <f>F11</f>
        <v>-875</v>
      </c>
      <c r="G20" s="402">
        <f>G11</f>
        <v>-987.72182414443023</v>
      </c>
      <c r="H20" s="403">
        <f t="shared" ref="H20:AF20" si="17">H11</f>
        <v>-1073.7618599751609</v>
      </c>
      <c r="I20" s="403">
        <f t="shared" si="17"/>
        <v>-1175.8075508034876</v>
      </c>
      <c r="J20" s="404">
        <f t="shared" si="17"/>
        <v>-1314.4560874036388</v>
      </c>
      <c r="K20" s="402">
        <f t="shared" si="17"/>
        <v>-1469.4537422657263</v>
      </c>
      <c r="L20" s="403">
        <f t="shared" si="17"/>
        <v>-1607.0435943332068</v>
      </c>
      <c r="M20" s="403">
        <f t="shared" si="17"/>
        <v>-1757.5164428826058</v>
      </c>
      <c r="N20" s="403">
        <f t="shared" si="17"/>
        <v>-1922.078565817847</v>
      </c>
      <c r="O20" s="403">
        <f t="shared" si="17"/>
        <v>-2102.0491888639244</v>
      </c>
      <c r="P20" s="403">
        <f t="shared" si="17"/>
        <v>-2298.8710612478831</v>
      </c>
      <c r="Q20" s="403">
        <f t="shared" si="17"/>
        <v>-2514.1220216160596</v>
      </c>
      <c r="R20" s="403">
        <f t="shared" si="17"/>
        <v>-2564.404462048381</v>
      </c>
      <c r="S20" s="403">
        <f t="shared" si="17"/>
        <v>-2615.6925512893486</v>
      </c>
      <c r="T20" s="403">
        <f t="shared" si="17"/>
        <v>-2668.0064023151353</v>
      </c>
      <c r="U20" s="403">
        <f t="shared" si="17"/>
        <v>-2721.3665303614384</v>
      </c>
      <c r="V20" s="403">
        <f t="shared" si="17"/>
        <v>-2775.7938609686671</v>
      </c>
      <c r="W20" s="403">
        <f t="shared" si="17"/>
        <v>-2831.3097381880407</v>
      </c>
      <c r="X20" s="403">
        <f t="shared" si="17"/>
        <v>-2887.9359329518011</v>
      </c>
      <c r="Y20" s="403">
        <f t="shared" si="17"/>
        <v>-2945.6946516108374</v>
      </c>
      <c r="Z20" s="403">
        <f t="shared" si="17"/>
        <v>-3004.6085446430538</v>
      </c>
      <c r="AA20" s="403">
        <f t="shared" si="17"/>
        <v>-3064.7007155359147</v>
      </c>
      <c r="AB20" s="403">
        <f t="shared" si="17"/>
        <v>-3125.9947298466327</v>
      </c>
      <c r="AC20" s="403">
        <f t="shared" si="17"/>
        <v>-3188.5146244435655</v>
      </c>
      <c r="AD20" s="403">
        <f t="shared" si="17"/>
        <v>-3252.2849169324372</v>
      </c>
      <c r="AE20" s="403">
        <f t="shared" si="17"/>
        <v>-3317.3306152710857</v>
      </c>
      <c r="AF20" s="405">
        <f t="shared" si="17"/>
        <v>-3383.6772275765074</v>
      </c>
      <c r="AG20" s="350"/>
      <c r="AH20" s="351"/>
      <c r="AI20" s="351"/>
      <c r="AJ20" s="351"/>
    </row>
    <row r="21" spans="1:40" ht="15" x14ac:dyDescent="0.2">
      <c r="A21" s="1245"/>
      <c r="B21" s="398">
        <v>14</v>
      </c>
      <c r="C21" s="338" t="s">
        <v>514</v>
      </c>
      <c r="D21" s="409">
        <f>Inputs!D62</f>
        <v>2895</v>
      </c>
      <c r="E21" s="410">
        <f>Inputs!C62</f>
        <v>1522</v>
      </c>
      <c r="F21" s="411">
        <f>Inputs!B62</f>
        <v>2246</v>
      </c>
      <c r="G21" s="412">
        <f t="shared" ref="G21:J21" si="18">$D$60*(G6-F6)</f>
        <v>3449.1889333050635</v>
      </c>
      <c r="H21" s="413">
        <f t="shared" si="18"/>
        <v>2329.2285938607133</v>
      </c>
      <c r="I21" s="413">
        <f t="shared" si="18"/>
        <v>2762.5248950990585</v>
      </c>
      <c r="J21" s="414">
        <f t="shared" si="18"/>
        <v>3753.4170322912696</v>
      </c>
      <c r="K21" s="415">
        <f t="shared" ref="K21:AF21" si="19">$E$60*(K6-J6)</f>
        <v>4196.0113823799902</v>
      </c>
      <c r="L21" s="416">
        <f t="shared" si="19"/>
        <v>3724.7569060887927</v>
      </c>
      <c r="M21" s="416">
        <f t="shared" si="19"/>
        <v>4073.5183110622397</v>
      </c>
      <c r="N21" s="416">
        <f t="shared" si="19"/>
        <v>4454.9354089213684</v>
      </c>
      <c r="O21" s="416">
        <f t="shared" si="19"/>
        <v>4872.0658610433766</v>
      </c>
      <c r="P21" s="416">
        <f t="shared" si="19"/>
        <v>5328.2536278324042</v>
      </c>
      <c r="Q21" s="416">
        <f t="shared" si="19"/>
        <v>5827.155775851772</v>
      </c>
      <c r="R21" s="416">
        <f t="shared" si="19"/>
        <v>1361.2186105369965</v>
      </c>
      <c r="S21" s="416">
        <f t="shared" si="19"/>
        <v>1388.4429827477354</v>
      </c>
      <c r="T21" s="416">
        <f t="shared" si="19"/>
        <v>1416.2118424026944</v>
      </c>
      <c r="U21" s="416">
        <f t="shared" si="19"/>
        <v>1444.5360792507465</v>
      </c>
      <c r="V21" s="416">
        <f t="shared" si="19"/>
        <v>1473.4268008357622</v>
      </c>
      <c r="W21" s="416">
        <f t="shared" si="19"/>
        <v>1502.8953368524735</v>
      </c>
      <c r="X21" s="416">
        <f t="shared" si="19"/>
        <v>1532.9532435895201</v>
      </c>
      <c r="Y21" s="416">
        <f t="shared" si="19"/>
        <v>1563.6123084613175</v>
      </c>
      <c r="Z21" s="416">
        <f t="shared" si="19"/>
        <v>1594.8845546305349</v>
      </c>
      <c r="AA21" s="416">
        <f t="shared" si="19"/>
        <v>1626.7822457231448</v>
      </c>
      <c r="AB21" s="416">
        <f t="shared" si="19"/>
        <v>1659.3178906376115</v>
      </c>
      <c r="AC21" s="416">
        <f t="shared" si="19"/>
        <v>1692.5042484503717</v>
      </c>
      <c r="AD21" s="416">
        <f t="shared" si="19"/>
        <v>1726.3543334193782</v>
      </c>
      <c r="AE21" s="416">
        <f t="shared" si="19"/>
        <v>1760.881420087758</v>
      </c>
      <c r="AF21" s="417">
        <f t="shared" si="19"/>
        <v>1796.0990484895137</v>
      </c>
      <c r="AG21" s="350"/>
      <c r="AH21" s="351"/>
      <c r="AI21" s="351"/>
      <c r="AJ21" s="351"/>
    </row>
    <row r="22" spans="1:40" ht="15" x14ac:dyDescent="0.2">
      <c r="A22" s="1245"/>
      <c r="B22" s="398">
        <v>15</v>
      </c>
      <c r="C22" s="418" t="s">
        <v>515</v>
      </c>
      <c r="D22" s="419">
        <f>Inputs!D59</f>
        <v>22174</v>
      </c>
      <c r="E22" s="420">
        <f>Inputs!C59</f>
        <v>22343</v>
      </c>
      <c r="F22" s="421">
        <f>Inputs!B59</f>
        <v>26206</v>
      </c>
      <c r="G22" s="422">
        <f>G19+G20+G21</f>
        <v>31944.324374187741</v>
      </c>
      <c r="H22" s="423">
        <f t="shared" ref="H22:AF22" si="20">H19+H20+H21</f>
        <v>32963.258667655813</v>
      </c>
      <c r="I22" s="423">
        <f t="shared" si="20"/>
        <v>35979.960370029352</v>
      </c>
      <c r="J22" s="424">
        <f t="shared" si="20"/>
        <v>39309.934682713269</v>
      </c>
      <c r="K22" s="422">
        <f t="shared" si="20"/>
        <v>42561.29011367738</v>
      </c>
      <c r="L22" s="423">
        <f t="shared" si="20"/>
        <v>45783.167323407026</v>
      </c>
      <c r="M22" s="423">
        <f t="shared" si="20"/>
        <v>50129.3160673003</v>
      </c>
      <c r="N22" s="423">
        <f t="shared" si="20"/>
        <v>54876.662452388002</v>
      </c>
      <c r="O22" s="423">
        <f t="shared" si="20"/>
        <v>60065.822020443506</v>
      </c>
      <c r="P22" s="423">
        <f t="shared" si="20"/>
        <v>65737.422815849073</v>
      </c>
      <c r="Q22" s="423">
        <f t="shared" si="20"/>
        <v>71935.612378219419</v>
      </c>
      <c r="R22" s="423">
        <f t="shared" si="20"/>
        <v>69354.57475487444</v>
      </c>
      <c r="S22" s="423">
        <f t="shared" si="20"/>
        <v>71239.65849206585</v>
      </c>
      <c r="T22" s="423">
        <f t="shared" si="20"/>
        <v>73177.440412001655</v>
      </c>
      <c r="U22" s="423">
        <f t="shared" si="20"/>
        <v>75168.718976033037</v>
      </c>
      <c r="V22" s="423">
        <f t="shared" si="20"/>
        <v>77213.921443408122</v>
      </c>
      <c r="W22" s="423">
        <f t="shared" si="20"/>
        <v>79314.815328008321</v>
      </c>
      <c r="X22" s="423">
        <f t="shared" si="20"/>
        <v>81472.442523880876</v>
      </c>
      <c r="Y22" s="423">
        <f t="shared" si="20"/>
        <v>83687.928169939158</v>
      </c>
      <c r="Z22" s="423">
        <f t="shared" si="20"/>
        <v>85962.635171438</v>
      </c>
      <c r="AA22" s="423">
        <f t="shared" si="20"/>
        <v>88297.78936364963</v>
      </c>
      <c r="AB22" s="423">
        <f t="shared" si="20"/>
        <v>90694.679628702041</v>
      </c>
      <c r="AC22" s="423">
        <f t="shared" si="20"/>
        <v>93154.651038341282</v>
      </c>
      <c r="AD22" s="423">
        <f t="shared" si="20"/>
        <v>95679.04312813282</v>
      </c>
      <c r="AE22" s="423">
        <f t="shared" si="20"/>
        <v>98269.234629446932</v>
      </c>
      <c r="AF22" s="425">
        <f t="shared" si="20"/>
        <v>100926.6353708033</v>
      </c>
      <c r="AG22" s="350"/>
      <c r="AH22" s="351"/>
      <c r="AI22" s="351"/>
      <c r="AJ22" s="351"/>
    </row>
    <row r="23" spans="1:40" ht="15" x14ac:dyDescent="0.2">
      <c r="A23" s="1245"/>
      <c r="B23" s="398">
        <v>16</v>
      </c>
      <c r="C23" s="338" t="s">
        <v>516</v>
      </c>
      <c r="D23" s="426">
        <f>'Fin. Data'!D32</f>
        <v>-2051</v>
      </c>
      <c r="E23" s="427">
        <f>'Fin. Data'!C32</f>
        <v>-2454</v>
      </c>
      <c r="F23" s="428">
        <f>'Fin. Data'!B32</f>
        <v>-2802</v>
      </c>
      <c r="G23" s="415">
        <f>G6*$D$62</f>
        <v>-2977.3585304000003</v>
      </c>
      <c r="H23" s="416">
        <f t="shared" ref="H23:J23" si="21">H6*$D$62</f>
        <v>-3236.7149892475559</v>
      </c>
      <c r="I23" s="416">
        <f t="shared" si="21"/>
        <v>-3544.3184061726156</v>
      </c>
      <c r="J23" s="429">
        <f t="shared" si="21"/>
        <v>-3962.2563246057853</v>
      </c>
      <c r="K23" s="415">
        <f t="shared" ref="K23:AF23" si="22">K6*$E$62</f>
        <v>-4429.4765263011068</v>
      </c>
      <c r="L23" s="416">
        <f t="shared" si="22"/>
        <v>-4844.2231783804327</v>
      </c>
      <c r="M23" s="416">
        <f t="shared" si="22"/>
        <v>-5297.8039419827865</v>
      </c>
      <c r="N23" s="416">
        <f t="shared" si="22"/>
        <v>-5793.8549844171075</v>
      </c>
      <c r="O23" s="416">
        <f t="shared" si="22"/>
        <v>-6336.3529394580282</v>
      </c>
      <c r="P23" s="416">
        <f t="shared" si="22"/>
        <v>-6929.6467863559483</v>
      </c>
      <c r="Q23" s="416">
        <f t="shared" si="22"/>
        <v>-7578.4927137850755</v>
      </c>
      <c r="R23" s="416">
        <f t="shared" si="22"/>
        <v>-7730.0625680607773</v>
      </c>
      <c r="S23" s="416">
        <f t="shared" si="22"/>
        <v>-7884.6638194219931</v>
      </c>
      <c r="T23" s="416">
        <f t="shared" si="22"/>
        <v>-8042.3570958104328</v>
      </c>
      <c r="U23" s="416">
        <f t="shared" si="22"/>
        <v>-8203.2042377266425</v>
      </c>
      <c r="V23" s="416">
        <f t="shared" si="22"/>
        <v>-8367.2683224811753</v>
      </c>
      <c r="W23" s="416">
        <f t="shared" si="22"/>
        <v>-8534.6136889307982</v>
      </c>
      <c r="X23" s="416">
        <f t="shared" si="22"/>
        <v>-8705.3059627094135</v>
      </c>
      <c r="Y23" s="416">
        <f t="shared" si="22"/>
        <v>-8879.4120819636028</v>
      </c>
      <c r="Z23" s="416">
        <f t="shared" si="22"/>
        <v>-9057.0003236028733</v>
      </c>
      <c r="AA23" s="416">
        <f t="shared" si="22"/>
        <v>-9238.1403300749316</v>
      </c>
      <c r="AB23" s="416">
        <f t="shared" si="22"/>
        <v>-9422.9031366764284</v>
      </c>
      <c r="AC23" s="416">
        <f t="shared" si="22"/>
        <v>-9611.3611994099574</v>
      </c>
      <c r="AD23" s="416">
        <f t="shared" si="22"/>
        <v>-9803.5884233981578</v>
      </c>
      <c r="AE23" s="416">
        <f t="shared" si="22"/>
        <v>-9999.6601918661199</v>
      </c>
      <c r="AF23" s="417">
        <f t="shared" si="22"/>
        <v>-10199.653395703443</v>
      </c>
      <c r="AG23" s="361">
        <f>SUM(D23:AF23)</f>
        <v>-195916.69409894323</v>
      </c>
      <c r="AH23" s="351"/>
      <c r="AI23" s="351"/>
      <c r="AJ23" s="351"/>
    </row>
    <row r="24" spans="1:40" ht="15" x14ac:dyDescent="0.2">
      <c r="A24" s="1245"/>
      <c r="B24" s="398">
        <v>17</v>
      </c>
      <c r="C24" s="338" t="s">
        <v>517</v>
      </c>
      <c r="D24" s="409">
        <f>Inputs!D66</f>
        <v>-10481</v>
      </c>
      <c r="E24" s="410">
        <f>'Fin. Data'!C33</f>
        <v>-7918</v>
      </c>
      <c r="F24" s="411">
        <f>'Fin. Data'!B33</f>
        <v>-25674</v>
      </c>
      <c r="G24" s="415">
        <f>G6*$D$63</f>
        <v>-12778.888610765151</v>
      </c>
      <c r="H24" s="416">
        <f t="shared" ref="H24:J24" si="23">H6*$D$63</f>
        <v>-13892.052263800295</v>
      </c>
      <c r="I24" s="416">
        <f t="shared" si="23"/>
        <v>-15212.292927140223</v>
      </c>
      <c r="J24" s="429">
        <f t="shared" si="23"/>
        <v>-17006.091709295964</v>
      </c>
      <c r="K24" s="415">
        <f t="shared" ref="K24:AF24" si="24">K6*$E$63</f>
        <v>-19011.411140329219</v>
      </c>
      <c r="L24" s="416">
        <f t="shared" si="24"/>
        <v>-20791.512936768708</v>
      </c>
      <c r="M24" s="416">
        <f t="shared" si="24"/>
        <v>-22738.29159808148</v>
      </c>
      <c r="N24" s="416">
        <f t="shared" si="24"/>
        <v>-24867.353634715171</v>
      </c>
      <c r="O24" s="416">
        <f t="shared" si="24"/>
        <v>-27195.766846712337</v>
      </c>
      <c r="P24" s="416">
        <f t="shared" si="24"/>
        <v>-29742.197149126165</v>
      </c>
      <c r="Q24" s="416">
        <f t="shared" si="24"/>
        <v>-32527.058208856008</v>
      </c>
      <c r="R24" s="416">
        <f t="shared" si="24"/>
        <v>-33177.599373033125</v>
      </c>
      <c r="S24" s="416">
        <f t="shared" si="24"/>
        <v>-33841.151360493786</v>
      </c>
      <c r="T24" s="416">
        <f t="shared" si="24"/>
        <v>-34517.974387703667</v>
      </c>
      <c r="U24" s="416">
        <f t="shared" si="24"/>
        <v>-35208.333875457742</v>
      </c>
      <c r="V24" s="416">
        <f t="shared" si="24"/>
        <v>-35912.5005529669</v>
      </c>
      <c r="W24" s="416">
        <f t="shared" si="24"/>
        <v>-36630.750564026239</v>
      </c>
      <c r="X24" s="416">
        <f t="shared" si="24"/>
        <v>-37363.365575306758</v>
      </c>
      <c r="Y24" s="416">
        <f t="shared" si="24"/>
        <v>-38110.632886812891</v>
      </c>
      <c r="Z24" s="416">
        <f t="shared" si="24"/>
        <v>-38872.845544549149</v>
      </c>
      <c r="AA24" s="416">
        <f t="shared" si="24"/>
        <v>-39650.302455440127</v>
      </c>
      <c r="AB24" s="416">
        <f t="shared" si="24"/>
        <v>-40443.308504548928</v>
      </c>
      <c r="AC24" s="416">
        <f t="shared" si="24"/>
        <v>-41252.174674639915</v>
      </c>
      <c r="AD24" s="416">
        <f t="shared" si="24"/>
        <v>-42077.218168132713</v>
      </c>
      <c r="AE24" s="416">
        <f t="shared" si="24"/>
        <v>-42918.762531495362</v>
      </c>
      <c r="AF24" s="417">
        <f t="shared" si="24"/>
        <v>-43777.137782125268</v>
      </c>
      <c r="AG24" s="350"/>
      <c r="AH24" s="430">
        <f>AG9-AG23</f>
        <v>-78632.812047702522</v>
      </c>
      <c r="AI24" s="351"/>
      <c r="AJ24" s="351"/>
    </row>
    <row r="25" spans="1:40" ht="15" x14ac:dyDescent="0.15">
      <c r="A25" s="1245"/>
      <c r="B25" s="398">
        <v>18</v>
      </c>
      <c r="C25" s="338" t="s">
        <v>518</v>
      </c>
      <c r="D25" s="409">
        <f>Inputs!D67</f>
        <v>0</v>
      </c>
      <c r="E25" s="410">
        <f>Inputs!C67</f>
        <v>0</v>
      </c>
      <c r="F25" s="411">
        <f>Inputs!B67</f>
        <v>0</v>
      </c>
      <c r="G25" s="415">
        <f>(1+G5)*AVERAGE(D25:F25)</f>
        <v>0</v>
      </c>
      <c r="H25" s="416">
        <f t="shared" ref="H25:AF25" si="25">(1+H5)*AVERAGE(E25:G25)</f>
        <v>0</v>
      </c>
      <c r="I25" s="416">
        <f t="shared" si="25"/>
        <v>0</v>
      </c>
      <c r="J25" s="429">
        <f t="shared" si="25"/>
        <v>0</v>
      </c>
      <c r="K25" s="415">
        <f t="shared" si="25"/>
        <v>0</v>
      </c>
      <c r="L25" s="416">
        <f t="shared" si="25"/>
        <v>0</v>
      </c>
      <c r="M25" s="416">
        <f t="shared" si="25"/>
        <v>0</v>
      </c>
      <c r="N25" s="416">
        <f t="shared" si="25"/>
        <v>0</v>
      </c>
      <c r="O25" s="416">
        <f t="shared" si="25"/>
        <v>0</v>
      </c>
      <c r="P25" s="416">
        <f t="shared" si="25"/>
        <v>0</v>
      </c>
      <c r="Q25" s="416">
        <f t="shared" si="25"/>
        <v>0</v>
      </c>
      <c r="R25" s="416">
        <f t="shared" si="25"/>
        <v>0</v>
      </c>
      <c r="S25" s="416">
        <f t="shared" si="25"/>
        <v>0</v>
      </c>
      <c r="T25" s="416">
        <f t="shared" si="25"/>
        <v>0</v>
      </c>
      <c r="U25" s="416">
        <f t="shared" si="25"/>
        <v>0</v>
      </c>
      <c r="V25" s="416">
        <f t="shared" si="25"/>
        <v>0</v>
      </c>
      <c r="W25" s="416">
        <f t="shared" si="25"/>
        <v>0</v>
      </c>
      <c r="X25" s="416">
        <f t="shared" si="25"/>
        <v>0</v>
      </c>
      <c r="Y25" s="416">
        <f t="shared" si="25"/>
        <v>0</v>
      </c>
      <c r="Z25" s="416">
        <f t="shared" si="25"/>
        <v>0</v>
      </c>
      <c r="AA25" s="416">
        <f t="shared" si="25"/>
        <v>0</v>
      </c>
      <c r="AB25" s="416">
        <f t="shared" si="25"/>
        <v>0</v>
      </c>
      <c r="AC25" s="416">
        <f t="shared" si="25"/>
        <v>0</v>
      </c>
      <c r="AD25" s="416">
        <f t="shared" si="25"/>
        <v>0</v>
      </c>
      <c r="AE25" s="416">
        <f t="shared" si="25"/>
        <v>0</v>
      </c>
      <c r="AF25" s="417">
        <f t="shared" si="25"/>
        <v>0</v>
      </c>
      <c r="AG25" s="369"/>
      <c r="AH25" s="351"/>
      <c r="AI25" s="351"/>
      <c r="AJ25" s="351"/>
    </row>
    <row r="26" spans="1:40" ht="15" x14ac:dyDescent="0.2">
      <c r="A26" s="1245"/>
      <c r="B26" s="398">
        <v>19</v>
      </c>
      <c r="C26" s="418" t="s">
        <v>519</v>
      </c>
      <c r="D26" s="431">
        <f t="shared" ref="D26:AF26" si="26">D23+D24+D25</f>
        <v>-12532</v>
      </c>
      <c r="E26" s="432">
        <f t="shared" si="26"/>
        <v>-10372</v>
      </c>
      <c r="F26" s="433">
        <f t="shared" si="26"/>
        <v>-28476</v>
      </c>
      <c r="G26" s="434">
        <f>G23+G24+G25</f>
        <v>-15756.247141165151</v>
      </c>
      <c r="H26" s="435">
        <f t="shared" si="26"/>
        <v>-17128.767253047852</v>
      </c>
      <c r="I26" s="435">
        <f t="shared" si="26"/>
        <v>-18756.611333312838</v>
      </c>
      <c r="J26" s="436">
        <f t="shared" si="26"/>
        <v>-20968.348033901748</v>
      </c>
      <c r="K26" s="434">
        <f t="shared" si="26"/>
        <v>-23440.887666630326</v>
      </c>
      <c r="L26" s="435">
        <f t="shared" si="26"/>
        <v>-25635.736115149142</v>
      </c>
      <c r="M26" s="435">
        <f t="shared" si="26"/>
        <v>-28036.095540064267</v>
      </c>
      <c r="N26" s="435">
        <f t="shared" si="26"/>
        <v>-30661.208619132278</v>
      </c>
      <c r="O26" s="435">
        <f t="shared" si="26"/>
        <v>-33532.119786170362</v>
      </c>
      <c r="P26" s="435">
        <f t="shared" si="26"/>
        <v>-36671.843935482117</v>
      </c>
      <c r="Q26" s="435">
        <f t="shared" si="26"/>
        <v>-40105.55092264108</v>
      </c>
      <c r="R26" s="435">
        <f t="shared" si="26"/>
        <v>-40907.661941093902</v>
      </c>
      <c r="S26" s="435">
        <f t="shared" si="26"/>
        <v>-41725.815179915779</v>
      </c>
      <c r="T26" s="435">
        <f t="shared" si="26"/>
        <v>-42560.331483514099</v>
      </c>
      <c r="U26" s="435">
        <f t="shared" si="26"/>
        <v>-43411.538113184382</v>
      </c>
      <c r="V26" s="435">
        <f t="shared" si="26"/>
        <v>-44279.768875448077</v>
      </c>
      <c r="W26" s="435">
        <f t="shared" si="26"/>
        <v>-45165.364252957035</v>
      </c>
      <c r="X26" s="435">
        <f t="shared" si="26"/>
        <v>-46068.67153801617</v>
      </c>
      <c r="Y26" s="435">
        <f t="shared" si="26"/>
        <v>-46990.044968776492</v>
      </c>
      <c r="Z26" s="435">
        <f t="shared" si="26"/>
        <v>-47929.845868152021</v>
      </c>
      <c r="AA26" s="435">
        <f t="shared" si="26"/>
        <v>-48888.442785515057</v>
      </c>
      <c r="AB26" s="435">
        <f t="shared" si="26"/>
        <v>-49866.211641225353</v>
      </c>
      <c r="AC26" s="435">
        <f t="shared" si="26"/>
        <v>-50863.53587404987</v>
      </c>
      <c r="AD26" s="435">
        <f t="shared" si="26"/>
        <v>-51880.806591530869</v>
      </c>
      <c r="AE26" s="435">
        <f t="shared" si="26"/>
        <v>-52918.42272336148</v>
      </c>
      <c r="AF26" s="437">
        <f t="shared" si="26"/>
        <v>-53976.791177828709</v>
      </c>
      <c r="AG26" s="350"/>
      <c r="AH26" s="351"/>
      <c r="AI26" s="351"/>
      <c r="AJ26" s="351"/>
    </row>
    <row r="27" spans="1:40" ht="15" x14ac:dyDescent="0.2">
      <c r="A27" s="1245"/>
      <c r="B27" s="398">
        <v>20</v>
      </c>
      <c r="C27" s="338" t="s">
        <v>520</v>
      </c>
      <c r="D27" s="409">
        <f>Inputs!D71+Inputs!D72</f>
        <v>0</v>
      </c>
      <c r="E27" s="410">
        <f>Inputs!C71+Inputs!C72</f>
        <v>0</v>
      </c>
      <c r="F27" s="428">
        <f>Inputs!B71+Inputs!B72</f>
        <v>0</v>
      </c>
      <c r="G27" s="438">
        <v>0</v>
      </c>
      <c r="H27" s="439">
        <v>0</v>
      </c>
      <c r="I27" s="439">
        <v>0</v>
      </c>
      <c r="J27" s="440">
        <v>0</v>
      </c>
      <c r="K27" s="438">
        <v>0</v>
      </c>
      <c r="L27" s="439">
        <v>0</v>
      </c>
      <c r="M27" s="439">
        <v>0</v>
      </c>
      <c r="N27" s="439">
        <v>0</v>
      </c>
      <c r="O27" s="439">
        <v>0</v>
      </c>
      <c r="P27" s="439">
        <v>0</v>
      </c>
      <c r="Q27" s="439">
        <v>0</v>
      </c>
      <c r="R27" s="439">
        <v>0</v>
      </c>
      <c r="S27" s="439">
        <v>0</v>
      </c>
      <c r="T27" s="439">
        <v>0</v>
      </c>
      <c r="U27" s="439">
        <v>0</v>
      </c>
      <c r="V27" s="439">
        <v>0</v>
      </c>
      <c r="W27" s="439">
        <v>0</v>
      </c>
      <c r="X27" s="439">
        <v>0</v>
      </c>
      <c r="Y27" s="439">
        <v>0</v>
      </c>
      <c r="Z27" s="439">
        <v>0</v>
      </c>
      <c r="AA27" s="439">
        <v>0</v>
      </c>
      <c r="AB27" s="439">
        <v>0</v>
      </c>
      <c r="AC27" s="439">
        <v>0</v>
      </c>
      <c r="AD27" s="439">
        <v>0</v>
      </c>
      <c r="AE27" s="439">
        <v>0</v>
      </c>
      <c r="AF27" s="441">
        <v>0</v>
      </c>
      <c r="AG27" s="350"/>
      <c r="AH27" s="351"/>
      <c r="AI27" s="351"/>
      <c r="AJ27" s="351"/>
    </row>
    <row r="28" spans="1:40" ht="15" x14ac:dyDescent="0.2">
      <c r="A28" s="1245"/>
      <c r="B28" s="398">
        <v>21</v>
      </c>
      <c r="C28" s="338" t="s">
        <v>521</v>
      </c>
      <c r="D28" s="426">
        <f>+SUM(Inputs!D69:D70)</f>
        <v>2586</v>
      </c>
      <c r="E28" s="410">
        <f>+SUM(Inputs!C69:C70)</f>
        <v>2481</v>
      </c>
      <c r="F28" s="411">
        <f>+SUM(Inputs!B69:B70)</f>
        <v>12536</v>
      </c>
      <c r="G28" s="415">
        <f>G44-F44</f>
        <v>9943.8009721322887</v>
      </c>
      <c r="H28" s="416">
        <f t="shared" ref="H28:AF28" si="27">H44-G44</f>
        <v>5221.8580556730449</v>
      </c>
      <c r="I28" s="416">
        <f t="shared" si="27"/>
        <v>6562.6311571536498</v>
      </c>
      <c r="J28" s="429">
        <f t="shared" si="27"/>
        <v>5842.4040975736425</v>
      </c>
      <c r="K28" s="415">
        <f t="shared" si="27"/>
        <v>8102.9506333008467</v>
      </c>
      <c r="L28" s="416">
        <f t="shared" si="27"/>
        <v>9413.0186423667183</v>
      </c>
      <c r="M28" s="416">
        <f t="shared" si="27"/>
        <v>10240.906367772739</v>
      </c>
      <c r="N28" s="416">
        <f t="shared" si="27"/>
        <v>11195.880875743373</v>
      </c>
      <c r="O28" s="416">
        <f t="shared" si="27"/>
        <v>12240.217594685935</v>
      </c>
      <c r="P28" s="416">
        <f t="shared" si="27"/>
        <v>13382.283027126396</v>
      </c>
      <c r="Q28" s="416">
        <f t="shared" si="27"/>
        <v>14631.227048119268</v>
      </c>
      <c r="R28" s="416">
        <f t="shared" si="27"/>
        <v>4822.7211708333052</v>
      </c>
      <c r="S28" s="416">
        <f t="shared" si="27"/>
        <v>4918.864345988055</v>
      </c>
      <c r="T28" s="416">
        <f t="shared" si="27"/>
        <v>5016.9259941214696</v>
      </c>
      <c r="U28" s="416">
        <f t="shared" si="27"/>
        <v>5116.9444227593485</v>
      </c>
      <c r="V28" s="416">
        <f t="shared" si="27"/>
        <v>5218.9587047047389</v>
      </c>
      <c r="W28" s="416">
        <f t="shared" si="27"/>
        <v>5323.0086933305138</v>
      </c>
      <c r="X28" s="416">
        <f t="shared" si="27"/>
        <v>5429.1350381787925</v>
      </c>
      <c r="Y28" s="416">
        <f t="shared" si="27"/>
        <v>5537.3792008711898</v>
      </c>
      <c r="Z28" s="416">
        <f t="shared" si="27"/>
        <v>5647.7834713377524</v>
      </c>
      <c r="AA28" s="416">
        <f t="shared" si="27"/>
        <v>5760.3909843703441</v>
      </c>
      <c r="AB28" s="416">
        <f t="shared" si="27"/>
        <v>5875.2457365061855</v>
      </c>
      <c r="AC28" s="416">
        <f t="shared" si="27"/>
        <v>5992.3926032496674</v>
      </c>
      <c r="AD28" s="416">
        <f t="shared" si="27"/>
        <v>6111.8773566379386</v>
      </c>
      <c r="AE28" s="416">
        <f t="shared" si="27"/>
        <v>6233.7466831580969</v>
      </c>
      <c r="AF28" s="417">
        <f t="shared" si="27"/>
        <v>6358.0482020216878</v>
      </c>
      <c r="AG28" s="350"/>
      <c r="AH28" s="351"/>
      <c r="AI28" s="351"/>
      <c r="AJ28" s="351"/>
    </row>
    <row r="29" spans="1:40" ht="15" x14ac:dyDescent="0.2">
      <c r="A29" s="1245"/>
      <c r="B29" s="398">
        <v>22</v>
      </c>
      <c r="C29" s="338" t="s">
        <v>522</v>
      </c>
      <c r="D29" s="426">
        <f>'Fin. Data'!D28</f>
        <v>-2810</v>
      </c>
      <c r="E29" s="410">
        <f>'Fin. Data'!C28</f>
        <v>-3645</v>
      </c>
      <c r="F29" s="428">
        <f>'Fin. Data'!B28</f>
        <v>-5747</v>
      </c>
      <c r="G29" s="415">
        <f>-G17*$D$66</f>
        <v>-10672.364261748589</v>
      </c>
      <c r="H29" s="416">
        <f>-H17*$D$66</f>
        <v>-11444.941946545458</v>
      </c>
      <c r="I29" s="416">
        <f>-I17*$D$66</f>
        <v>-12396.336570349653</v>
      </c>
      <c r="J29" s="429">
        <f>-J17*$D$66</f>
        <v>-13229.289325589727</v>
      </c>
      <c r="K29" s="415">
        <f t="shared" ref="K29:AF29" si="28">-K17*$E$66</f>
        <v>-14202.037041903608</v>
      </c>
      <c r="L29" s="416">
        <f t="shared" si="28"/>
        <v>-15557.870707676577</v>
      </c>
      <c r="M29" s="416">
        <f t="shared" si="28"/>
        <v>-17023.678973599381</v>
      </c>
      <c r="N29" s="416">
        <f t="shared" si="28"/>
        <v>-18625.108231863873</v>
      </c>
      <c r="O29" s="416">
        <f t="shared" si="28"/>
        <v>-20376.175696953967</v>
      </c>
      <c r="P29" s="416">
        <f t="shared" si="28"/>
        <v>-22290.587211731658</v>
      </c>
      <c r="Q29" s="416">
        <f t="shared" si="28"/>
        <v>-24383.210156191555</v>
      </c>
      <c r="R29" s="416">
        <f t="shared" si="28"/>
        <v>-24809.751404481773</v>
      </c>
      <c r="S29" s="416">
        <f t="shared" si="28"/>
        <v>-25217.152907055643</v>
      </c>
      <c r="T29" s="416">
        <f t="shared" si="28"/>
        <v>-25639.194939206958</v>
      </c>
      <c r="U29" s="416">
        <f t="shared" si="28"/>
        <v>-26076.061791243403</v>
      </c>
      <c r="V29" s="416">
        <f t="shared" si="28"/>
        <v>-26527.775570020807</v>
      </c>
      <c r="W29" s="416">
        <f t="shared" si="28"/>
        <v>-26994.929405890027</v>
      </c>
      <c r="X29" s="416">
        <f t="shared" si="28"/>
        <v>-27477.802269722386</v>
      </c>
      <c r="Y29" s="416">
        <f t="shared" si="28"/>
        <v>-27976.705463895149</v>
      </c>
      <c r="Z29" s="416">
        <f t="shared" si="28"/>
        <v>-28492.048760159905</v>
      </c>
      <c r="AA29" s="416">
        <f t="shared" si="28"/>
        <v>-29024.179734079691</v>
      </c>
      <c r="AB29" s="416">
        <f t="shared" si="28"/>
        <v>-29573.469435442756</v>
      </c>
      <c r="AC29" s="416">
        <f t="shared" si="28"/>
        <v>-30140.309379739629</v>
      </c>
      <c r="AD29" s="416">
        <f t="shared" si="28"/>
        <v>-30725.085029925951</v>
      </c>
      <c r="AE29" s="416">
        <f t="shared" si="28"/>
        <v>-31328.194888336286</v>
      </c>
      <c r="AF29" s="417">
        <f t="shared" si="28"/>
        <v>-31950.046951968969</v>
      </c>
      <c r="AG29" s="350"/>
      <c r="AH29" s="351"/>
      <c r="AI29" s="351"/>
      <c r="AJ29" s="351"/>
    </row>
    <row r="30" spans="1:40" s="351" customFormat="1" ht="15" x14ac:dyDescent="0.2">
      <c r="A30" s="1245"/>
      <c r="B30" s="398">
        <v>23</v>
      </c>
      <c r="C30" s="338" t="s">
        <v>523</v>
      </c>
      <c r="D30" s="409">
        <f>'Fin. Data'!D27</f>
        <v>-4584</v>
      </c>
      <c r="E30" s="410">
        <f>'Fin. Data'!C27</f>
        <v>-5280</v>
      </c>
      <c r="F30" s="411">
        <f>'Fin. Data'!B27</f>
        <v>-5991</v>
      </c>
      <c r="G30" s="415">
        <f>-$D$64*G17</f>
        <v>-7632.23330587276</v>
      </c>
      <c r="H30" s="416">
        <f t="shared" ref="H30:J30" si="29">-$D$64*H17</f>
        <v>-8184.7344192778437</v>
      </c>
      <c r="I30" s="416">
        <f t="shared" si="29"/>
        <v>-8865.1146571274985</v>
      </c>
      <c r="J30" s="429">
        <f t="shared" si="29"/>
        <v>-9460.792391211904</v>
      </c>
      <c r="K30" s="415">
        <f t="shared" ref="K30:AF30" si="30">-$E$64*K17</f>
        <v>-9433.9137415282839</v>
      </c>
      <c r="L30" s="416">
        <f t="shared" si="30"/>
        <v>-10334.546362962978</v>
      </c>
      <c r="M30" s="416">
        <f t="shared" si="30"/>
        <v>-11308.231243627208</v>
      </c>
      <c r="N30" s="416">
        <f t="shared" si="30"/>
        <v>-12372.004379906948</v>
      </c>
      <c r="O30" s="416">
        <f t="shared" si="30"/>
        <v>-13535.176914418398</v>
      </c>
      <c r="P30" s="416">
        <f t="shared" si="30"/>
        <v>-14806.853156559819</v>
      </c>
      <c r="Q30" s="416">
        <f t="shared" si="30"/>
        <v>-16196.908983997055</v>
      </c>
      <c r="R30" s="416">
        <f t="shared" si="30"/>
        <v>-16480.245334388263</v>
      </c>
      <c r="S30" s="416">
        <f t="shared" si="30"/>
        <v>-16750.867824817688</v>
      </c>
      <c r="T30" s="416">
        <f t="shared" si="30"/>
        <v>-17031.215504158845</v>
      </c>
      <c r="U30" s="416">
        <f t="shared" si="30"/>
        <v>-17321.410789981899</v>
      </c>
      <c r="V30" s="416">
        <f t="shared" si="30"/>
        <v>-17621.468367093712</v>
      </c>
      <c r="W30" s="416">
        <f t="shared" si="30"/>
        <v>-17931.78223112681</v>
      </c>
      <c r="X30" s="416">
        <f t="shared" si="30"/>
        <v>-18252.537692620001</v>
      </c>
      <c r="Y30" s="416">
        <f t="shared" si="30"/>
        <v>-18583.941538794446</v>
      </c>
      <c r="Z30" s="416">
        <f t="shared" si="30"/>
        <v>-18926.265966613635</v>
      </c>
      <c r="AA30" s="416">
        <f t="shared" si="30"/>
        <v>-19279.741858300353</v>
      </c>
      <c r="AB30" s="416">
        <f t="shared" si="30"/>
        <v>-19644.615689179645</v>
      </c>
      <c r="AC30" s="416">
        <f t="shared" si="30"/>
        <v>-20021.147529222828</v>
      </c>
      <c r="AD30" s="416">
        <f t="shared" si="30"/>
        <v>-20409.593427915152</v>
      </c>
      <c r="AE30" s="416">
        <f t="shared" si="30"/>
        <v>-20810.218096342702</v>
      </c>
      <c r="AF30" s="417">
        <f t="shared" si="30"/>
        <v>-21223.292552562805</v>
      </c>
      <c r="AG30" s="350"/>
      <c r="AK30" s="188"/>
      <c r="AL30" s="188"/>
      <c r="AM30" s="188"/>
      <c r="AN30" s="188"/>
    </row>
    <row r="31" spans="1:40" s="449" customFormat="1" ht="15" x14ac:dyDescent="0.2">
      <c r="A31" s="1245"/>
      <c r="B31" s="398">
        <v>24</v>
      </c>
      <c r="C31" s="338" t="s">
        <v>524</v>
      </c>
      <c r="D31" s="442">
        <f>Inputs!D75</f>
        <v>1218</v>
      </c>
      <c r="E31" s="443">
        <f>Inputs!C75</f>
        <v>-1011</v>
      </c>
      <c r="F31" s="444">
        <f>Inputs!B75</f>
        <v>3428</v>
      </c>
      <c r="G31" s="415">
        <f>(1+G5)*AVERAGE(D31:F31)</f>
        <v>1391.1123473762091</v>
      </c>
      <c r="H31" s="416">
        <f t="shared" ref="H31:AF31" si="31">(1+H5)*AVERAGE(E31:G31)</f>
        <v>1379.9451414892624</v>
      </c>
      <c r="I31" s="416">
        <f t="shared" si="31"/>
        <v>2262.7297153335726</v>
      </c>
      <c r="J31" s="429">
        <f t="shared" si="31"/>
        <v>1875.7866253232974</v>
      </c>
      <c r="K31" s="445">
        <f t="shared" si="31"/>
        <v>2056.3952786753889</v>
      </c>
      <c r="L31" s="446">
        <f t="shared" si="31"/>
        <v>2258.3206146519119</v>
      </c>
      <c r="M31" s="446">
        <f t="shared" si="31"/>
        <v>2256.7133014934166</v>
      </c>
      <c r="N31" s="446">
        <f t="shared" si="31"/>
        <v>2395.5780050319213</v>
      </c>
      <c r="O31" s="446">
        <f t="shared" si="31"/>
        <v>2519.2251835767152</v>
      </c>
      <c r="P31" s="446">
        <f t="shared" si="31"/>
        <v>2614.3364947084247</v>
      </c>
      <c r="Q31" s="446">
        <f t="shared" si="31"/>
        <v>2744.7060429994381</v>
      </c>
      <c r="R31" s="446">
        <f t="shared" si="31"/>
        <v>2678.6110252367566</v>
      </c>
      <c r="S31" s="446">
        <f t="shared" si="31"/>
        <v>2732.8022114011706</v>
      </c>
      <c r="T31" s="446">
        <f t="shared" si="31"/>
        <v>2773.0805550767041</v>
      </c>
      <c r="U31" s="446">
        <f t="shared" si="31"/>
        <v>2782.7278891829746</v>
      </c>
      <c r="V31" s="446">
        <f t="shared" si="31"/>
        <v>2818.1276229246891</v>
      </c>
      <c r="W31" s="446">
        <f t="shared" si="31"/>
        <v>2847.1382628426854</v>
      </c>
      <c r="X31" s="446">
        <f t="shared" si="31"/>
        <v>2872.3178834831192</v>
      </c>
      <c r="Y31" s="446">
        <f t="shared" si="31"/>
        <v>2902.7784815451678</v>
      </c>
      <c r="Z31" s="446">
        <f t="shared" si="31"/>
        <v>2931.5597734761313</v>
      </c>
      <c r="AA31" s="446">
        <f t="shared" si="31"/>
        <v>2960.2630870915027</v>
      </c>
      <c r="AB31" s="446">
        <f t="shared" si="31"/>
        <v>2990.1644563183522</v>
      </c>
      <c r="AC31" s="446">
        <f t="shared" si="31"/>
        <v>3019.8756877412357</v>
      </c>
      <c r="AD31" s="446">
        <f t="shared" si="31"/>
        <v>3049.903098591371</v>
      </c>
      <c r="AE31" s="446">
        <f t="shared" si="31"/>
        <v>3080.3807025013261</v>
      </c>
      <c r="AF31" s="447">
        <f t="shared" si="31"/>
        <v>3111.0542262035374</v>
      </c>
      <c r="AG31" s="350"/>
      <c r="AH31" s="448"/>
      <c r="AI31" s="448"/>
      <c r="AJ31" s="448"/>
    </row>
    <row r="32" spans="1:40" s="351" customFormat="1" ht="16.5" customHeight="1" thickBot="1" x14ac:dyDescent="0.25">
      <c r="A32" s="1245"/>
      <c r="B32" s="450">
        <v>25</v>
      </c>
      <c r="C32" s="451" t="s">
        <v>525</v>
      </c>
      <c r="D32" s="452">
        <f t="shared" ref="D32:AF32" si="32">D27+D28+D29+D30+D31</f>
        <v>-3590</v>
      </c>
      <c r="E32" s="453">
        <f t="shared" si="32"/>
        <v>-7455</v>
      </c>
      <c r="F32" s="454">
        <f t="shared" si="32"/>
        <v>4226</v>
      </c>
      <c r="G32" s="452">
        <f>G27+G28+G29+G30+G31</f>
        <v>-6969.6842481128515</v>
      </c>
      <c r="H32" s="453">
        <f t="shared" si="32"/>
        <v>-13027.873168660994</v>
      </c>
      <c r="I32" s="453">
        <f t="shared" si="32"/>
        <v>-12436.090354989929</v>
      </c>
      <c r="J32" s="455">
        <f t="shared" si="32"/>
        <v>-14971.89099390469</v>
      </c>
      <c r="K32" s="452">
        <f t="shared" si="32"/>
        <v>-13476.604871455656</v>
      </c>
      <c r="L32" s="453">
        <f t="shared" si="32"/>
        <v>-14221.077813620923</v>
      </c>
      <c r="M32" s="453">
        <f t="shared" si="32"/>
        <v>-15834.290547960432</v>
      </c>
      <c r="N32" s="453">
        <f t="shared" si="32"/>
        <v>-17405.653730995524</v>
      </c>
      <c r="O32" s="453">
        <f t="shared" si="32"/>
        <v>-19151.909833109712</v>
      </c>
      <c r="P32" s="453">
        <f t="shared" si="32"/>
        <v>-21100.820846456656</v>
      </c>
      <c r="Q32" s="453">
        <f t="shared" si="32"/>
        <v>-23204.186049069904</v>
      </c>
      <c r="R32" s="453">
        <f t="shared" si="32"/>
        <v>-33788.664542799968</v>
      </c>
      <c r="S32" s="453">
        <f t="shared" si="32"/>
        <v>-34316.354174484106</v>
      </c>
      <c r="T32" s="453">
        <f t="shared" si="32"/>
        <v>-34880.403894167634</v>
      </c>
      <c r="U32" s="453">
        <f t="shared" si="32"/>
        <v>-35497.800269282976</v>
      </c>
      <c r="V32" s="453">
        <f t="shared" si="32"/>
        <v>-36112.15760948509</v>
      </c>
      <c r="W32" s="453">
        <f t="shared" si="32"/>
        <v>-36756.564680843636</v>
      </c>
      <c r="X32" s="453">
        <f t="shared" si="32"/>
        <v>-37428.887040680478</v>
      </c>
      <c r="Y32" s="453">
        <f t="shared" si="32"/>
        <v>-38120.489320273242</v>
      </c>
      <c r="Z32" s="453">
        <f t="shared" si="32"/>
        <v>-38838.971481959656</v>
      </c>
      <c r="AA32" s="453">
        <f t="shared" si="32"/>
        <v>-39583.267520918198</v>
      </c>
      <c r="AB32" s="453">
        <f t="shared" si="32"/>
        <v>-40352.674931797868</v>
      </c>
      <c r="AC32" s="453">
        <f t="shared" si="32"/>
        <v>-41149.188617971551</v>
      </c>
      <c r="AD32" s="453">
        <f t="shared" si="32"/>
        <v>-41972.898002611793</v>
      </c>
      <c r="AE32" s="453">
        <f t="shared" si="32"/>
        <v>-42824.285599019568</v>
      </c>
      <c r="AF32" s="454">
        <f t="shared" si="32"/>
        <v>-43704.237076306548</v>
      </c>
      <c r="AG32" s="350"/>
      <c r="AK32" s="188"/>
      <c r="AL32" s="188"/>
      <c r="AM32" s="188"/>
      <c r="AN32" s="188"/>
    </row>
    <row r="33" spans="1:40" ht="13.5" thickBot="1" x14ac:dyDescent="0.2">
      <c r="A33" s="1234"/>
      <c r="B33" s="1235"/>
      <c r="C33" s="1235"/>
      <c r="D33" s="1235"/>
      <c r="E33" s="1235"/>
      <c r="F33" s="1235"/>
      <c r="G33" s="1235"/>
      <c r="H33" s="1235"/>
      <c r="I33" s="1235"/>
      <c r="J33" s="1235"/>
      <c r="K33" s="1235"/>
      <c r="L33" s="1235"/>
      <c r="M33" s="1235"/>
      <c r="N33" s="1235"/>
      <c r="O33" s="1235"/>
      <c r="P33" s="1235"/>
      <c r="Q33" s="1235"/>
      <c r="R33" s="1235"/>
      <c r="S33" s="1235"/>
      <c r="T33" s="1235"/>
      <c r="U33" s="1235"/>
      <c r="V33" s="1235"/>
      <c r="W33" s="1235"/>
      <c r="X33" s="1235"/>
      <c r="Y33" s="1235"/>
      <c r="Z33" s="1235"/>
      <c r="AA33" s="1235"/>
      <c r="AB33" s="1235"/>
      <c r="AC33" s="1235"/>
      <c r="AD33" s="1235"/>
      <c r="AE33" s="1235"/>
      <c r="AF33" s="1236"/>
      <c r="AG33" s="351"/>
      <c r="AH33" s="351"/>
      <c r="AI33" s="351"/>
      <c r="AJ33" s="351"/>
    </row>
    <row r="34" spans="1:40" ht="15" x14ac:dyDescent="0.2">
      <c r="A34" s="1252" t="s">
        <v>526</v>
      </c>
      <c r="B34" s="398">
        <v>26</v>
      </c>
      <c r="C34" s="456" t="s">
        <v>527</v>
      </c>
      <c r="D34" s="457">
        <f>D22+D26+D27+D28+D31</f>
        <v>13446</v>
      </c>
      <c r="E34" s="458">
        <f t="shared" ref="E34:AF34" si="33">E22+E26+E27+E28+E31</f>
        <v>13441</v>
      </c>
      <c r="F34" s="459">
        <f t="shared" si="33"/>
        <v>13694</v>
      </c>
      <c r="G34" s="460">
        <f t="shared" si="33"/>
        <v>27522.990552531086</v>
      </c>
      <c r="H34" s="461">
        <f t="shared" si="33"/>
        <v>22436.294611770267</v>
      </c>
      <c r="I34" s="461">
        <f t="shared" si="33"/>
        <v>26048.709909203735</v>
      </c>
      <c r="J34" s="462">
        <f t="shared" si="33"/>
        <v>26059.77737170846</v>
      </c>
      <c r="K34" s="463">
        <f t="shared" si="33"/>
        <v>29279.748359023288</v>
      </c>
      <c r="L34" s="461">
        <f t="shared" si="33"/>
        <v>31818.770465276513</v>
      </c>
      <c r="M34" s="461">
        <f t="shared" si="33"/>
        <v>34590.840196502191</v>
      </c>
      <c r="N34" s="461">
        <f t="shared" si="33"/>
        <v>37806.912714031023</v>
      </c>
      <c r="O34" s="461">
        <f t="shared" si="33"/>
        <v>41293.145012535795</v>
      </c>
      <c r="P34" s="461">
        <f t="shared" si="33"/>
        <v>45062.198402201779</v>
      </c>
      <c r="Q34" s="461">
        <f t="shared" si="33"/>
        <v>49205.994546697046</v>
      </c>
      <c r="R34" s="461">
        <f t="shared" si="33"/>
        <v>35948.245009850601</v>
      </c>
      <c r="S34" s="461">
        <f t="shared" si="33"/>
        <v>37165.509869539295</v>
      </c>
      <c r="T34" s="461">
        <f t="shared" si="33"/>
        <v>38407.115477685729</v>
      </c>
      <c r="U34" s="461">
        <f t="shared" si="33"/>
        <v>39656.85317479098</v>
      </c>
      <c r="V34" s="461">
        <f t="shared" si="33"/>
        <v>40971.238895589471</v>
      </c>
      <c r="W34" s="461">
        <f t="shared" si="33"/>
        <v>42319.598031224486</v>
      </c>
      <c r="X34" s="461">
        <f t="shared" si="33"/>
        <v>43705.223907526619</v>
      </c>
      <c r="Y34" s="461">
        <f t="shared" si="33"/>
        <v>45138.040883579022</v>
      </c>
      <c r="Z34" s="461">
        <f t="shared" si="33"/>
        <v>46612.132548099864</v>
      </c>
      <c r="AA34" s="461">
        <f t="shared" si="33"/>
        <v>48130.000649596419</v>
      </c>
      <c r="AB34" s="461">
        <f t="shared" si="33"/>
        <v>49693.878180301224</v>
      </c>
      <c r="AC34" s="461">
        <f t="shared" si="33"/>
        <v>51303.383455282317</v>
      </c>
      <c r="AD34" s="461">
        <f t="shared" si="33"/>
        <v>52960.01699183126</v>
      </c>
      <c r="AE34" s="461">
        <f t="shared" si="33"/>
        <v>54664.939291744871</v>
      </c>
      <c r="AF34" s="462">
        <f t="shared" si="33"/>
        <v>56418.946621199815</v>
      </c>
      <c r="AG34" s="350"/>
      <c r="AH34" s="351"/>
      <c r="AI34" s="351"/>
      <c r="AJ34" s="351"/>
    </row>
    <row r="35" spans="1:40" s="449" customFormat="1" ht="15" x14ac:dyDescent="0.2">
      <c r="A35" s="1252"/>
      <c r="B35" s="398">
        <v>27</v>
      </c>
      <c r="C35" s="456" t="s">
        <v>528</v>
      </c>
      <c r="D35" s="464">
        <f>-1*(D29+D30)</f>
        <v>7394</v>
      </c>
      <c r="E35" s="465">
        <f t="shared" ref="E35:AF35" si="34">-1*(E29+E30)</f>
        <v>8925</v>
      </c>
      <c r="F35" s="466">
        <f t="shared" si="34"/>
        <v>11738</v>
      </c>
      <c r="G35" s="467">
        <f t="shared" si="34"/>
        <v>18304.597567621349</v>
      </c>
      <c r="H35" s="468">
        <f t="shared" si="34"/>
        <v>19629.676365823303</v>
      </c>
      <c r="I35" s="468">
        <f t="shared" si="34"/>
        <v>21261.451227477151</v>
      </c>
      <c r="J35" s="469">
        <f t="shared" si="34"/>
        <v>22690.081716801629</v>
      </c>
      <c r="K35" s="468">
        <f t="shared" si="34"/>
        <v>23635.950783431894</v>
      </c>
      <c r="L35" s="468">
        <f t="shared" si="34"/>
        <v>25892.417070639553</v>
      </c>
      <c r="M35" s="468">
        <f t="shared" si="34"/>
        <v>28331.910217226588</v>
      </c>
      <c r="N35" s="468">
        <f t="shared" si="34"/>
        <v>30997.112611770819</v>
      </c>
      <c r="O35" s="468">
        <f t="shared" si="34"/>
        <v>33911.352611372364</v>
      </c>
      <c r="P35" s="468">
        <f t="shared" si="34"/>
        <v>37097.440368291478</v>
      </c>
      <c r="Q35" s="468">
        <f t="shared" si="34"/>
        <v>40580.11914018861</v>
      </c>
      <c r="R35" s="468">
        <f t="shared" si="34"/>
        <v>41289.996738870032</v>
      </c>
      <c r="S35" s="468">
        <f t="shared" si="34"/>
        <v>41968.02073187333</v>
      </c>
      <c r="T35" s="468">
        <f t="shared" si="34"/>
        <v>42670.410443365807</v>
      </c>
      <c r="U35" s="468">
        <f t="shared" si="34"/>
        <v>43397.472581225302</v>
      </c>
      <c r="V35" s="468">
        <f t="shared" si="34"/>
        <v>44149.243937114516</v>
      </c>
      <c r="W35" s="468">
        <f t="shared" si="34"/>
        <v>44926.711637016837</v>
      </c>
      <c r="X35" s="468">
        <f t="shared" si="34"/>
        <v>45730.33996234239</v>
      </c>
      <c r="Y35" s="468">
        <f t="shared" si="34"/>
        <v>46560.647002689599</v>
      </c>
      <c r="Z35" s="468">
        <f t="shared" si="34"/>
        <v>47418.31472677354</v>
      </c>
      <c r="AA35" s="468">
        <f t="shared" si="34"/>
        <v>48303.921592380044</v>
      </c>
      <c r="AB35" s="468">
        <f t="shared" si="34"/>
        <v>49218.085124622405</v>
      </c>
      <c r="AC35" s="468">
        <f t="shared" si="34"/>
        <v>50161.456908962457</v>
      </c>
      <c r="AD35" s="468">
        <f t="shared" si="34"/>
        <v>51134.678457841102</v>
      </c>
      <c r="AE35" s="468">
        <f t="shared" si="34"/>
        <v>52138.412984678987</v>
      </c>
      <c r="AF35" s="469">
        <f t="shared" si="34"/>
        <v>53173.339504531774</v>
      </c>
      <c r="AG35" s="350"/>
      <c r="AH35" s="448"/>
      <c r="AI35" s="448"/>
      <c r="AJ35" s="448"/>
    </row>
    <row r="36" spans="1:40" s="351" customFormat="1" ht="15.75" thickBot="1" x14ac:dyDescent="0.25">
      <c r="A36" s="1252"/>
      <c r="B36" s="450">
        <v>28</v>
      </c>
      <c r="C36" s="470" t="s">
        <v>529</v>
      </c>
      <c r="D36" s="471">
        <f>D34-D35</f>
        <v>6052</v>
      </c>
      <c r="E36" s="472">
        <f>E34-E35</f>
        <v>4516</v>
      </c>
      <c r="F36" s="473">
        <f>F34-F35</f>
        <v>1956</v>
      </c>
      <c r="G36" s="474">
        <f>G34-G35</f>
        <v>9218.3929849097367</v>
      </c>
      <c r="H36" s="475">
        <f t="shared" ref="H36:AF36" si="35">H34-H35</f>
        <v>2806.6182459469637</v>
      </c>
      <c r="I36" s="475">
        <f t="shared" si="35"/>
        <v>4787.2586817265837</v>
      </c>
      <c r="J36" s="476">
        <f t="shared" si="35"/>
        <v>3369.6956549068309</v>
      </c>
      <c r="K36" s="475">
        <f t="shared" si="35"/>
        <v>5643.797575591394</v>
      </c>
      <c r="L36" s="475">
        <f t="shared" si="35"/>
        <v>5926.3533946369607</v>
      </c>
      <c r="M36" s="475">
        <f t="shared" si="35"/>
        <v>6258.9299792756028</v>
      </c>
      <c r="N36" s="475">
        <f t="shared" si="35"/>
        <v>6809.8001022602039</v>
      </c>
      <c r="O36" s="475">
        <f t="shared" si="35"/>
        <v>7381.7924011634314</v>
      </c>
      <c r="P36" s="475">
        <f t="shared" si="35"/>
        <v>7964.7580339103006</v>
      </c>
      <c r="Q36" s="475">
        <f t="shared" si="35"/>
        <v>8625.8754065084358</v>
      </c>
      <c r="R36" s="475">
        <f t="shared" si="35"/>
        <v>-5341.7517290194301</v>
      </c>
      <c r="S36" s="475">
        <f t="shared" si="35"/>
        <v>-4802.5108623340348</v>
      </c>
      <c r="T36" s="475">
        <f t="shared" si="35"/>
        <v>-4263.2949656800774</v>
      </c>
      <c r="U36" s="475">
        <f t="shared" si="35"/>
        <v>-3740.6194064343217</v>
      </c>
      <c r="V36" s="475">
        <f t="shared" si="35"/>
        <v>-3178.0050415250444</v>
      </c>
      <c r="W36" s="475">
        <f t="shared" si="35"/>
        <v>-2607.1136057923504</v>
      </c>
      <c r="X36" s="475">
        <f t="shared" si="35"/>
        <v>-2025.1160548157713</v>
      </c>
      <c r="Y36" s="475">
        <f t="shared" si="35"/>
        <v>-1422.6061191105764</v>
      </c>
      <c r="Z36" s="475">
        <f t="shared" si="35"/>
        <v>-806.18217867367639</v>
      </c>
      <c r="AA36" s="475">
        <f t="shared" si="35"/>
        <v>-173.92094278362492</v>
      </c>
      <c r="AB36" s="475">
        <f t="shared" si="35"/>
        <v>475.79305567881966</v>
      </c>
      <c r="AC36" s="475">
        <f t="shared" si="35"/>
        <v>1141.9265463198608</v>
      </c>
      <c r="AD36" s="475">
        <f t="shared" si="35"/>
        <v>1825.3385339901579</v>
      </c>
      <c r="AE36" s="475">
        <f t="shared" si="35"/>
        <v>2526.5263070658839</v>
      </c>
      <c r="AF36" s="476">
        <f t="shared" si="35"/>
        <v>3245.6071166680413</v>
      </c>
      <c r="AG36" s="350"/>
      <c r="AK36" s="188"/>
      <c r="AL36" s="188"/>
      <c r="AM36" s="188"/>
      <c r="AN36" s="188"/>
    </row>
    <row r="37" spans="1:40" ht="15.75" thickBot="1" x14ac:dyDescent="0.25">
      <c r="A37" s="477"/>
      <c r="B37" s="478"/>
      <c r="C37" s="479"/>
      <c r="D37" s="480"/>
      <c r="E37" s="480"/>
      <c r="F37" s="480"/>
      <c r="G37" s="480"/>
      <c r="H37" s="480"/>
      <c r="I37" s="480"/>
      <c r="J37" s="480"/>
      <c r="K37" s="480"/>
      <c r="L37" s="480"/>
      <c r="M37" s="480"/>
      <c r="N37" s="480"/>
      <c r="O37" s="480"/>
      <c r="P37" s="480"/>
      <c r="Q37" s="480"/>
      <c r="R37" s="480"/>
      <c r="S37" s="480"/>
      <c r="T37" s="480"/>
      <c r="U37" s="480"/>
      <c r="V37" s="480"/>
      <c r="W37" s="480"/>
      <c r="X37" s="480"/>
      <c r="Y37" s="480"/>
      <c r="Z37" s="480"/>
      <c r="AA37" s="480"/>
      <c r="AB37" s="480"/>
      <c r="AC37" s="480"/>
      <c r="AD37" s="480"/>
      <c r="AE37" s="480"/>
      <c r="AF37" s="481"/>
      <c r="AG37" s="350"/>
      <c r="AH37" s="351"/>
      <c r="AI37" s="351"/>
      <c r="AJ37" s="351"/>
    </row>
    <row r="38" spans="1:40" ht="15" x14ac:dyDescent="0.2">
      <c r="A38" s="1253" t="s">
        <v>530</v>
      </c>
      <c r="B38" s="482">
        <v>29</v>
      </c>
      <c r="C38" s="456" t="s">
        <v>531</v>
      </c>
      <c r="D38" s="483">
        <f>71337+16311</f>
        <v>87648</v>
      </c>
      <c r="E38" s="484">
        <f>75795+15680</f>
        <v>91475</v>
      </c>
      <c r="F38" s="485">
        <f>93352+20538</f>
        <v>113890</v>
      </c>
      <c r="G38" s="486">
        <f>+F38+(-G10)</f>
        <v>115721.17821683473</v>
      </c>
      <c r="H38" s="487">
        <f t="shared" ref="H38:AF38" si="36">+G38+(-H10)</f>
        <v>117581.79899808959</v>
      </c>
      <c r="I38" s="487">
        <f t="shared" si="36"/>
        <v>119472.33573548129</v>
      </c>
      <c r="J38" s="488">
        <f t="shared" si="36"/>
        <v>121393.26943214631</v>
      </c>
      <c r="K38" s="489">
        <f t="shared" si="36"/>
        <v>123105.66496582452</v>
      </c>
      <c r="L38" s="487">
        <f t="shared" si="36"/>
        <v>124842.21586229571</v>
      </c>
      <c r="M38" s="487">
        <f t="shared" si="36"/>
        <v>126603.26286150004</v>
      </c>
      <c r="N38" s="487">
        <f t="shared" si="36"/>
        <v>128389.15150991724</v>
      </c>
      <c r="O38" s="487">
        <f t="shared" si="36"/>
        <v>130200.23222836848</v>
      </c>
      <c r="P38" s="487">
        <f t="shared" si="36"/>
        <v>132036.86038077477</v>
      </c>
      <c r="Q38" s="487">
        <f t="shared" si="36"/>
        <v>133899.39634388525</v>
      </c>
      <c r="R38" s="487">
        <f t="shared" si="36"/>
        <v>135788.20557798896</v>
      </c>
      <c r="S38" s="487">
        <f t="shared" si="36"/>
        <v>137703.65869862426</v>
      </c>
      <c r="T38" s="487">
        <f t="shared" si="36"/>
        <v>139646.13154929969</v>
      </c>
      <c r="U38" s="487">
        <f t="shared" si="36"/>
        <v>141616.00527524069</v>
      </c>
      <c r="V38" s="487">
        <f t="shared" si="36"/>
        <v>143613.66639817652</v>
      </c>
      <c r="W38" s="487">
        <f t="shared" si="36"/>
        <v>145639.50689218225</v>
      </c>
      <c r="X38" s="487">
        <f t="shared" si="36"/>
        <v>147693.92426059055</v>
      </c>
      <c r="Y38" s="487">
        <f t="shared" si="36"/>
        <v>149777.32161398837</v>
      </c>
      <c r="Z38" s="487">
        <f t="shared" si="36"/>
        <v>151890.10774931393</v>
      </c>
      <c r="AA38" s="487">
        <f t="shared" si="36"/>
        <v>154032.69723006937</v>
      </c>
      <c r="AB38" s="487">
        <f t="shared" si="36"/>
        <v>156205.51046766498</v>
      </c>
      <c r="AC38" s="487">
        <f t="shared" si="36"/>
        <v>158408.97380391086</v>
      </c>
      <c r="AD38" s="487">
        <f t="shared" si="36"/>
        <v>160643.51959467225</v>
      </c>
      <c r="AE38" s="487">
        <f t="shared" si="36"/>
        <v>162909.58629470479</v>
      </c>
      <c r="AF38" s="488">
        <f t="shared" si="36"/>
        <v>165207.61854368664</v>
      </c>
      <c r="AG38" s="361">
        <f>SUM(G38:AF38)</f>
        <v>3624021.8004852319</v>
      </c>
      <c r="AH38" s="351"/>
      <c r="AI38" s="351"/>
      <c r="AJ38" s="351"/>
    </row>
    <row r="39" spans="1:40" ht="15" x14ac:dyDescent="0.2">
      <c r="A39" s="1252"/>
      <c r="B39" s="482">
        <v>30</v>
      </c>
      <c r="C39" s="456" t="s">
        <v>532</v>
      </c>
      <c r="D39" s="464">
        <v>5455</v>
      </c>
      <c r="E39" s="465">
        <v>5636</v>
      </c>
      <c r="F39" s="466">
        <v>6137</v>
      </c>
      <c r="G39" s="490">
        <f>F39-G10</f>
        <v>7968.1782168347254</v>
      </c>
      <c r="H39" s="491">
        <f t="shared" ref="H39:AF39" si="37">G39-H10</f>
        <v>9828.7989980895927</v>
      </c>
      <c r="I39" s="491">
        <f t="shared" si="37"/>
        <v>11719.335735481294</v>
      </c>
      <c r="J39" s="492">
        <f t="shared" si="37"/>
        <v>13640.269432146306</v>
      </c>
      <c r="K39" s="493">
        <f t="shared" si="37"/>
        <v>15352.664965824511</v>
      </c>
      <c r="L39" s="491">
        <f t="shared" si="37"/>
        <v>17089.21586229571</v>
      </c>
      <c r="M39" s="491">
        <f t="shared" si="37"/>
        <v>18850.262861500054</v>
      </c>
      <c r="N39" s="491">
        <f t="shared" si="37"/>
        <v>20636.15150991725</v>
      </c>
      <c r="O39" s="491">
        <f t="shared" si="37"/>
        <v>22447.232228368492</v>
      </c>
      <c r="P39" s="491">
        <f t="shared" si="37"/>
        <v>24283.860380774793</v>
      </c>
      <c r="Q39" s="491">
        <f t="shared" si="37"/>
        <v>26146.396343885262</v>
      </c>
      <c r="R39" s="491">
        <f t="shared" si="37"/>
        <v>28035.205577988967</v>
      </c>
      <c r="S39" s="491">
        <f t="shared" si="37"/>
        <v>29950.658698624266</v>
      </c>
      <c r="T39" s="491">
        <f t="shared" si="37"/>
        <v>31893.131549299698</v>
      </c>
      <c r="U39" s="491">
        <f t="shared" si="37"/>
        <v>33863.005275240685</v>
      </c>
      <c r="V39" s="491">
        <f t="shared" si="37"/>
        <v>35860.666398176501</v>
      </c>
      <c r="W39" s="491">
        <f t="shared" si="37"/>
        <v>37886.506892182224</v>
      </c>
      <c r="X39" s="491">
        <f t="shared" si="37"/>
        <v>39940.924260590516</v>
      </c>
      <c r="Y39" s="491">
        <f t="shared" si="37"/>
        <v>42024.321613988337</v>
      </c>
      <c r="Z39" s="491">
        <f t="shared" si="37"/>
        <v>44137.107749313887</v>
      </c>
      <c r="AA39" s="491">
        <f t="shared" si="37"/>
        <v>46279.697230069316</v>
      </c>
      <c r="AB39" s="491">
        <f t="shared" si="37"/>
        <v>48452.510467664928</v>
      </c>
      <c r="AC39" s="491">
        <f t="shared" si="37"/>
        <v>50655.97380391082</v>
      </c>
      <c r="AD39" s="491">
        <f t="shared" si="37"/>
        <v>52890.519594672201</v>
      </c>
      <c r="AE39" s="491">
        <f t="shared" si="37"/>
        <v>55156.586294704735</v>
      </c>
      <c r="AF39" s="492">
        <f t="shared" si="37"/>
        <v>57454.6185436866</v>
      </c>
      <c r="AG39" s="361">
        <f>SUM(G39:AF39)</f>
        <v>822443.80048523168</v>
      </c>
      <c r="AH39" s="351"/>
      <c r="AI39" s="351"/>
      <c r="AJ39" s="351"/>
    </row>
    <row r="40" spans="1:40" ht="15" x14ac:dyDescent="0.2">
      <c r="A40" s="1252"/>
      <c r="B40" s="482">
        <v>31</v>
      </c>
      <c r="C40" s="456" t="s">
        <v>533</v>
      </c>
      <c r="D40" s="464">
        <v>13856</v>
      </c>
      <c r="E40" s="465">
        <v>14961</v>
      </c>
      <c r="F40" s="466">
        <v>17058</v>
      </c>
      <c r="G40" s="490">
        <f>F40+(-G23)</f>
        <v>20035.358530400001</v>
      </c>
      <c r="H40" s="491">
        <f t="shared" ref="H40:AF40" si="38">G40+(-H23)</f>
        <v>23272.073519647558</v>
      </c>
      <c r="I40" s="491">
        <f t="shared" si="38"/>
        <v>26816.391925820175</v>
      </c>
      <c r="J40" s="492">
        <f t="shared" si="38"/>
        <v>30778.648250425962</v>
      </c>
      <c r="K40" s="493">
        <f t="shared" si="38"/>
        <v>35208.124776727069</v>
      </c>
      <c r="L40" s="491">
        <f t="shared" si="38"/>
        <v>40052.3479551075</v>
      </c>
      <c r="M40" s="491">
        <f t="shared" si="38"/>
        <v>45350.151897090283</v>
      </c>
      <c r="N40" s="491">
        <f t="shared" si="38"/>
        <v>51144.00688150739</v>
      </c>
      <c r="O40" s="491">
        <f t="shared" si="38"/>
        <v>57480.359820965416</v>
      </c>
      <c r="P40" s="491">
        <f t="shared" si="38"/>
        <v>64410.006607321367</v>
      </c>
      <c r="Q40" s="491">
        <f t="shared" si="38"/>
        <v>71988.499321106443</v>
      </c>
      <c r="R40" s="491">
        <f t="shared" si="38"/>
        <v>79718.56188916722</v>
      </c>
      <c r="S40" s="491">
        <f t="shared" si="38"/>
        <v>87603.22570858922</v>
      </c>
      <c r="T40" s="491">
        <f t="shared" si="38"/>
        <v>95645.582804399659</v>
      </c>
      <c r="U40" s="491">
        <f t="shared" si="38"/>
        <v>103848.78704212631</v>
      </c>
      <c r="V40" s="491">
        <f t="shared" si="38"/>
        <v>112216.05536460748</v>
      </c>
      <c r="W40" s="491">
        <f t="shared" si="38"/>
        <v>120750.66905353828</v>
      </c>
      <c r="X40" s="491">
        <f t="shared" si="38"/>
        <v>129455.9750162477</v>
      </c>
      <c r="Y40" s="491">
        <f t="shared" si="38"/>
        <v>138335.3870982113</v>
      </c>
      <c r="Z40" s="491">
        <f t="shared" si="38"/>
        <v>147392.38742181417</v>
      </c>
      <c r="AA40" s="491">
        <f t="shared" si="38"/>
        <v>156630.52775188911</v>
      </c>
      <c r="AB40" s="491">
        <f t="shared" si="38"/>
        <v>166053.43088856555</v>
      </c>
      <c r="AC40" s="491">
        <f t="shared" si="38"/>
        <v>175664.79208797551</v>
      </c>
      <c r="AD40" s="491">
        <f t="shared" si="38"/>
        <v>185468.38051137366</v>
      </c>
      <c r="AE40" s="491">
        <f t="shared" si="38"/>
        <v>195468.04070323979</v>
      </c>
      <c r="AF40" s="492">
        <f t="shared" si="38"/>
        <v>205667.69409894323</v>
      </c>
      <c r="AG40" s="361">
        <f>SUM(G40:AF40)</f>
        <v>2566455.4669268075</v>
      </c>
      <c r="AH40" s="351"/>
      <c r="AI40" s="351"/>
      <c r="AJ40" s="351"/>
    </row>
    <row r="41" spans="1:40" ht="15.75" thickBot="1" x14ac:dyDescent="0.25">
      <c r="A41" s="1252"/>
      <c r="B41" s="494">
        <v>32</v>
      </c>
      <c r="C41" s="470" t="s">
        <v>534</v>
      </c>
      <c r="D41" s="495">
        <v>5230</v>
      </c>
      <c r="E41" s="496">
        <v>5992</v>
      </c>
      <c r="F41" s="497">
        <v>6930</v>
      </c>
      <c r="G41" s="402">
        <f>F41-G9</f>
        <v>8684.5795939149248</v>
      </c>
      <c r="H41" s="403">
        <f t="shared" ref="H41:AF41" si="39">G41-H9</f>
        <v>10745.40918907316</v>
      </c>
      <c r="I41" s="403">
        <f t="shared" si="39"/>
        <v>13139.166095255685</v>
      </c>
      <c r="J41" s="405">
        <f t="shared" si="39"/>
        <v>15897.490286571727</v>
      </c>
      <c r="K41" s="498">
        <f t="shared" si="39"/>
        <v>19402.713310909614</v>
      </c>
      <c r="L41" s="403">
        <f t="shared" si="39"/>
        <v>23412.386789972716</v>
      </c>
      <c r="M41" s="403">
        <f t="shared" si="39"/>
        <v>27973.744101338471</v>
      </c>
      <c r="N41" s="403">
        <f t="shared" si="39"/>
        <v>33138.441241171487</v>
      </c>
      <c r="O41" s="403">
        <f t="shared" si="39"/>
        <v>38962.970928743911</v>
      </c>
      <c r="P41" s="403">
        <f t="shared" si="39"/>
        <v>45509.115484942413</v>
      </c>
      <c r="Q41" s="403">
        <f t="shared" si="39"/>
        <v>52844.442115299345</v>
      </c>
      <c r="R41" s="403">
        <f t="shared" si="39"/>
        <v>61042.844568025073</v>
      </c>
      <c r="S41" s="403">
        <f t="shared" si="39"/>
        <v>70121.584359566972</v>
      </c>
      <c r="T41" s="403">
        <f t="shared" si="39"/>
        <v>80098.268236701377</v>
      </c>
      <c r="U41" s="403">
        <f t="shared" si="39"/>
        <v>90990.855081140122</v>
      </c>
      <c r="V41" s="403">
        <f t="shared" si="39"/>
        <v>102817.66295222931</v>
      </c>
      <c r="W41" s="403">
        <f t="shared" si="39"/>
        <v>115597.37627050193</v>
      </c>
      <c r="X41" s="403">
        <f t="shared" si="39"/>
        <v>129349.05314490167</v>
      </c>
      <c r="Y41" s="403">
        <f t="shared" si="39"/>
        <v>144092.13284655107</v>
      </c>
      <c r="Z41" s="403">
        <f t="shared" si="39"/>
        <v>159846.44343199511</v>
      </c>
      <c r="AA41" s="403">
        <f t="shared" si="39"/>
        <v>176632.20951890969</v>
      </c>
      <c r="AB41" s="403">
        <f t="shared" si="39"/>
        <v>194470.06021732424</v>
      </c>
      <c r="AC41" s="403">
        <f t="shared" si="39"/>
        <v>213381.03721946874</v>
      </c>
      <c r="AD41" s="403">
        <f t="shared" si="39"/>
        <v>233386.60305141777</v>
      </c>
      <c r="AE41" s="403">
        <f t="shared" si="39"/>
        <v>254508.64948976744</v>
      </c>
      <c r="AF41" s="405">
        <f t="shared" si="39"/>
        <v>276769.50614664576</v>
      </c>
      <c r="AG41" s="361">
        <f>SUM(G41:AF41)</f>
        <v>2592814.7456723396</v>
      </c>
      <c r="AH41" s="351"/>
      <c r="AI41" s="351"/>
      <c r="AJ41" s="351"/>
    </row>
    <row r="42" spans="1:40" s="351" customFormat="1" ht="15.75" thickBot="1" x14ac:dyDescent="0.25">
      <c r="A42" s="1254"/>
      <c r="B42" s="1255"/>
      <c r="C42" s="1255"/>
      <c r="D42" s="1255"/>
      <c r="E42" s="1255"/>
      <c r="F42" s="1255"/>
      <c r="G42" s="1255"/>
      <c r="H42" s="1255"/>
      <c r="I42" s="1255"/>
      <c r="J42" s="1255"/>
      <c r="K42" s="1255"/>
      <c r="L42" s="1255"/>
      <c r="M42" s="1255"/>
      <c r="N42" s="1255"/>
      <c r="O42" s="1255"/>
      <c r="P42" s="1255"/>
      <c r="Q42" s="1255"/>
      <c r="R42" s="1255"/>
      <c r="S42" s="1255"/>
      <c r="T42" s="1255"/>
      <c r="U42" s="1255"/>
      <c r="V42" s="1255"/>
      <c r="W42" s="1255"/>
      <c r="X42" s="1255"/>
      <c r="Y42" s="1255"/>
      <c r="Z42" s="1255"/>
      <c r="AA42" s="1255"/>
      <c r="AB42" s="1255"/>
      <c r="AC42" s="1255"/>
      <c r="AD42" s="1255"/>
      <c r="AE42" s="1255"/>
      <c r="AF42" s="1256"/>
      <c r="AG42" s="350"/>
      <c r="AK42" s="188"/>
      <c r="AL42" s="188"/>
      <c r="AM42" s="188"/>
      <c r="AN42" s="188"/>
    </row>
    <row r="43" spans="1:40" ht="15" customHeight="1" x14ac:dyDescent="0.2">
      <c r="A43" s="1245" t="s">
        <v>535</v>
      </c>
      <c r="B43" s="398">
        <v>33</v>
      </c>
      <c r="C43" s="456" t="s">
        <v>536</v>
      </c>
      <c r="D43" s="499">
        <f>'Fin. Data'!D39</f>
        <v>19781</v>
      </c>
      <c r="E43" s="500">
        <f>E36+D43</f>
        <v>24297</v>
      </c>
      <c r="F43" s="501">
        <f>F36+E43</f>
        <v>26253</v>
      </c>
      <c r="G43" s="502">
        <f>G36+F43</f>
        <v>35471.392984909733</v>
      </c>
      <c r="H43" s="503">
        <f t="shared" ref="H43:AF43" si="40">H36+G43</f>
        <v>38278.011230856697</v>
      </c>
      <c r="I43" s="503">
        <f t="shared" si="40"/>
        <v>43065.269912583281</v>
      </c>
      <c r="J43" s="504">
        <f t="shared" si="40"/>
        <v>46434.965567490115</v>
      </c>
      <c r="K43" s="505">
        <f t="shared" si="40"/>
        <v>52078.763143081509</v>
      </c>
      <c r="L43" s="503">
        <f t="shared" si="40"/>
        <v>58005.116537718466</v>
      </c>
      <c r="M43" s="503">
        <f t="shared" si="40"/>
        <v>64264.046516994073</v>
      </c>
      <c r="N43" s="503">
        <f t="shared" si="40"/>
        <v>71073.846619254269</v>
      </c>
      <c r="O43" s="503">
        <f t="shared" si="40"/>
        <v>78455.639020417701</v>
      </c>
      <c r="P43" s="503">
        <f t="shared" si="40"/>
        <v>86420.397054328001</v>
      </c>
      <c r="Q43" s="503">
        <f t="shared" si="40"/>
        <v>95046.272460836437</v>
      </c>
      <c r="R43" s="503">
        <f t="shared" si="40"/>
        <v>89704.520731817</v>
      </c>
      <c r="S43" s="503">
        <f t="shared" si="40"/>
        <v>84902.009869482965</v>
      </c>
      <c r="T43" s="503">
        <f t="shared" si="40"/>
        <v>80638.714903802887</v>
      </c>
      <c r="U43" s="503">
        <f t="shared" si="40"/>
        <v>76898.095497368573</v>
      </c>
      <c r="V43" s="503">
        <f t="shared" si="40"/>
        <v>73720.090455843529</v>
      </c>
      <c r="W43" s="503">
        <f t="shared" si="40"/>
        <v>71112.976850051171</v>
      </c>
      <c r="X43" s="503">
        <f t="shared" si="40"/>
        <v>69087.860795235407</v>
      </c>
      <c r="Y43" s="503">
        <f t="shared" si="40"/>
        <v>67665.254676124838</v>
      </c>
      <c r="Z43" s="503">
        <f t="shared" si="40"/>
        <v>66859.072497451154</v>
      </c>
      <c r="AA43" s="503">
        <f t="shared" si="40"/>
        <v>66685.151554667536</v>
      </c>
      <c r="AB43" s="503">
        <f t="shared" si="40"/>
        <v>67160.944610346356</v>
      </c>
      <c r="AC43" s="503">
        <f t="shared" si="40"/>
        <v>68302.871156666224</v>
      </c>
      <c r="AD43" s="503">
        <f t="shared" si="40"/>
        <v>70128.209690656382</v>
      </c>
      <c r="AE43" s="503">
        <f t="shared" si="40"/>
        <v>72654.735997722266</v>
      </c>
      <c r="AF43" s="506">
        <f t="shared" si="40"/>
        <v>75900.3431143903</v>
      </c>
      <c r="AG43" s="350"/>
      <c r="AH43" s="351"/>
      <c r="AI43" s="351"/>
      <c r="AJ43" s="351"/>
    </row>
    <row r="44" spans="1:40" ht="15" x14ac:dyDescent="0.2">
      <c r="A44" s="1245"/>
      <c r="B44" s="398">
        <v>34</v>
      </c>
      <c r="C44" s="456" t="s">
        <v>367</v>
      </c>
      <c r="D44" s="499">
        <f>'Fin. Data'!D58</f>
        <v>49676</v>
      </c>
      <c r="E44" s="507">
        <f>'Fin. Data'!C58</f>
        <v>51839</v>
      </c>
      <c r="F44" s="508">
        <f>'Fin. Data'!B58</f>
        <v>63467</v>
      </c>
      <c r="G44" s="341">
        <f>G12*$D$69</f>
        <v>73410.800972132289</v>
      </c>
      <c r="H44" s="503">
        <f>H12*$D$69</f>
        <v>78632.659027805334</v>
      </c>
      <c r="I44" s="503">
        <f>I12*$D$69</f>
        <v>85195.290184958983</v>
      </c>
      <c r="J44" s="504">
        <f>J12*$D$69</f>
        <v>91037.694282532626</v>
      </c>
      <c r="K44" s="509">
        <f t="shared" ref="K44:AF44" si="41">K12*$E$69</f>
        <v>99140.644915833473</v>
      </c>
      <c r="L44" s="509">
        <f t="shared" si="41"/>
        <v>108553.66355820019</v>
      </c>
      <c r="M44" s="509">
        <f t="shared" si="41"/>
        <v>118794.56992597293</v>
      </c>
      <c r="N44" s="509">
        <f t="shared" si="41"/>
        <v>129990.4508017163</v>
      </c>
      <c r="O44" s="509">
        <f t="shared" si="41"/>
        <v>142230.66839640224</v>
      </c>
      <c r="P44" s="509">
        <f t="shared" si="41"/>
        <v>155612.95142352863</v>
      </c>
      <c r="Q44" s="509">
        <f t="shared" si="41"/>
        <v>170244.1784716479</v>
      </c>
      <c r="R44" s="509">
        <f t="shared" si="41"/>
        <v>175066.89964248121</v>
      </c>
      <c r="S44" s="509">
        <f t="shared" si="41"/>
        <v>179985.76398846926</v>
      </c>
      <c r="T44" s="509">
        <f t="shared" si="41"/>
        <v>185002.68998259073</v>
      </c>
      <c r="U44" s="509">
        <f t="shared" si="41"/>
        <v>190119.63440535008</v>
      </c>
      <c r="V44" s="509">
        <f t="shared" si="41"/>
        <v>195338.59311005482</v>
      </c>
      <c r="W44" s="509">
        <f t="shared" si="41"/>
        <v>200661.60180338533</v>
      </c>
      <c r="X44" s="509">
        <f t="shared" si="41"/>
        <v>206090.73684156412</v>
      </c>
      <c r="Y44" s="509">
        <f t="shared" si="41"/>
        <v>211628.11604243531</v>
      </c>
      <c r="Z44" s="509">
        <f t="shared" si="41"/>
        <v>217275.89951377307</v>
      </c>
      <c r="AA44" s="509">
        <f t="shared" si="41"/>
        <v>223036.29049814341</v>
      </c>
      <c r="AB44" s="509">
        <f t="shared" si="41"/>
        <v>228911.5362346496</v>
      </c>
      <c r="AC44" s="509">
        <f t="shared" si="41"/>
        <v>234903.92883789926</v>
      </c>
      <c r="AD44" s="509">
        <f t="shared" si="41"/>
        <v>241015.8061945372</v>
      </c>
      <c r="AE44" s="510">
        <f t="shared" si="41"/>
        <v>247249.5528776953</v>
      </c>
      <c r="AF44" s="511">
        <f t="shared" si="41"/>
        <v>253607.60107971699</v>
      </c>
      <c r="AG44" s="344"/>
    </row>
    <row r="45" spans="1:40" ht="15" x14ac:dyDescent="0.2">
      <c r="A45" s="1245"/>
      <c r="B45" s="398">
        <v>35</v>
      </c>
      <c r="C45" s="456" t="s">
        <v>537</v>
      </c>
      <c r="D45" s="512"/>
      <c r="E45" s="513"/>
      <c r="F45" s="514">
        <f>1/((1+$F$50)^G50)</f>
        <v>1</v>
      </c>
      <c r="G45" s="515">
        <f t="shared" ref="G45:AF45" si="42">1/((1+$F$50)^G49)</f>
        <v>0.92549745488199908</v>
      </c>
      <c r="H45" s="516">
        <f t="shared" si="42"/>
        <v>0.85654553899305785</v>
      </c>
      <c r="I45" s="516">
        <f t="shared" si="42"/>
        <v>0.79273071632860515</v>
      </c>
      <c r="J45" s="517">
        <f t="shared" si="42"/>
        <v>0.73367026036890803</v>
      </c>
      <c r="K45" s="518">
        <f t="shared" si="42"/>
        <v>0.67900995869403802</v>
      </c>
      <c r="L45" s="516">
        <f t="shared" si="42"/>
        <v>0.6284219886108634</v>
      </c>
      <c r="M45" s="516">
        <f t="shared" si="42"/>
        <v>0.58160295105123871</v>
      </c>
      <c r="N45" s="516">
        <f t="shared" si="42"/>
        <v>0.53827205094978126</v>
      </c>
      <c r="O45" s="516">
        <f t="shared" si="42"/>
        <v>0.49816941318813623</v>
      </c>
      <c r="P45" s="516">
        <f t="shared" si="42"/>
        <v>0.46105452400567909</v>
      </c>
      <c r="Q45" s="516">
        <f t="shared" si="42"/>
        <v>0.42670478852908755</v>
      </c>
      <c r="R45" s="516">
        <f t="shared" si="42"/>
        <v>0.3949141957696321</v>
      </c>
      <c r="S45" s="516">
        <f t="shared" si="42"/>
        <v>0.36549208308156605</v>
      </c>
      <c r="T45" s="516">
        <f t="shared" si="42"/>
        <v>0.33826199267150953</v>
      </c>
      <c r="U45" s="516">
        <f t="shared" si="42"/>
        <v>0.31306061330079549</v>
      </c>
      <c r="V45" s="516">
        <f t="shared" si="42"/>
        <v>0.28973680083368392</v>
      </c>
      <c r="W45" s="516">
        <f t="shared" si="42"/>
        <v>0.26815067175722712</v>
      </c>
      <c r="X45" s="516">
        <f t="shared" si="42"/>
        <v>0.24817276423621201</v>
      </c>
      <c r="Y45" s="516">
        <f t="shared" si="42"/>
        <v>0.22968326167164466</v>
      </c>
      <c r="Z45" s="516">
        <f t="shared" si="42"/>
        <v>0.2125712741061033</v>
      </c>
      <c r="AA45" s="516">
        <f t="shared" si="42"/>
        <v>0.19673417316622244</v>
      </c>
      <c r="AB45" s="516">
        <f t="shared" si="42"/>
        <v>0.18207697655365329</v>
      </c>
      <c r="AC45" s="516">
        <f t="shared" si="42"/>
        <v>0.16851177839301554</v>
      </c>
      <c r="AD45" s="516">
        <f t="shared" si="42"/>
        <v>0.15595722202037532</v>
      </c>
      <c r="AE45" s="516">
        <f t="shared" si="42"/>
        <v>0.1443380120503242</v>
      </c>
      <c r="AF45" s="519">
        <f t="shared" si="42"/>
        <v>0.13358446279530239</v>
      </c>
      <c r="AG45" s="344"/>
    </row>
    <row r="46" spans="1:40" ht="15" x14ac:dyDescent="0.2">
      <c r="A46" s="1245"/>
      <c r="B46" s="398">
        <v>36</v>
      </c>
      <c r="C46" s="456" t="s">
        <v>538</v>
      </c>
      <c r="D46" s="520"/>
      <c r="E46" s="521" t="s">
        <v>539</v>
      </c>
      <c r="F46" s="517">
        <f>1/((1+$F$50+0.001)^G50)</f>
        <v>1</v>
      </c>
      <c r="G46" s="515">
        <f>1/((1+$F$50+0.001)^G49)</f>
        <v>0.92464170134073054</v>
      </c>
      <c r="H46" s="516">
        <f t="shared" ref="H46:AF46" si="43">1/((1+$F$50+0.001)^H49)</f>
        <v>0.85496227585828066</v>
      </c>
      <c r="I46" s="516">
        <f t="shared" si="43"/>
        <v>0.79053377333174357</v>
      </c>
      <c r="J46" s="517">
        <f t="shared" si="43"/>
        <v>0.73096049314077083</v>
      </c>
      <c r="K46" s="518">
        <f t="shared" si="43"/>
        <v>0.6758765539905417</v>
      </c>
      <c r="L46" s="516">
        <f t="shared" si="43"/>
        <v>0.62494364677812464</v>
      </c>
      <c r="M46" s="516">
        <f t="shared" si="43"/>
        <v>0.57784895679900561</v>
      </c>
      <c r="N46" s="516">
        <f t="shared" si="43"/>
        <v>0.53430324253259887</v>
      </c>
      <c r="O46" s="516">
        <f t="shared" si="43"/>
        <v>0.49403905920721114</v>
      </c>
      <c r="P46" s="516">
        <f t="shared" si="43"/>
        <v>0.45680911623412962</v>
      </c>
      <c r="Q46" s="516">
        <f t="shared" si="43"/>
        <v>0.42238475842268114</v>
      </c>
      <c r="R46" s="516">
        <f t="shared" si="43"/>
        <v>0.39055456164834129</v>
      </c>
      <c r="S46" s="516">
        <f t="shared" si="43"/>
        <v>0.36112303434890558</v>
      </c>
      <c r="T46" s="516">
        <f t="shared" si="43"/>
        <v>0.33390941687369907</v>
      </c>
      <c r="U46" s="516">
        <f t="shared" si="43"/>
        <v>0.30874657131178834</v>
      </c>
      <c r="V46" s="516">
        <f t="shared" si="43"/>
        <v>0.2854799549808491</v>
      </c>
      <c r="W46" s="516">
        <f t="shared" si="43"/>
        <v>0.2639666712721675</v>
      </c>
      <c r="X46" s="516">
        <f t="shared" si="43"/>
        <v>0.2440745920223463</v>
      </c>
      <c r="Y46" s="516">
        <f t="shared" si="43"/>
        <v>0.22568154602158694</v>
      </c>
      <c r="Z46" s="516">
        <f t="shared" si="43"/>
        <v>0.20867456867460651</v>
      </c>
      <c r="AA46" s="516">
        <f t="shared" si="43"/>
        <v>0.19294920820583131</v>
      </c>
      <c r="AB46" s="516">
        <f t="shared" si="43"/>
        <v>0.17840888414778669</v>
      </c>
      <c r="AC46" s="516">
        <f t="shared" si="43"/>
        <v>0.16496429417271077</v>
      </c>
      <c r="AD46" s="516">
        <f t="shared" si="43"/>
        <v>0.15253286562432802</v>
      </c>
      <c r="AE46" s="516">
        <f t="shared" si="43"/>
        <v>0.1410382483812557</v>
      </c>
      <c r="AF46" s="517">
        <f t="shared" si="43"/>
        <v>0.1304098459373608</v>
      </c>
      <c r="AG46" s="344"/>
    </row>
    <row r="47" spans="1:40" ht="15.75" thickBot="1" x14ac:dyDescent="0.25">
      <c r="A47" s="1245"/>
      <c r="B47" s="450">
        <v>37</v>
      </c>
      <c r="C47" s="470" t="s">
        <v>540</v>
      </c>
      <c r="D47" s="520"/>
      <c r="E47" s="521" t="s">
        <v>541</v>
      </c>
      <c r="F47" s="522">
        <f>1/((1+$F$50+0.005)^G50)</f>
        <v>1</v>
      </c>
      <c r="G47" s="523">
        <f t="shared" ref="G47:AF47" si="44">1/((1+$F$50+0.005)^G49)</f>
        <v>0.92123445416858596</v>
      </c>
      <c r="H47" s="524">
        <f t="shared" si="44"/>
        <v>0.84867291954729251</v>
      </c>
      <c r="I47" s="524">
        <f t="shared" si="44"/>
        <v>0.78182673380681034</v>
      </c>
      <c r="J47" s="522">
        <f t="shared" si="44"/>
        <v>0.72024572437292533</v>
      </c>
      <c r="K47" s="525">
        <f t="shared" si="44"/>
        <v>0.66351517675994975</v>
      </c>
      <c r="L47" s="524">
        <f t="shared" si="44"/>
        <v>0.61125304169502515</v>
      </c>
      <c r="M47" s="524">
        <f t="shared" si="44"/>
        <v>0.5631073622248044</v>
      </c>
      <c r="N47" s="524">
        <f t="shared" si="44"/>
        <v>0.51875390347747996</v>
      </c>
      <c r="O47" s="524">
        <f t="shared" si="44"/>
        <v>0.47789396911789966</v>
      </c>
      <c r="P47" s="524">
        <f t="shared" si="44"/>
        <v>0.44025238979078735</v>
      </c>
      <c r="Q47" s="524">
        <f t="shared" si="44"/>
        <v>0.40557567000533151</v>
      </c>
      <c r="R47" s="524">
        <f t="shared" si="44"/>
        <v>0.37363028098142015</v>
      </c>
      <c r="S47" s="524">
        <f t="shared" si="44"/>
        <v>0.34420108796077398</v>
      </c>
      <c r="T47" s="524">
        <f t="shared" si="44"/>
        <v>0.31708990139177712</v>
      </c>
      <c r="U47" s="524">
        <f t="shared" si="44"/>
        <v>0.2921141422310245</v>
      </c>
      <c r="V47" s="524">
        <f t="shared" si="44"/>
        <v>0.26910561237312258</v>
      </c>
      <c r="W47" s="524">
        <f t="shared" si="44"/>
        <v>0.24790936192825672</v>
      </c>
      <c r="X47" s="524">
        <f t="shared" si="44"/>
        <v>0.22838264571925998</v>
      </c>
      <c r="Y47" s="524">
        <f t="shared" si="44"/>
        <v>0.21039396197076002</v>
      </c>
      <c r="Z47" s="524">
        <f t="shared" si="44"/>
        <v>0.19382216671649938</v>
      </c>
      <c r="AA47" s="524">
        <f t="shared" si="44"/>
        <v>0.17855565796084696</v>
      </c>
      <c r="AB47" s="524">
        <f t="shared" si="44"/>
        <v>0.1644916241002736</v>
      </c>
      <c r="AC47" s="524">
        <f t="shared" si="44"/>
        <v>0.15153535154331976</v>
      </c>
      <c r="AD47" s="524">
        <f t="shared" si="44"/>
        <v>0.13959958686625498</v>
      </c>
      <c r="AE47" s="524">
        <f t="shared" si="44"/>
        <v>0.12860394920889454</v>
      </c>
      <c r="AF47" s="522">
        <f t="shared" si="44"/>
        <v>0.11847438895338051</v>
      </c>
      <c r="AG47" s="344"/>
    </row>
    <row r="48" spans="1:40" ht="15.75" thickBot="1" x14ac:dyDescent="0.25">
      <c r="A48" s="1257" t="s">
        <v>510</v>
      </c>
      <c r="B48" s="1258"/>
      <c r="C48" s="1258"/>
      <c r="D48" s="1258"/>
      <c r="E48" s="1258"/>
      <c r="F48" s="1258"/>
      <c r="G48" s="1258"/>
      <c r="H48" s="1258"/>
      <c r="I48" s="1258"/>
      <c r="J48" s="1258"/>
      <c r="K48" s="1258"/>
      <c r="L48" s="1258"/>
      <c r="M48" s="1258"/>
      <c r="N48" s="1258"/>
      <c r="O48" s="1258"/>
      <c r="P48" s="1258"/>
      <c r="Q48" s="1258"/>
      <c r="R48" s="1258"/>
      <c r="S48" s="1258"/>
      <c r="T48" s="1258"/>
      <c r="U48" s="1258"/>
      <c r="V48" s="1258"/>
      <c r="W48" s="1258"/>
      <c r="X48" s="1258"/>
      <c r="Y48" s="1258"/>
      <c r="Z48" s="1258"/>
      <c r="AA48" s="1258"/>
      <c r="AB48" s="1258"/>
      <c r="AC48" s="1258"/>
      <c r="AD48" s="1258"/>
      <c r="AE48" s="1258"/>
      <c r="AF48" s="1259"/>
      <c r="AG48" s="344"/>
      <c r="AJ48" s="526"/>
    </row>
    <row r="49" spans="1:33" ht="15" x14ac:dyDescent="0.2">
      <c r="A49" s="1260" t="s">
        <v>542</v>
      </c>
      <c r="C49" s="527" t="s">
        <v>543</v>
      </c>
      <c r="D49" s="528" t="s">
        <v>544</v>
      </c>
      <c r="E49" s="529" t="s">
        <v>545</v>
      </c>
      <c r="F49" s="530" t="s">
        <v>546</v>
      </c>
      <c r="G49" s="369">
        <v>1</v>
      </c>
      <c r="H49" s="531">
        <v>2</v>
      </c>
      <c r="I49" s="531">
        <v>3</v>
      </c>
      <c r="J49" s="369">
        <v>4</v>
      </c>
      <c r="K49" s="531">
        <v>5</v>
      </c>
      <c r="L49" s="531">
        <v>6</v>
      </c>
      <c r="M49" s="369">
        <v>7</v>
      </c>
      <c r="N49" s="531">
        <v>8</v>
      </c>
      <c r="O49" s="531">
        <v>9</v>
      </c>
      <c r="P49" s="369">
        <v>10</v>
      </c>
      <c r="Q49" s="531">
        <v>11</v>
      </c>
      <c r="R49" s="531">
        <v>12</v>
      </c>
      <c r="S49" s="369">
        <v>13</v>
      </c>
      <c r="T49" s="531">
        <v>14</v>
      </c>
      <c r="U49" s="531">
        <v>15</v>
      </c>
      <c r="V49" s="369">
        <v>16</v>
      </c>
      <c r="W49" s="531">
        <v>17</v>
      </c>
      <c r="X49" s="531">
        <v>18</v>
      </c>
      <c r="Y49" s="369">
        <v>19</v>
      </c>
      <c r="Z49" s="531">
        <v>20</v>
      </c>
      <c r="AA49" s="531">
        <v>21</v>
      </c>
      <c r="AB49" s="369">
        <v>22</v>
      </c>
      <c r="AC49" s="531">
        <v>23</v>
      </c>
      <c r="AD49" s="531">
        <v>24</v>
      </c>
      <c r="AE49" s="369">
        <v>25</v>
      </c>
      <c r="AF49" s="531">
        <v>26</v>
      </c>
      <c r="AG49" s="344"/>
    </row>
    <row r="50" spans="1:33" ht="15.75" thickBot="1" x14ac:dyDescent="0.25">
      <c r="A50" s="1261"/>
      <c r="C50" s="532">
        <v>0.04</v>
      </c>
      <c r="D50" s="533">
        <v>3.7499999999999999E-2</v>
      </c>
      <c r="E50" s="534">
        <v>3.0000000000000001E-3</v>
      </c>
      <c r="F50" s="535">
        <f>E50+D50+C50</f>
        <v>8.0500000000000002E-2</v>
      </c>
      <c r="G50" s="369">
        <v>0</v>
      </c>
      <c r="S50" s="326"/>
      <c r="T50" s="326"/>
      <c r="U50" s="326"/>
      <c r="V50" s="326"/>
      <c r="W50" s="326"/>
      <c r="X50" s="326"/>
      <c r="Y50" s="326"/>
      <c r="Z50" s="326"/>
      <c r="AA50" s="326"/>
      <c r="AB50" s="326"/>
      <c r="AC50" s="326"/>
      <c r="AD50" s="326"/>
      <c r="AE50" s="326"/>
      <c r="AF50" s="326"/>
      <c r="AG50" s="325"/>
    </row>
    <row r="51" spans="1:33" ht="15" x14ac:dyDescent="0.2">
      <c r="A51" s="326"/>
      <c r="C51" s="326"/>
      <c r="D51" s="326"/>
      <c r="G51" s="188"/>
      <c r="H51" s="326"/>
      <c r="I51" s="326"/>
      <c r="J51" s="326"/>
      <c r="K51" s="326"/>
      <c r="S51" s="326"/>
      <c r="T51" s="326"/>
      <c r="U51" s="326"/>
      <c r="V51" s="326"/>
      <c r="W51" s="326"/>
      <c r="X51" s="326"/>
      <c r="Y51" s="326"/>
      <c r="Z51" s="326"/>
      <c r="AA51" s="326"/>
      <c r="AB51" s="326"/>
      <c r="AC51" s="326"/>
      <c r="AD51" s="326"/>
      <c r="AE51" s="326"/>
      <c r="AF51" s="326"/>
      <c r="AG51" s="325"/>
    </row>
    <row r="52" spans="1:33" ht="15" customHeight="1" x14ac:dyDescent="0.2">
      <c r="A52" s="1246" t="s">
        <v>547</v>
      </c>
      <c r="C52" s="536" t="s">
        <v>510</v>
      </c>
      <c r="D52" s="537" t="s">
        <v>487</v>
      </c>
      <c r="E52" s="538" t="s">
        <v>488</v>
      </c>
      <c r="F52" s="537" t="s">
        <v>548</v>
      </c>
      <c r="G52" s="326"/>
      <c r="I52" s="539"/>
      <c r="J52" s="539"/>
      <c r="K52" s="326"/>
      <c r="S52" s="326"/>
      <c r="T52" s="326"/>
      <c r="U52" s="326"/>
      <c r="V52" s="326"/>
      <c r="W52" s="326"/>
      <c r="X52" s="326"/>
      <c r="Y52" s="326"/>
      <c r="Z52" s="326"/>
      <c r="AA52" s="326"/>
      <c r="AB52" s="326"/>
      <c r="AC52" s="326"/>
      <c r="AD52" s="326"/>
      <c r="AE52" s="326"/>
      <c r="AF52" s="326"/>
      <c r="AG52" s="325"/>
    </row>
    <row r="53" spans="1:33" ht="15" customHeight="1" x14ac:dyDescent="0.2">
      <c r="A53" s="1246"/>
      <c r="C53" s="540" t="s">
        <v>549</v>
      </c>
      <c r="D53" s="541">
        <f>Assumptions!K22</f>
        <v>-0.10285963148756745</v>
      </c>
      <c r="E53" s="542">
        <f>Assumptions!L22</f>
        <v>-0.11388489175411973</v>
      </c>
      <c r="F53" s="543" t="s">
        <v>550</v>
      </c>
      <c r="G53" s="137"/>
      <c r="I53" s="326"/>
      <c r="J53" s="326"/>
      <c r="K53" s="326"/>
      <c r="S53" s="326"/>
      <c r="T53" s="326"/>
      <c r="U53" s="326"/>
      <c r="V53" s="326"/>
      <c r="W53" s="326"/>
      <c r="X53" s="326"/>
      <c r="Y53" s="326"/>
      <c r="Z53" s="326"/>
      <c r="AA53" s="326"/>
      <c r="AB53" s="326"/>
      <c r="AC53" s="326"/>
      <c r="AD53" s="326"/>
      <c r="AE53" s="326"/>
      <c r="AF53" s="326"/>
      <c r="AG53" s="325"/>
    </row>
    <row r="54" spans="1:33" ht="15" customHeight="1" x14ac:dyDescent="0.2">
      <c r="A54" s="1246"/>
      <c r="C54" s="544" t="s">
        <v>551</v>
      </c>
      <c r="D54" s="545">
        <f>Assumptions!K23</f>
        <v>-1.6078481138245018E-2</v>
      </c>
      <c r="E54" s="546">
        <f>Assumptions!L23</f>
        <v>-1.4106181847547666E-2</v>
      </c>
      <c r="F54" s="547" t="s">
        <v>552</v>
      </c>
      <c r="G54" s="326"/>
      <c r="I54" s="326"/>
      <c r="J54" s="326"/>
      <c r="K54" s="326"/>
      <c r="S54" s="326"/>
      <c r="T54" s="326"/>
      <c r="U54" s="326"/>
      <c r="V54" s="326"/>
      <c r="W54" s="326"/>
      <c r="X54" s="326"/>
      <c r="Y54" s="326"/>
      <c r="Z54" s="326"/>
      <c r="AA54" s="326"/>
      <c r="AB54" s="326"/>
      <c r="AC54" s="326"/>
      <c r="AD54" s="326"/>
      <c r="AE54" s="326"/>
      <c r="AF54" s="326"/>
      <c r="AG54" s="325"/>
    </row>
    <row r="55" spans="1:33" ht="15" customHeight="1" x14ac:dyDescent="0.2">
      <c r="A55" s="1246"/>
      <c r="C55" s="548" t="s">
        <v>553</v>
      </c>
      <c r="D55" s="549">
        <f>Assumptions!K24</f>
        <v>-2.6539546757554456E-3</v>
      </c>
      <c r="E55" s="549">
        <f>Assumptions!L24</f>
        <v>-2.6539546757554456E-3</v>
      </c>
      <c r="F55" s="543" t="s">
        <v>554</v>
      </c>
      <c r="G55" s="326"/>
      <c r="I55" s="326"/>
      <c r="J55" s="326"/>
      <c r="K55" s="326"/>
      <c r="L55" s="326"/>
      <c r="M55" s="326"/>
      <c r="N55" s="326"/>
      <c r="O55" s="326"/>
      <c r="P55" s="326"/>
      <c r="Q55" s="326"/>
      <c r="R55" s="326"/>
      <c r="S55" s="326"/>
      <c r="T55" s="326"/>
      <c r="U55" s="326"/>
      <c r="V55" s="326"/>
      <c r="W55" s="326"/>
      <c r="X55" s="326"/>
      <c r="Y55" s="326"/>
      <c r="Z55" s="326"/>
      <c r="AA55" s="326"/>
      <c r="AB55" s="326"/>
      <c r="AC55" s="326"/>
      <c r="AD55" s="326"/>
      <c r="AE55" s="326"/>
      <c r="AF55" s="326"/>
      <c r="AG55" s="325"/>
    </row>
    <row r="56" spans="1:33" ht="15" customHeight="1" x14ac:dyDescent="0.2">
      <c r="A56" s="1246"/>
      <c r="C56" s="544" t="s">
        <v>555</v>
      </c>
      <c r="D56" s="545">
        <f>Assumptions!K25</f>
        <v>0.21859962832532517</v>
      </c>
      <c r="E56" s="546">
        <f>Assumptions!L25</f>
        <v>0.21859962832532517</v>
      </c>
      <c r="F56" s="543" t="s">
        <v>556</v>
      </c>
      <c r="G56" s="326"/>
      <c r="I56" s="326"/>
      <c r="J56" s="326"/>
      <c r="K56" s="326"/>
      <c r="L56" s="326"/>
      <c r="M56" s="326"/>
      <c r="N56" s="326"/>
      <c r="O56" s="326"/>
      <c r="P56" s="326"/>
      <c r="Q56" s="326"/>
      <c r="R56" s="326"/>
      <c r="S56" s="326"/>
      <c r="T56" s="326"/>
      <c r="U56" s="326"/>
      <c r="V56" s="326"/>
      <c r="W56" s="326"/>
      <c r="X56" s="326"/>
      <c r="Y56" s="326"/>
      <c r="Z56" s="326"/>
      <c r="AA56" s="326"/>
      <c r="AB56" s="326"/>
      <c r="AC56" s="326"/>
      <c r="AD56" s="326"/>
      <c r="AE56" s="326"/>
      <c r="AF56" s="326"/>
      <c r="AG56" s="325"/>
    </row>
    <row r="57" spans="1:33" ht="15" customHeight="1" x14ac:dyDescent="0.2">
      <c r="A57" s="1246"/>
      <c r="C57" s="548" t="s">
        <v>557</v>
      </c>
      <c r="D57" s="549">
        <f>Assumptions!K26</f>
        <v>3.3813403694196581E-2</v>
      </c>
      <c r="E57" s="550">
        <f>Assumptions!L26</f>
        <v>3.3813403694196581E-2</v>
      </c>
      <c r="F57" s="547" t="s">
        <v>558</v>
      </c>
      <c r="G57" s="326"/>
      <c r="I57" s="326"/>
      <c r="J57" s="326"/>
      <c r="K57" s="326"/>
      <c r="L57" s="326"/>
      <c r="M57" s="326"/>
      <c r="N57" s="326"/>
      <c r="O57" s="326"/>
      <c r="P57" s="326"/>
      <c r="Q57" s="326"/>
      <c r="R57" s="326"/>
      <c r="S57" s="326"/>
      <c r="T57" s="326"/>
      <c r="U57" s="326"/>
      <c r="V57" s="326"/>
      <c r="W57" s="326"/>
      <c r="X57" s="326"/>
      <c r="Y57" s="326"/>
      <c r="Z57" s="326"/>
      <c r="AA57" s="326"/>
      <c r="AB57" s="326"/>
      <c r="AC57" s="326"/>
      <c r="AD57" s="326"/>
      <c r="AE57" s="326"/>
      <c r="AF57" s="326"/>
      <c r="AG57" s="325"/>
    </row>
    <row r="58" spans="1:33" ht="15" customHeight="1" x14ac:dyDescent="0.2">
      <c r="A58" s="1246"/>
      <c r="C58" s="544" t="s">
        <v>559</v>
      </c>
      <c r="D58" s="545">
        <f>Assumptions!K27</f>
        <v>4.1399999999999999E-2</v>
      </c>
      <c r="E58" s="546">
        <f>Assumptions!L27</f>
        <v>0.03</v>
      </c>
      <c r="F58" s="543" t="s">
        <v>560</v>
      </c>
      <c r="G58" s="326"/>
      <c r="H58" s="326"/>
      <c r="I58" s="470"/>
      <c r="J58" s="551"/>
      <c r="K58" s="551"/>
      <c r="L58" s="551"/>
      <c r="M58" s="551"/>
      <c r="N58" s="551"/>
      <c r="O58" s="326"/>
      <c r="P58" s="326"/>
      <c r="Q58" s="326"/>
      <c r="R58" s="326"/>
      <c r="S58" s="326"/>
      <c r="T58" s="326"/>
      <c r="U58" s="326"/>
      <c r="V58" s="326"/>
      <c r="W58" s="326"/>
      <c r="X58" s="326"/>
      <c r="Y58" s="326"/>
      <c r="Z58" s="326"/>
      <c r="AA58" s="326"/>
      <c r="AB58" s="326"/>
      <c r="AC58" s="326"/>
      <c r="AD58" s="326"/>
      <c r="AE58" s="326"/>
      <c r="AF58" s="326"/>
      <c r="AG58" s="325"/>
    </row>
    <row r="59" spans="1:33" ht="15" customHeight="1" x14ac:dyDescent="0.2">
      <c r="A59" s="1246"/>
      <c r="C59" s="548" t="s">
        <v>561</v>
      </c>
      <c r="D59" s="552" t="s">
        <v>562</v>
      </c>
      <c r="E59" s="553" t="s">
        <v>562</v>
      </c>
      <c r="F59" s="547" t="s">
        <v>563</v>
      </c>
      <c r="G59" s="326"/>
      <c r="H59" s="326"/>
      <c r="I59" s="326"/>
      <c r="J59" s="554"/>
      <c r="K59" s="554"/>
      <c r="L59" s="554"/>
      <c r="M59" s="554"/>
      <c r="N59" s="551"/>
      <c r="O59" s="326"/>
      <c r="P59" s="326"/>
      <c r="Q59" s="326"/>
      <c r="R59" s="326"/>
      <c r="S59" s="326"/>
      <c r="T59" s="326"/>
      <c r="U59" s="326"/>
      <c r="V59" s="326"/>
      <c r="W59" s="326"/>
      <c r="X59" s="326"/>
      <c r="Y59" s="326"/>
      <c r="Z59" s="326"/>
      <c r="AA59" s="326"/>
      <c r="AB59" s="326"/>
      <c r="AC59" s="326"/>
      <c r="AD59" s="326"/>
      <c r="AE59" s="326"/>
      <c r="AF59" s="326"/>
      <c r="AG59" s="325"/>
    </row>
    <row r="60" spans="1:33" ht="15" customHeight="1" x14ac:dyDescent="0.2">
      <c r="A60" s="1246"/>
      <c r="C60" s="536" t="s">
        <v>564</v>
      </c>
      <c r="D60" s="555">
        <f>Assumptions!K29</f>
        <v>7.1846403338805126E-2</v>
      </c>
      <c r="E60" s="555">
        <f>Assumptions!L29</f>
        <v>7.1846403338805126E-2</v>
      </c>
      <c r="F60" s="556" t="s">
        <v>565</v>
      </c>
      <c r="G60" s="326"/>
      <c r="H60" s="326"/>
      <c r="I60" s="326"/>
      <c r="J60" s="551"/>
      <c r="K60" s="551"/>
      <c r="L60" s="551"/>
      <c r="M60" s="551"/>
      <c r="N60" s="551"/>
      <c r="O60" s="326"/>
      <c r="P60" s="326"/>
      <c r="Q60" s="326"/>
      <c r="R60" s="326"/>
      <c r="S60" s="326"/>
      <c r="T60" s="326"/>
      <c r="U60" s="326"/>
      <c r="V60" s="326"/>
      <c r="W60" s="326"/>
      <c r="X60" s="326"/>
      <c r="Y60" s="326"/>
      <c r="Z60" s="326"/>
      <c r="AA60" s="326"/>
      <c r="AB60" s="326"/>
      <c r="AC60" s="326"/>
      <c r="AD60" s="326"/>
      <c r="AE60" s="326"/>
      <c r="AF60" s="326"/>
      <c r="AG60" s="325"/>
    </row>
    <row r="61" spans="1:33" ht="15" customHeight="1" x14ac:dyDescent="0.2">
      <c r="A61" s="1246"/>
      <c r="C61" s="557" t="s">
        <v>566</v>
      </c>
      <c r="D61" s="558">
        <f>Assumptions!K30</f>
        <v>0.11313467367637974</v>
      </c>
      <c r="E61" s="558">
        <f>Assumptions!L30</f>
        <v>0.11332098397548396</v>
      </c>
      <c r="F61" s="543" t="s">
        <v>567</v>
      </c>
      <c r="G61" s="326"/>
      <c r="H61" s="326"/>
      <c r="I61" s="326"/>
      <c r="J61" s="326"/>
      <c r="K61" s="326"/>
      <c r="L61" s="326"/>
      <c r="M61" s="326"/>
      <c r="N61" s="326"/>
      <c r="O61" s="326"/>
      <c r="P61" s="326"/>
      <c r="Q61" s="326"/>
      <c r="R61" s="326"/>
      <c r="S61" s="326"/>
      <c r="T61" s="326"/>
      <c r="U61" s="326"/>
      <c r="V61" s="326"/>
      <c r="W61" s="326"/>
      <c r="X61" s="326"/>
      <c r="Y61" s="326"/>
      <c r="Z61" s="326"/>
      <c r="AA61" s="326"/>
      <c r="AB61" s="326"/>
      <c r="AC61" s="326"/>
      <c r="AD61" s="326"/>
      <c r="AE61" s="326"/>
      <c r="AF61" s="326"/>
      <c r="AG61" s="325"/>
    </row>
    <row r="62" spans="1:33" ht="15" customHeight="1" x14ac:dyDescent="0.2">
      <c r="A62" s="1246"/>
      <c r="C62" s="557" t="s">
        <v>568</v>
      </c>
      <c r="D62" s="545">
        <f>-Assumptions!K31</f>
        <v>-8.0000000000000002E-3</v>
      </c>
      <c r="E62" s="545">
        <f>-Assumptions!L31</f>
        <v>-8.0000000000000002E-3</v>
      </c>
      <c r="F62" s="543" t="s">
        <v>569</v>
      </c>
      <c r="G62" s="326"/>
      <c r="H62" s="326"/>
      <c r="I62" s="326"/>
      <c r="J62" s="326"/>
      <c r="K62" s="326"/>
      <c r="L62" s="326"/>
      <c r="M62" s="326"/>
      <c r="N62" s="326"/>
      <c r="O62" s="326"/>
      <c r="P62" s="326"/>
      <c r="Q62" s="326"/>
      <c r="R62" s="326"/>
      <c r="S62" s="326"/>
      <c r="T62" s="326"/>
      <c r="U62" s="326"/>
      <c r="V62" s="326"/>
      <c r="W62" s="326"/>
      <c r="X62" s="326"/>
      <c r="Y62" s="326"/>
      <c r="Z62" s="326"/>
      <c r="AA62" s="326"/>
      <c r="AB62" s="326"/>
      <c r="AC62" s="326"/>
      <c r="AD62" s="326"/>
      <c r="AE62" s="326"/>
      <c r="AF62" s="326"/>
      <c r="AG62" s="325"/>
    </row>
    <row r="63" spans="1:33" ht="15" customHeight="1" x14ac:dyDescent="0.2">
      <c r="A63" s="1246"/>
      <c r="C63" s="557" t="s">
        <v>570</v>
      </c>
      <c r="D63" s="545">
        <f>-Assumptions!K32</f>
        <v>-3.4336176796412467E-2</v>
      </c>
      <c r="E63" s="545">
        <f>-Assumptions!L32</f>
        <v>-3.4336176796412467E-2</v>
      </c>
      <c r="F63" s="543" t="s">
        <v>569</v>
      </c>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c r="AG63" s="325"/>
    </row>
    <row r="64" spans="1:33" ht="15" customHeight="1" x14ac:dyDescent="0.2">
      <c r="A64" s="1246"/>
      <c r="C64" s="557" t="s">
        <v>135</v>
      </c>
      <c r="D64" s="558">
        <f>Assumptions!K33</f>
        <v>0.30640000000000001</v>
      </c>
      <c r="E64" s="558">
        <f>Assumptions!L33</f>
        <v>0.28460270475237037</v>
      </c>
      <c r="F64" s="543" t="s">
        <v>571</v>
      </c>
      <c r="G64" s="326"/>
      <c r="I64" s="326"/>
      <c r="J64" s="326"/>
      <c r="K64" s="326"/>
      <c r="L64" s="326"/>
      <c r="M64" s="326"/>
      <c r="N64" s="326"/>
      <c r="O64" s="326"/>
      <c r="P64" s="326"/>
      <c r="Q64" s="326"/>
      <c r="R64" s="326"/>
      <c r="S64" s="326"/>
      <c r="T64" s="326"/>
      <c r="U64" s="326"/>
      <c r="V64" s="326"/>
      <c r="W64" s="326"/>
      <c r="X64" s="326"/>
      <c r="Y64" s="326"/>
      <c r="Z64" s="326"/>
      <c r="AA64" s="326"/>
      <c r="AB64" s="326"/>
      <c r="AC64" s="326"/>
      <c r="AD64" s="326"/>
      <c r="AE64" s="326"/>
      <c r="AF64" s="326"/>
      <c r="AG64" s="326"/>
    </row>
    <row r="65" spans="1:33" ht="15" customHeight="1" x14ac:dyDescent="0.2">
      <c r="A65" s="1246"/>
      <c r="C65" s="557" t="s">
        <v>572</v>
      </c>
      <c r="D65" s="558">
        <f>Assumptions!K34</f>
        <v>0.32806996275179096</v>
      </c>
      <c r="E65" s="558">
        <f>Assumptions!L34</f>
        <v>0.32806996275179096</v>
      </c>
      <c r="F65" s="543" t="s">
        <v>571</v>
      </c>
      <c r="G65" s="326"/>
      <c r="I65" s="326"/>
      <c r="J65" s="326"/>
      <c r="K65" s="326"/>
      <c r="L65" s="326"/>
      <c r="M65" s="326"/>
      <c r="N65" s="326"/>
      <c r="O65" s="326"/>
      <c r="P65" s="326"/>
      <c r="Q65" s="326"/>
      <c r="R65" s="326"/>
      <c r="S65" s="326"/>
      <c r="T65" s="326"/>
      <c r="U65" s="326"/>
      <c r="V65" s="326"/>
      <c r="W65" s="326"/>
      <c r="X65" s="326"/>
      <c r="Y65" s="326"/>
      <c r="Z65" s="326"/>
      <c r="AA65" s="326"/>
      <c r="AB65" s="326"/>
      <c r="AC65" s="326"/>
      <c r="AD65" s="326"/>
      <c r="AE65" s="326"/>
      <c r="AF65" s="326"/>
      <c r="AG65" s="326"/>
    </row>
    <row r="66" spans="1:33" ht="15" customHeight="1" outlineLevel="1" x14ac:dyDescent="0.2">
      <c r="A66" s="1246"/>
      <c r="C66" s="557" t="s">
        <v>572</v>
      </c>
      <c r="D66" s="127">
        <f>Assumptions!I425</f>
        <v>0.428447648119404</v>
      </c>
      <c r="E66" s="127">
        <f>Assumptions!I425</f>
        <v>0.428447648119404</v>
      </c>
      <c r="F66" s="543" t="s">
        <v>573</v>
      </c>
      <c r="G66" s="326"/>
      <c r="I66" s="326"/>
      <c r="J66" s="326"/>
      <c r="K66" s="326"/>
      <c r="L66" s="326"/>
      <c r="M66" s="326"/>
      <c r="N66" s="326"/>
      <c r="O66" s="326"/>
      <c r="P66" s="326"/>
      <c r="Q66" s="326"/>
      <c r="R66" s="326"/>
      <c r="S66" s="326"/>
      <c r="T66" s="326"/>
      <c r="U66" s="326"/>
      <c r="V66" s="326"/>
      <c r="W66" s="326"/>
      <c r="X66" s="326"/>
      <c r="Y66" s="326"/>
      <c r="Z66" s="326"/>
      <c r="AA66" s="326"/>
      <c r="AB66" s="326"/>
      <c r="AC66" s="326"/>
      <c r="AD66" s="326"/>
      <c r="AE66" s="326"/>
      <c r="AF66" s="326"/>
      <c r="AG66" s="326"/>
    </row>
    <row r="67" spans="1:33" ht="15" customHeight="1" x14ac:dyDescent="0.2">
      <c r="A67" s="1246"/>
      <c r="C67" s="557" t="s">
        <v>574</v>
      </c>
      <c r="D67" s="559" t="s">
        <v>562</v>
      </c>
      <c r="E67" s="559" t="s">
        <v>562</v>
      </c>
      <c r="F67" s="543" t="s">
        <v>569</v>
      </c>
      <c r="G67" s="326"/>
      <c r="I67" s="326"/>
      <c r="J67" s="326"/>
      <c r="K67" s="326"/>
      <c r="L67" s="326"/>
      <c r="M67" s="326"/>
      <c r="N67" s="326"/>
      <c r="O67" s="326"/>
      <c r="P67" s="326"/>
      <c r="Q67" s="326"/>
      <c r="R67" s="326"/>
      <c r="S67" s="326"/>
      <c r="T67" s="326"/>
      <c r="U67" s="326"/>
      <c r="V67" s="326"/>
      <c r="W67" s="326"/>
      <c r="X67" s="326"/>
      <c r="Y67" s="326"/>
      <c r="Z67" s="326"/>
      <c r="AA67" s="326"/>
      <c r="AB67" s="326"/>
      <c r="AC67" s="326"/>
      <c r="AD67" s="326"/>
      <c r="AE67" s="326"/>
      <c r="AF67" s="326"/>
      <c r="AG67" s="326"/>
    </row>
    <row r="68" spans="1:33" ht="15.75" customHeight="1" x14ac:dyDescent="0.2">
      <c r="A68" s="1246"/>
      <c r="C68" s="557" t="s">
        <v>575</v>
      </c>
      <c r="D68" s="560" t="s">
        <v>562</v>
      </c>
      <c r="E68" s="560" t="s">
        <v>562</v>
      </c>
      <c r="F68" s="543" t="s">
        <v>569</v>
      </c>
      <c r="G68" s="326"/>
      <c r="J68" s="326"/>
      <c r="K68" s="326"/>
      <c r="L68" s="326"/>
      <c r="M68" s="326"/>
      <c r="N68" s="326"/>
      <c r="O68" s="326"/>
      <c r="P68" s="326"/>
      <c r="Q68" s="326"/>
      <c r="R68" s="326"/>
      <c r="S68" s="326"/>
      <c r="T68" s="326"/>
      <c r="U68" s="326"/>
      <c r="V68" s="326"/>
      <c r="W68" s="326"/>
      <c r="X68" s="326"/>
      <c r="Y68" s="326"/>
      <c r="Z68" s="326"/>
      <c r="AA68" s="326"/>
      <c r="AB68" s="326"/>
      <c r="AC68" s="326"/>
      <c r="AD68" s="326"/>
      <c r="AE68" s="326"/>
      <c r="AF68" s="326"/>
      <c r="AG68" s="326"/>
    </row>
    <row r="69" spans="1:33" ht="15.75" customHeight="1" x14ac:dyDescent="0.2">
      <c r="A69" s="1246"/>
      <c r="C69" s="557" t="s">
        <v>367</v>
      </c>
      <c r="D69" s="561">
        <f>Assumptions!K37</f>
        <v>2.0099999999999998</v>
      </c>
      <c r="E69" s="561">
        <f>Assumptions!L37</f>
        <v>2.0099999999999998</v>
      </c>
      <c r="F69" s="543" t="s">
        <v>576</v>
      </c>
      <c r="G69" s="326"/>
      <c r="J69" s="326"/>
      <c r="K69" s="326"/>
      <c r="L69" s="326"/>
      <c r="M69" s="326"/>
      <c r="N69" s="326"/>
      <c r="O69" s="326"/>
      <c r="P69" s="326"/>
      <c r="Q69" s="326"/>
      <c r="R69" s="326"/>
      <c r="S69" s="326"/>
      <c r="T69" s="326"/>
      <c r="U69" s="326"/>
      <c r="V69" s="326"/>
      <c r="W69" s="326"/>
      <c r="X69" s="326"/>
      <c r="Y69" s="326"/>
      <c r="Z69" s="326"/>
      <c r="AA69" s="326"/>
      <c r="AB69" s="326"/>
      <c r="AC69" s="326"/>
      <c r="AD69" s="326"/>
      <c r="AE69" s="326"/>
      <c r="AF69" s="326"/>
      <c r="AG69" s="326"/>
    </row>
    <row r="70" spans="1:33" ht="15" x14ac:dyDescent="0.2">
      <c r="A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c r="AG70" s="326"/>
    </row>
    <row r="71" spans="1:33" ht="15" x14ac:dyDescent="0.2">
      <c r="A71" s="1247" t="s">
        <v>109</v>
      </c>
      <c r="C71" s="562"/>
      <c r="D71" s="563" t="s">
        <v>577</v>
      </c>
      <c r="E71" s="294"/>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c r="AG71" s="326"/>
    </row>
    <row r="72" spans="1:33" ht="15" x14ac:dyDescent="0.2">
      <c r="A72" s="1248"/>
      <c r="C72" s="562" t="s">
        <v>578</v>
      </c>
      <c r="D72" s="564">
        <f>SUMPRODUCT(G35:AF35,G45:AF45)+((AF43-AF44)*AF45)</f>
        <v>326461.17661797738</v>
      </c>
      <c r="E72" s="119">
        <f>D72/D74</f>
        <v>0.7238051049205726</v>
      </c>
      <c r="G72" s="326"/>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c r="AE72" s="326"/>
      <c r="AF72" s="326"/>
      <c r="AG72" s="326"/>
    </row>
    <row r="73" spans="1:33" ht="15" x14ac:dyDescent="0.2">
      <c r="A73" s="1248"/>
      <c r="C73" s="562" t="s">
        <v>579</v>
      </c>
      <c r="D73" s="564">
        <f>(AF34/(F50-AF5))*AF45</f>
        <v>124573.46571685653</v>
      </c>
      <c r="E73" s="119">
        <f>D73/D74</f>
        <v>0.2761948950794274</v>
      </c>
      <c r="G73" s="326"/>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c r="AE73" s="326"/>
      <c r="AF73" s="326"/>
      <c r="AG73" s="326"/>
    </row>
    <row r="74" spans="1:33" ht="15" x14ac:dyDescent="0.2">
      <c r="A74" s="1248"/>
      <c r="C74" s="562" t="s">
        <v>580</v>
      </c>
      <c r="D74" s="564">
        <f>D72+D73</f>
        <v>451034.64233483392</v>
      </c>
      <c r="E74" s="294"/>
      <c r="G74" s="326"/>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c r="AE74" s="326"/>
      <c r="AF74" s="326"/>
      <c r="AG74" s="326"/>
    </row>
    <row r="75" spans="1:33" ht="15" x14ac:dyDescent="0.2">
      <c r="A75" s="1248"/>
      <c r="C75" s="565" t="s">
        <v>581</v>
      </c>
      <c r="D75" s="566">
        <f>OP!C20</f>
        <v>523.28</v>
      </c>
      <c r="E75" s="567"/>
      <c r="G75" s="326"/>
      <c r="H75" s="326"/>
      <c r="I75" s="326"/>
      <c r="J75" s="326"/>
      <c r="K75" s="326"/>
      <c r="L75" s="326"/>
      <c r="M75" s="326"/>
      <c r="N75" s="326"/>
      <c r="O75" s="326"/>
      <c r="P75" s="326"/>
      <c r="Q75" s="326"/>
      <c r="R75" s="326"/>
      <c r="S75" s="326"/>
      <c r="T75" s="326"/>
      <c r="U75" s="326"/>
      <c r="V75" s="326"/>
      <c r="W75" s="326"/>
      <c r="X75" s="326"/>
      <c r="Y75" s="326"/>
      <c r="Z75" s="326"/>
      <c r="AA75" s="326"/>
      <c r="AB75" s="326"/>
      <c r="AC75" s="326"/>
      <c r="AD75" s="326"/>
      <c r="AE75" s="326"/>
      <c r="AF75" s="326"/>
      <c r="AG75" s="326"/>
    </row>
    <row r="76" spans="1:33" ht="15" x14ac:dyDescent="0.2">
      <c r="A76" s="1248"/>
      <c r="C76" s="565" t="s">
        <v>582</v>
      </c>
      <c r="D76" s="123">
        <f>D77/D75-1</f>
        <v>-6.8100444655823322E-2</v>
      </c>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c r="AG76" s="326"/>
    </row>
    <row r="77" spans="1:33" ht="15" x14ac:dyDescent="0.2">
      <c r="A77" s="1249"/>
      <c r="C77" s="568" t="s">
        <v>583</v>
      </c>
      <c r="D77" s="569">
        <f>D74*1000000/OP!C21</f>
        <v>487.64439932050072</v>
      </c>
    </row>
    <row r="78" spans="1:33" ht="15" x14ac:dyDescent="0.2">
      <c r="A78" s="570"/>
      <c r="C78" s="567"/>
      <c r="D78" s="571"/>
    </row>
    <row r="79" spans="1:33" ht="15" x14ac:dyDescent="0.2">
      <c r="A79" s="1250" t="s">
        <v>584</v>
      </c>
      <c r="C79" s="572" t="s">
        <v>585</v>
      </c>
      <c r="D79" s="566">
        <f>(SUMPRODUCT(G35:AF35,G45:AF45)+((AF43-AF44)*AF45)+(AF34/(F50+0.001-AF5))*AF45)*1000000/OP!C21</f>
        <v>485.45440104885199</v>
      </c>
      <c r="E79" s="124">
        <f>D79/D77-1</f>
        <v>-4.4909739037305441E-3</v>
      </c>
    </row>
    <row r="80" spans="1:33" ht="15" x14ac:dyDescent="0.2">
      <c r="A80" s="1251"/>
      <c r="C80" s="572" t="s">
        <v>586</v>
      </c>
      <c r="D80" s="566">
        <f>(SUMPRODUCT(G35:AF35,G45:AF45)+((AF43-AF44)*AF45)+(AF34/(F50+0.005-AF5))*AF45)*1000000/OP!C21</f>
        <v>477.36310972459262</v>
      </c>
      <c r="E80" s="124">
        <f>D80/D77-1</f>
        <v>-2.108357977705555E-2</v>
      </c>
    </row>
    <row r="81" spans="1:12" ht="15" x14ac:dyDescent="0.2">
      <c r="A81" s="573"/>
      <c r="C81" s="574"/>
      <c r="D81" s="571"/>
      <c r="E81" s="124"/>
    </row>
    <row r="82" spans="1:12" ht="15" x14ac:dyDescent="0.2">
      <c r="A82" s="575" t="s">
        <v>587</v>
      </c>
      <c r="J82" s="576"/>
    </row>
    <row r="83" spans="1:12" x14ac:dyDescent="0.15">
      <c r="G83" s="1"/>
      <c r="H83" s="1"/>
      <c r="I83" s="1"/>
      <c r="J83" s="295"/>
    </row>
    <row r="84" spans="1:12" x14ac:dyDescent="0.15">
      <c r="G84" s="1"/>
      <c r="H84" s="1"/>
      <c r="I84" s="1"/>
      <c r="J84" s="295"/>
    </row>
    <row r="85" spans="1:12" x14ac:dyDescent="0.15">
      <c r="G85" s="1"/>
      <c r="H85" s="1"/>
      <c r="I85" s="1"/>
      <c r="K85" s="295"/>
    </row>
    <row r="86" spans="1:12" x14ac:dyDescent="0.15">
      <c r="L86" s="576"/>
    </row>
    <row r="87" spans="1:12" x14ac:dyDescent="0.15">
      <c r="G87" s="1"/>
      <c r="H87" s="1"/>
      <c r="I87" s="1"/>
    </row>
    <row r="88" spans="1:12" x14ac:dyDescent="0.15">
      <c r="G88" s="1"/>
      <c r="H88" s="1"/>
      <c r="I88" s="1"/>
    </row>
    <row r="89" spans="1:12" x14ac:dyDescent="0.15">
      <c r="G89" s="1"/>
      <c r="H89" s="1"/>
      <c r="I89" s="1"/>
    </row>
  </sheetData>
  <mergeCells count="15">
    <mergeCell ref="A52:A69"/>
    <mergeCell ref="A71:A77"/>
    <mergeCell ref="A79:A80"/>
    <mergeCell ref="A34:A36"/>
    <mergeCell ref="A38:A41"/>
    <mergeCell ref="A42:AF42"/>
    <mergeCell ref="A43:A47"/>
    <mergeCell ref="A48:AF48"/>
    <mergeCell ref="A49:A50"/>
    <mergeCell ref="A33:AF33"/>
    <mergeCell ref="A1:AF2"/>
    <mergeCell ref="G3:J3"/>
    <mergeCell ref="K3:AF3"/>
    <mergeCell ref="A5:A17"/>
    <mergeCell ref="A19:A32"/>
  </mergeCells>
  <conditionalFormatting sqref="D76">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EE337-DB0C-F443-99D3-FFEF03736179}">
  <dimension ref="A2:BH433"/>
  <sheetViews>
    <sheetView showGridLines="0" topLeftCell="A44" zoomScale="117" zoomScaleNormal="117" workbookViewId="0">
      <selection activeCell="L15" sqref="L15"/>
    </sheetView>
  </sheetViews>
  <sheetFormatPr defaultColWidth="9.16796875" defaultRowHeight="12.75" outlineLevelRow="2" outlineLevelCol="1" x14ac:dyDescent="0.15"/>
  <cols>
    <col min="1" max="1" width="15.23828125" style="188" bestFit="1" customWidth="1"/>
    <col min="2" max="2" width="36.00390625" style="188" bestFit="1" customWidth="1"/>
    <col min="3" max="3" width="26.16015625" style="188" bestFit="1" customWidth="1"/>
    <col min="4" max="4" width="30.87890625" style="188" bestFit="1" customWidth="1"/>
    <col min="5" max="5" width="13.484375" style="188" customWidth="1"/>
    <col min="6" max="6" width="21.84375" style="188" bestFit="1" customWidth="1"/>
    <col min="7" max="7" width="14.15625" style="188" customWidth="1"/>
    <col min="8" max="8" width="17.2578125" style="188" bestFit="1" customWidth="1"/>
    <col min="9" max="9" width="14.15625" style="188" customWidth="1"/>
    <col min="10" max="10" width="20.2265625" style="188" bestFit="1" customWidth="1"/>
    <col min="11" max="12" width="17.6640625" style="188" customWidth="1"/>
    <col min="13" max="13" width="22.11328125" style="188" bestFit="1" customWidth="1"/>
    <col min="14" max="14" width="15.23828125" style="188" bestFit="1" customWidth="1"/>
    <col min="15" max="15" width="12.80859375" style="188" bestFit="1" customWidth="1"/>
    <col min="16" max="16" width="14.0234375" style="188" bestFit="1" customWidth="1"/>
    <col min="17" max="21" width="13.75390625" style="188" bestFit="1" customWidth="1"/>
    <col min="22" max="23" width="12.26953125" style="188" customWidth="1" outlineLevel="1"/>
    <col min="24" max="24" width="18.7421875" style="188" customWidth="1" outlineLevel="1"/>
    <col min="25" max="25" width="14.83203125" style="188" customWidth="1" outlineLevel="1"/>
    <col min="26" max="29" width="12.26953125" style="188" customWidth="1" outlineLevel="1"/>
    <col min="30" max="30" width="22.7890625" style="188" customWidth="1" outlineLevel="1"/>
    <col min="31" max="31" width="26.4296875" style="188" customWidth="1" outlineLevel="1"/>
    <col min="32" max="32" width="33.7109375" style="188" customWidth="1" outlineLevel="1"/>
    <col min="33" max="33" width="23.19140625" style="188" customWidth="1" outlineLevel="1"/>
    <col min="34" max="34" width="28.85546875" style="188" customWidth="1" outlineLevel="1"/>
    <col min="35" max="35" width="27.10546875" style="188" customWidth="1" outlineLevel="1"/>
    <col min="36" max="36" width="73.765625" style="188" customWidth="1" outlineLevel="1"/>
    <col min="37" max="37" width="26.0234375" style="188" customWidth="1" outlineLevel="1"/>
    <col min="38" max="38" width="9.16796875" style="188" customWidth="1" outlineLevel="1"/>
    <col min="39" max="39" width="24.13671875" style="188" customWidth="1" outlineLevel="1"/>
    <col min="40" max="46" width="9.16796875" style="188" customWidth="1" outlineLevel="1"/>
    <col min="47" max="47" width="62.9765625" style="188" customWidth="1" outlineLevel="1"/>
    <col min="48" max="48" width="7.4140625" style="188" customWidth="1" outlineLevel="1"/>
    <col min="49" max="49" width="5.390625" style="188" customWidth="1" outlineLevel="1"/>
    <col min="50" max="50" width="20.765625" style="188" customWidth="1" outlineLevel="1"/>
    <col min="51" max="52" width="9.16796875" style="188" customWidth="1" outlineLevel="1"/>
    <col min="53" max="53" width="12.13671875" style="188" bestFit="1" customWidth="1"/>
    <col min="54" max="16384" width="9.16796875" style="188"/>
  </cols>
  <sheetData>
    <row r="2" spans="1:35" s="187" customFormat="1" ht="12.6" customHeight="1" x14ac:dyDescent="0.15">
      <c r="A2" s="184"/>
      <c r="B2" s="185" t="s">
        <v>588</v>
      </c>
      <c r="C2" s="186"/>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row>
    <row r="3" spans="1:35" ht="12.6" customHeight="1" x14ac:dyDescent="0.15">
      <c r="C3" s="189"/>
    </row>
    <row r="4" spans="1:35" x14ac:dyDescent="0.15">
      <c r="B4" s="188" t="s">
        <v>589</v>
      </c>
      <c r="C4" s="188" t="s">
        <v>590</v>
      </c>
      <c r="F4" s="190"/>
      <c r="G4" s="191"/>
      <c r="H4" s="191"/>
      <c r="I4" s="191"/>
      <c r="J4" s="191"/>
      <c r="K4" s="191"/>
      <c r="L4" s="191"/>
    </row>
    <row r="5" spans="1:35" x14ac:dyDescent="0.15">
      <c r="B5" s="192"/>
      <c r="G5" s="193"/>
      <c r="H5" s="193"/>
      <c r="I5" s="193"/>
      <c r="J5" s="193"/>
      <c r="K5" s="193"/>
      <c r="L5" s="193"/>
    </row>
    <row r="6" spans="1:35" x14ac:dyDescent="0.15">
      <c r="B6" s="188" t="s">
        <v>591</v>
      </c>
    </row>
    <row r="8" spans="1:35" s="272" customFormat="1" ht="15" customHeight="1" x14ac:dyDescent="0.15">
      <c r="A8" s="184"/>
      <c r="B8" s="185" t="s">
        <v>592</v>
      </c>
      <c r="C8" s="186"/>
      <c r="D8" s="184"/>
      <c r="E8" s="184"/>
      <c r="F8" s="184"/>
      <c r="G8" s="184"/>
      <c r="H8" s="184"/>
      <c r="I8" s="184"/>
      <c r="J8" s="184"/>
      <c r="K8" s="184"/>
      <c r="L8" s="184"/>
      <c r="M8" s="184"/>
      <c r="N8" s="184"/>
      <c r="O8" s="184"/>
      <c r="P8" s="184"/>
      <c r="Q8" s="184"/>
      <c r="R8" s="184"/>
      <c r="S8" s="184"/>
      <c r="T8" s="184"/>
      <c r="U8" s="184"/>
      <c r="V8" s="184"/>
      <c r="W8" s="184"/>
      <c r="X8" s="184"/>
      <c r="Y8" s="184"/>
      <c r="Z8" s="184"/>
      <c r="AA8" s="184"/>
      <c r="AB8" s="184"/>
      <c r="AC8" s="184"/>
      <c r="AD8" s="184"/>
      <c r="AE8" s="184"/>
      <c r="AF8" s="184"/>
      <c r="AG8" s="184"/>
      <c r="AH8" s="184"/>
      <c r="AI8" s="184"/>
    </row>
    <row r="13" spans="1:35" x14ac:dyDescent="0.15">
      <c r="B13" s="191"/>
      <c r="C13" s="207">
        <v>2022</v>
      </c>
      <c r="D13" s="207">
        <f>C13-1</f>
        <v>2021</v>
      </c>
      <c r="E13" s="207">
        <f t="shared" ref="E13:G13" si="0">D13-1</f>
        <v>2020</v>
      </c>
      <c r="F13" s="207">
        <f t="shared" si="0"/>
        <v>2019</v>
      </c>
      <c r="G13" s="207">
        <f t="shared" si="0"/>
        <v>2018</v>
      </c>
      <c r="I13" s="206" t="s">
        <v>593</v>
      </c>
      <c r="K13" s="577" t="s">
        <v>594</v>
      </c>
      <c r="L13" s="577" t="s">
        <v>595</v>
      </c>
      <c r="M13" s="577" t="s">
        <v>596</v>
      </c>
    </row>
    <row r="14" spans="1:35" x14ac:dyDescent="0.15">
      <c r="B14" s="578" t="s">
        <v>597</v>
      </c>
      <c r="C14" s="197">
        <f>(Inputs!B6-Inputs!C6)/Inputs!C6</f>
        <v>0.12713971286209522</v>
      </c>
      <c r="D14" s="197">
        <f>(Inputs!C6-Inputs!D6)/Inputs!D6</f>
        <v>0.11844085540617794</v>
      </c>
      <c r="E14" s="197">
        <f>(Inputs!D6-Inputs!E6)/Inputs!E6</f>
        <v>6.1885982118890792E-2</v>
      </c>
      <c r="F14" s="197">
        <f>(Inputs!E6-Inputs!F6)/Inputs!F6</f>
        <v>7.0312534530844614E-2</v>
      </c>
      <c r="G14" s="197">
        <f>(Inputs!F6-Inputs!G6)/Inputs!G6</f>
        <v>0.12471726345825938</v>
      </c>
      <c r="H14" s="197"/>
      <c r="I14" s="193">
        <f>AVERAGE(C14:G14)</f>
        <v>0.10049926967525361</v>
      </c>
      <c r="K14" s="579">
        <f>AVERAGE(G44:J44)</f>
        <v>0.11204030014038885</v>
      </c>
      <c r="L14" s="579">
        <f>AVERAGE([2]Segments1!D38:F43)</f>
        <v>9.3633333333333332E-2</v>
      </c>
      <c r="M14" s="579">
        <v>0.02</v>
      </c>
    </row>
    <row r="15" spans="1:35" ht="18.95" customHeight="1" x14ac:dyDescent="0.15">
      <c r="B15" s="578" t="s">
        <v>125</v>
      </c>
      <c r="C15" s="197">
        <f>Inputs!B8/Inputs!B6</f>
        <v>8.7718486435794454E-2</v>
      </c>
      <c r="D15" s="197">
        <f>Inputs!C8/Inputs!C6</f>
        <v>8.3345792897700596E-2</v>
      </c>
      <c r="E15" s="197">
        <f>Inputs!D8/Inputs!D6</f>
        <v>8.7131184836334932E-2</v>
      </c>
      <c r="F15" s="197">
        <f>Inputs!E8/Inputs!E6</f>
        <v>8.1290908715492147E-2</v>
      </c>
      <c r="G15" s="197">
        <f>Inputs!F8/Inputs!F6</f>
        <v>7.6659580016530601E-2</v>
      </c>
      <c r="H15" s="197"/>
      <c r="I15" s="193">
        <f>AVERAGE(C15:G15)</f>
        <v>8.3229190580370552E-2</v>
      </c>
      <c r="K15" s="579">
        <f>AVERAGE(C15:E15)</f>
        <v>8.6065154723276652E-2</v>
      </c>
      <c r="L15" s="579">
        <f>AVERAGE('Fin. Data'!B12:M12)</f>
        <v>7.9659228567202089E-2</v>
      </c>
      <c r="M15" s="579">
        <v>7.9659228567202089E-2</v>
      </c>
    </row>
    <row r="18" spans="1:36" s="187" customFormat="1" ht="13.5" x14ac:dyDescent="0.15">
      <c r="A18" s="184"/>
      <c r="B18" s="186" t="s">
        <v>598</v>
      </c>
      <c r="C18" s="186"/>
      <c r="D18" s="184"/>
      <c r="E18" s="184"/>
      <c r="F18" s="184"/>
      <c r="G18" s="184"/>
      <c r="H18" s="184"/>
      <c r="I18" s="184"/>
      <c r="J18" s="184"/>
      <c r="K18" s="184"/>
      <c r="L18" s="184"/>
      <c r="M18" s="184"/>
      <c r="N18" s="184"/>
      <c r="O18" s="184"/>
      <c r="P18" s="184"/>
      <c r="Q18" s="184"/>
      <c r="R18" s="184"/>
      <c r="S18" s="184"/>
      <c r="T18" s="184"/>
      <c r="U18" s="184"/>
      <c r="V18" s="184"/>
      <c r="W18" s="184"/>
      <c r="X18" s="184"/>
      <c r="Y18" s="184"/>
      <c r="Z18" s="184"/>
      <c r="AA18" s="184"/>
      <c r="AB18" s="184"/>
      <c r="AC18" s="184"/>
      <c r="AD18" s="184"/>
      <c r="AE18" s="184"/>
      <c r="AF18" s="184"/>
      <c r="AG18" s="184"/>
      <c r="AH18" s="184"/>
      <c r="AI18" s="184"/>
    </row>
    <row r="19" spans="1:36" ht="13.5" x14ac:dyDescent="0.15">
      <c r="A19" s="204"/>
      <c r="B19" s="205"/>
      <c r="C19" s="205"/>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row>
    <row r="20" spans="1:36" ht="15" x14ac:dyDescent="0.2">
      <c r="C20" s="1263" t="s">
        <v>599</v>
      </c>
      <c r="D20" s="1263"/>
      <c r="E20" s="1263"/>
      <c r="F20" s="1263"/>
      <c r="G20" s="1263"/>
    </row>
    <row r="21" spans="1:36" ht="15" x14ac:dyDescent="0.2">
      <c r="B21" s="194"/>
      <c r="C21" s="202">
        <f>C13</f>
        <v>2022</v>
      </c>
      <c r="D21" s="202">
        <f>D13</f>
        <v>2021</v>
      </c>
      <c r="E21" s="202">
        <f>E13</f>
        <v>2020</v>
      </c>
      <c r="F21" s="202">
        <f>F13</f>
        <v>2019</v>
      </c>
      <c r="G21" s="202">
        <f>G13</f>
        <v>2018</v>
      </c>
      <c r="H21" s="195"/>
      <c r="I21" s="208" t="s">
        <v>600</v>
      </c>
      <c r="K21" s="577" t="s">
        <v>594</v>
      </c>
      <c r="L21" s="577" t="s">
        <v>595</v>
      </c>
    </row>
    <row r="22" spans="1:36" x14ac:dyDescent="0.15">
      <c r="B22" s="578" t="s">
        <v>549</v>
      </c>
      <c r="C22" s="196">
        <f>G326</f>
        <v>-9.9659983585414474E-2</v>
      </c>
      <c r="D22" s="196">
        <f>F326</f>
        <v>-0.10427110487266894</v>
      </c>
      <c r="E22" s="196">
        <f>E326</f>
        <v>-0.10464780600461894</v>
      </c>
      <c r="F22" s="196">
        <f>D326</f>
        <v>-0.13236975934983089</v>
      </c>
      <c r="G22" s="196">
        <f>C326</f>
        <v>-0.12847580495806543</v>
      </c>
      <c r="I22" s="197">
        <f>AVERAGE(C22:G22)</f>
        <v>-0.11388489175411973</v>
      </c>
      <c r="K22" s="203">
        <f>AVERAGE(C22:E22)</f>
        <v>-0.10285963148756745</v>
      </c>
      <c r="L22" s="203">
        <f>AVERAGE(C22:G22)</f>
        <v>-0.11388489175411973</v>
      </c>
      <c r="AJ22" s="198"/>
    </row>
    <row r="23" spans="1:36" x14ac:dyDescent="0.15">
      <c r="B23" s="578" t="s">
        <v>551</v>
      </c>
      <c r="C23" s="196">
        <f>G329</f>
        <v>-1.4926683642110809E-2</v>
      </c>
      <c r="D23" s="196">
        <f>F329</f>
        <v>-1.6867996720415415E-2</v>
      </c>
      <c r="E23" s="196">
        <f>E329</f>
        <v>-1.6440763052208835E-2</v>
      </c>
      <c r="F23" s="196">
        <f>D329</f>
        <v>-1.1182371320506495E-2</v>
      </c>
      <c r="G23" s="196">
        <f>C329</f>
        <v>-1.1113094502496784E-2</v>
      </c>
      <c r="I23" s="197">
        <f t="shared" ref="I23:I34" si="1">AVERAGE(C23:G23)</f>
        <v>-1.4106181847547666E-2</v>
      </c>
      <c r="K23" s="203">
        <f>AVERAGE(C23:E23)</f>
        <v>-1.6078481138245018E-2</v>
      </c>
      <c r="L23" s="203">
        <f>AVERAGE(C23:G23)</f>
        <v>-1.4106181847547666E-2</v>
      </c>
    </row>
    <row r="24" spans="1:36" x14ac:dyDescent="0.15">
      <c r="B24" s="578" t="s">
        <v>553</v>
      </c>
      <c r="C24" s="196">
        <f>DCF!F11/DCF!F6</f>
        <v>-2.6992676501255545E-3</v>
      </c>
      <c r="D24" s="196">
        <f>DCF!E11/DCF!E6</f>
        <v>-2.5347969554619832E-3</v>
      </c>
      <c r="E24" s="196">
        <f>DCF!D11/DCF!D6</f>
        <v>-2.5161292831559338E-3</v>
      </c>
      <c r="F24" s="196">
        <f>673/C43*-1</f>
        <v>-2.7792116619520554E-3</v>
      </c>
      <c r="G24" s="196">
        <f>620/Inputs!F6*-1</f>
        <v>-2.7403678280816983E-3</v>
      </c>
      <c r="I24" s="197">
        <f>AVERAGE(C24:G24)</f>
        <v>-2.6539546757554456E-3</v>
      </c>
      <c r="K24" s="203">
        <f>I24</f>
        <v>-2.6539546757554456E-3</v>
      </c>
      <c r="L24" s="203">
        <f>I24</f>
        <v>-2.6539546757554456E-3</v>
      </c>
    </row>
    <row r="25" spans="1:36" ht="12.6" customHeight="1" x14ac:dyDescent="0.15">
      <c r="B25" s="578" t="s">
        <v>555</v>
      </c>
      <c r="C25" s="196">
        <f>G339</f>
        <v>0.21652810993432792</v>
      </c>
      <c r="D25" s="196">
        <f>F339</f>
        <v>0.2051994621246078</v>
      </c>
      <c r="E25" s="196">
        <f>E339</f>
        <v>0.23975508629833189</v>
      </c>
      <c r="F25" s="196">
        <f>D339</f>
        <v>0.20810855903453646</v>
      </c>
      <c r="G25" s="196">
        <f>C339</f>
        <v>0.22340692423482186</v>
      </c>
      <c r="I25" s="197">
        <f t="shared" si="1"/>
        <v>0.21859962832532517</v>
      </c>
      <c r="K25" s="203">
        <f>I25</f>
        <v>0.21859962832532517</v>
      </c>
      <c r="L25" s="203">
        <f>I25</f>
        <v>0.21859962832532517</v>
      </c>
    </row>
    <row r="26" spans="1:36" x14ac:dyDescent="0.15">
      <c r="B26" s="578" t="s">
        <v>557</v>
      </c>
      <c r="C26" s="196">
        <f>G336</f>
        <v>3.2962011754139944E-2</v>
      </c>
      <c r="D26" s="196">
        <f>F336</f>
        <v>3.2022222650899899E-2</v>
      </c>
      <c r="E26" s="196">
        <f>E336</f>
        <v>3.3476930509702872E-2</v>
      </c>
      <c r="F26" s="196">
        <f>D336</f>
        <v>3.6809020802281121E-2</v>
      </c>
      <c r="G26" s="196">
        <f>C336</f>
        <v>3.3796832753959061E-2</v>
      </c>
      <c r="I26" s="197">
        <f t="shared" si="1"/>
        <v>3.3813403694196581E-2</v>
      </c>
      <c r="K26" s="203">
        <f>I26</f>
        <v>3.3813403694196581E-2</v>
      </c>
      <c r="L26" s="203">
        <f>I26</f>
        <v>3.3813403694196581E-2</v>
      </c>
    </row>
    <row r="27" spans="1:36" x14ac:dyDescent="0.15">
      <c r="B27" s="578" t="s">
        <v>559</v>
      </c>
      <c r="C27" s="199" t="s">
        <v>67</v>
      </c>
      <c r="D27" s="199" t="s">
        <v>67</v>
      </c>
      <c r="E27" s="199" t="s">
        <v>67</v>
      </c>
      <c r="F27" s="199" t="s">
        <v>67</v>
      </c>
      <c r="G27" s="199" t="s">
        <v>67</v>
      </c>
      <c r="I27" s="197" t="s">
        <v>67</v>
      </c>
      <c r="K27" s="203">
        <f>C346</f>
        <v>4.1399999999999999E-2</v>
      </c>
      <c r="L27" s="203">
        <f>3%</f>
        <v>0.03</v>
      </c>
    </row>
    <row r="28" spans="1:36" x14ac:dyDescent="0.15">
      <c r="B28" s="578" t="s">
        <v>561</v>
      </c>
      <c r="C28" s="580">
        <f>(Inputs!B33/Inputs!C33)-1</f>
        <v>0.12922287880477201</v>
      </c>
      <c r="D28" s="580">
        <f>(Inputs!C33/Inputs!D33)-1</f>
        <v>3.9763505680500799E-2</v>
      </c>
      <c r="E28" s="580">
        <f>(Inputs!D33/Inputs!E33)-1</f>
        <v>-8.9613970588234837E-3</v>
      </c>
      <c r="F28" s="580">
        <f>(Inputs!E33/Inputs!F33)-1</f>
        <v>2.9084890044927869E-2</v>
      </c>
      <c r="G28" s="580">
        <f>(Inputs!F33/Inputs!G33)-1</f>
        <v>0.2060459147297875</v>
      </c>
      <c r="I28" s="197">
        <f t="shared" si="1"/>
        <v>7.9031158440232938E-2</v>
      </c>
      <c r="K28" s="203"/>
      <c r="L28" s="203">
        <v>-0.06</v>
      </c>
    </row>
    <row r="29" spans="1:36" x14ac:dyDescent="0.15">
      <c r="B29" s="578" t="s">
        <v>564</v>
      </c>
      <c r="C29" s="196">
        <f>Inputs!B62/(Inputs!B6-Inputs!C6)</f>
        <v>6.1424859838643514E-2</v>
      </c>
      <c r="D29" s="196">
        <f>Inputs!C62/(Inputs!C6-Inputs!D6)</f>
        <v>4.9973732597846071E-2</v>
      </c>
      <c r="E29" s="196">
        <f>Inputs!D62/(Inputs!D6-Inputs!E6)</f>
        <v>0.19318030161484051</v>
      </c>
      <c r="F29" s="196">
        <f>Inputs!E62/(Inputs!E6-Inputs!F6)</f>
        <v>4.2934372642695499E-2</v>
      </c>
      <c r="G29" s="196">
        <f>Inputs!F62/(Inputs!F6-Inputs!G6)</f>
        <v>1.171875E-2</v>
      </c>
      <c r="I29" s="197">
        <f t="shared" si="1"/>
        <v>7.1846403338805126E-2</v>
      </c>
      <c r="K29" s="203">
        <f>I29</f>
        <v>7.1846403338805126E-2</v>
      </c>
      <c r="L29" s="203">
        <f>I29</f>
        <v>7.1846403338805126E-2</v>
      </c>
    </row>
    <row r="30" spans="1:36" x14ac:dyDescent="0.15">
      <c r="B30" s="578" t="s">
        <v>566</v>
      </c>
      <c r="C30" s="196">
        <f>G365*G364+G368*G367</f>
        <v>0.24573694226077872</v>
      </c>
      <c r="D30" s="196">
        <f>F365*F364+F368*F367</f>
        <v>4.5148952500697795E-2</v>
      </c>
      <c r="E30" s="196">
        <f>E368*E367+E365*E364</f>
        <v>8.1124292663856457E-2</v>
      </c>
      <c r="F30" s="196">
        <f>D368*D367+D365*D364</f>
        <v>0.113329213086326</v>
      </c>
      <c r="G30" s="196">
        <f>C368*C367+C365*C364</f>
        <v>8.1265519365760791E-2</v>
      </c>
      <c r="I30" s="197">
        <f t="shared" si="1"/>
        <v>0.11332098397548396</v>
      </c>
      <c r="K30" s="203">
        <f>I362</f>
        <v>0.11313467367637974</v>
      </c>
      <c r="L30" s="203">
        <f>I30</f>
        <v>0.11332098397548396</v>
      </c>
    </row>
    <row r="31" spans="1:36" ht="12.6" customHeight="1" x14ac:dyDescent="0.15">
      <c r="B31" s="578" t="s">
        <v>601</v>
      </c>
      <c r="C31" s="196">
        <f>G319</f>
        <v>8.6438262350306324E-3</v>
      </c>
      <c r="D31" s="196">
        <f>F319</f>
        <v>8.5327732904028897E-3</v>
      </c>
      <c r="E31" s="196">
        <f>E319</f>
        <v>7.9761687167740659E-3</v>
      </c>
      <c r="F31" s="196">
        <f>D319</f>
        <v>8.5523734797959983E-3</v>
      </c>
      <c r="G31" s="196">
        <f>C319</f>
        <v>9.1183529505363611E-3</v>
      </c>
      <c r="I31" s="197">
        <f t="shared" si="1"/>
        <v>8.5646989345079909E-3</v>
      </c>
      <c r="K31" s="203">
        <v>8.0000000000000002E-3</v>
      </c>
      <c r="L31" s="203">
        <v>8.0000000000000002E-3</v>
      </c>
    </row>
    <row r="32" spans="1:36" x14ac:dyDescent="0.15">
      <c r="B32" s="578" t="s">
        <v>570</v>
      </c>
      <c r="C32" s="196">
        <f>G374</f>
        <v>6.6195297413021881E-2</v>
      </c>
      <c r="D32" s="196">
        <f>F374</f>
        <v>1.6763039948260935E-2</v>
      </c>
      <c r="E32" s="196">
        <f>E374</f>
        <v>2.7762978288176525E-2</v>
      </c>
      <c r="F32" s="196">
        <f>D374</f>
        <v>3.4453139518077262E-2</v>
      </c>
      <c r="G32" s="196">
        <f>C374</f>
        <v>2.6506428814525716E-2</v>
      </c>
      <c r="I32" s="197">
        <f t="shared" si="1"/>
        <v>3.4336176796412467E-2</v>
      </c>
      <c r="K32" s="203">
        <f>I32</f>
        <v>3.4336176796412467E-2</v>
      </c>
      <c r="L32" s="203">
        <f>I32</f>
        <v>3.4336176796412467E-2</v>
      </c>
    </row>
    <row r="33" spans="1:32" x14ac:dyDescent="0.15">
      <c r="B33" s="578" t="s">
        <v>135</v>
      </c>
      <c r="C33" s="196">
        <f>G418</f>
        <v>0.29027569165172729</v>
      </c>
      <c r="D33" s="196">
        <f>F418</f>
        <v>0.29776674937965258</v>
      </c>
      <c r="E33" s="196">
        <f>E418</f>
        <v>0.29069693702834676</v>
      </c>
      <c r="F33" s="196">
        <f>D418</f>
        <v>0.27614298756935179</v>
      </c>
      <c r="G33" s="196">
        <f>C418</f>
        <v>0.26813115813277338</v>
      </c>
      <c r="I33" s="197">
        <f t="shared" si="1"/>
        <v>0.28460270475237037</v>
      </c>
      <c r="K33" s="203">
        <v>0.30640000000000001</v>
      </c>
      <c r="L33" s="203">
        <f>I33</f>
        <v>0.28460270475237037</v>
      </c>
    </row>
    <row r="34" spans="1:32" x14ac:dyDescent="0.15">
      <c r="B34" s="578" t="s">
        <v>572</v>
      </c>
      <c r="C34" s="581">
        <f>G426</f>
        <v>0.33916371917244054</v>
      </c>
      <c r="D34" s="196">
        <f>F426</f>
        <v>0.28197608842770133</v>
      </c>
      <c r="E34" s="196">
        <f>E426</f>
        <v>0.26951613926057455</v>
      </c>
      <c r="F34" s="196">
        <f>D426</f>
        <v>0.38626308027249107</v>
      </c>
      <c r="G34" s="196">
        <f>C426</f>
        <v>0.36343078662574707</v>
      </c>
      <c r="I34" s="197">
        <f t="shared" si="1"/>
        <v>0.32806996275179096</v>
      </c>
      <c r="K34" s="203">
        <f>I34</f>
        <v>0.32806996275179096</v>
      </c>
      <c r="L34" s="203">
        <f>I34</f>
        <v>0.32806996275179096</v>
      </c>
    </row>
    <row r="35" spans="1:32" x14ac:dyDescent="0.15">
      <c r="B35" s="578" t="s">
        <v>574</v>
      </c>
      <c r="C35" s="581" t="s">
        <v>562</v>
      </c>
      <c r="D35" s="581" t="s">
        <v>562</v>
      </c>
      <c r="E35" s="581" t="s">
        <v>562</v>
      </c>
      <c r="F35" s="581" t="s">
        <v>562</v>
      </c>
      <c r="G35" s="581" t="s">
        <v>562</v>
      </c>
      <c r="I35" s="197" t="s">
        <v>67</v>
      </c>
      <c r="K35" s="203" t="s">
        <v>562</v>
      </c>
      <c r="L35" s="203" t="s">
        <v>562</v>
      </c>
    </row>
    <row r="36" spans="1:32" x14ac:dyDescent="0.15">
      <c r="B36" s="578" t="s">
        <v>575</v>
      </c>
      <c r="C36" s="581" t="s">
        <v>562</v>
      </c>
      <c r="D36" s="581" t="s">
        <v>562</v>
      </c>
      <c r="E36" s="581" t="s">
        <v>562</v>
      </c>
      <c r="F36" s="581" t="s">
        <v>562</v>
      </c>
      <c r="G36" s="581" t="s">
        <v>562</v>
      </c>
      <c r="I36" s="197" t="s">
        <v>67</v>
      </c>
      <c r="K36" s="254" t="s">
        <v>562</v>
      </c>
      <c r="L36" s="254" t="s">
        <v>562</v>
      </c>
    </row>
    <row r="37" spans="1:32" x14ac:dyDescent="0.15">
      <c r="B37" s="578" t="s">
        <v>367</v>
      </c>
      <c r="C37" s="582">
        <f>G432</f>
        <v>1.9936233705041622</v>
      </c>
      <c r="D37" s="582">
        <f>F432</f>
        <v>1.9147859491005799</v>
      </c>
      <c r="E37" s="582">
        <f>E432</f>
        <v>1.9637887413029729</v>
      </c>
      <c r="F37" s="582">
        <f>D432</f>
        <v>2.0661905824592726</v>
      </c>
      <c r="G37" s="582">
        <f>C432</f>
        <v>2.0950839571110662</v>
      </c>
      <c r="I37" s="188">
        <v>2.0099999999999998</v>
      </c>
      <c r="K37" s="583">
        <v>2.0099999999999998</v>
      </c>
      <c r="L37" s="583">
        <v>2.0099999999999998</v>
      </c>
    </row>
    <row r="40" spans="1:32" s="187" customFormat="1" ht="13.5" x14ac:dyDescent="0.15">
      <c r="B40" s="200" t="s">
        <v>602</v>
      </c>
    </row>
    <row r="41" spans="1:32" ht="13.5" thickBot="1" x14ac:dyDescent="0.2">
      <c r="A41" s="584" t="s">
        <v>603</v>
      </c>
    </row>
    <row r="42" spans="1:32" x14ac:dyDescent="0.15">
      <c r="A42" s="585"/>
      <c r="B42" s="188" t="s">
        <v>604</v>
      </c>
      <c r="C42" s="586" t="s">
        <v>605</v>
      </c>
      <c r="D42" s="330" t="s">
        <v>492</v>
      </c>
      <c r="E42" s="330" t="s">
        <v>493</v>
      </c>
      <c r="F42" s="331" t="s">
        <v>494</v>
      </c>
      <c r="G42" s="330">
        <v>2023</v>
      </c>
      <c r="H42" s="330">
        <f>G42+1</f>
        <v>2024</v>
      </c>
      <c r="I42" s="330">
        <f t="shared" ref="I42:AF42" si="2">H42+1</f>
        <v>2025</v>
      </c>
      <c r="J42" s="331">
        <f t="shared" si="2"/>
        <v>2026</v>
      </c>
      <c r="K42" s="332">
        <f t="shared" si="2"/>
        <v>2027</v>
      </c>
      <c r="L42" s="332">
        <f t="shared" si="2"/>
        <v>2028</v>
      </c>
      <c r="M42" s="332">
        <f t="shared" si="2"/>
        <v>2029</v>
      </c>
      <c r="N42" s="332">
        <f t="shared" si="2"/>
        <v>2030</v>
      </c>
      <c r="O42" s="332">
        <f t="shared" si="2"/>
        <v>2031</v>
      </c>
      <c r="P42" s="332">
        <f t="shared" si="2"/>
        <v>2032</v>
      </c>
      <c r="Q42" s="332">
        <f t="shared" si="2"/>
        <v>2033</v>
      </c>
      <c r="R42" s="332">
        <f t="shared" si="2"/>
        <v>2034</v>
      </c>
      <c r="S42" s="332">
        <f t="shared" si="2"/>
        <v>2035</v>
      </c>
      <c r="T42" s="332">
        <f t="shared" si="2"/>
        <v>2036</v>
      </c>
      <c r="U42" s="332">
        <f t="shared" si="2"/>
        <v>2037</v>
      </c>
      <c r="V42" s="332">
        <f t="shared" si="2"/>
        <v>2038</v>
      </c>
      <c r="W42" s="332">
        <f t="shared" si="2"/>
        <v>2039</v>
      </c>
      <c r="X42" s="332">
        <f t="shared" si="2"/>
        <v>2040</v>
      </c>
      <c r="Y42" s="332">
        <f t="shared" si="2"/>
        <v>2041</v>
      </c>
      <c r="Z42" s="332">
        <f t="shared" si="2"/>
        <v>2042</v>
      </c>
      <c r="AA42" s="332">
        <f t="shared" si="2"/>
        <v>2043</v>
      </c>
      <c r="AB42" s="332">
        <f t="shared" si="2"/>
        <v>2044</v>
      </c>
      <c r="AC42" s="332">
        <f t="shared" si="2"/>
        <v>2045</v>
      </c>
      <c r="AD42" s="332">
        <f t="shared" si="2"/>
        <v>2046</v>
      </c>
      <c r="AE42" s="332">
        <f t="shared" si="2"/>
        <v>2047</v>
      </c>
      <c r="AF42" s="333">
        <f t="shared" si="2"/>
        <v>2048</v>
      </c>
    </row>
    <row r="43" spans="1:32" x14ac:dyDescent="0.15">
      <c r="A43" s="585"/>
      <c r="B43" s="188" t="s">
        <v>606</v>
      </c>
      <c r="C43" s="587">
        <f>Inputs!E6</f>
        <v>242155</v>
      </c>
      <c r="D43" s="587">
        <f>Inputs!D6</f>
        <v>257141</v>
      </c>
      <c r="E43" s="587">
        <f>Inputs!C6</f>
        <v>287597</v>
      </c>
      <c r="F43" s="587">
        <f>Inputs!B6</f>
        <v>324162</v>
      </c>
      <c r="G43" s="587">
        <f>D301</f>
        <v>372169.81630000001</v>
      </c>
      <c r="H43" s="587">
        <f>E301</f>
        <v>404589.37365594448</v>
      </c>
      <c r="I43" s="587">
        <f t="shared" ref="I43:K43" si="3">F301</f>
        <v>443039.80077157693</v>
      </c>
      <c r="J43" s="587">
        <f t="shared" si="3"/>
        <v>495282.04057572316</v>
      </c>
      <c r="K43" s="587">
        <f t="shared" si="3"/>
        <v>553684.5657876383</v>
      </c>
      <c r="L43" s="587">
        <f>K43*(1+$L$14)</f>
        <v>605527.89729755407</v>
      </c>
      <c r="M43" s="587">
        <f t="shared" ref="M43:Q43" si="4">L43*(1+$L$14)</f>
        <v>662225.49274784827</v>
      </c>
      <c r="N43" s="587">
        <f t="shared" si="4"/>
        <v>724231.87305213837</v>
      </c>
      <c r="O43" s="587">
        <f t="shared" si="4"/>
        <v>792044.11743225355</v>
      </c>
      <c r="P43" s="587">
        <f t="shared" si="4"/>
        <v>866205.84829449351</v>
      </c>
      <c r="Q43" s="587">
        <f t="shared" si="4"/>
        <v>947311.58922313445</v>
      </c>
      <c r="R43" s="587">
        <f>Q43*(1+$M$14)</f>
        <v>966257.82100759714</v>
      </c>
      <c r="S43" s="587">
        <f t="shared" ref="S43:AE43" si="5">R43*(1+$M$14)</f>
        <v>985582.97742774908</v>
      </c>
      <c r="T43" s="587">
        <f t="shared" si="5"/>
        <v>1005294.6369763041</v>
      </c>
      <c r="U43" s="587">
        <f t="shared" si="5"/>
        <v>1025400.5297158302</v>
      </c>
      <c r="V43" s="587">
        <f t="shared" si="5"/>
        <v>1045908.5403101469</v>
      </c>
      <c r="W43" s="587">
        <f t="shared" si="5"/>
        <v>1066826.7111163498</v>
      </c>
      <c r="X43" s="587">
        <f t="shared" si="5"/>
        <v>1088163.2453386767</v>
      </c>
      <c r="Y43" s="587">
        <f t="shared" si="5"/>
        <v>1109926.5102454503</v>
      </c>
      <c r="Z43" s="587">
        <f t="shared" si="5"/>
        <v>1132125.0404503592</v>
      </c>
      <c r="AA43" s="587">
        <f t="shared" si="5"/>
        <v>1154767.5412593663</v>
      </c>
      <c r="AB43" s="587">
        <f t="shared" si="5"/>
        <v>1177862.8920845536</v>
      </c>
      <c r="AC43" s="587">
        <f t="shared" si="5"/>
        <v>1201420.1499262447</v>
      </c>
      <c r="AD43" s="587">
        <f t="shared" si="5"/>
        <v>1225448.5529247697</v>
      </c>
      <c r="AE43" s="587">
        <f t="shared" si="5"/>
        <v>1249957.523983265</v>
      </c>
      <c r="AF43" s="587">
        <f>AE43*(1+$M$14)</f>
        <v>1274956.6744629303</v>
      </c>
    </row>
    <row r="44" spans="1:32" x14ac:dyDescent="0.15">
      <c r="A44" s="585"/>
      <c r="B44" s="588" t="s">
        <v>607</v>
      </c>
      <c r="C44" s="197">
        <f>G86</f>
        <v>7.0312534530844628E-2</v>
      </c>
      <c r="D44" s="197">
        <f>G90</f>
        <v>6.1885982118890848E-2</v>
      </c>
      <c r="E44" s="197">
        <f>G94</f>
        <v>0.11844085540617799</v>
      </c>
      <c r="F44" s="197">
        <f>G98</f>
        <v>0.12713971286209524</v>
      </c>
      <c r="G44" s="589">
        <f>(G43/F43)-1</f>
        <v>0.14809822341915457</v>
      </c>
      <c r="H44" s="589">
        <f t="shared" ref="H44:Q44" si="6">(H43/G43)-1</f>
        <v>8.7109582604655955E-2</v>
      </c>
      <c r="I44" s="589">
        <f t="shared" si="6"/>
        <v>9.5035682149007705E-2</v>
      </c>
      <c r="J44" s="589">
        <f t="shared" si="6"/>
        <v>0.11791771238873716</v>
      </c>
      <c r="K44" s="589">
        <f t="shared" si="6"/>
        <v>0.11791771238873761</v>
      </c>
      <c r="L44" s="589">
        <f t="shared" si="6"/>
        <v>9.3633333333333235E-2</v>
      </c>
      <c r="M44" s="589">
        <f t="shared" si="6"/>
        <v>9.3633333333333235E-2</v>
      </c>
      <c r="N44" s="589">
        <f t="shared" si="6"/>
        <v>9.3633333333333235E-2</v>
      </c>
      <c r="O44" s="589">
        <f t="shared" si="6"/>
        <v>9.3633333333333235E-2</v>
      </c>
      <c r="P44" s="589">
        <f t="shared" si="6"/>
        <v>9.3633333333333235E-2</v>
      </c>
      <c r="Q44" s="589">
        <f t="shared" si="6"/>
        <v>9.3633333333333235E-2</v>
      </c>
      <c r="R44" s="589">
        <v>0.02</v>
      </c>
      <c r="S44" s="589">
        <v>0.02</v>
      </c>
      <c r="T44" s="589">
        <v>0.02</v>
      </c>
      <c r="U44" s="589">
        <v>0.02</v>
      </c>
      <c r="V44" s="589">
        <v>0.02</v>
      </c>
      <c r="W44" s="589">
        <v>0.02</v>
      </c>
      <c r="X44" s="589">
        <v>0.02</v>
      </c>
      <c r="Y44" s="589">
        <v>0.02</v>
      </c>
      <c r="Z44" s="589">
        <v>0.02</v>
      </c>
      <c r="AA44" s="589">
        <v>0.02</v>
      </c>
      <c r="AB44" s="589">
        <v>0.02</v>
      </c>
      <c r="AC44" s="589">
        <v>0.02</v>
      </c>
      <c r="AD44" s="589">
        <v>0.02</v>
      </c>
      <c r="AE44" s="589">
        <v>0.02</v>
      </c>
      <c r="AF44" s="589">
        <v>0.02</v>
      </c>
    </row>
    <row r="45" spans="1:32" x14ac:dyDescent="0.15">
      <c r="A45" s="585"/>
    </row>
    <row r="46" spans="1:32" x14ac:dyDescent="0.15">
      <c r="A46" s="585"/>
    </row>
    <row r="47" spans="1:32" x14ac:dyDescent="0.15">
      <c r="A47" s="585"/>
    </row>
    <row r="48" spans="1:32" x14ac:dyDescent="0.15">
      <c r="A48" s="585"/>
    </row>
    <row r="49" spans="1:60" x14ac:dyDescent="0.15">
      <c r="A49" s="585"/>
    </row>
    <row r="50" spans="1:60" x14ac:dyDescent="0.15">
      <c r="A50" s="585"/>
    </row>
    <row r="51" spans="1:60" x14ac:dyDescent="0.15">
      <c r="A51" s="585"/>
    </row>
    <row r="52" spans="1:60" x14ac:dyDescent="0.15">
      <c r="A52" s="585"/>
    </row>
    <row r="53" spans="1:60" ht="12.6" customHeight="1" outlineLevel="1" x14ac:dyDescent="0.15">
      <c r="A53" s="585"/>
    </row>
    <row r="54" spans="1:60" outlineLevel="1" x14ac:dyDescent="0.15">
      <c r="A54" s="585"/>
      <c r="B54" s="188" t="s">
        <v>608</v>
      </c>
      <c r="C54" s="188" t="s">
        <v>609</v>
      </c>
      <c r="D54" s="298" t="s">
        <v>496</v>
      </c>
      <c r="E54" s="188" t="s">
        <v>610</v>
      </c>
      <c r="F54" s="188" t="s">
        <v>611</v>
      </c>
      <c r="G54" s="298" t="s">
        <v>496</v>
      </c>
      <c r="H54" s="188" t="s">
        <v>612</v>
      </c>
    </row>
    <row r="55" spans="1:60" ht="12.6" customHeight="1" outlineLevel="1" x14ac:dyDescent="0.15">
      <c r="A55" s="585"/>
      <c r="B55" s="188" t="s">
        <v>613</v>
      </c>
      <c r="C55" s="301">
        <v>27282</v>
      </c>
      <c r="D55" s="590" t="s">
        <v>614</v>
      </c>
      <c r="E55" s="188">
        <v>2012</v>
      </c>
      <c r="F55" s="590" t="s">
        <v>614</v>
      </c>
      <c r="H55" s="589">
        <f>C55/(SUM($C$55:$C$58))</f>
        <v>0.24663255528033412</v>
      </c>
      <c r="AB55" s="188" t="s">
        <v>615</v>
      </c>
      <c r="AC55" s="188" t="s">
        <v>67</v>
      </c>
      <c r="AD55" s="188" t="s">
        <v>67</v>
      </c>
      <c r="AE55" s="188" t="s">
        <v>67</v>
      </c>
      <c r="AF55" s="188" t="s">
        <v>67</v>
      </c>
      <c r="AG55" s="188" t="s">
        <v>67</v>
      </c>
      <c r="AH55" s="188" t="s">
        <v>67</v>
      </c>
      <c r="AI55" s="188" t="s">
        <v>67</v>
      </c>
      <c r="AJ55" s="188" t="s">
        <v>67</v>
      </c>
    </row>
    <row r="56" spans="1:60" ht="12.95" customHeight="1" outlineLevel="1" x14ac:dyDescent="0.15">
      <c r="A56" s="585"/>
      <c r="B56" s="188" t="s">
        <v>616</v>
      </c>
      <c r="C56" s="301">
        <v>27265</v>
      </c>
      <c r="D56" s="295">
        <f>(C56/C55)-1</f>
        <v>-6.2312147203280599E-4</v>
      </c>
      <c r="E56" s="188">
        <v>2012</v>
      </c>
      <c r="F56" s="590" t="s">
        <v>614</v>
      </c>
      <c r="H56" s="589">
        <f>C56/(SUM($C$55:$C$58))</f>
        <v>0.24647887323943662</v>
      </c>
      <c r="V56" s="591" t="s">
        <v>617</v>
      </c>
      <c r="X56" s="1262" t="s">
        <v>618</v>
      </c>
      <c r="Z56" s="188" t="s">
        <v>123</v>
      </c>
      <c r="AB56" s="194" t="s">
        <v>610</v>
      </c>
      <c r="AC56" s="188" t="s">
        <v>608</v>
      </c>
      <c r="AD56" s="188" t="s">
        <v>619</v>
      </c>
      <c r="AE56" s="188" t="s">
        <v>496</v>
      </c>
      <c r="AF56" s="188" t="s">
        <v>620</v>
      </c>
      <c r="AG56" s="188" t="s">
        <v>621</v>
      </c>
      <c r="AH56" s="188" t="s">
        <v>622</v>
      </c>
      <c r="AI56" s="188" t="s">
        <v>623</v>
      </c>
      <c r="AJ56" s="188" t="s">
        <v>624</v>
      </c>
      <c r="AK56" s="188" t="s">
        <v>625</v>
      </c>
      <c r="AL56" s="276"/>
      <c r="AN56" s="276"/>
      <c r="AP56" s="276"/>
      <c r="AR56" s="276"/>
      <c r="AT56" s="276"/>
      <c r="AV56" s="276"/>
      <c r="AX56" s="276"/>
      <c r="AZ56" s="276"/>
      <c r="BB56" s="276"/>
      <c r="BD56" s="276"/>
      <c r="BF56" s="276"/>
      <c r="BH56" s="276"/>
    </row>
    <row r="57" spans="1:60" outlineLevel="1" x14ac:dyDescent="0.15">
      <c r="A57" s="585"/>
      <c r="B57" s="188" t="s">
        <v>626</v>
      </c>
      <c r="C57" s="301">
        <v>27302</v>
      </c>
      <c r="D57" s="295">
        <f>(C57/C56)-1</f>
        <v>1.3570511644966921E-3</v>
      </c>
      <c r="E57" s="188">
        <v>2012</v>
      </c>
      <c r="F57" s="590" t="s">
        <v>614</v>
      </c>
      <c r="H57" s="589">
        <f>C57/(SUM($C$55:$C$58))</f>
        <v>0.24681335768139001</v>
      </c>
      <c r="V57" s="324"/>
      <c r="X57" s="1262"/>
      <c r="AB57" s="194">
        <v>2012</v>
      </c>
      <c r="AC57" s="188" t="s">
        <v>613</v>
      </c>
      <c r="AD57" s="275">
        <v>4279816</v>
      </c>
      <c r="AE57" s="294" t="s">
        <v>67</v>
      </c>
      <c r="AF57" s="275">
        <v>72007.08</v>
      </c>
      <c r="AG57" s="275">
        <v>3474035.4</v>
      </c>
      <c r="AH57" s="275">
        <v>331164.40000000002</v>
      </c>
      <c r="AI57" s="449">
        <v>44559.642555712911</v>
      </c>
      <c r="AJ57" s="275">
        <f>AVERAGE(AF57:AI57)</f>
        <v>980441.63063892815</v>
      </c>
      <c r="AK57" s="294" t="s">
        <v>67</v>
      </c>
      <c r="AU57" s="188" t="s">
        <v>627</v>
      </c>
      <c r="AV57" s="188" t="s">
        <v>608</v>
      </c>
      <c r="AW57" s="188" t="s">
        <v>610</v>
      </c>
      <c r="AX57" s="188" t="s">
        <v>625</v>
      </c>
    </row>
    <row r="58" spans="1:60" outlineLevel="1" x14ac:dyDescent="0.15">
      <c r="A58" s="585"/>
      <c r="B58" s="188" t="s">
        <v>628</v>
      </c>
      <c r="C58" s="301">
        <v>28769</v>
      </c>
      <c r="D58" s="295">
        <f t="shared" ref="D58:D101" si="7">(C58/C57)-1</f>
        <v>5.3732327302029148E-2</v>
      </c>
      <c r="E58" s="188">
        <v>2012</v>
      </c>
      <c r="F58" s="293">
        <f>SUM(C55:C58)</f>
        <v>110618</v>
      </c>
      <c r="G58" s="188" t="s">
        <v>562</v>
      </c>
      <c r="H58" s="589">
        <f>C58/(SUM($C$55:$C$58))</f>
        <v>0.26007521379883924</v>
      </c>
      <c r="V58" s="273">
        <v>2783.3</v>
      </c>
      <c r="W58" s="592" t="s">
        <v>67</v>
      </c>
      <c r="X58" s="274">
        <v>162.4</v>
      </c>
      <c r="Y58" s="592" t="s">
        <v>67</v>
      </c>
      <c r="Z58" s="188">
        <v>2012</v>
      </c>
      <c r="AB58" s="194">
        <v>2012</v>
      </c>
      <c r="AC58" s="188" t="s">
        <v>616</v>
      </c>
      <c r="AD58" s="275">
        <v>4345706</v>
      </c>
      <c r="AE58" s="295">
        <f>(AD58/AD57)-1</f>
        <v>1.5395521676632828E-2</v>
      </c>
      <c r="AF58" s="275">
        <v>74116.33</v>
      </c>
      <c r="AG58" s="275">
        <v>3470677.4</v>
      </c>
      <c r="AH58" s="275">
        <v>308730.8</v>
      </c>
      <c r="AI58" s="449">
        <v>44751.764075093139</v>
      </c>
      <c r="AJ58" s="275">
        <f t="shared" ref="AJ58:AJ100" si="8">AVERAGE(AF58:AI58)</f>
        <v>974569.07351877319</v>
      </c>
      <c r="AK58" s="295">
        <f>(AJ58/AJ57)-1</f>
        <v>-5.9897060025163595E-3</v>
      </c>
      <c r="AU58" s="296">
        <f>($L$101*AD57)+($L$102*AJ57)</f>
        <v>3919524.3188657714</v>
      </c>
      <c r="AV58" s="188" t="s">
        <v>613</v>
      </c>
      <c r="AW58" s="188">
        <v>2012</v>
      </c>
      <c r="AX58" s="294" t="s">
        <v>67</v>
      </c>
    </row>
    <row r="59" spans="1:60" outlineLevel="1" x14ac:dyDescent="0.15">
      <c r="A59" s="585"/>
      <c r="B59" s="188" t="s">
        <v>613</v>
      </c>
      <c r="C59" s="301">
        <v>30340</v>
      </c>
      <c r="D59" s="295">
        <f t="shared" si="7"/>
        <v>5.4607389898849501E-2</v>
      </c>
      <c r="E59" s="188">
        <v>2013</v>
      </c>
      <c r="F59" s="590" t="s">
        <v>614</v>
      </c>
      <c r="H59" s="589">
        <f>C59/(SUM($C$59:$C$62))</f>
        <v>0.24769571145164054</v>
      </c>
      <c r="V59" s="273">
        <v>2856.6</v>
      </c>
      <c r="W59" s="589">
        <f t="shared" ref="W59:W68" si="9">(V59/V58)-1</f>
        <v>2.6335644738260333E-2</v>
      </c>
      <c r="X59" s="274">
        <v>169.3</v>
      </c>
      <c r="Y59" s="589">
        <f>(X59/X58)-1</f>
        <v>4.2487684729064057E-2</v>
      </c>
      <c r="Z59" s="188">
        <v>2013</v>
      </c>
      <c r="AB59" s="194">
        <v>2012</v>
      </c>
      <c r="AC59" s="188" t="s">
        <v>626</v>
      </c>
      <c r="AD59" s="275">
        <v>4376682</v>
      </c>
      <c r="AE59" s="295">
        <f t="shared" ref="AE59:AE100" si="10">(AD59/AD58)-1</f>
        <v>7.1279557337748933E-3</v>
      </c>
      <c r="AF59" s="275">
        <v>76611.38</v>
      </c>
      <c r="AG59" s="275">
        <v>3569453.9</v>
      </c>
      <c r="AH59" s="275">
        <v>307433</v>
      </c>
      <c r="AI59" s="449">
        <v>44536.520638896036</v>
      </c>
      <c r="AJ59" s="275">
        <f t="shared" si="8"/>
        <v>999508.70015972399</v>
      </c>
      <c r="AK59" s="295">
        <f t="shared" ref="AK59:AK100" si="11">(AJ59/AJ58)-1</f>
        <v>2.5590414593091859E-2</v>
      </c>
      <c r="AU59" s="296">
        <f t="shared" ref="AU59:AU101" si="12">($L$101*AD58)+($L$102*AJ58)</f>
        <v>3977577.8476282503</v>
      </c>
      <c r="AV59" s="188" t="s">
        <v>616</v>
      </c>
      <c r="AW59" s="188">
        <v>2012</v>
      </c>
      <c r="AX59" s="295">
        <f>(AU59/AU58)-1</f>
        <v>1.4811370982711125E-2</v>
      </c>
      <c r="AZ59" s="188">
        <v>1.4811370982711125E-2</v>
      </c>
      <c r="BA59" s="197">
        <f>SUM(AX59:AX61)</f>
        <v>3.5513584352869998E-2</v>
      </c>
    </row>
    <row r="60" spans="1:60" ht="12.6" customHeight="1" outlineLevel="1" x14ac:dyDescent="0.15">
      <c r="A60" s="585"/>
      <c r="B60" s="188" t="s">
        <v>616</v>
      </c>
      <c r="C60" s="301">
        <v>30408</v>
      </c>
      <c r="D60" s="295">
        <f t="shared" si="7"/>
        <v>2.2412656558998822E-3</v>
      </c>
      <c r="E60" s="188">
        <v>2013</v>
      </c>
      <c r="F60" s="590" t="s">
        <v>614</v>
      </c>
      <c r="H60" s="589">
        <f t="shared" ref="H60:H62" si="13">C60/(SUM($C$59:$C$62))</f>
        <v>0.24825086334283078</v>
      </c>
      <c r="V60" s="273">
        <v>3002.6</v>
      </c>
      <c r="W60" s="589">
        <f t="shared" si="9"/>
        <v>5.1109710845060663E-2</v>
      </c>
      <c r="X60" s="274">
        <v>189.7</v>
      </c>
      <c r="Y60" s="589">
        <f t="shared" ref="Y60:Y68" si="14">(X60/X59)-1</f>
        <v>0.12049616066154734</v>
      </c>
      <c r="Z60" s="188">
        <v>2014</v>
      </c>
      <c r="AA60" s="273"/>
      <c r="AB60" s="194">
        <v>2012</v>
      </c>
      <c r="AC60" s="188" t="s">
        <v>628</v>
      </c>
      <c r="AD60" s="275">
        <v>4440555</v>
      </c>
      <c r="AE60" s="295">
        <f t="shared" si="10"/>
        <v>1.4593932115698705E-2</v>
      </c>
      <c r="AF60" s="275">
        <v>75856.05</v>
      </c>
      <c r="AG60" s="275">
        <v>3384928.6</v>
      </c>
      <c r="AH60" s="275">
        <v>328267.8</v>
      </c>
      <c r="AI60" s="449">
        <v>45111.343626257709</v>
      </c>
      <c r="AJ60" s="275">
        <f t="shared" si="8"/>
        <v>958540.9484065643</v>
      </c>
      <c r="AK60" s="295">
        <f t="shared" si="11"/>
        <v>-4.0987889096526064E-2</v>
      </c>
      <c r="AU60" s="296">
        <f t="shared" si="12"/>
        <v>4007894.6756574418</v>
      </c>
      <c r="AV60" s="188" t="s">
        <v>626</v>
      </c>
      <c r="AW60" s="188">
        <v>2012</v>
      </c>
      <c r="AX60" s="295">
        <f t="shared" ref="AX60:AX101" si="15">(AU60/AU59)-1</f>
        <v>7.6219320376769151E-3</v>
      </c>
      <c r="AZ60" s="188">
        <v>7.6219320376769151E-3</v>
      </c>
    </row>
    <row r="61" spans="1:60" outlineLevel="1" x14ac:dyDescent="0.15">
      <c r="A61" s="585"/>
      <c r="B61" s="188" t="s">
        <v>626</v>
      </c>
      <c r="C61" s="301">
        <v>30624</v>
      </c>
      <c r="D61" s="295">
        <f t="shared" si="7"/>
        <v>7.1033938437252697E-3</v>
      </c>
      <c r="E61" s="188">
        <v>2013</v>
      </c>
      <c r="F61" s="590" t="s">
        <v>614</v>
      </c>
      <c r="H61" s="589">
        <f t="shared" si="13"/>
        <v>0.25001428699719974</v>
      </c>
      <c r="V61" s="273">
        <v>3165.4</v>
      </c>
      <c r="W61" s="589">
        <f t="shared" si="9"/>
        <v>5.4219676280556905E-2</v>
      </c>
      <c r="X61" s="274">
        <v>200.7</v>
      </c>
      <c r="Y61" s="589">
        <f t="shared" si="14"/>
        <v>5.7986294148655748E-2</v>
      </c>
      <c r="Z61" s="188">
        <v>2015</v>
      </c>
      <c r="AA61" s="273"/>
      <c r="AB61" s="194">
        <v>2013</v>
      </c>
      <c r="AC61" s="188" t="s">
        <v>613</v>
      </c>
      <c r="AD61" s="275">
        <v>4320262</v>
      </c>
      <c r="AE61" s="295">
        <f t="shared" si="10"/>
        <v>-2.7089631814041226E-2</v>
      </c>
      <c r="AF61" s="275">
        <v>73966.45</v>
      </c>
      <c r="AG61" s="275">
        <v>3488132.9</v>
      </c>
      <c r="AH61" s="275">
        <v>345391.2</v>
      </c>
      <c r="AI61" s="449">
        <v>45671.278669854531</v>
      </c>
      <c r="AJ61" s="275">
        <f t="shared" si="8"/>
        <v>988290.45716746373</v>
      </c>
      <c r="AK61" s="295">
        <f t="shared" si="11"/>
        <v>3.1036241915750828E-2</v>
      </c>
      <c r="AU61" s="296">
        <f t="shared" si="12"/>
        <v>4060319.0655659973</v>
      </c>
      <c r="AV61" s="188" t="s">
        <v>628</v>
      </c>
      <c r="AW61" s="188">
        <v>2012</v>
      </c>
      <c r="AX61" s="295">
        <f t="shared" si="15"/>
        <v>1.3080281332481958E-2</v>
      </c>
      <c r="AZ61" s="188">
        <v>1.3080281332481958E-2</v>
      </c>
    </row>
    <row r="62" spans="1:60" outlineLevel="1" x14ac:dyDescent="0.15">
      <c r="A62" s="585"/>
      <c r="B62" s="188" t="s">
        <v>628</v>
      </c>
      <c r="C62" s="301">
        <v>31117</v>
      </c>
      <c r="D62" s="295">
        <f t="shared" si="7"/>
        <v>1.6098484848484862E-2</v>
      </c>
      <c r="E62" s="188">
        <v>2013</v>
      </c>
      <c r="F62" s="293">
        <f>SUM(C59:C62)</f>
        <v>122489</v>
      </c>
      <c r="H62" s="589">
        <f t="shared" si="13"/>
        <v>0.25403913820832891</v>
      </c>
      <c r="V62" s="273">
        <v>3307.4</v>
      </c>
      <c r="W62" s="589">
        <f t="shared" si="9"/>
        <v>4.4860049282871017E-2</v>
      </c>
      <c r="X62" s="274">
        <v>211.5</v>
      </c>
      <c r="Y62" s="589">
        <f t="shared" si="14"/>
        <v>5.3811659192825267E-2</v>
      </c>
      <c r="Z62" s="188">
        <v>2016</v>
      </c>
      <c r="AA62" s="273"/>
      <c r="AB62" s="194">
        <v>2013</v>
      </c>
      <c r="AC62" s="188" t="s">
        <v>616</v>
      </c>
      <c r="AD62" s="275">
        <v>4419140</v>
      </c>
      <c r="AE62" s="295">
        <f t="shared" si="10"/>
        <v>2.2887037869462556E-2</v>
      </c>
      <c r="AF62" s="275">
        <v>77097.179999999993</v>
      </c>
      <c r="AG62" s="275">
        <v>3495505.3</v>
      </c>
      <c r="AH62" s="275">
        <v>328636</v>
      </c>
      <c r="AI62" s="449">
        <v>47178.985030079064</v>
      </c>
      <c r="AJ62" s="275">
        <f t="shared" si="8"/>
        <v>987104.36625751981</v>
      </c>
      <c r="AK62" s="295">
        <f t="shared" si="11"/>
        <v>-1.2001440480801095E-3</v>
      </c>
      <c r="AU62" s="296">
        <f t="shared" si="12"/>
        <v>3956410.7075226875</v>
      </c>
      <c r="AV62" s="188" t="s">
        <v>613</v>
      </c>
      <c r="AW62" s="188">
        <v>2013</v>
      </c>
      <c r="AX62" s="295">
        <f t="shared" si="15"/>
        <v>-2.5591180487394838E-2</v>
      </c>
      <c r="AZ62" s="188">
        <v>-2.5591180487394838E-2</v>
      </c>
      <c r="BA62" s="197">
        <f>SUM(AX62:AX65)</f>
        <v>3.3009892962371112E-2</v>
      </c>
      <c r="BB62" s="275"/>
    </row>
    <row r="63" spans="1:60" outlineLevel="1" x14ac:dyDescent="0.15">
      <c r="A63" s="585"/>
      <c r="B63" s="188" t="s">
        <v>613</v>
      </c>
      <c r="C63" s="301">
        <v>31708</v>
      </c>
      <c r="D63" s="295">
        <f t="shared" si="7"/>
        <v>1.8992833499373418E-2</v>
      </c>
      <c r="E63" s="188">
        <v>2014</v>
      </c>
      <c r="F63" s="590" t="s">
        <v>614</v>
      </c>
      <c r="G63" s="197">
        <f>(F62/F58)-1</f>
        <v>0.10731526514672107</v>
      </c>
      <c r="H63" s="589">
        <f>C63/(SUM($C$63:$C$66))</f>
        <v>0.24302159817281604</v>
      </c>
      <c r="V63" s="273">
        <v>3446.5</v>
      </c>
      <c r="W63" s="589">
        <f t="shared" si="9"/>
        <v>4.2057205055330504E-2</v>
      </c>
      <c r="X63" s="274">
        <v>222.6</v>
      </c>
      <c r="Y63" s="589">
        <f t="shared" si="14"/>
        <v>5.2482269503546064E-2</v>
      </c>
      <c r="Z63" s="188">
        <v>2017</v>
      </c>
      <c r="AA63" s="273"/>
      <c r="AB63" s="194">
        <v>2013</v>
      </c>
      <c r="AC63" s="188" t="s">
        <v>626</v>
      </c>
      <c r="AD63" s="275">
        <v>4486445</v>
      </c>
      <c r="AE63" s="295">
        <f t="shared" si="10"/>
        <v>1.5230338934724807E-2</v>
      </c>
      <c r="AF63" s="275">
        <v>78725.05</v>
      </c>
      <c r="AG63" s="275">
        <v>3608387.5</v>
      </c>
      <c r="AH63" s="275">
        <v>329991.2</v>
      </c>
      <c r="AI63" s="449">
        <v>47301.252789788421</v>
      </c>
      <c r="AJ63" s="275">
        <f t="shared" si="8"/>
        <v>1016101.2506974471</v>
      </c>
      <c r="AK63" s="295">
        <f t="shared" si="11"/>
        <v>2.9375702743434706E-2</v>
      </c>
      <c r="AU63" s="296">
        <f t="shared" si="12"/>
        <v>4044361.7087953212</v>
      </c>
      <c r="AV63" s="188" t="s">
        <v>616</v>
      </c>
      <c r="AW63" s="188">
        <v>2013</v>
      </c>
      <c r="AX63" s="295">
        <f t="shared" si="15"/>
        <v>2.222999778698509E-2</v>
      </c>
      <c r="AZ63" s="188">
        <v>2.222999778698509E-2</v>
      </c>
    </row>
    <row r="64" spans="1:60" outlineLevel="1" x14ac:dyDescent="0.15">
      <c r="A64" s="585"/>
      <c r="B64" s="188" t="s">
        <v>616</v>
      </c>
      <c r="C64" s="301">
        <v>32574</v>
      </c>
      <c r="D64" s="295">
        <f t="shared" si="7"/>
        <v>2.7311719439889082E-2</v>
      </c>
      <c r="E64" s="188">
        <v>2014</v>
      </c>
      <c r="F64" s="590" t="s">
        <v>614</v>
      </c>
      <c r="H64" s="589">
        <f t="shared" ref="H64:H66" si="16">C64/(SUM($C$63:$C$66))</f>
        <v>0.24965893587994542</v>
      </c>
      <c r="V64" s="273">
        <v>3604.4</v>
      </c>
      <c r="W64" s="589">
        <f t="shared" si="9"/>
        <v>4.5814594516175866E-2</v>
      </c>
      <c r="X64" s="274">
        <v>249</v>
      </c>
      <c r="Y64" s="589">
        <f t="shared" si="14"/>
        <v>0.11859838274932621</v>
      </c>
      <c r="Z64" s="188">
        <v>2018</v>
      </c>
      <c r="AA64" s="273"/>
      <c r="AB64" s="194">
        <v>2013</v>
      </c>
      <c r="AC64" s="188" t="s">
        <v>628</v>
      </c>
      <c r="AD64" s="275">
        <v>4586321</v>
      </c>
      <c r="AE64" s="295">
        <f t="shared" si="10"/>
        <v>2.2261723926182198E-2</v>
      </c>
      <c r="AF64" s="275">
        <v>77774.28</v>
      </c>
      <c r="AG64" s="275">
        <v>3454011.7</v>
      </c>
      <c r="AH64" s="275">
        <v>349720</v>
      </c>
      <c r="AI64" s="449">
        <v>47995.511777398373</v>
      </c>
      <c r="AJ64" s="275">
        <f t="shared" si="8"/>
        <v>982375.37294434954</v>
      </c>
      <c r="AK64" s="295">
        <f t="shared" si="11"/>
        <v>-3.3191453833905094E-2</v>
      </c>
      <c r="AU64" s="296">
        <f t="shared" si="12"/>
        <v>4107483.4625761616</v>
      </c>
      <c r="AV64" s="188" t="s">
        <v>626</v>
      </c>
      <c r="AW64" s="188">
        <v>2013</v>
      </c>
      <c r="AX64" s="295">
        <f t="shared" si="15"/>
        <v>1.5607346307222825E-2</v>
      </c>
      <c r="AZ64" s="188">
        <v>1.5607346307222825E-2</v>
      </c>
    </row>
    <row r="65" spans="1:53" outlineLevel="1" x14ac:dyDescent="0.15">
      <c r="A65" s="585"/>
      <c r="B65" s="188" t="s">
        <v>626</v>
      </c>
      <c r="C65" s="301">
        <v>32759</v>
      </c>
      <c r="D65" s="295">
        <f t="shared" si="7"/>
        <v>5.6793761895990169E-3</v>
      </c>
      <c r="E65" s="188">
        <v>2014</v>
      </c>
      <c r="F65" s="590" t="s">
        <v>614</v>
      </c>
      <c r="H65" s="589">
        <f t="shared" si="16"/>
        <v>0.25107684289590265</v>
      </c>
      <c r="V65" s="273">
        <v>3757.4</v>
      </c>
      <c r="W65" s="589">
        <f t="shared" si="9"/>
        <v>4.2448118965708659E-2</v>
      </c>
      <c r="X65" s="274">
        <v>235.6</v>
      </c>
      <c r="Y65" s="589">
        <f t="shared" si="14"/>
        <v>-5.3815261044176776E-2</v>
      </c>
      <c r="Z65" s="188">
        <v>2019</v>
      </c>
      <c r="AA65" s="273"/>
      <c r="AB65" s="194">
        <v>2014</v>
      </c>
      <c r="AC65" s="188" t="s">
        <v>613</v>
      </c>
      <c r="AD65" s="275">
        <v>4403178</v>
      </c>
      <c r="AE65" s="295">
        <f t="shared" si="10"/>
        <v>-3.9932442583063832E-2</v>
      </c>
      <c r="AF65" s="275">
        <v>76532.63</v>
      </c>
      <c r="AG65" s="275">
        <v>3541094.8</v>
      </c>
      <c r="AH65" s="275">
        <v>363846</v>
      </c>
      <c r="AI65" s="449">
        <v>48704.111725700765</v>
      </c>
      <c r="AJ65" s="275">
        <f t="shared" si="8"/>
        <v>1007544.3854314251</v>
      </c>
      <c r="AK65" s="295">
        <f t="shared" si="11"/>
        <v>2.5620565397155293E-2</v>
      </c>
      <c r="AU65" s="296">
        <f t="shared" si="12"/>
        <v>4192770.1375255231</v>
      </c>
      <c r="AV65" s="188" t="s">
        <v>628</v>
      </c>
      <c r="AW65" s="188">
        <v>2013</v>
      </c>
      <c r="AX65" s="295">
        <f t="shared" si="15"/>
        <v>2.0763729355558036E-2</v>
      </c>
      <c r="AZ65" s="188">
        <v>2.0763729355558036E-2</v>
      </c>
    </row>
    <row r="66" spans="1:53" outlineLevel="1" x14ac:dyDescent="0.15">
      <c r="A66" s="585"/>
      <c r="B66" s="188" t="s">
        <v>628</v>
      </c>
      <c r="C66" s="301">
        <v>33433</v>
      </c>
      <c r="D66" s="295">
        <f t="shared" si="7"/>
        <v>2.0574498611068748E-2</v>
      </c>
      <c r="E66" s="188">
        <v>2014</v>
      </c>
      <c r="F66" s="293">
        <f>SUM(C63:C66)</f>
        <v>130474</v>
      </c>
      <c r="G66" s="291">
        <f>(F66/F62)-1</f>
        <v>6.518952722285265E-2</v>
      </c>
      <c r="H66" s="589">
        <f t="shared" si="16"/>
        <v>0.25624262305133588</v>
      </c>
      <c r="V66" s="273">
        <v>4144.1000000000004</v>
      </c>
      <c r="W66" s="589">
        <f t="shared" si="9"/>
        <v>0.10291691062969077</v>
      </c>
      <c r="X66" s="274">
        <v>296.8</v>
      </c>
      <c r="Y66" s="589">
        <f t="shared" si="14"/>
        <v>0.25976230899830233</v>
      </c>
      <c r="Z66" s="188">
        <v>2020</v>
      </c>
      <c r="AA66" s="273"/>
      <c r="AB66" s="194">
        <v>2014</v>
      </c>
      <c r="AC66" s="188" t="s">
        <v>616</v>
      </c>
      <c r="AD66" s="275">
        <v>4532342</v>
      </c>
      <c r="AE66" s="295">
        <f t="shared" si="10"/>
        <v>2.9334267204278452E-2</v>
      </c>
      <c r="AF66" s="275">
        <v>76761.600000000006</v>
      </c>
      <c r="AG66" s="275">
        <v>3558174.6</v>
      </c>
      <c r="AH66" s="275">
        <v>355005</v>
      </c>
      <c r="AI66" s="449">
        <v>48802.995283827098</v>
      </c>
      <c r="AJ66" s="275">
        <f t="shared" si="8"/>
        <v>1009686.0488209568</v>
      </c>
      <c r="AK66" s="295">
        <f t="shared" si="11"/>
        <v>2.1256268413571977E-3</v>
      </c>
      <c r="AU66" s="296">
        <f t="shared" si="12"/>
        <v>4032374.8092891118</v>
      </c>
      <c r="AV66" s="188" t="s">
        <v>613</v>
      </c>
      <c r="AW66" s="188">
        <v>2014</v>
      </c>
      <c r="AX66" s="295">
        <f t="shared" si="15"/>
        <v>-3.8255216235410616E-2</v>
      </c>
      <c r="AZ66" s="188">
        <v>-3.8255216235410616E-2</v>
      </c>
      <c r="BA66" s="197">
        <f>SUM(AX66:AX69)</f>
        <v>2.7936545697095916E-2</v>
      </c>
    </row>
    <row r="67" spans="1:53" outlineLevel="1" x14ac:dyDescent="0.15">
      <c r="A67" s="585"/>
      <c r="B67" s="188" t="s">
        <v>613</v>
      </c>
      <c r="C67" s="301">
        <v>35756</v>
      </c>
      <c r="D67" s="295">
        <f t="shared" si="7"/>
        <v>6.9482248078245989E-2</v>
      </c>
      <c r="E67" s="188">
        <v>2015</v>
      </c>
      <c r="F67" s="590" t="s">
        <v>614</v>
      </c>
      <c r="H67" s="589">
        <f>C67/(SUM($C$67:$C$70))</f>
        <v>0.22759011374413615</v>
      </c>
      <c r="V67" s="273">
        <v>4255.1000000000004</v>
      </c>
      <c r="W67" s="589">
        <f t="shared" si="9"/>
        <v>2.6785067927897588E-2</v>
      </c>
      <c r="X67" s="274">
        <v>255.7</v>
      </c>
      <c r="Y67" s="589">
        <f t="shared" si="14"/>
        <v>-0.13847708894878719</v>
      </c>
      <c r="Z67" s="188">
        <v>2021</v>
      </c>
      <c r="AA67" s="273"/>
      <c r="AB67" s="194">
        <v>2014</v>
      </c>
      <c r="AC67" s="188" t="s">
        <v>626</v>
      </c>
      <c r="AD67" s="275">
        <v>4616610</v>
      </c>
      <c r="AE67" s="295">
        <f t="shared" si="10"/>
        <v>1.8592595174856674E-2</v>
      </c>
      <c r="AF67" s="275">
        <v>78222.179999999993</v>
      </c>
      <c r="AG67" s="275">
        <v>3673472.3</v>
      </c>
      <c r="AH67" s="275">
        <v>358713.59999999998</v>
      </c>
      <c r="AI67" s="449">
        <v>49295.443237380918</v>
      </c>
      <c r="AJ67" s="275">
        <f t="shared" si="8"/>
        <v>1039925.8808093453</v>
      </c>
      <c r="AK67" s="295">
        <f t="shared" si="11"/>
        <v>2.9949737370047247E-2</v>
      </c>
      <c r="AU67" s="296">
        <f t="shared" si="12"/>
        <v>4147667.9701312482</v>
      </c>
      <c r="AV67" s="188" t="s">
        <v>616</v>
      </c>
      <c r="AW67" s="188">
        <v>2014</v>
      </c>
      <c r="AX67" s="295">
        <f t="shared" si="15"/>
        <v>2.8591876076733636E-2</v>
      </c>
      <c r="AZ67" s="188">
        <v>2.8591876076733636E-2</v>
      </c>
      <c r="BA67" s="197"/>
    </row>
    <row r="68" spans="1:53" outlineLevel="1" x14ac:dyDescent="0.15">
      <c r="A68" s="585"/>
      <c r="B68" s="188" t="s">
        <v>616</v>
      </c>
      <c r="C68" s="301">
        <v>36263</v>
      </c>
      <c r="D68" s="295">
        <f t="shared" si="7"/>
        <v>1.4179438415930168E-2</v>
      </c>
      <c r="E68" s="188">
        <v>2015</v>
      </c>
      <c r="F68" s="590" t="s">
        <v>614</v>
      </c>
      <c r="H68" s="589">
        <f t="shared" ref="H68:H70" si="17">C68/(SUM($C$67:$C$70))</f>
        <v>0.23081721374604569</v>
      </c>
      <c r="V68" s="273">
        <v>4400</v>
      </c>
      <c r="W68" s="589">
        <f t="shared" si="9"/>
        <v>3.4053253742567735E-2</v>
      </c>
      <c r="X68" s="274">
        <v>264</v>
      </c>
      <c r="Y68" s="589">
        <f t="shared" si="14"/>
        <v>3.2459913961673914E-2</v>
      </c>
      <c r="Z68" s="188">
        <v>2022</v>
      </c>
      <c r="AA68" s="273"/>
      <c r="AB68" s="194">
        <v>2014</v>
      </c>
      <c r="AC68" s="188" t="s">
        <v>628</v>
      </c>
      <c r="AD68" s="275">
        <v>4709584</v>
      </c>
      <c r="AE68" s="295">
        <f t="shared" si="10"/>
        <v>2.0139019756921117E-2</v>
      </c>
      <c r="AF68" s="275">
        <v>77596.55</v>
      </c>
      <c r="AG68" s="275">
        <v>3523710.3</v>
      </c>
      <c r="AH68" s="275">
        <v>370433</v>
      </c>
      <c r="AI68" s="449">
        <v>49809.269268145217</v>
      </c>
      <c r="AJ68" s="275">
        <f t="shared" si="8"/>
        <v>1005387.2798170362</v>
      </c>
      <c r="AK68" s="295">
        <f t="shared" si="11"/>
        <v>-3.3212560269611391E-2</v>
      </c>
      <c r="AU68" s="296">
        <f t="shared" si="12"/>
        <v>4226036.094184381</v>
      </c>
      <c r="AV68" s="188" t="s">
        <v>626</v>
      </c>
      <c r="AW68" s="188">
        <v>2014</v>
      </c>
      <c r="AX68" s="295">
        <f t="shared" si="15"/>
        <v>1.8894502794700063E-2</v>
      </c>
      <c r="AZ68" s="188">
        <v>1.8894502794700063E-2</v>
      </c>
    </row>
    <row r="69" spans="1:53" outlineLevel="1" x14ac:dyDescent="0.15">
      <c r="A69" s="585"/>
      <c r="B69" s="188" t="s">
        <v>626</v>
      </c>
      <c r="C69" s="301">
        <v>41489</v>
      </c>
      <c r="D69" s="295">
        <f t="shared" si="7"/>
        <v>0.14411383503846897</v>
      </c>
      <c r="E69" s="188">
        <v>2015</v>
      </c>
      <c r="F69" s="590" t="s">
        <v>614</v>
      </c>
      <c r="H69" s="589">
        <f t="shared" si="17"/>
        <v>0.26408116761188233</v>
      </c>
      <c r="AA69" s="273"/>
      <c r="AB69" s="194">
        <v>2015</v>
      </c>
      <c r="AC69" s="188" t="s">
        <v>613</v>
      </c>
      <c r="AD69" s="275">
        <v>4562381</v>
      </c>
      <c r="AE69" s="295">
        <f t="shared" si="10"/>
        <v>-3.1256051489898073E-2</v>
      </c>
      <c r="AF69" s="275">
        <v>75293.25</v>
      </c>
      <c r="AG69" s="275">
        <v>3619153.8</v>
      </c>
      <c r="AH69" s="275">
        <v>389722.2</v>
      </c>
      <c r="AI69" s="449">
        <v>50120.381507913633</v>
      </c>
      <c r="AJ69" s="275">
        <f t="shared" si="8"/>
        <v>1033572.4078769784</v>
      </c>
      <c r="AK69" s="295">
        <f t="shared" si="11"/>
        <v>2.8034100516043381E-2</v>
      </c>
      <c r="AU69" s="296">
        <f t="shared" si="12"/>
        <v>4305085.7181560202</v>
      </c>
      <c r="AV69" s="188" t="s">
        <v>628</v>
      </c>
      <c r="AW69" s="188">
        <v>2014</v>
      </c>
      <c r="AX69" s="295">
        <f t="shared" si="15"/>
        <v>1.8705383061072833E-2</v>
      </c>
      <c r="AZ69" s="188">
        <v>1.8705383061072833E-2</v>
      </c>
    </row>
    <row r="70" spans="1:53" outlineLevel="1" x14ac:dyDescent="0.15">
      <c r="A70" s="585"/>
      <c r="B70" s="188" t="s">
        <v>628</v>
      </c>
      <c r="C70" s="301">
        <v>43599</v>
      </c>
      <c r="D70" s="295">
        <f t="shared" si="7"/>
        <v>5.0856853623852061E-2</v>
      </c>
      <c r="E70" s="188">
        <v>2015</v>
      </c>
      <c r="F70" s="293">
        <f>SUM(C67:C70)</f>
        <v>157107</v>
      </c>
      <c r="G70" s="291">
        <f>(F70/F66)-1</f>
        <v>0.20412495976209821</v>
      </c>
      <c r="H70" s="589">
        <f t="shared" si="17"/>
        <v>0.2775115048979358</v>
      </c>
      <c r="AB70" s="194">
        <v>2015</v>
      </c>
      <c r="AC70" s="188" t="s">
        <v>616</v>
      </c>
      <c r="AD70" s="275">
        <v>4696817</v>
      </c>
      <c r="AE70" s="295">
        <f t="shared" si="10"/>
        <v>2.9466193200436308E-2</v>
      </c>
      <c r="AF70" s="275">
        <v>74658.03</v>
      </c>
      <c r="AG70" s="275">
        <v>3641859.1</v>
      </c>
      <c r="AH70" s="275">
        <v>381959.2</v>
      </c>
      <c r="AI70" s="449">
        <v>50481.394001562403</v>
      </c>
      <c r="AJ70" s="275">
        <f t="shared" si="8"/>
        <v>1037239.4310003907</v>
      </c>
      <c r="AK70" s="295">
        <f t="shared" si="11"/>
        <v>3.5479112014460412E-3</v>
      </c>
      <c r="AU70" s="296">
        <f t="shared" si="12"/>
        <v>4177035.1017401661</v>
      </c>
      <c r="AV70" s="188" t="s">
        <v>613</v>
      </c>
      <c r="AW70" s="188">
        <v>2015</v>
      </c>
      <c r="AX70" s="295">
        <f t="shared" si="15"/>
        <v>-2.9744034102694106E-2</v>
      </c>
      <c r="AZ70" s="188">
        <v>-2.9744034102694106E-2</v>
      </c>
      <c r="BA70" s="197">
        <f>SUM(AX70:AX73)</f>
        <v>1.9966091839078604E-2</v>
      </c>
    </row>
    <row r="71" spans="1:53" outlineLevel="1" x14ac:dyDescent="0.15">
      <c r="A71" s="585"/>
      <c r="B71" s="188" t="s">
        <v>613</v>
      </c>
      <c r="C71" s="301">
        <v>44527</v>
      </c>
      <c r="D71" s="295">
        <f t="shared" si="7"/>
        <v>2.1284891855317678E-2</v>
      </c>
      <c r="E71" s="188">
        <v>2016</v>
      </c>
      <c r="F71" s="590" t="s">
        <v>614</v>
      </c>
      <c r="H71" s="589">
        <f>C71/(SUM($C$71:$C$74))</f>
        <v>0.24089482795931616</v>
      </c>
      <c r="AB71" s="194">
        <v>2015</v>
      </c>
      <c r="AC71" s="188" t="s">
        <v>626</v>
      </c>
      <c r="AD71" s="275">
        <v>4741070</v>
      </c>
      <c r="AE71" s="295">
        <f t="shared" si="10"/>
        <v>9.4219127549572956E-3</v>
      </c>
      <c r="AF71" s="275">
        <v>74887.679999999993</v>
      </c>
      <c r="AG71" s="275">
        <v>3769025.8</v>
      </c>
      <c r="AH71" s="275">
        <v>387532.6</v>
      </c>
      <c r="AI71" s="449">
        <v>50989.189788674288</v>
      </c>
      <c r="AJ71" s="275">
        <f t="shared" si="8"/>
        <v>1070608.8174471685</v>
      </c>
      <c r="AK71" s="295">
        <f t="shared" si="11"/>
        <v>3.2171343905229133E-2</v>
      </c>
      <c r="AU71" s="296">
        <f t="shared" si="12"/>
        <v>4297191.1294652428</v>
      </c>
      <c r="AV71" s="188" t="s">
        <v>616</v>
      </c>
      <c r="AW71" s="188">
        <v>2015</v>
      </c>
      <c r="AX71" s="295">
        <f t="shared" si="15"/>
        <v>2.8765864973224531E-2</v>
      </c>
      <c r="AZ71" s="188">
        <v>2.8765864973224531E-2</v>
      </c>
    </row>
    <row r="72" spans="1:53" outlineLevel="1" x14ac:dyDescent="0.15">
      <c r="A72" s="585"/>
      <c r="B72" s="188" t="s">
        <v>616</v>
      </c>
      <c r="C72" s="301">
        <v>46485</v>
      </c>
      <c r="D72" s="295">
        <f t="shared" si="7"/>
        <v>4.3973319558919366E-2</v>
      </c>
      <c r="E72" s="188">
        <v>2016</v>
      </c>
      <c r="F72" s="590" t="s">
        <v>614</v>
      </c>
      <c r="H72" s="589">
        <f t="shared" ref="H72:H74" si="18">C72/(SUM($C$71:$C$74))</f>
        <v>0.25148777320926208</v>
      </c>
      <c r="X72" s="273"/>
      <c r="Y72" s="274"/>
      <c r="AB72" s="194">
        <v>2015</v>
      </c>
      <c r="AC72" s="188" t="s">
        <v>628</v>
      </c>
      <c r="AD72" s="275">
        <v>4799354</v>
      </c>
      <c r="AE72" s="295">
        <f t="shared" si="10"/>
        <v>1.2293427433047732E-2</v>
      </c>
      <c r="AF72" s="275">
        <v>73313.600000000006</v>
      </c>
      <c r="AG72" s="275">
        <v>3595919</v>
      </c>
      <c r="AH72" s="275">
        <v>397094.6</v>
      </c>
      <c r="AI72" s="449">
        <v>50832.505693903084</v>
      </c>
      <c r="AJ72" s="275">
        <f t="shared" si="8"/>
        <v>1029289.9264234758</v>
      </c>
      <c r="AK72" s="295">
        <f t="shared" si="11"/>
        <v>-3.8593826568901424E-2</v>
      </c>
      <c r="AU72" s="296">
        <f t="shared" si="12"/>
        <v>4340255.6388652315</v>
      </c>
      <c r="AV72" s="188" t="s">
        <v>626</v>
      </c>
      <c r="AW72" s="188">
        <v>2015</v>
      </c>
      <c r="AX72" s="295">
        <f t="shared" si="15"/>
        <v>1.002154851914816E-2</v>
      </c>
      <c r="AZ72" s="188">
        <v>1.002154851914816E-2</v>
      </c>
    </row>
    <row r="73" spans="1:53" outlineLevel="1" x14ac:dyDescent="0.15">
      <c r="A73" s="585"/>
      <c r="B73" s="188" t="s">
        <v>626</v>
      </c>
      <c r="C73" s="301">
        <v>46305</v>
      </c>
      <c r="D73" s="295">
        <f t="shared" si="7"/>
        <v>-3.8722168441432947E-3</v>
      </c>
      <c r="E73" s="188">
        <v>2016</v>
      </c>
      <c r="F73" s="590" t="s">
        <v>614</v>
      </c>
      <c r="H73" s="589">
        <f t="shared" si="18"/>
        <v>0.25051395801774506</v>
      </c>
      <c r="X73" s="273"/>
      <c r="AB73" s="194">
        <v>2016</v>
      </c>
      <c r="AC73" s="188" t="s">
        <v>613</v>
      </c>
      <c r="AD73" s="275">
        <v>4641851</v>
      </c>
      <c r="AE73" s="295">
        <f t="shared" si="10"/>
        <v>-3.2817541694152963E-2</v>
      </c>
      <c r="AF73" s="275">
        <v>71424.55</v>
      </c>
      <c r="AG73" s="275">
        <v>3709024.2</v>
      </c>
      <c r="AH73" s="275">
        <v>425143.6</v>
      </c>
      <c r="AI73" s="449">
        <v>51329.980442778266</v>
      </c>
      <c r="AJ73" s="275">
        <f t="shared" si="8"/>
        <v>1064230.5826106945</v>
      </c>
      <c r="AK73" s="295">
        <f t="shared" si="11"/>
        <v>3.3946369521587139E-2</v>
      </c>
      <c r="AU73" s="296">
        <f t="shared" si="12"/>
        <v>4387663.0031654434</v>
      </c>
      <c r="AV73" s="188" t="s">
        <v>628</v>
      </c>
      <c r="AW73" s="188">
        <v>2015</v>
      </c>
      <c r="AX73" s="295">
        <f t="shared" si="15"/>
        <v>1.0922712449400018E-2</v>
      </c>
      <c r="AZ73" s="188">
        <v>1.0922712449400018E-2</v>
      </c>
    </row>
    <row r="74" spans="1:53" outlineLevel="1" x14ac:dyDescent="0.15">
      <c r="A74" s="585"/>
      <c r="B74" s="188" t="s">
        <v>628</v>
      </c>
      <c r="C74" s="301">
        <v>47523</v>
      </c>
      <c r="D74" s="295">
        <f t="shared" si="7"/>
        <v>2.6303854875283417E-2</v>
      </c>
      <c r="E74" s="188">
        <v>2016</v>
      </c>
      <c r="F74" s="293">
        <f>SUM(C71:C74)</f>
        <v>184840</v>
      </c>
      <c r="G74" s="291">
        <f>(F74/F70)-1</f>
        <v>0.1765230066133272</v>
      </c>
      <c r="H74" s="589">
        <f t="shared" si="18"/>
        <v>0.2571034408136767</v>
      </c>
      <c r="X74" s="273"/>
      <c r="AB74" s="194">
        <v>2016</v>
      </c>
      <c r="AC74" s="188" t="s">
        <v>616</v>
      </c>
      <c r="AD74" s="275">
        <v>4768308</v>
      </c>
      <c r="AE74" s="295">
        <f t="shared" si="10"/>
        <v>2.7242796031152317E-2</v>
      </c>
      <c r="AF74" s="275">
        <v>72255.23</v>
      </c>
      <c r="AG74" s="275">
        <v>3695643.3</v>
      </c>
      <c r="AH74" s="275">
        <v>415112.6</v>
      </c>
      <c r="AI74" s="449">
        <v>51589.542215885886</v>
      </c>
      <c r="AJ74" s="275">
        <f t="shared" si="8"/>
        <v>1058650.1680539714</v>
      </c>
      <c r="AK74" s="295">
        <f t="shared" si="11"/>
        <v>-5.2436141639846667E-3</v>
      </c>
      <c r="AU74" s="296">
        <f t="shared" si="12"/>
        <v>4251174.8504210878</v>
      </c>
      <c r="AV74" s="188" t="s">
        <v>613</v>
      </c>
      <c r="AW74" s="188">
        <v>2016</v>
      </c>
      <c r="AX74" s="295">
        <f t="shared" si="15"/>
        <v>-3.1107255193912442E-2</v>
      </c>
      <c r="AZ74" s="188">
        <v>-3.1107255193912442E-2</v>
      </c>
      <c r="BA74" s="197">
        <f>SUM(AX74:AX77)</f>
        <v>2.4561598415513641E-2</v>
      </c>
    </row>
    <row r="75" spans="1:53" outlineLevel="1" x14ac:dyDescent="0.15">
      <c r="A75" s="585"/>
      <c r="B75" s="188" t="s">
        <v>613</v>
      </c>
      <c r="C75" s="301">
        <v>48723</v>
      </c>
      <c r="D75" s="295">
        <f t="shared" si="7"/>
        <v>2.5250931128085297E-2</v>
      </c>
      <c r="E75" s="188">
        <v>2017</v>
      </c>
      <c r="F75" s="590" t="s">
        <v>629</v>
      </c>
      <c r="H75" s="589">
        <f>C75/(SUM($C$75:$C$78))</f>
        <v>0.24221138502378714</v>
      </c>
      <c r="X75" s="273"/>
      <c r="AB75" s="194">
        <v>2016</v>
      </c>
      <c r="AC75" s="188" t="s">
        <v>626</v>
      </c>
      <c r="AD75" s="275">
        <v>4819182</v>
      </c>
      <c r="AE75" s="295">
        <f t="shared" si="10"/>
        <v>1.0669193349087447E-2</v>
      </c>
      <c r="AF75" s="275">
        <v>73049.8</v>
      </c>
      <c r="AG75" s="275">
        <v>3833686.4</v>
      </c>
      <c r="AH75" s="275">
        <v>425006.4</v>
      </c>
      <c r="AI75" s="449">
        <v>51722.152051487057</v>
      </c>
      <c r="AJ75" s="275">
        <f t="shared" si="8"/>
        <v>1095866.1880128717</v>
      </c>
      <c r="AK75" s="295">
        <f t="shared" si="11"/>
        <v>3.5154219100830497E-2</v>
      </c>
      <c r="AU75" s="296">
        <f t="shared" si="12"/>
        <v>4363213.3647514936</v>
      </c>
      <c r="AV75" s="188" t="s">
        <v>616</v>
      </c>
      <c r="AW75" s="188">
        <v>2016</v>
      </c>
      <c r="AX75" s="295">
        <f t="shared" si="15"/>
        <v>2.6354717995028532E-2</v>
      </c>
      <c r="AZ75" s="188">
        <v>2.6354717995028532E-2</v>
      </c>
    </row>
    <row r="76" spans="1:53" outlineLevel="1" x14ac:dyDescent="0.15">
      <c r="A76" s="585"/>
      <c r="B76" s="188" t="s">
        <v>616</v>
      </c>
      <c r="C76" s="301">
        <v>50053</v>
      </c>
      <c r="D76" s="295">
        <f t="shared" si="7"/>
        <v>2.7297169714508573E-2</v>
      </c>
      <c r="E76" s="188">
        <v>2017</v>
      </c>
      <c r="F76" s="590" t="s">
        <v>614</v>
      </c>
      <c r="H76" s="589">
        <f t="shared" ref="H76:H78" si="19">C76/(SUM($C$75:$C$78))</f>
        <v>0.24882307030756765</v>
      </c>
      <c r="X76" s="273"/>
      <c r="AB76" s="194">
        <v>2016</v>
      </c>
      <c r="AC76" s="188" t="s">
        <v>628</v>
      </c>
      <c r="AD76" s="275">
        <v>4912331</v>
      </c>
      <c r="AE76" s="295">
        <f t="shared" si="10"/>
        <v>1.9328798953847315E-2</v>
      </c>
      <c r="AF76" s="275">
        <v>71655.73</v>
      </c>
      <c r="AG76" s="275">
        <v>3697990.2</v>
      </c>
      <c r="AH76" s="275">
        <v>431146.8</v>
      </c>
      <c r="AI76" s="449">
        <v>52007.148394578508</v>
      </c>
      <c r="AJ76" s="275">
        <f t="shared" si="8"/>
        <v>1063199.9695986446</v>
      </c>
      <c r="AK76" s="295">
        <f t="shared" si="11"/>
        <v>-2.9808583175159775E-2</v>
      </c>
      <c r="AU76" s="296">
        <f t="shared" si="12"/>
        <v>4412595.9133310057</v>
      </c>
      <c r="AV76" s="188" t="s">
        <v>626</v>
      </c>
      <c r="AW76" s="188">
        <v>2016</v>
      </c>
      <c r="AX76" s="295">
        <f t="shared" si="15"/>
        <v>1.1317931178532747E-2</v>
      </c>
      <c r="AZ76" s="188">
        <v>1.1317931178532747E-2</v>
      </c>
    </row>
    <row r="77" spans="1:53" outlineLevel="1" x14ac:dyDescent="0.15">
      <c r="A77" s="585"/>
      <c r="B77" s="188" t="s">
        <v>626</v>
      </c>
      <c r="C77" s="301">
        <v>50322</v>
      </c>
      <c r="D77" s="295">
        <f t="shared" si="7"/>
        <v>5.3743032385671352E-3</v>
      </c>
      <c r="E77" s="188">
        <v>2017</v>
      </c>
      <c r="F77" s="590" t="s">
        <v>614</v>
      </c>
      <c r="H77" s="589">
        <f t="shared" si="19"/>
        <v>0.25016032094015184</v>
      </c>
      <c r="X77" s="273"/>
      <c r="AB77" s="194">
        <v>2017</v>
      </c>
      <c r="AC77" s="188" t="s">
        <v>613</v>
      </c>
      <c r="AD77" s="275">
        <v>4698367</v>
      </c>
      <c r="AE77" s="295">
        <f t="shared" si="10"/>
        <v>-4.3556511155294686E-2</v>
      </c>
      <c r="AF77" s="275">
        <v>71625.83</v>
      </c>
      <c r="AG77" s="275">
        <v>3790648.6</v>
      </c>
      <c r="AH77" s="275">
        <v>451882.2</v>
      </c>
      <c r="AI77" s="449">
        <v>51997.74625080359</v>
      </c>
      <c r="AJ77" s="275">
        <f t="shared" si="8"/>
        <v>1091538.5940627009</v>
      </c>
      <c r="AK77" s="295">
        <f t="shared" si="11"/>
        <v>2.6654086977404567E-2</v>
      </c>
      <c r="AU77" s="296">
        <f t="shared" si="12"/>
        <v>4492005.8914801721</v>
      </c>
      <c r="AV77" s="188" t="s">
        <v>628</v>
      </c>
      <c r="AW77" s="188">
        <v>2016</v>
      </c>
      <c r="AX77" s="295">
        <f t="shared" si="15"/>
        <v>1.7996204435864804E-2</v>
      </c>
      <c r="AZ77" s="188">
        <v>1.7996204435864804E-2</v>
      </c>
    </row>
    <row r="78" spans="1:53" outlineLevel="1" x14ac:dyDescent="0.15">
      <c r="A78" s="585"/>
      <c r="B78" s="188" t="s">
        <v>628</v>
      </c>
      <c r="C78" s="301">
        <v>52061</v>
      </c>
      <c r="D78" s="295">
        <f t="shared" si="7"/>
        <v>3.4557450021859282E-2</v>
      </c>
      <c r="E78" s="188">
        <v>2017</v>
      </c>
      <c r="F78" s="293">
        <f>SUM(C75:C78)</f>
        <v>201159</v>
      </c>
      <c r="G78" s="291">
        <f>(F78/F74)-1</f>
        <v>8.8287167279809564E-2</v>
      </c>
      <c r="H78" s="589">
        <f t="shared" si="19"/>
        <v>0.25880522372849341</v>
      </c>
      <c r="X78" s="273"/>
      <c r="AB78" s="194">
        <v>2017</v>
      </c>
      <c r="AC78" s="188" t="s">
        <v>616</v>
      </c>
      <c r="AD78" s="275">
        <v>4893234</v>
      </c>
      <c r="AE78" s="295">
        <f t="shared" si="10"/>
        <v>4.1475474350981978E-2</v>
      </c>
      <c r="AF78" s="275">
        <v>72824</v>
      </c>
      <c r="AG78" s="275">
        <v>3803930.3</v>
      </c>
      <c r="AH78" s="275">
        <v>440487.6</v>
      </c>
      <c r="AI78" s="449">
        <v>52220.641232544047</v>
      </c>
      <c r="AJ78" s="275">
        <f t="shared" si="8"/>
        <v>1092365.6353081358</v>
      </c>
      <c r="AK78" s="295">
        <f t="shared" si="11"/>
        <v>7.5768392426378561E-4</v>
      </c>
      <c r="AU78" s="296">
        <f t="shared" si="12"/>
        <v>4304501.3380716471</v>
      </c>
      <c r="AV78" s="188" t="s">
        <v>613</v>
      </c>
      <c r="AW78" s="188">
        <v>2017</v>
      </c>
      <c r="AX78" s="295">
        <f t="shared" si="15"/>
        <v>-4.174183158667677E-2</v>
      </c>
      <c r="AZ78" s="188">
        <v>-4.174183158667677E-2</v>
      </c>
      <c r="BA78" s="197">
        <f>SUM(AX78:AX81)</f>
        <v>3.3366002918575277E-2</v>
      </c>
    </row>
    <row r="79" spans="1:53" outlineLevel="1" x14ac:dyDescent="0.15">
      <c r="A79" s="585"/>
      <c r="B79" s="188" t="s">
        <v>613</v>
      </c>
      <c r="C79" s="301">
        <v>55188</v>
      </c>
      <c r="D79" s="295">
        <f t="shared" si="7"/>
        <v>6.0064155509882644E-2</v>
      </c>
      <c r="E79" s="188">
        <v>2018</v>
      </c>
      <c r="F79" s="590" t="s">
        <v>614</v>
      </c>
      <c r="H79" s="589">
        <f>C79/(SUM($C$79:$C$82))</f>
        <v>0.24392809628414963</v>
      </c>
      <c r="X79" s="273"/>
      <c r="AB79" s="194">
        <v>2017</v>
      </c>
      <c r="AC79" s="188" t="s">
        <v>626</v>
      </c>
      <c r="AD79" s="275">
        <v>4950878</v>
      </c>
      <c r="AE79" s="295">
        <f t="shared" si="10"/>
        <v>1.1780348129682761E-2</v>
      </c>
      <c r="AF79" s="275">
        <v>74248.25</v>
      </c>
      <c r="AG79" s="275">
        <v>3936631.7</v>
      </c>
      <c r="AH79" s="275">
        <v>447608</v>
      </c>
      <c r="AI79" s="449">
        <v>52554.200869383872</v>
      </c>
      <c r="AJ79" s="275">
        <f t="shared" si="8"/>
        <v>1127760.5377173461</v>
      </c>
      <c r="AK79" s="295">
        <f t="shared" si="11"/>
        <v>3.2402065082563825E-2</v>
      </c>
      <c r="AU79" s="296">
        <f t="shared" si="12"/>
        <v>4478179.1745756483</v>
      </c>
      <c r="AV79" s="188" t="s">
        <v>616</v>
      </c>
      <c r="AW79" s="188">
        <v>2017</v>
      </c>
      <c r="AX79" s="295">
        <f t="shared" si="15"/>
        <v>4.0347957373805032E-2</v>
      </c>
      <c r="AZ79" s="188">
        <v>4.0347957373805032E-2</v>
      </c>
    </row>
    <row r="80" spans="1:53" outlineLevel="1" x14ac:dyDescent="0.15">
      <c r="A80" s="585"/>
      <c r="B80" s="188" t="s">
        <v>616</v>
      </c>
      <c r="C80" s="301">
        <v>56086</v>
      </c>
      <c r="D80" s="295">
        <f t="shared" si="7"/>
        <v>1.6271653257954544E-2</v>
      </c>
      <c r="E80" s="188">
        <v>2018</v>
      </c>
      <c r="F80" s="590" t="s">
        <v>614</v>
      </c>
      <c r="H80" s="589">
        <f t="shared" ref="H80:H82" si="20">C80/(SUM($C$79:$C$82))</f>
        <v>0.24789720968675827</v>
      </c>
      <c r="X80" s="273"/>
      <c r="AB80" s="194">
        <v>2017</v>
      </c>
      <c r="AC80" s="188" t="s">
        <v>628</v>
      </c>
      <c r="AD80" s="275">
        <v>5069624</v>
      </c>
      <c r="AE80" s="295">
        <f t="shared" si="10"/>
        <v>2.3984836628977657E-2</v>
      </c>
      <c r="AF80" s="275">
        <v>73502.179999999993</v>
      </c>
      <c r="AG80" s="275">
        <v>3774996.1</v>
      </c>
      <c r="AH80" s="275">
        <v>459898.6</v>
      </c>
      <c r="AI80" s="449">
        <v>52685.337987233637</v>
      </c>
      <c r="AJ80" s="275">
        <f t="shared" si="8"/>
        <v>1090270.5544968084</v>
      </c>
      <c r="AK80" s="295">
        <f t="shared" si="11"/>
        <v>-3.3242857829038464E-2</v>
      </c>
      <c r="AU80" s="296">
        <f t="shared" si="12"/>
        <v>4533393.5731187342</v>
      </c>
      <c r="AV80" s="188" t="s">
        <v>626</v>
      </c>
      <c r="AW80" s="188">
        <v>2017</v>
      </c>
      <c r="AX80" s="295">
        <f t="shared" si="15"/>
        <v>1.2329653725460465E-2</v>
      </c>
      <c r="AZ80" s="188">
        <v>1.2329653725460465E-2</v>
      </c>
    </row>
    <row r="81" spans="1:53" outlineLevel="1" x14ac:dyDescent="0.15">
      <c r="A81" s="585"/>
      <c r="B81" s="188" t="s">
        <v>626</v>
      </c>
      <c r="C81" s="301">
        <v>56556</v>
      </c>
      <c r="D81" s="295">
        <f t="shared" si="7"/>
        <v>8.3799878757622182E-3</v>
      </c>
      <c r="E81" s="188">
        <v>2018</v>
      </c>
      <c r="F81" s="590" t="s">
        <v>614</v>
      </c>
      <c r="H81" s="589">
        <f t="shared" si="20"/>
        <v>0.24997458529836861</v>
      </c>
      <c r="X81" s="273"/>
      <c r="AB81" s="194">
        <v>2018</v>
      </c>
      <c r="AC81" s="188" t="s">
        <v>613</v>
      </c>
      <c r="AD81" s="275">
        <v>4890817</v>
      </c>
      <c r="AE81" s="295">
        <f t="shared" si="10"/>
        <v>-3.5270268564295937E-2</v>
      </c>
      <c r="AF81" s="275">
        <v>72990.7</v>
      </c>
      <c r="AG81" s="275">
        <v>3874277.4</v>
      </c>
      <c r="AH81" s="275">
        <v>492248.4</v>
      </c>
      <c r="AI81" s="449">
        <v>52886.835183734271</v>
      </c>
      <c r="AJ81" s="275">
        <f t="shared" si="8"/>
        <v>1123100.8337959335</v>
      </c>
      <c r="AK81" s="295">
        <f t="shared" si="11"/>
        <v>3.0112048026718741E-2</v>
      </c>
      <c r="AU81" s="296">
        <f t="shared" si="12"/>
        <v>4635078.6037510512</v>
      </c>
      <c r="AV81" s="188" t="s">
        <v>628</v>
      </c>
      <c r="AW81" s="188">
        <v>2017</v>
      </c>
      <c r="AX81" s="295">
        <f t="shared" si="15"/>
        <v>2.2430223405986549E-2</v>
      </c>
      <c r="AZ81" s="188">
        <v>2.2430223405986549E-2</v>
      </c>
    </row>
    <row r="82" spans="1:53" outlineLevel="1" x14ac:dyDescent="0.15">
      <c r="A82" s="593"/>
      <c r="B82" s="188" t="s">
        <v>628</v>
      </c>
      <c r="C82" s="301">
        <v>58417</v>
      </c>
      <c r="D82" s="295">
        <f t="shared" si="7"/>
        <v>3.2905438857061986E-2</v>
      </c>
      <c r="E82" s="188">
        <v>2018</v>
      </c>
      <c r="F82" s="293">
        <f>SUM(C79:C82)</f>
        <v>226247</v>
      </c>
      <c r="G82" s="291">
        <f>(F82/F78)-1</f>
        <v>0.1247172634582594</v>
      </c>
      <c r="H82" s="589">
        <f t="shared" si="20"/>
        <v>0.25820010873072352</v>
      </c>
      <c r="X82" s="273"/>
      <c r="AB82" s="194">
        <v>2018</v>
      </c>
      <c r="AC82" s="188" t="s">
        <v>616</v>
      </c>
      <c r="AD82" s="275">
        <v>5039983</v>
      </c>
      <c r="AE82" s="295">
        <f t="shared" si="10"/>
        <v>3.0499198804616823E-2</v>
      </c>
      <c r="AF82" s="275">
        <v>74002.399999999994</v>
      </c>
      <c r="AG82" s="275">
        <v>3867699</v>
      </c>
      <c r="AH82" s="275">
        <v>473522</v>
      </c>
      <c r="AI82" s="449">
        <v>53656.591767585509</v>
      </c>
      <c r="AJ82" s="275">
        <f t="shared" si="8"/>
        <v>1117219.9979418966</v>
      </c>
      <c r="AK82" s="295">
        <f t="shared" si="11"/>
        <v>-5.2362492102873137E-3</v>
      </c>
      <c r="AU82" s="296">
        <f t="shared" si="12"/>
        <v>4479382.3946505161</v>
      </c>
      <c r="AV82" s="188" t="s">
        <v>613</v>
      </c>
      <c r="AW82" s="188">
        <v>2018</v>
      </c>
      <c r="AX82" s="295">
        <f t="shared" si="15"/>
        <v>-3.3590845465821029E-2</v>
      </c>
      <c r="AZ82" s="188">
        <v>-3.3590845465821029E-2</v>
      </c>
      <c r="BA82" s="197">
        <f>SUM(AX82:AX85)</f>
        <v>2.0946438690339408E-2</v>
      </c>
    </row>
    <row r="83" spans="1:53" outlineLevel="1" x14ac:dyDescent="0.15">
      <c r="A83" s="593"/>
      <c r="B83" s="188" t="s">
        <v>613</v>
      </c>
      <c r="C83" s="301">
        <v>60308</v>
      </c>
      <c r="D83" s="295">
        <f t="shared" si="7"/>
        <v>3.2370714004485102E-2</v>
      </c>
      <c r="E83" s="188">
        <v>2019</v>
      </c>
      <c r="F83" s="590" t="s">
        <v>614</v>
      </c>
      <c r="H83" s="589">
        <f>C83/(SUM($C$83:$C$86))</f>
        <v>0.249047097933142</v>
      </c>
      <c r="X83" s="273"/>
      <c r="AB83" s="194">
        <v>2018</v>
      </c>
      <c r="AC83" s="188" t="s">
        <v>626</v>
      </c>
      <c r="AD83" s="275">
        <v>5092532</v>
      </c>
      <c r="AE83" s="295">
        <f t="shared" si="10"/>
        <v>1.042642405738281E-2</v>
      </c>
      <c r="AF83" s="275">
        <v>75775.75</v>
      </c>
      <c r="AG83" s="275">
        <v>4007868</v>
      </c>
      <c r="AH83" s="275">
        <v>476509.6</v>
      </c>
      <c r="AI83" s="449">
        <v>54108.749527139909</v>
      </c>
      <c r="AJ83" s="275">
        <f t="shared" si="8"/>
        <v>1153565.5248817848</v>
      </c>
      <c r="AK83" s="295">
        <f t="shared" si="11"/>
        <v>3.253211275025758E-2</v>
      </c>
      <c r="AU83" s="296">
        <f t="shared" si="12"/>
        <v>4611617.2801752547</v>
      </c>
      <c r="AV83" s="188" t="s">
        <v>616</v>
      </c>
      <c r="AW83" s="188">
        <v>2018</v>
      </c>
      <c r="AX83" s="295">
        <f t="shared" si="15"/>
        <v>2.9520785205268352E-2</v>
      </c>
      <c r="AZ83" s="188">
        <v>2.9520785205268352E-2</v>
      </c>
    </row>
    <row r="84" spans="1:53" outlineLevel="1" x14ac:dyDescent="0.15">
      <c r="A84" s="593"/>
      <c r="B84" s="188" t="s">
        <v>616</v>
      </c>
      <c r="C84" s="301">
        <v>60595</v>
      </c>
      <c r="D84" s="295">
        <f t="shared" si="7"/>
        <v>4.7589042913045443E-3</v>
      </c>
      <c r="E84" s="188">
        <v>2019</v>
      </c>
      <c r="F84" s="590" t="s">
        <v>614</v>
      </c>
      <c r="H84" s="589">
        <f t="shared" ref="H84:H86" si="21">C84/(SUM($C$83:$C$86))</f>
        <v>0.25023228923623297</v>
      </c>
      <c r="X84" s="273"/>
      <c r="AB84" s="194">
        <v>2018</v>
      </c>
      <c r="AC84" s="188" t="s">
        <v>628</v>
      </c>
      <c r="AD84" s="275">
        <v>5170563</v>
      </c>
      <c r="AE84" s="295">
        <f t="shared" si="10"/>
        <v>1.5322633220566928E-2</v>
      </c>
      <c r="AF84" s="275">
        <v>74643.3</v>
      </c>
      <c r="AG84" s="275">
        <v>3842593.6</v>
      </c>
      <c r="AH84" s="275">
        <v>488566.4</v>
      </c>
      <c r="AI84" s="449">
        <v>54176.93032884242</v>
      </c>
      <c r="AJ84" s="275">
        <f t="shared" si="8"/>
        <v>1114995.0575822105</v>
      </c>
      <c r="AK84" s="295">
        <f t="shared" si="11"/>
        <v>-3.3435870323471173E-2</v>
      </c>
      <c r="AU84" s="296">
        <f t="shared" si="12"/>
        <v>4662396.8609170904</v>
      </c>
      <c r="AV84" s="188" t="s">
        <v>626</v>
      </c>
      <c r="AW84" s="188">
        <v>2018</v>
      </c>
      <c r="AX84" s="295">
        <f t="shared" si="15"/>
        <v>1.1011230476590139E-2</v>
      </c>
      <c r="AZ84" s="188">
        <v>1.1011230476590139E-2</v>
      </c>
    </row>
    <row r="85" spans="1:53" outlineLevel="1" x14ac:dyDescent="0.15">
      <c r="A85" s="585"/>
      <c r="B85" s="188" t="s">
        <v>626</v>
      </c>
      <c r="C85" s="301">
        <v>60351</v>
      </c>
      <c r="D85" s="295">
        <f t="shared" si="7"/>
        <v>-4.0267348791154234E-3</v>
      </c>
      <c r="E85" s="188">
        <v>2019</v>
      </c>
      <c r="F85" s="590" t="s">
        <v>614</v>
      </c>
      <c r="H85" s="589">
        <f t="shared" si="21"/>
        <v>0.24922467014928454</v>
      </c>
      <c r="AB85" s="194">
        <v>2019</v>
      </c>
      <c r="AC85" s="188" t="s">
        <v>613</v>
      </c>
      <c r="AD85" s="275">
        <v>4968926</v>
      </c>
      <c r="AE85" s="295">
        <f t="shared" si="10"/>
        <v>-3.8997107278259668E-2</v>
      </c>
      <c r="AF85" s="275">
        <v>73646.8</v>
      </c>
      <c r="AG85" s="275">
        <v>3932205.5</v>
      </c>
      <c r="AH85" s="275">
        <v>520409.4</v>
      </c>
      <c r="AI85" s="449">
        <v>54770.950390958904</v>
      </c>
      <c r="AJ85" s="275">
        <f t="shared" si="8"/>
        <v>1145258.1625977398</v>
      </c>
      <c r="AK85" s="295">
        <f t="shared" si="11"/>
        <v>2.7141918531148335E-2</v>
      </c>
      <c r="AU85" s="296">
        <f t="shared" si="12"/>
        <v>4727694.9806879768</v>
      </c>
      <c r="AV85" s="188" t="s">
        <v>628</v>
      </c>
      <c r="AW85" s="188">
        <v>2018</v>
      </c>
      <c r="AX85" s="295">
        <f t="shared" si="15"/>
        <v>1.4005268474301946E-2</v>
      </c>
      <c r="AZ85" s="188">
        <v>1.4005268474301946E-2</v>
      </c>
    </row>
    <row r="86" spans="1:53" outlineLevel="1" x14ac:dyDescent="0.15">
      <c r="A86" s="585"/>
      <c r="B86" s="188" t="s">
        <v>628</v>
      </c>
      <c r="C86" s="301">
        <v>60901</v>
      </c>
      <c r="D86" s="295">
        <f t="shared" si="7"/>
        <v>9.113353548408476E-3</v>
      </c>
      <c r="E86" s="188">
        <v>2019</v>
      </c>
      <c r="F86" s="293">
        <f>SUM(C83:C86)</f>
        <v>242155</v>
      </c>
      <c r="G86" s="291">
        <f>(F86/F82)-1</f>
        <v>7.0312534530844628E-2</v>
      </c>
      <c r="H86" s="589">
        <f t="shared" si="21"/>
        <v>0.25149594268134046</v>
      </c>
      <c r="AB86" s="194">
        <v>2019</v>
      </c>
      <c r="AC86" s="188" t="s">
        <v>616</v>
      </c>
      <c r="AD86" s="275">
        <v>5157365</v>
      </c>
      <c r="AE86" s="295">
        <f t="shared" si="10"/>
        <v>3.7923486886300983E-2</v>
      </c>
      <c r="AF86" s="275">
        <v>74866.5</v>
      </c>
      <c r="AG86" s="275">
        <v>3950557</v>
      </c>
      <c r="AH86" s="275">
        <v>497649.6</v>
      </c>
      <c r="AI86" s="449">
        <v>55310.409702090918</v>
      </c>
      <c r="AJ86" s="275">
        <f t="shared" si="8"/>
        <v>1144595.8774255225</v>
      </c>
      <c r="AK86" s="295">
        <f t="shared" si="11"/>
        <v>-5.7828461201714365E-4</v>
      </c>
      <c r="AU86" s="296">
        <f t="shared" si="12"/>
        <v>4551381.4721556734</v>
      </c>
      <c r="AV86" s="188" t="s">
        <v>613</v>
      </c>
      <c r="AW86" s="188">
        <v>2019</v>
      </c>
      <c r="AX86" s="295">
        <f t="shared" si="15"/>
        <v>-3.7293757159148622E-2</v>
      </c>
      <c r="AZ86" s="188">
        <v>-3.7293757159148622E-2</v>
      </c>
      <c r="BA86" s="197">
        <f>SUM(AX86:AX89)</f>
        <v>3.4896753136312353E-2</v>
      </c>
    </row>
    <row r="87" spans="1:53" outlineLevel="1" x14ac:dyDescent="0.15">
      <c r="A87" s="585"/>
      <c r="B87" s="188" t="s">
        <v>613</v>
      </c>
      <c r="C87" s="301">
        <v>64421</v>
      </c>
      <c r="D87" s="295">
        <f t="shared" si="7"/>
        <v>5.7798722516871681E-2</v>
      </c>
      <c r="E87" s="188">
        <v>2020</v>
      </c>
      <c r="F87" s="590" t="s">
        <v>614</v>
      </c>
      <c r="H87" s="589">
        <f>C87/(SUM($C$87:$C$90))</f>
        <v>0.25052792047942568</v>
      </c>
      <c r="AB87" s="194">
        <v>2019</v>
      </c>
      <c r="AC87" s="188" t="s">
        <v>626</v>
      </c>
      <c r="AD87" s="275">
        <v>5223895</v>
      </c>
      <c r="AE87" s="295">
        <f t="shared" si="10"/>
        <v>1.2899998351871611E-2</v>
      </c>
      <c r="AF87" s="275">
        <v>76614.98</v>
      </c>
      <c r="AG87" s="275">
        <v>4069664.3</v>
      </c>
      <c r="AH87" s="275">
        <v>496993</v>
      </c>
      <c r="AI87" s="449">
        <v>55852.670353132227</v>
      </c>
      <c r="AJ87" s="275">
        <f t="shared" si="8"/>
        <v>1174781.2375882829</v>
      </c>
      <c r="AK87" s="295">
        <f t="shared" si="11"/>
        <v>2.6372067869626425E-2</v>
      </c>
      <c r="AU87" s="296">
        <f t="shared" si="12"/>
        <v>4719170.6118148677</v>
      </c>
      <c r="AV87" s="188" t="s">
        <v>616</v>
      </c>
      <c r="AW87" s="188">
        <v>2019</v>
      </c>
      <c r="AX87" s="295">
        <f t="shared" si="15"/>
        <v>3.6865540866150237E-2</v>
      </c>
      <c r="AZ87" s="188">
        <v>3.6865540866150237E-2</v>
      </c>
    </row>
    <row r="88" spans="1:53" outlineLevel="1" x14ac:dyDescent="0.15">
      <c r="A88" s="585"/>
      <c r="B88" s="188" t="s">
        <v>616</v>
      </c>
      <c r="C88" s="301">
        <v>62138</v>
      </c>
      <c r="D88" s="295">
        <f t="shared" si="7"/>
        <v>-3.5438754443426812E-2</v>
      </c>
      <c r="E88" s="188">
        <v>2020</v>
      </c>
      <c r="F88" s="590" t="s">
        <v>614</v>
      </c>
      <c r="H88" s="589">
        <f t="shared" ref="H88:H90" si="22">C88/(SUM($C$87:$C$90))</f>
        <v>0.24164952302433296</v>
      </c>
      <c r="AB88" s="194">
        <v>2019</v>
      </c>
      <c r="AC88" s="188" t="s">
        <v>628</v>
      </c>
      <c r="AD88" s="275">
        <v>5341901</v>
      </c>
      <c r="AE88" s="295">
        <f t="shared" si="10"/>
        <v>2.2589657717086542E-2</v>
      </c>
      <c r="AF88" s="275">
        <v>75914.63</v>
      </c>
      <c r="AG88" s="275">
        <v>4077803.7</v>
      </c>
      <c r="AH88" s="275">
        <v>504473.2</v>
      </c>
      <c r="AI88" s="449">
        <v>55741.369335972471</v>
      </c>
      <c r="AJ88" s="275">
        <f t="shared" si="8"/>
        <v>1178483.2248339932</v>
      </c>
      <c r="AK88" s="295">
        <f t="shared" si="11"/>
        <v>3.1512141386511594E-3</v>
      </c>
      <c r="AU88" s="296">
        <f t="shared" si="12"/>
        <v>4781731.7771446407</v>
      </c>
      <c r="AV88" s="188" t="s">
        <v>626</v>
      </c>
      <c r="AW88" s="188">
        <v>2019</v>
      </c>
      <c r="AX88" s="295">
        <f t="shared" si="15"/>
        <v>1.3256813638639287E-2</v>
      </c>
      <c r="AZ88" s="188">
        <v>1.3256813638639287E-2</v>
      </c>
    </row>
    <row r="89" spans="1:53" outlineLevel="1" x14ac:dyDescent="0.15">
      <c r="A89" s="585"/>
      <c r="B89" s="188" t="s">
        <v>626</v>
      </c>
      <c r="C89" s="301">
        <v>65115</v>
      </c>
      <c r="D89" s="295">
        <f t="shared" si="7"/>
        <v>4.7909491776368718E-2</v>
      </c>
      <c r="E89" s="188">
        <v>2020</v>
      </c>
      <c r="F89" s="590" t="s">
        <v>614</v>
      </c>
      <c r="H89" s="589">
        <f t="shared" si="22"/>
        <v>0.25322682886043069</v>
      </c>
      <c r="AB89" s="194">
        <v>2020</v>
      </c>
      <c r="AC89" s="188" t="s">
        <v>613</v>
      </c>
      <c r="AD89" s="275">
        <v>5044763</v>
      </c>
      <c r="AE89" s="295">
        <f t="shared" si="10"/>
        <v>-5.5624018490795679E-2</v>
      </c>
      <c r="AF89" s="275">
        <v>73955.58</v>
      </c>
      <c r="AG89" s="275">
        <v>3967703</v>
      </c>
      <c r="AH89" s="275">
        <v>535735.19999999995</v>
      </c>
      <c r="AI89" s="449">
        <v>54980.053432471846</v>
      </c>
      <c r="AJ89" s="275">
        <f t="shared" si="8"/>
        <v>1158093.4583581181</v>
      </c>
      <c r="AK89" s="295">
        <f t="shared" si="11"/>
        <v>-1.7301702770310845E-2</v>
      </c>
      <c r="AU89" s="296">
        <f t="shared" si="12"/>
        <v>4887255.7789518731</v>
      </c>
      <c r="AV89" s="188" t="s">
        <v>628</v>
      </c>
      <c r="AW89" s="188">
        <v>2019</v>
      </c>
      <c r="AX89" s="295">
        <f t="shared" si="15"/>
        <v>2.2068155790671451E-2</v>
      </c>
      <c r="AZ89" s="188">
        <v>2.2068155790671451E-2</v>
      </c>
    </row>
    <row r="90" spans="1:53" outlineLevel="1" x14ac:dyDescent="0.15">
      <c r="A90" s="585"/>
      <c r="B90" s="188" t="s">
        <v>628</v>
      </c>
      <c r="C90" s="301">
        <v>65467</v>
      </c>
      <c r="D90" s="295">
        <f t="shared" si="7"/>
        <v>5.4058204714735325E-3</v>
      </c>
      <c r="E90" s="188">
        <v>2020</v>
      </c>
      <c r="F90" s="293">
        <f>SUM(C87:C90)</f>
        <v>257141</v>
      </c>
      <c r="G90" s="291">
        <f>(F90/F86)-1</f>
        <v>6.1885982118890848E-2</v>
      </c>
      <c r="H90" s="589">
        <f t="shared" si="22"/>
        <v>0.25459572763581068</v>
      </c>
      <c r="AB90" s="194">
        <v>2020</v>
      </c>
      <c r="AC90" s="188" t="s">
        <v>616</v>
      </c>
      <c r="AD90" s="275">
        <v>4773286</v>
      </c>
      <c r="AE90" s="295">
        <f t="shared" si="10"/>
        <v>-5.381362811295598E-2</v>
      </c>
      <c r="AF90" s="275">
        <v>67285.25</v>
      </c>
      <c r="AG90" s="275">
        <v>3491578.6</v>
      </c>
      <c r="AH90" s="275">
        <v>381362.8</v>
      </c>
      <c r="AI90" s="449">
        <v>46017.595881817426</v>
      </c>
      <c r="AJ90" s="275">
        <f t="shared" si="8"/>
        <v>996561.06147045433</v>
      </c>
      <c r="AK90" s="295">
        <f t="shared" si="11"/>
        <v>-0.13948131363825822</v>
      </c>
      <c r="AU90" s="296">
        <f t="shared" si="12"/>
        <v>4620338.686052707</v>
      </c>
      <c r="AV90" s="188" t="s">
        <v>613</v>
      </c>
      <c r="AW90" s="188">
        <v>2020</v>
      </c>
      <c r="AX90" s="295">
        <f t="shared" si="15"/>
        <v>-5.4614921946321671E-2</v>
      </c>
      <c r="AZ90" s="188">
        <v>-5.4614921946321671E-2</v>
      </c>
      <c r="BA90" s="197">
        <f>SUM(AX90:AX93)</f>
        <v>-4.4731527803653082E-3</v>
      </c>
    </row>
    <row r="91" spans="1:53" outlineLevel="1" x14ac:dyDescent="0.15">
      <c r="A91" s="585"/>
      <c r="B91" s="188" t="s">
        <v>613</v>
      </c>
      <c r="C91" s="301">
        <v>70196</v>
      </c>
      <c r="D91" s="295">
        <f t="shared" si="7"/>
        <v>7.2234866421250432E-2</v>
      </c>
      <c r="E91" s="188">
        <v>2021</v>
      </c>
      <c r="F91" s="590" t="s">
        <v>614</v>
      </c>
      <c r="H91" s="589">
        <f>C91/(SUM($C$91:$C$94))</f>
        <v>0.24407765032319531</v>
      </c>
      <c r="AB91" s="194">
        <v>2020</v>
      </c>
      <c r="AC91" s="188" t="s">
        <v>626</v>
      </c>
      <c r="AD91" s="275">
        <v>5129120</v>
      </c>
      <c r="AE91" s="295">
        <f t="shared" si="10"/>
        <v>7.4546968273009329E-2</v>
      </c>
      <c r="AF91" s="275">
        <v>74297.95</v>
      </c>
      <c r="AG91" s="275">
        <v>3917551.2</v>
      </c>
      <c r="AH91" s="275">
        <v>468542.2</v>
      </c>
      <c r="AI91" s="449">
        <v>50796.6004740024</v>
      </c>
      <c r="AJ91" s="275">
        <f t="shared" si="8"/>
        <v>1127796.9876185008</v>
      </c>
      <c r="AK91" s="295">
        <f t="shared" si="11"/>
        <v>0.13168879582190796</v>
      </c>
      <c r="AU91" s="296">
        <f t="shared" si="12"/>
        <v>4360867.6367125735</v>
      </c>
      <c r="AV91" s="188" t="s">
        <v>616</v>
      </c>
      <c r="AW91" s="188">
        <v>2020</v>
      </c>
      <c r="AX91" s="295">
        <f t="shared" si="15"/>
        <v>-5.6158447891145324E-2</v>
      </c>
      <c r="AZ91" s="188">
        <v>-5.6158447891145324E-2</v>
      </c>
    </row>
    <row r="92" spans="1:53" outlineLevel="1" x14ac:dyDescent="0.15">
      <c r="A92" s="585"/>
      <c r="B92" s="188" t="s">
        <v>616</v>
      </c>
      <c r="C92" s="301">
        <v>71321</v>
      </c>
      <c r="D92" s="295">
        <f t="shared" si="7"/>
        <v>1.6026554219613631E-2</v>
      </c>
      <c r="E92" s="188">
        <v>2021</v>
      </c>
      <c r="F92" s="590" t="s">
        <v>614</v>
      </c>
      <c r="H92" s="589">
        <f t="shared" ref="H92:H94" si="23">C92/(SUM($C$91:$C$94))</f>
        <v>0.2479893740198959</v>
      </c>
      <c r="AB92" s="194">
        <v>2020</v>
      </c>
      <c r="AC92" s="188" t="s">
        <v>628</v>
      </c>
      <c r="AD92" s="275">
        <v>5286905</v>
      </c>
      <c r="AE92" s="295">
        <f t="shared" si="10"/>
        <v>3.0762586954487414E-2</v>
      </c>
      <c r="AF92" s="275">
        <v>75639.649999999994</v>
      </c>
      <c r="AG92" s="275">
        <v>3933221.4</v>
      </c>
      <c r="AH92" s="275">
        <v>512481.2</v>
      </c>
      <c r="AI92" s="449">
        <v>53804.587026129419</v>
      </c>
      <c r="AJ92" s="275">
        <f t="shared" si="8"/>
        <v>1143786.7092565324</v>
      </c>
      <c r="AK92" s="295">
        <f t="shared" si="11"/>
        <v>1.417783680358653E-2</v>
      </c>
      <c r="AU92" s="296">
        <f t="shared" si="12"/>
        <v>4692175.5270479405</v>
      </c>
      <c r="AV92" s="188" t="s">
        <v>626</v>
      </c>
      <c r="AW92" s="188">
        <v>2020</v>
      </c>
      <c r="AX92" s="295">
        <f t="shared" si="15"/>
        <v>7.5972929686332513E-2</v>
      </c>
      <c r="AZ92" s="188">
        <v>7.5972929686332513E-2</v>
      </c>
    </row>
    <row r="93" spans="1:53" outlineLevel="1" x14ac:dyDescent="0.15">
      <c r="A93" s="585"/>
      <c r="B93" s="188" t="s">
        <v>626</v>
      </c>
      <c r="C93" s="301">
        <v>72337</v>
      </c>
      <c r="D93" s="295">
        <f t="shared" si="7"/>
        <v>1.4245453653201734E-2</v>
      </c>
      <c r="E93" s="188">
        <v>2021</v>
      </c>
      <c r="F93" s="590" t="s">
        <v>614</v>
      </c>
      <c r="H93" s="589">
        <f t="shared" si="23"/>
        <v>0.25152209515398283</v>
      </c>
      <c r="AB93" s="194">
        <v>2021</v>
      </c>
      <c r="AC93" s="188" t="s">
        <v>613</v>
      </c>
      <c r="AD93" s="275">
        <v>5116102</v>
      </c>
      <c r="AE93" s="295">
        <f t="shared" si="10"/>
        <v>-3.2306803318765898E-2</v>
      </c>
      <c r="AF93" s="275">
        <v>75223.38</v>
      </c>
      <c r="AG93" s="275">
        <v>3952887.5</v>
      </c>
      <c r="AH93" s="275">
        <v>553809.19999999995</v>
      </c>
      <c r="AI93" s="449">
        <v>55979.664292561545</v>
      </c>
      <c r="AJ93" s="275">
        <f t="shared" si="8"/>
        <v>1159474.9360731405</v>
      </c>
      <c r="AK93" s="295">
        <f t="shared" si="11"/>
        <v>1.3716042239033888E-2</v>
      </c>
      <c r="AU93" s="296">
        <f t="shared" si="12"/>
        <v>4834476.4826508136</v>
      </c>
      <c r="AV93" s="188" t="s">
        <v>628</v>
      </c>
      <c r="AW93" s="188">
        <v>2020</v>
      </c>
      <c r="AX93" s="295">
        <f t="shared" si="15"/>
        <v>3.0327287370769174E-2</v>
      </c>
      <c r="AZ93" s="188">
        <v>3.0327287370769174E-2</v>
      </c>
    </row>
    <row r="94" spans="1:53" outlineLevel="1" x14ac:dyDescent="0.15">
      <c r="A94" s="585"/>
      <c r="B94" s="188" t="s">
        <v>628</v>
      </c>
      <c r="C94" s="301">
        <v>73743</v>
      </c>
      <c r="D94" s="295">
        <f t="shared" si="7"/>
        <v>1.9436802742718085E-2</v>
      </c>
      <c r="E94" s="188">
        <v>2021</v>
      </c>
      <c r="F94" s="293">
        <f>SUM(C91:C94)</f>
        <v>287597</v>
      </c>
      <c r="G94" s="291">
        <f>(F94/F90)-1</f>
        <v>0.11844085540617799</v>
      </c>
      <c r="H94" s="589">
        <f t="shared" si="23"/>
        <v>0.25641088050292599</v>
      </c>
      <c r="AB94" s="194">
        <v>2021</v>
      </c>
      <c r="AC94" s="188" t="s">
        <v>616</v>
      </c>
      <c r="AD94" s="275">
        <v>5337036</v>
      </c>
      <c r="AE94" s="295">
        <f t="shared" si="10"/>
        <v>4.3184049106135936E-2</v>
      </c>
      <c r="AF94" s="275">
        <v>75638.98</v>
      </c>
      <c r="AG94" s="275">
        <v>4059615.5</v>
      </c>
      <c r="AH94" s="275">
        <v>463547</v>
      </c>
      <c r="AI94" s="449">
        <v>54779.483159096322</v>
      </c>
      <c r="AJ94" s="275">
        <f t="shared" si="8"/>
        <v>1163395.2407897741</v>
      </c>
      <c r="AK94" s="295">
        <f t="shared" si="11"/>
        <v>3.3811034587005739E-3</v>
      </c>
      <c r="AU94" s="296">
        <f t="shared" si="12"/>
        <v>4684038.324619187</v>
      </c>
      <c r="AV94" s="188" t="s">
        <v>613</v>
      </c>
      <c r="AW94" s="188">
        <v>2021</v>
      </c>
      <c r="AX94" s="295">
        <f t="shared" si="15"/>
        <v>-3.1117776365547467E-2</v>
      </c>
      <c r="AZ94" s="188">
        <v>-3.1117776365547467E-2</v>
      </c>
      <c r="BA94" s="197">
        <f>SUM(AX94:AX97)</f>
        <v>5.4044817874364881E-2</v>
      </c>
    </row>
    <row r="95" spans="1:53" outlineLevel="1" x14ac:dyDescent="0.15">
      <c r="A95" s="585"/>
      <c r="B95" s="188" t="s">
        <v>613</v>
      </c>
      <c r="C95" s="301">
        <v>80149</v>
      </c>
      <c r="D95" s="295">
        <f t="shared" si="7"/>
        <v>8.6869262167256656E-2</v>
      </c>
      <c r="E95" s="188">
        <v>2022</v>
      </c>
      <c r="F95" s="590" t="s">
        <v>614</v>
      </c>
      <c r="H95" s="589">
        <f>C95/(SUM($C$95:$C$98))</f>
        <v>0.24724983187418637</v>
      </c>
      <c r="AB95" s="194">
        <v>2021</v>
      </c>
      <c r="AC95" s="188" t="s">
        <v>626</v>
      </c>
      <c r="AD95" s="275">
        <v>5386212</v>
      </c>
      <c r="AE95" s="295">
        <f t="shared" si="10"/>
        <v>9.2141031089165715E-3</v>
      </c>
      <c r="AF95" s="275">
        <v>77590.03</v>
      </c>
      <c r="AG95" s="275">
        <v>4148927</v>
      </c>
      <c r="AH95" s="275">
        <v>511232.4</v>
      </c>
      <c r="AI95" s="449">
        <v>57731.199966776767</v>
      </c>
      <c r="AJ95" s="275">
        <f t="shared" si="8"/>
        <v>1198870.1574916944</v>
      </c>
      <c r="AK95" s="295">
        <f t="shared" si="11"/>
        <v>3.0492575058015614E-2</v>
      </c>
      <c r="AU95" s="296">
        <f t="shared" si="12"/>
        <v>4881274.4290942438</v>
      </c>
      <c r="AV95" s="188" t="s">
        <v>616</v>
      </c>
      <c r="AW95" s="188">
        <v>2021</v>
      </c>
      <c r="AX95" s="295">
        <f t="shared" si="15"/>
        <v>4.2108132087303574E-2</v>
      </c>
      <c r="AZ95" s="188">
        <v>4.2108132087303574E-2</v>
      </c>
    </row>
    <row r="96" spans="1:53" outlineLevel="1" x14ac:dyDescent="0.15">
      <c r="A96" s="585"/>
      <c r="B96" s="188" t="s">
        <v>616</v>
      </c>
      <c r="C96" s="301">
        <v>80332</v>
      </c>
      <c r="D96" s="295">
        <f t="shared" si="7"/>
        <v>2.2832474516214507E-3</v>
      </c>
      <c r="E96" s="188">
        <v>2022</v>
      </c>
      <c r="F96" s="590" t="s">
        <v>614</v>
      </c>
      <c r="H96" s="589">
        <f t="shared" ref="H96:H98" si="24">C96/(SUM($C$95:$C$98))</f>
        <v>0.24781436442272692</v>
      </c>
      <c r="AB96" s="194">
        <v>2021</v>
      </c>
      <c r="AC96" s="188" t="s">
        <v>628</v>
      </c>
      <c r="AD96" s="275">
        <v>5568342</v>
      </c>
      <c r="AE96" s="295">
        <f t="shared" si="10"/>
        <v>3.3814116488545265E-2</v>
      </c>
      <c r="AF96" s="275">
        <v>77252.53</v>
      </c>
      <c r="AG96" s="275">
        <v>4186267.3</v>
      </c>
      <c r="AH96" s="275">
        <v>539107.80000000005</v>
      </c>
      <c r="AI96" s="449">
        <v>59757.654614121486</v>
      </c>
      <c r="AJ96" s="275">
        <f t="shared" si="8"/>
        <v>1215596.3211535304</v>
      </c>
      <c r="AK96" s="295">
        <f t="shared" si="11"/>
        <v>1.3951605649131116E-2</v>
      </c>
      <c r="AU96" s="296">
        <f t="shared" si="12"/>
        <v>4928954.2707980927</v>
      </c>
      <c r="AV96" s="188" t="s">
        <v>626</v>
      </c>
      <c r="AW96" s="188">
        <v>2021</v>
      </c>
      <c r="AX96" s="295">
        <f t="shared" si="15"/>
        <v>9.7679084420370099E-3</v>
      </c>
      <c r="AZ96" s="188">
        <v>9.7679084420370099E-3</v>
      </c>
    </row>
    <row r="97" spans="1:53" outlineLevel="1" x14ac:dyDescent="0.15">
      <c r="A97" s="585"/>
      <c r="B97" s="188" t="s">
        <v>626</v>
      </c>
      <c r="C97" s="301">
        <v>80894</v>
      </c>
      <c r="D97" s="295">
        <f t="shared" si="7"/>
        <v>6.9959667380370405E-3</v>
      </c>
      <c r="E97" s="188">
        <v>2022</v>
      </c>
      <c r="F97" s="590" t="s">
        <v>614</v>
      </c>
      <c r="H97" s="589">
        <f t="shared" si="24"/>
        <v>0.24954806547343611</v>
      </c>
      <c r="AB97" s="194">
        <v>2022</v>
      </c>
      <c r="AC97" s="188" t="s">
        <v>613</v>
      </c>
      <c r="AD97" s="275">
        <v>5303774</v>
      </c>
      <c r="AE97" s="295">
        <f t="shared" si="10"/>
        <v>-4.751288624154193E-2</v>
      </c>
      <c r="AF97" s="275">
        <v>77049.03</v>
      </c>
      <c r="AG97" s="275">
        <v>4215571.2</v>
      </c>
      <c r="AH97" s="275">
        <v>575730.4</v>
      </c>
      <c r="AI97" s="449">
        <v>60475.560124708893</v>
      </c>
      <c r="AJ97" s="275">
        <f t="shared" si="8"/>
        <v>1232206.5475311775</v>
      </c>
      <c r="AK97" s="295">
        <f t="shared" si="11"/>
        <v>1.3664261801882516E-2</v>
      </c>
      <c r="AU97" s="296">
        <f t="shared" si="12"/>
        <v>5093022.1718699653</v>
      </c>
      <c r="AV97" s="188" t="s">
        <v>628</v>
      </c>
      <c r="AW97" s="188">
        <v>2021</v>
      </c>
      <c r="AX97" s="295">
        <f t="shared" si="15"/>
        <v>3.3286553710571765E-2</v>
      </c>
      <c r="AZ97" s="188">
        <v>3.3286553710571765E-2</v>
      </c>
      <c r="BA97" s="197"/>
    </row>
    <row r="98" spans="1:53" outlineLevel="1" x14ac:dyDescent="0.15">
      <c r="A98" s="585"/>
      <c r="B98" s="188" t="s">
        <v>628</v>
      </c>
      <c r="C98" s="301">
        <v>82787</v>
      </c>
      <c r="D98" s="295">
        <f t="shared" si="7"/>
        <v>2.3400993893242905E-2</v>
      </c>
      <c r="E98" s="188">
        <v>2022</v>
      </c>
      <c r="F98" s="293">
        <f>SUM(C95:C98)</f>
        <v>324162</v>
      </c>
      <c r="G98" s="291">
        <f>(F98/F94)-1</f>
        <v>0.12713971286209524</v>
      </c>
      <c r="H98" s="589">
        <f t="shared" si="24"/>
        <v>0.25538773822965061</v>
      </c>
      <c r="AB98" s="194">
        <v>2022</v>
      </c>
      <c r="AC98" s="188" t="s">
        <v>616</v>
      </c>
      <c r="AD98" s="275">
        <v>5434749</v>
      </c>
      <c r="AE98" s="295">
        <f t="shared" si="10"/>
        <v>2.4694679675265174E-2</v>
      </c>
      <c r="AF98" s="275">
        <v>78426.45</v>
      </c>
      <c r="AG98" s="275">
        <v>4245080.2</v>
      </c>
      <c r="AH98" s="275">
        <v>524200.6</v>
      </c>
      <c r="AI98" s="449">
        <v>61436.152423870211</v>
      </c>
      <c r="AJ98" s="275">
        <f t="shared" si="8"/>
        <v>1227285.8506059675</v>
      </c>
      <c r="AK98" s="295">
        <f t="shared" si="11"/>
        <v>-3.993402676742086E-3</v>
      </c>
      <c r="AU98" s="296">
        <f t="shared" si="12"/>
        <v>4859158.834190405</v>
      </c>
      <c r="AV98" s="188" t="s">
        <v>613</v>
      </c>
      <c r="AW98" s="188">
        <v>2022</v>
      </c>
      <c r="AX98" s="295">
        <f t="shared" si="15"/>
        <v>-4.5918382011224335E-2</v>
      </c>
      <c r="AZ98" s="188">
        <v>-4.5918382011224335E-2</v>
      </c>
      <c r="BA98" s="197">
        <f>SUM(AX98:AX101)</f>
        <v>7.0603335180796645E-3</v>
      </c>
    </row>
    <row r="99" spans="1:53" outlineLevel="1" x14ac:dyDescent="0.15">
      <c r="A99" s="585"/>
      <c r="B99" s="188" t="s">
        <v>613</v>
      </c>
      <c r="C99" s="301">
        <v>91931</v>
      </c>
      <c r="D99" s="295">
        <f t="shared" si="7"/>
        <v>0.11045212412576855</v>
      </c>
      <c r="E99" s="188">
        <v>2023</v>
      </c>
      <c r="F99" s="188" t="s">
        <v>630</v>
      </c>
      <c r="H99" s="188" t="s">
        <v>67</v>
      </c>
      <c r="AB99" s="194">
        <v>2022</v>
      </c>
      <c r="AC99" s="188" t="s">
        <v>626</v>
      </c>
      <c r="AD99" s="275">
        <v>5487022</v>
      </c>
      <c r="AE99" s="295">
        <f t="shared" si="10"/>
        <v>9.6182914795144292E-3</v>
      </c>
      <c r="AF99" s="275">
        <v>80367.100000000006</v>
      </c>
      <c r="AG99" s="275">
        <v>4262060.5</v>
      </c>
      <c r="AH99" s="275">
        <v>542920</v>
      </c>
      <c r="AI99" s="449">
        <v>61964.11296918791</v>
      </c>
      <c r="AJ99" s="275">
        <f t="shared" si="8"/>
        <v>1236827.9282422969</v>
      </c>
      <c r="AK99" s="295">
        <f t="shared" si="11"/>
        <v>7.7749430840565736E-3</v>
      </c>
      <c r="AU99" s="296">
        <f t="shared" si="12"/>
        <v>4975294.0240861718</v>
      </c>
      <c r="AV99" s="188" t="s">
        <v>616</v>
      </c>
      <c r="AW99" s="188">
        <v>2022</v>
      </c>
      <c r="AX99" s="295">
        <f t="shared" si="15"/>
        <v>2.3900266251559277E-2</v>
      </c>
      <c r="AZ99" s="188">
        <v>2.3900266251559277E-2</v>
      </c>
    </row>
    <row r="100" spans="1:53" outlineLevel="1" x14ac:dyDescent="0.15">
      <c r="A100" s="585"/>
      <c r="B100" s="188" t="s">
        <v>616</v>
      </c>
      <c r="C100" s="301">
        <v>92903</v>
      </c>
      <c r="D100" s="295">
        <f t="shared" si="7"/>
        <v>1.0573147251743187E-2</v>
      </c>
      <c r="E100" s="188">
        <v>2023</v>
      </c>
      <c r="F100" s="188" t="s">
        <v>630</v>
      </c>
      <c r="H100" s="188" t="s">
        <v>67</v>
      </c>
      <c r="I100" s="1264" t="s">
        <v>631</v>
      </c>
      <c r="J100" s="1265"/>
      <c r="K100" s="1265"/>
      <c r="L100" s="1266"/>
      <c r="AB100" s="194">
        <v>2022</v>
      </c>
      <c r="AC100" s="188" t="s">
        <v>628</v>
      </c>
      <c r="AD100" s="275">
        <v>5596492</v>
      </c>
      <c r="AE100" s="295">
        <f t="shared" si="10"/>
        <v>1.9950712791018566E-2</v>
      </c>
      <c r="AF100" s="275">
        <v>78729.38</v>
      </c>
      <c r="AG100" s="275">
        <v>4262060.5</v>
      </c>
      <c r="AH100" s="275">
        <v>563168.19999999995</v>
      </c>
      <c r="AI100" s="449">
        <v>60935.136290784314</v>
      </c>
      <c r="AJ100" s="275">
        <f t="shared" si="8"/>
        <v>1241223.304072696</v>
      </c>
      <c r="AK100" s="295">
        <f t="shared" si="11"/>
        <v>3.5537488522316973E-3</v>
      </c>
      <c r="AU100" s="296">
        <f t="shared" si="12"/>
        <v>5022900.8073640596</v>
      </c>
      <c r="AV100" s="188" t="s">
        <v>626</v>
      </c>
      <c r="AW100" s="188">
        <v>2022</v>
      </c>
      <c r="AX100" s="295">
        <f t="shared" si="15"/>
        <v>9.5686371594152497E-3</v>
      </c>
      <c r="AZ100" s="188">
        <v>9.5686371594152497E-3</v>
      </c>
    </row>
    <row r="101" spans="1:53" outlineLevel="1" x14ac:dyDescent="0.15">
      <c r="A101" s="585"/>
      <c r="B101" s="188" t="s">
        <v>626</v>
      </c>
      <c r="C101" s="301">
        <v>92361</v>
      </c>
      <c r="D101" s="295">
        <f t="shared" si="7"/>
        <v>-5.8340419577408431E-3</v>
      </c>
      <c r="E101" s="188">
        <v>2023</v>
      </c>
      <c r="F101" s="188" t="s">
        <v>632</v>
      </c>
      <c r="H101" s="188" t="s">
        <v>67</v>
      </c>
      <c r="I101" s="1267" t="s">
        <v>633</v>
      </c>
      <c r="J101" s="1268"/>
      <c r="K101" s="1269"/>
      <c r="L101" s="594">
        <v>0.89080000000000004</v>
      </c>
      <c r="AB101" s="194"/>
      <c r="AD101" s="275"/>
      <c r="AE101" s="275"/>
      <c r="AF101" s="275"/>
      <c r="AG101" s="275"/>
      <c r="AI101" s="293"/>
      <c r="AJ101" s="293"/>
      <c r="AU101" s="296">
        <f t="shared" si="12"/>
        <v>5120896.6584047377</v>
      </c>
      <c r="AV101" s="188" t="s">
        <v>628</v>
      </c>
      <c r="AW101" s="188">
        <v>2022</v>
      </c>
      <c r="AX101" s="295">
        <f t="shared" si="15"/>
        <v>1.9509812118329473E-2</v>
      </c>
      <c r="AZ101" s="188">
        <v>1.9509812118329473E-2</v>
      </c>
    </row>
    <row r="102" spans="1:53" outlineLevel="1" x14ac:dyDescent="0.15">
      <c r="A102" s="585"/>
      <c r="G102" s="197">
        <f>AVERAGE(G98,G94,G90,G86,G82,G78,G74,G70,G66,G63)</f>
        <v>0.11439362744010768</v>
      </c>
      <c r="I102" s="1267" t="s">
        <v>187</v>
      </c>
      <c r="J102" s="1268"/>
      <c r="K102" s="1269"/>
      <c r="L102" s="594">
        <v>0.10920000000000001</v>
      </c>
      <c r="AB102" s="194"/>
      <c r="AD102" s="275"/>
      <c r="AE102" s="275"/>
      <c r="AF102" s="275"/>
      <c r="AG102" s="275"/>
    </row>
    <row r="103" spans="1:53" hidden="1" outlineLevel="2" x14ac:dyDescent="0.15">
      <c r="A103" s="585"/>
      <c r="AB103" s="194"/>
      <c r="AD103" s="275"/>
      <c r="AE103" s="595"/>
      <c r="AF103" s="595"/>
      <c r="AG103" s="595"/>
    </row>
    <row r="104" spans="1:53" hidden="1" outlineLevel="2" x14ac:dyDescent="0.15">
      <c r="A104" s="585"/>
    </row>
    <row r="105" spans="1:53" hidden="1" outlineLevel="2" x14ac:dyDescent="0.15">
      <c r="A105" s="585"/>
    </row>
    <row r="106" spans="1:53" hidden="1" outlineLevel="2" x14ac:dyDescent="0.15">
      <c r="A106" s="585"/>
      <c r="M106" s="188" t="s">
        <v>634</v>
      </c>
      <c r="N106" s="188" t="s">
        <v>635</v>
      </c>
      <c r="P106" s="188" t="s">
        <v>123</v>
      </c>
      <c r="Q106" s="1262" t="s">
        <v>636</v>
      </c>
      <c r="R106" s="1262" t="s">
        <v>618</v>
      </c>
    </row>
    <row r="107" spans="1:53" hidden="1" outlineLevel="2" x14ac:dyDescent="0.15">
      <c r="A107" s="585"/>
      <c r="M107" s="295">
        <v>1.4811370982711125E-2</v>
      </c>
      <c r="N107" s="295">
        <v>-6.2312147203280599E-4</v>
      </c>
      <c r="Q107" s="1262"/>
      <c r="R107" s="1262"/>
      <c r="S107" s="298" t="s">
        <v>637</v>
      </c>
      <c r="V107" s="298" t="s">
        <v>638</v>
      </c>
      <c r="W107" s="298" t="s">
        <v>639</v>
      </c>
      <c r="X107" s="298" t="s">
        <v>640</v>
      </c>
      <c r="Y107" s="188" t="s">
        <v>641</v>
      </c>
      <c r="Z107" s="188" t="s">
        <v>642</v>
      </c>
      <c r="AA107" s="188" t="s">
        <v>643</v>
      </c>
      <c r="AC107" s="298"/>
      <c r="AE107" s="298"/>
    </row>
    <row r="108" spans="1:53" hidden="1" outlineLevel="2" x14ac:dyDescent="0.15">
      <c r="A108" s="585"/>
      <c r="M108" s="295">
        <v>7.6219320376769151E-3</v>
      </c>
      <c r="N108" s="295">
        <v>1.3570511644966921E-3</v>
      </c>
      <c r="P108" s="294">
        <v>2012</v>
      </c>
      <c r="Q108" s="299">
        <v>2783.3</v>
      </c>
      <c r="R108" s="300">
        <v>162.4</v>
      </c>
      <c r="S108" s="302">
        <v>110.61799999999999</v>
      </c>
      <c r="T108" s="301">
        <f>SUM(Q108:R108)</f>
        <v>2945.7000000000003</v>
      </c>
      <c r="Y108" s="582">
        <f t="shared" ref="Y108:Y118" si="25">LN(S108)</f>
        <v>4.7060828244898723</v>
      </c>
      <c r="Z108" s="582" cm="1">
        <f t="array" ref="Z108:Z118">LN(Q108:Q118)</f>
        <v>7.9313925530571741</v>
      </c>
      <c r="AA108" s="582" cm="1">
        <f t="array" ref="AA108:AA118">LN(R108:R118)</f>
        <v>5.0900624277275774</v>
      </c>
      <c r="AB108" s="301"/>
      <c r="AC108" s="302"/>
      <c r="AE108" s="298"/>
    </row>
    <row r="109" spans="1:53" hidden="1" outlineLevel="2" x14ac:dyDescent="0.15">
      <c r="A109" s="585"/>
      <c r="M109" s="295">
        <v>1.3080281332481958E-2</v>
      </c>
      <c r="N109" s="295">
        <v>5.3732327302029148E-2</v>
      </c>
      <c r="P109" s="294">
        <v>2013</v>
      </c>
      <c r="Q109" s="299">
        <v>2856.6</v>
      </c>
      <c r="R109" s="300">
        <v>169.3</v>
      </c>
      <c r="S109" s="302">
        <v>122.489</v>
      </c>
      <c r="T109" s="301">
        <f t="shared" ref="T109:T118" si="26">SUM(Q109:R109)</f>
        <v>3025.9</v>
      </c>
      <c r="V109" s="589">
        <v>2.6335644738260333E-2</v>
      </c>
      <c r="W109" s="589">
        <v>4.2487684729064057E-2</v>
      </c>
      <c r="X109" s="589">
        <v>0.10731526514672107</v>
      </c>
      <c r="Y109" s="582">
        <f t="shared" si="25"/>
        <v>4.8080212300345195</v>
      </c>
      <c r="Z109" s="582">
        <v>7.957387385428528</v>
      </c>
      <c r="AA109" s="582">
        <v>5.1316722891390896</v>
      </c>
      <c r="AB109" s="301"/>
      <c r="AC109" s="302"/>
      <c r="AD109" s="197"/>
    </row>
    <row r="110" spans="1:53" hidden="1" outlineLevel="2" x14ac:dyDescent="0.15">
      <c r="A110" s="585"/>
      <c r="M110" s="295">
        <v>-2.5591180487394838E-2</v>
      </c>
      <c r="N110" s="295">
        <v>5.4607389898849501E-2</v>
      </c>
      <c r="P110" s="294">
        <v>2014</v>
      </c>
      <c r="Q110" s="299">
        <v>3002.6</v>
      </c>
      <c r="R110" s="300">
        <v>189.7</v>
      </c>
      <c r="S110" s="302">
        <v>130.47399999999999</v>
      </c>
      <c r="T110" s="301">
        <f t="shared" si="26"/>
        <v>3192.2999999999997</v>
      </c>
      <c r="V110" s="589">
        <v>5.1109710845060663E-2</v>
      </c>
      <c r="W110" s="589">
        <v>0.12049616066154734</v>
      </c>
      <c r="X110" s="589">
        <v>6.518952722285265E-2</v>
      </c>
      <c r="Y110" s="582">
        <f t="shared" si="25"/>
        <v>4.8711739731965995</v>
      </c>
      <c r="Z110" s="582">
        <v>8.0072338589782053</v>
      </c>
      <c r="AA110" s="582">
        <v>5.2454438769409686</v>
      </c>
      <c r="AB110" s="301"/>
      <c r="AC110" s="302"/>
      <c r="AD110" s="197"/>
      <c r="AE110" s="589"/>
    </row>
    <row r="111" spans="1:53" hidden="1" outlineLevel="2" x14ac:dyDescent="0.15">
      <c r="A111" s="585"/>
      <c r="M111" s="295">
        <v>2.222999778698509E-2</v>
      </c>
      <c r="N111" s="295">
        <v>2.2412656558998822E-3</v>
      </c>
      <c r="P111" s="294">
        <v>2015</v>
      </c>
      <c r="Q111" s="299">
        <v>3165.4</v>
      </c>
      <c r="R111" s="300">
        <v>200.7</v>
      </c>
      <c r="S111" s="302">
        <v>157.107</v>
      </c>
      <c r="T111" s="301">
        <f t="shared" si="26"/>
        <v>3366.1</v>
      </c>
      <c r="V111" s="589">
        <v>5.4219676280556905E-2</v>
      </c>
      <c r="W111" s="589">
        <v>5.7986294148655748E-2</v>
      </c>
      <c r="X111" s="589">
        <v>0.20412495976209821</v>
      </c>
      <c r="Y111" s="582">
        <f t="shared" si="25"/>
        <v>5.0569271018755346</v>
      </c>
      <c r="Z111" s="582">
        <v>8.0600347088991828</v>
      </c>
      <c r="AA111" s="582">
        <v>5.3018112558022921</v>
      </c>
      <c r="AB111" s="301"/>
      <c r="AC111" s="302"/>
      <c r="AD111" s="197"/>
      <c r="AE111" s="589"/>
    </row>
    <row r="112" spans="1:53" hidden="1" outlineLevel="2" x14ac:dyDescent="0.15">
      <c r="A112" s="585"/>
      <c r="M112" s="295">
        <v>1.5607346307222825E-2</v>
      </c>
      <c r="N112" s="295">
        <v>7.1033938437252697E-3</v>
      </c>
      <c r="P112" s="294">
        <v>2016</v>
      </c>
      <c r="Q112" s="299">
        <v>3307.4</v>
      </c>
      <c r="R112" s="300">
        <v>211.5</v>
      </c>
      <c r="S112" s="302">
        <v>184.84</v>
      </c>
      <c r="T112" s="301">
        <f t="shared" si="26"/>
        <v>3518.9</v>
      </c>
      <c r="V112" s="589">
        <v>4.4860049282871017E-2</v>
      </c>
      <c r="W112" s="589">
        <v>5.3811659192825267E-2</v>
      </c>
      <c r="X112" s="589">
        <v>0.1765230066133272</v>
      </c>
      <c r="Y112" s="582">
        <f t="shared" si="25"/>
        <v>5.2194905860020659</v>
      </c>
      <c r="Z112" s="582">
        <v>8.1039176612160961</v>
      </c>
      <c r="AA112" s="582">
        <v>5.354224998486333</v>
      </c>
      <c r="AB112" s="301"/>
      <c r="AC112" s="302"/>
      <c r="AD112" s="197"/>
      <c r="AE112" s="589"/>
    </row>
    <row r="113" spans="1:31" hidden="1" outlineLevel="2" x14ac:dyDescent="0.15">
      <c r="A113" s="585"/>
      <c r="M113" s="295">
        <v>2.0763729355558036E-2</v>
      </c>
      <c r="N113" s="295">
        <v>1.6098484848484862E-2</v>
      </c>
      <c r="P113" s="294">
        <v>2017</v>
      </c>
      <c r="Q113" s="299">
        <v>3446.5</v>
      </c>
      <c r="R113" s="300">
        <v>222.6</v>
      </c>
      <c r="S113" s="302">
        <v>201.15899999999999</v>
      </c>
      <c r="T113" s="301">
        <f t="shared" si="26"/>
        <v>3669.1</v>
      </c>
      <c r="V113" s="589">
        <v>4.2057205055330504E-2</v>
      </c>
      <c r="W113" s="589">
        <v>5.2482269503546064E-2</v>
      </c>
      <c r="X113" s="589">
        <v>8.8287167279809564E-2</v>
      </c>
      <c r="Y113" s="582">
        <f t="shared" si="25"/>
        <v>5.3040956401241779</v>
      </c>
      <c r="Z113" s="582">
        <v>8.1451145023257059</v>
      </c>
      <c r="AA113" s="582">
        <v>5.4053764388414445</v>
      </c>
      <c r="AB113" s="301"/>
      <c r="AC113" s="302"/>
      <c r="AD113" s="197"/>
      <c r="AE113" s="589"/>
    </row>
    <row r="114" spans="1:31" hidden="1" outlineLevel="2" x14ac:dyDescent="0.15">
      <c r="A114" s="585"/>
      <c r="M114" s="295">
        <v>-3.8255216235410616E-2</v>
      </c>
      <c r="N114" s="295">
        <v>1.8992833499373418E-2</v>
      </c>
      <c r="P114" s="294">
        <v>2018</v>
      </c>
      <c r="Q114" s="299">
        <v>3604.4</v>
      </c>
      <c r="R114" s="300">
        <v>249</v>
      </c>
      <c r="S114" s="302">
        <v>226.24700000000001</v>
      </c>
      <c r="T114" s="301">
        <f t="shared" si="26"/>
        <v>3853.4</v>
      </c>
      <c r="V114" s="589">
        <v>4.5814594516175866E-2</v>
      </c>
      <c r="W114" s="589">
        <v>0.11859838274932621</v>
      </c>
      <c r="X114" s="589">
        <v>0.1247172634582594</v>
      </c>
      <c r="Y114" s="582">
        <f t="shared" si="25"/>
        <v>5.4216273228236167</v>
      </c>
      <c r="Z114" s="582">
        <v>8.1899106003608821</v>
      </c>
      <c r="AA114" s="582">
        <v>5.5174528964647074</v>
      </c>
      <c r="AB114" s="301"/>
      <c r="AC114" s="302"/>
      <c r="AD114" s="197"/>
      <c r="AE114" s="589"/>
    </row>
    <row r="115" spans="1:31" hidden="1" outlineLevel="2" x14ac:dyDescent="0.15">
      <c r="A115" s="585"/>
      <c r="M115" s="295">
        <v>2.8591876076733636E-2</v>
      </c>
      <c r="N115" s="295">
        <v>2.7311719439889082E-2</v>
      </c>
      <c r="P115" s="294">
        <v>2019</v>
      </c>
      <c r="Q115" s="299">
        <v>3757.4</v>
      </c>
      <c r="R115" s="300">
        <v>235.6</v>
      </c>
      <c r="S115" s="302">
        <v>242.155</v>
      </c>
      <c r="T115" s="301">
        <f t="shared" si="26"/>
        <v>3993</v>
      </c>
      <c r="V115" s="589">
        <v>4.2448118965708659E-2</v>
      </c>
      <c r="W115" s="589">
        <v>-5.3815261044176776E-2</v>
      </c>
      <c r="X115" s="589">
        <v>7.0312534530844628E-2</v>
      </c>
      <c r="Y115" s="582">
        <f t="shared" si="25"/>
        <v>5.4895780169945194</v>
      </c>
      <c r="Z115" s="582">
        <v>8.2314825078331992</v>
      </c>
      <c r="AA115" s="582">
        <v>5.4621354517774314</v>
      </c>
      <c r="AB115" s="301"/>
      <c r="AC115" s="302"/>
      <c r="AD115" s="197"/>
      <c r="AE115" s="589"/>
    </row>
    <row r="116" spans="1:31" hidden="1" outlineLevel="2" x14ac:dyDescent="0.15">
      <c r="A116" s="585"/>
      <c r="M116" s="295">
        <v>1.8894502794700063E-2</v>
      </c>
      <c r="N116" s="295">
        <v>5.6793761895990169E-3</v>
      </c>
      <c r="P116" s="294">
        <v>2020</v>
      </c>
      <c r="Q116" s="299">
        <v>4144.1000000000004</v>
      </c>
      <c r="R116" s="300">
        <v>296.8</v>
      </c>
      <c r="S116" s="302">
        <v>257.14100000000002</v>
      </c>
      <c r="T116" s="301">
        <f t="shared" si="26"/>
        <v>4440.9000000000005</v>
      </c>
      <c r="V116" s="589">
        <v>0.10291691062969077</v>
      </c>
      <c r="W116" s="589">
        <v>0.25976230899830233</v>
      </c>
      <c r="X116" s="589">
        <v>6.1885982118890848E-2</v>
      </c>
      <c r="Y116" s="582">
        <f t="shared" si="25"/>
        <v>5.5496245725806403</v>
      </c>
      <c r="Z116" s="582">
        <v>8.3294409149222961</v>
      </c>
      <c r="AA116" s="582">
        <v>5.6930585112932253</v>
      </c>
      <c r="AB116" s="301"/>
      <c r="AC116" s="302"/>
      <c r="AD116" s="197"/>
      <c r="AE116" s="589"/>
    </row>
    <row r="117" spans="1:31" hidden="1" outlineLevel="2" x14ac:dyDescent="0.15">
      <c r="A117" s="585"/>
      <c r="M117" s="295">
        <v>1.8705383061072833E-2</v>
      </c>
      <c r="N117" s="295">
        <v>2.0574498611068748E-2</v>
      </c>
      <c r="P117" s="294">
        <v>2021</v>
      </c>
      <c r="Q117" s="299">
        <v>4255.1000000000004</v>
      </c>
      <c r="R117" s="300">
        <v>255.7</v>
      </c>
      <c r="S117" s="302">
        <v>287.59699999999998</v>
      </c>
      <c r="T117" s="301">
        <f t="shared" si="26"/>
        <v>4510.8</v>
      </c>
      <c r="V117" s="589">
        <v>2.6785067927897588E-2</v>
      </c>
      <c r="W117" s="589">
        <v>-0.13847708894878719</v>
      </c>
      <c r="X117" s="589">
        <v>0.11844085540617799</v>
      </c>
      <c r="Y117" s="582">
        <f t="shared" si="25"/>
        <v>5.6615601946381053</v>
      </c>
      <c r="Z117" s="582">
        <v>8.3558735424939439</v>
      </c>
      <c r="AA117" s="582">
        <v>5.5440048822971413</v>
      </c>
      <c r="AB117" s="301"/>
      <c r="AC117" s="302"/>
      <c r="AD117" s="197"/>
      <c r="AE117" s="589"/>
    </row>
    <row r="118" spans="1:31" hidden="1" outlineLevel="2" x14ac:dyDescent="0.15">
      <c r="A118" s="585"/>
      <c r="M118" s="295">
        <v>-2.9744034102694106E-2</v>
      </c>
      <c r="N118" s="295">
        <v>6.9482248078245989E-2</v>
      </c>
      <c r="P118" s="294">
        <v>2022</v>
      </c>
      <c r="Q118" s="299">
        <v>4400</v>
      </c>
      <c r="R118" s="300">
        <v>264</v>
      </c>
      <c r="S118" s="302">
        <v>324.16199999999998</v>
      </c>
      <c r="T118" s="301">
        <f t="shared" si="26"/>
        <v>4664</v>
      </c>
      <c r="V118" s="589">
        <v>3.4053253742567735E-2</v>
      </c>
      <c r="W118" s="589">
        <v>3.2459913961673914E-2</v>
      </c>
      <c r="X118" s="589">
        <v>0.12713971286209524</v>
      </c>
      <c r="Y118" s="582">
        <f t="shared" si="25"/>
        <v>5.7812433908339802</v>
      </c>
      <c r="Z118" s="582">
        <v>8.3893598199063533</v>
      </c>
      <c r="AA118" s="582">
        <v>5.575949103146316</v>
      </c>
      <c r="AB118" s="301"/>
      <c r="AC118" s="302"/>
      <c r="AD118" s="197"/>
      <c r="AE118" s="589"/>
    </row>
    <row r="119" spans="1:31" hidden="1" outlineLevel="2" x14ac:dyDescent="0.15">
      <c r="A119" s="585"/>
      <c r="M119" s="295">
        <v>2.8765864973224531E-2</v>
      </c>
      <c r="N119" s="295">
        <v>1.4179438415930168E-2</v>
      </c>
      <c r="AA119" s="197"/>
      <c r="AD119" s="197"/>
      <c r="AE119" s="589"/>
    </row>
    <row r="120" spans="1:31" hidden="1" outlineLevel="2" x14ac:dyDescent="0.15">
      <c r="A120" s="585"/>
      <c r="M120" s="295">
        <v>1.002154851914816E-2</v>
      </c>
      <c r="N120" s="295">
        <v>0.14411383503846897</v>
      </c>
    </row>
    <row r="121" spans="1:31" hidden="1" outlineLevel="2" x14ac:dyDescent="0.15">
      <c r="A121" s="585"/>
      <c r="M121" s="295">
        <v>1.0922712449400018E-2</v>
      </c>
      <c r="N121" s="295">
        <v>5.0856853623852061E-2</v>
      </c>
    </row>
    <row r="122" spans="1:31" hidden="1" outlineLevel="2" x14ac:dyDescent="0.15">
      <c r="A122" s="585"/>
      <c r="M122" s="295">
        <v>-3.1107255193912442E-2</v>
      </c>
      <c r="N122" s="295">
        <v>2.1284891855317678E-2</v>
      </c>
      <c r="Q122" s="301"/>
    </row>
    <row r="123" spans="1:31" hidden="1" outlineLevel="2" x14ac:dyDescent="0.15">
      <c r="A123" s="585"/>
      <c r="M123" s="295">
        <v>2.6354717995028532E-2</v>
      </c>
      <c r="N123" s="295">
        <v>4.3973319558919366E-2</v>
      </c>
    </row>
    <row r="124" spans="1:31" hidden="1" outlineLevel="2" x14ac:dyDescent="0.15">
      <c r="A124" s="585"/>
      <c r="M124" s="295">
        <v>1.1317931178532747E-2</v>
      </c>
      <c r="N124" s="295">
        <v>-3.8722168441432947E-3</v>
      </c>
    </row>
    <row r="125" spans="1:31" hidden="1" outlineLevel="2" x14ac:dyDescent="0.15">
      <c r="A125" s="585"/>
      <c r="M125" s="295">
        <v>1.7996204435864804E-2</v>
      </c>
      <c r="N125" s="295">
        <v>2.6303854875283417E-2</v>
      </c>
    </row>
    <row r="126" spans="1:31" hidden="1" outlineLevel="2" x14ac:dyDescent="0.15">
      <c r="A126" s="585"/>
      <c r="M126" s="295">
        <v>-4.174183158667677E-2</v>
      </c>
      <c r="N126" s="295">
        <v>2.5250931128085297E-2</v>
      </c>
    </row>
    <row r="127" spans="1:31" hidden="1" outlineLevel="2" x14ac:dyDescent="0.15">
      <c r="A127" s="585"/>
      <c r="M127" s="295">
        <v>4.0347957373805032E-2</v>
      </c>
      <c r="N127" s="295">
        <v>2.7297169714508573E-2</v>
      </c>
    </row>
    <row r="128" spans="1:31" hidden="1" outlineLevel="2" x14ac:dyDescent="0.15">
      <c r="A128" s="585"/>
      <c r="M128" s="295">
        <v>1.2329653725460465E-2</v>
      </c>
      <c r="N128" s="295">
        <v>5.3743032385671352E-3</v>
      </c>
    </row>
    <row r="129" spans="1:14" hidden="1" outlineLevel="2" x14ac:dyDescent="0.15">
      <c r="A129" s="585"/>
      <c r="M129" s="295">
        <v>2.2430223405986549E-2</v>
      </c>
      <c r="N129" s="295">
        <v>3.4557450021859282E-2</v>
      </c>
    </row>
    <row r="130" spans="1:14" hidden="1" outlineLevel="2" x14ac:dyDescent="0.15">
      <c r="A130" s="585"/>
      <c r="M130" s="295">
        <v>-3.3590845465821029E-2</v>
      </c>
      <c r="N130" s="295">
        <v>6.0064155509882644E-2</v>
      </c>
    </row>
    <row r="131" spans="1:14" hidden="1" outlineLevel="2" x14ac:dyDescent="0.15">
      <c r="A131" s="585"/>
      <c r="M131" s="295">
        <v>2.9520785205268352E-2</v>
      </c>
      <c r="N131" s="295">
        <v>1.6271653257954544E-2</v>
      </c>
    </row>
    <row r="132" spans="1:14" hidden="1" outlineLevel="2" x14ac:dyDescent="0.15">
      <c r="A132" s="585"/>
      <c r="M132" s="295">
        <v>1.1011230476590139E-2</v>
      </c>
      <c r="N132" s="295">
        <v>8.3799878757622182E-3</v>
      </c>
    </row>
    <row r="133" spans="1:14" hidden="1" outlineLevel="2" x14ac:dyDescent="0.15">
      <c r="A133" s="585"/>
      <c r="M133" s="295">
        <v>1.4005268474301946E-2</v>
      </c>
      <c r="N133" s="295">
        <v>3.2905438857061986E-2</v>
      </c>
    </row>
    <row r="134" spans="1:14" hidden="1" outlineLevel="2" x14ac:dyDescent="0.15">
      <c r="A134" s="585"/>
      <c r="M134" s="295">
        <v>-3.7293757159148622E-2</v>
      </c>
      <c r="N134" s="295">
        <v>3.2370714004485102E-2</v>
      </c>
    </row>
    <row r="135" spans="1:14" hidden="1" outlineLevel="2" x14ac:dyDescent="0.15">
      <c r="A135" s="585"/>
      <c r="M135" s="295">
        <v>3.6865540866150237E-2</v>
      </c>
      <c r="N135" s="295">
        <v>4.7589042913045443E-3</v>
      </c>
    </row>
    <row r="136" spans="1:14" hidden="1" outlineLevel="2" x14ac:dyDescent="0.15">
      <c r="A136" s="585"/>
      <c r="M136" s="295">
        <v>1.3256813638639287E-2</v>
      </c>
      <c r="N136" s="295">
        <v>-4.0267348791154234E-3</v>
      </c>
    </row>
    <row r="137" spans="1:14" hidden="1" outlineLevel="2" x14ac:dyDescent="0.15">
      <c r="A137" s="585"/>
      <c r="M137" s="295">
        <v>2.2068155790671451E-2</v>
      </c>
      <c r="N137" s="295">
        <v>9.113353548408476E-3</v>
      </c>
    </row>
    <row r="138" spans="1:14" hidden="1" outlineLevel="2" x14ac:dyDescent="0.15">
      <c r="A138" s="585"/>
      <c r="M138" s="295">
        <v>-5.4614921946321671E-2</v>
      </c>
      <c r="N138" s="295">
        <v>5.7798722516871681E-2</v>
      </c>
    </row>
    <row r="139" spans="1:14" hidden="1" outlineLevel="2" x14ac:dyDescent="0.15">
      <c r="A139" s="585"/>
      <c r="M139" s="295">
        <v>-5.6158447891145324E-2</v>
      </c>
      <c r="N139" s="295">
        <v>-3.5438754443426812E-2</v>
      </c>
    </row>
    <row r="140" spans="1:14" hidden="1" outlineLevel="2" x14ac:dyDescent="0.15">
      <c r="A140" s="585"/>
      <c r="M140" s="295">
        <v>7.5972929686332513E-2</v>
      </c>
      <c r="N140" s="295">
        <v>4.7909491776368718E-2</v>
      </c>
    </row>
    <row r="141" spans="1:14" hidden="1" outlineLevel="2" x14ac:dyDescent="0.15">
      <c r="A141" s="585"/>
      <c r="M141" s="295">
        <v>3.0327287370769174E-2</v>
      </c>
      <c r="N141" s="295">
        <v>5.4058204714735325E-3</v>
      </c>
    </row>
    <row r="142" spans="1:14" hidden="1" outlineLevel="2" x14ac:dyDescent="0.15">
      <c r="A142" s="585"/>
      <c r="M142" s="295">
        <v>-3.1117776365547467E-2</v>
      </c>
      <c r="N142" s="295">
        <v>7.2234866421250432E-2</v>
      </c>
    </row>
    <row r="143" spans="1:14" hidden="1" outlineLevel="2" x14ac:dyDescent="0.15">
      <c r="A143" s="585" t="s">
        <v>608</v>
      </c>
      <c r="B143" s="188" t="s">
        <v>644</v>
      </c>
      <c r="C143" s="298" t="s">
        <v>496</v>
      </c>
      <c r="D143" s="188" t="s">
        <v>609</v>
      </c>
      <c r="E143" s="298" t="s">
        <v>496</v>
      </c>
      <c r="M143" s="295">
        <v>4.2108132087303574E-2</v>
      </c>
      <c r="N143" s="295">
        <v>1.6026554219613631E-2</v>
      </c>
    </row>
    <row r="144" spans="1:14" hidden="1" outlineLevel="2" x14ac:dyDescent="0.15">
      <c r="A144" s="585" t="s">
        <v>613</v>
      </c>
      <c r="B144" s="596">
        <v>313.81299999999999</v>
      </c>
      <c r="C144" s="590" t="s">
        <v>614</v>
      </c>
      <c r="D144" s="301">
        <v>27282</v>
      </c>
      <c r="E144" s="590" t="s">
        <v>614</v>
      </c>
      <c r="M144" s="295">
        <v>9.7679084420370099E-3</v>
      </c>
      <c r="N144" s="295">
        <v>1.4245453653201734E-2</v>
      </c>
    </row>
    <row r="145" spans="1:14" hidden="1" outlineLevel="2" x14ac:dyDescent="0.15">
      <c r="A145" s="585" t="s">
        <v>616</v>
      </c>
      <c r="B145" s="596">
        <v>314.37299999999999</v>
      </c>
      <c r="C145" s="295">
        <f>(B145/B144)-1</f>
        <v>1.7845022354077145E-3</v>
      </c>
      <c r="D145" s="301">
        <v>27265</v>
      </c>
      <c r="E145" s="295">
        <f>(D145/D144)-1</f>
        <v>-6.2312147203280599E-4</v>
      </c>
      <c r="M145" s="295">
        <v>3.3286553710571765E-2</v>
      </c>
      <c r="N145" s="295">
        <v>1.9436802742718085E-2</v>
      </c>
    </row>
    <row r="146" spans="1:14" hidden="1" outlineLevel="2" x14ac:dyDescent="0.15">
      <c r="A146" s="585" t="s">
        <v>626</v>
      </c>
      <c r="B146" s="596">
        <v>315.02999999999997</v>
      </c>
      <c r="C146" s="295">
        <f t="shared" ref="C146:C190" si="27">(B146/B145)-1</f>
        <v>2.0898741304118396E-3</v>
      </c>
      <c r="D146" s="301">
        <v>27302</v>
      </c>
      <c r="E146" s="295">
        <f t="shared" ref="E146:E190" si="28">(D146/D145)-1</f>
        <v>1.3570511644966921E-3</v>
      </c>
      <c r="M146" s="295">
        <v>-4.5918382011224335E-2</v>
      </c>
      <c r="N146" s="295">
        <v>8.6869262167256656E-2</v>
      </c>
    </row>
    <row r="147" spans="1:14" hidden="1" outlineLevel="2" x14ac:dyDescent="0.15">
      <c r="A147" s="585" t="s">
        <v>628</v>
      </c>
      <c r="B147" s="596">
        <v>315.685</v>
      </c>
      <c r="C147" s="295">
        <f t="shared" si="27"/>
        <v>2.0791670634543458E-3</v>
      </c>
      <c r="D147" s="301">
        <v>28769</v>
      </c>
      <c r="E147" s="295">
        <f t="shared" si="28"/>
        <v>5.3732327302029148E-2</v>
      </c>
      <c r="M147" s="295">
        <v>2.3900266251559277E-2</v>
      </c>
      <c r="N147" s="295">
        <v>2.2832474516214507E-3</v>
      </c>
    </row>
    <row r="148" spans="1:14" hidden="1" outlineLevel="2" x14ac:dyDescent="0.15">
      <c r="A148" s="585" t="s">
        <v>613</v>
      </c>
      <c r="B148" s="596">
        <v>316.19600000000003</v>
      </c>
      <c r="C148" s="295">
        <f t="shared" si="27"/>
        <v>1.6187021873070861E-3</v>
      </c>
      <c r="D148" s="301">
        <v>30340</v>
      </c>
      <c r="E148" s="295">
        <f t="shared" si="28"/>
        <v>5.4607389898849501E-2</v>
      </c>
      <c r="M148" s="295">
        <v>9.5686371594152497E-3</v>
      </c>
      <c r="N148" s="295">
        <v>6.9959667380370405E-3</v>
      </c>
    </row>
    <row r="149" spans="1:14" hidden="1" outlineLevel="2" x14ac:dyDescent="0.15">
      <c r="A149" s="585" t="s">
        <v>616</v>
      </c>
      <c r="B149" s="596">
        <v>316.733</v>
      </c>
      <c r="C149" s="295">
        <f t="shared" si="27"/>
        <v>1.6983137041581831E-3</v>
      </c>
      <c r="D149" s="301">
        <v>30408</v>
      </c>
      <c r="E149" s="295">
        <f t="shared" si="28"/>
        <v>2.2412656558998822E-3</v>
      </c>
      <c r="M149" s="295">
        <v>1.9509812118329473E-2</v>
      </c>
      <c r="N149" s="295">
        <v>2.3400993893242905E-2</v>
      </c>
    </row>
    <row r="150" spans="1:14" hidden="1" outlineLevel="2" x14ac:dyDescent="0.15">
      <c r="A150" s="585" t="s">
        <v>626</v>
      </c>
      <c r="B150" s="596">
        <v>317.39600000000002</v>
      </c>
      <c r="C150" s="295">
        <f t="shared" si="27"/>
        <v>2.093245730631299E-3</v>
      </c>
      <c r="D150" s="301">
        <v>30624</v>
      </c>
      <c r="E150" s="295">
        <f t="shared" si="28"/>
        <v>7.1033938437252697E-3</v>
      </c>
      <c r="L150" s="295"/>
    </row>
    <row r="151" spans="1:14" hidden="1" outlineLevel="2" x14ac:dyDescent="0.15">
      <c r="A151" s="585" t="s">
        <v>628</v>
      </c>
      <c r="B151" s="596">
        <v>318.072</v>
      </c>
      <c r="C151" s="295">
        <f t="shared" si="27"/>
        <v>2.1298315038627003E-3</v>
      </c>
      <c r="D151" s="301">
        <v>31117</v>
      </c>
      <c r="E151" s="295">
        <f t="shared" si="28"/>
        <v>1.6098484848484862E-2</v>
      </c>
      <c r="L151" s="295"/>
    </row>
    <row r="152" spans="1:14" hidden="1" outlineLevel="2" x14ac:dyDescent="0.15">
      <c r="A152" s="585" t="s">
        <v>613</v>
      </c>
      <c r="B152" s="596">
        <v>318.64499999999998</v>
      </c>
      <c r="C152" s="295">
        <f t="shared" si="27"/>
        <v>1.8014789104352502E-3</v>
      </c>
      <c r="D152" s="301">
        <v>31708</v>
      </c>
      <c r="E152" s="295">
        <f t="shared" si="28"/>
        <v>1.8992833499373418E-2</v>
      </c>
      <c r="L152" s="295"/>
    </row>
    <row r="153" spans="1:14" hidden="1" outlineLevel="2" x14ac:dyDescent="0.15">
      <c r="A153" s="585" t="s">
        <v>616</v>
      </c>
      <c r="B153" s="596">
        <v>319.22800000000001</v>
      </c>
      <c r="C153" s="295">
        <f t="shared" si="27"/>
        <v>1.8296223069560469E-3</v>
      </c>
      <c r="D153" s="301">
        <v>32574</v>
      </c>
      <c r="E153" s="295">
        <f t="shared" si="28"/>
        <v>2.7311719439889082E-2</v>
      </c>
    </row>
    <row r="154" spans="1:14" hidden="1" outlineLevel="2" x14ac:dyDescent="0.15">
      <c r="A154" s="585" t="s">
        <v>626</v>
      </c>
      <c r="B154" s="596">
        <v>319.91899999999998</v>
      </c>
      <c r="C154" s="295">
        <f t="shared" si="27"/>
        <v>2.1645970904806688E-3</v>
      </c>
      <c r="D154" s="301">
        <v>32759</v>
      </c>
      <c r="E154" s="295">
        <f t="shared" si="28"/>
        <v>5.6793761895990169E-3</v>
      </c>
    </row>
    <row r="155" spans="1:14" hidden="1" outlineLevel="2" x14ac:dyDescent="0.15">
      <c r="A155" s="585" t="s">
        <v>628</v>
      </c>
      <c r="B155" s="596">
        <v>320.61099999999999</v>
      </c>
      <c r="C155" s="295">
        <f t="shared" si="27"/>
        <v>2.163047521403838E-3</v>
      </c>
      <c r="D155" s="301">
        <v>33433</v>
      </c>
      <c r="E155" s="295">
        <f t="shared" si="28"/>
        <v>2.0574498611068748E-2</v>
      </c>
    </row>
    <row r="156" spans="1:14" hidden="1" outlineLevel="2" x14ac:dyDescent="0.15">
      <c r="A156" s="585" t="s">
        <v>613</v>
      </c>
      <c r="B156" s="596">
        <v>321.16800000000001</v>
      </c>
      <c r="C156" s="295">
        <f t="shared" si="27"/>
        <v>1.7373078278661858E-3</v>
      </c>
      <c r="D156" s="301">
        <v>35756</v>
      </c>
      <c r="E156" s="295">
        <f t="shared" si="28"/>
        <v>6.9482248078245989E-2</v>
      </c>
    </row>
    <row r="157" spans="1:14" hidden="1" outlineLevel="2" x14ac:dyDescent="0.15">
      <c r="A157" s="585" t="s">
        <v>616</v>
      </c>
      <c r="B157" s="596">
        <v>321.74400000000003</v>
      </c>
      <c r="C157" s="295">
        <f t="shared" si="27"/>
        <v>1.7934538932895538E-3</v>
      </c>
      <c r="D157" s="301">
        <v>36263</v>
      </c>
      <c r="E157" s="295">
        <f t="shared" si="28"/>
        <v>1.4179438415930168E-2</v>
      </c>
    </row>
    <row r="158" spans="1:14" hidden="1" outlineLevel="2" x14ac:dyDescent="0.15">
      <c r="A158" s="585" t="s">
        <v>626</v>
      </c>
      <c r="B158" s="596">
        <v>322.428</v>
      </c>
      <c r="C158" s="295">
        <f t="shared" si="27"/>
        <v>2.1259137699536357E-3</v>
      </c>
      <c r="D158" s="301">
        <v>41489</v>
      </c>
      <c r="E158" s="295">
        <f t="shared" si="28"/>
        <v>0.14411383503846897</v>
      </c>
    </row>
    <row r="159" spans="1:14" hidden="1" outlineLevel="2" x14ac:dyDescent="0.15">
      <c r="A159" s="585" t="s">
        <v>628</v>
      </c>
      <c r="B159" s="596">
        <v>323.11</v>
      </c>
      <c r="C159" s="295">
        <f t="shared" si="27"/>
        <v>2.1152009130720462E-3</v>
      </c>
      <c r="D159" s="301">
        <v>43599</v>
      </c>
      <c r="E159" s="295">
        <f t="shared" si="28"/>
        <v>5.0856853623852061E-2</v>
      </c>
    </row>
    <row r="160" spans="1:14" hidden="1" outlineLevel="2" x14ac:dyDescent="0.15">
      <c r="A160" s="585" t="s">
        <v>613</v>
      </c>
      <c r="B160" s="596">
        <v>323.68900000000002</v>
      </c>
      <c r="C160" s="295">
        <f t="shared" si="27"/>
        <v>1.7919593946333912E-3</v>
      </c>
      <c r="D160" s="301">
        <v>44527</v>
      </c>
      <c r="E160" s="295">
        <f t="shared" si="28"/>
        <v>2.1284891855317678E-2</v>
      </c>
    </row>
    <row r="161" spans="1:5" hidden="1" outlineLevel="2" x14ac:dyDescent="0.15">
      <c r="A161" s="585" t="s">
        <v>616</v>
      </c>
      <c r="B161" s="596">
        <v>324.26499999999999</v>
      </c>
      <c r="C161" s="295">
        <f t="shared" si="27"/>
        <v>1.7794858645179268E-3</v>
      </c>
      <c r="D161" s="301">
        <v>46485</v>
      </c>
      <c r="E161" s="295">
        <f t="shared" si="28"/>
        <v>4.3973319558919366E-2</v>
      </c>
    </row>
    <row r="162" spans="1:5" hidden="1" outlineLevel="2" x14ac:dyDescent="0.15">
      <c r="A162" s="585" t="s">
        <v>626</v>
      </c>
      <c r="B162" s="596">
        <v>324.92599999999999</v>
      </c>
      <c r="C162" s="295">
        <f t="shared" si="27"/>
        <v>2.038456200946781E-3</v>
      </c>
      <c r="D162" s="301">
        <v>46305</v>
      </c>
      <c r="E162" s="295">
        <f t="shared" si="28"/>
        <v>-3.8722168441432947E-3</v>
      </c>
    </row>
    <row r="163" spans="1:5" hidden="1" outlineLevel="2" x14ac:dyDescent="0.15">
      <c r="A163" s="585" t="s">
        <v>628</v>
      </c>
      <c r="B163" s="596">
        <v>325.55700000000002</v>
      </c>
      <c r="C163" s="295">
        <f t="shared" si="27"/>
        <v>1.941980635590923E-3</v>
      </c>
      <c r="D163" s="301">
        <v>47523</v>
      </c>
      <c r="E163" s="295">
        <f t="shared" si="28"/>
        <v>2.6303854875283417E-2</v>
      </c>
    </row>
    <row r="164" spans="1:5" hidden="1" outlineLevel="2" x14ac:dyDescent="0.15">
      <c r="A164" s="585" t="s">
        <v>613</v>
      </c>
      <c r="B164" s="596">
        <v>326.053</v>
      </c>
      <c r="C164" s="295">
        <f t="shared" si="27"/>
        <v>1.52354272830868E-3</v>
      </c>
      <c r="D164" s="301">
        <v>48723</v>
      </c>
      <c r="E164" s="295">
        <f t="shared" si="28"/>
        <v>2.5250931128085297E-2</v>
      </c>
    </row>
    <row r="165" spans="1:5" hidden="1" outlineLevel="2" x14ac:dyDescent="0.15">
      <c r="A165" s="585" t="s">
        <v>616</v>
      </c>
      <c r="B165" s="596">
        <v>326.55399999999997</v>
      </c>
      <c r="C165" s="295">
        <f t="shared" si="27"/>
        <v>1.5365600071153285E-3</v>
      </c>
      <c r="D165" s="301">
        <v>50053</v>
      </c>
      <c r="E165" s="295">
        <f t="shared" si="28"/>
        <v>2.7297169714508573E-2</v>
      </c>
    </row>
    <row r="166" spans="1:5" hidden="1" outlineLevel="2" x14ac:dyDescent="0.15">
      <c r="A166" s="585" t="s">
        <v>626</v>
      </c>
      <c r="B166" s="596">
        <v>327.14</v>
      </c>
      <c r="C166" s="295">
        <f t="shared" si="27"/>
        <v>1.7944964691904985E-3</v>
      </c>
      <c r="D166" s="301">
        <v>50322</v>
      </c>
      <c r="E166" s="295">
        <f t="shared" si="28"/>
        <v>5.3743032385671352E-3</v>
      </c>
    </row>
    <row r="167" spans="1:5" hidden="1" outlineLevel="2" x14ac:dyDescent="0.15">
      <c r="A167" s="585" t="s">
        <v>628</v>
      </c>
      <c r="B167" s="596">
        <v>327.69200000000001</v>
      </c>
      <c r="C167" s="295">
        <f t="shared" si="27"/>
        <v>1.6873509812314058E-3</v>
      </c>
      <c r="D167" s="301">
        <v>52061</v>
      </c>
      <c r="E167" s="295">
        <f t="shared" si="28"/>
        <v>3.4557450021859282E-2</v>
      </c>
    </row>
    <row r="168" spans="1:5" hidden="1" outlineLevel="2" x14ac:dyDescent="0.15">
      <c r="A168" s="585" t="s">
        <v>613</v>
      </c>
      <c r="B168" s="596">
        <v>328.09100000000001</v>
      </c>
      <c r="C168" s="295">
        <f t="shared" si="27"/>
        <v>1.2176067770954813E-3</v>
      </c>
      <c r="D168" s="301">
        <v>55188</v>
      </c>
      <c r="E168" s="295">
        <f t="shared" si="28"/>
        <v>6.0064155509882644E-2</v>
      </c>
    </row>
    <row r="169" spans="1:5" hidden="1" outlineLevel="2" x14ac:dyDescent="0.15">
      <c r="A169" s="585" t="s">
        <v>616</v>
      </c>
      <c r="B169" s="596">
        <v>328.52600000000001</v>
      </c>
      <c r="C169" s="295">
        <f t="shared" si="27"/>
        <v>1.3258516692016276E-3</v>
      </c>
      <c r="D169" s="301">
        <v>56086</v>
      </c>
      <c r="E169" s="295">
        <f t="shared" si="28"/>
        <v>1.6271653257954544E-2</v>
      </c>
    </row>
    <row r="170" spans="1:5" hidden="1" outlineLevel="2" x14ac:dyDescent="0.15">
      <c r="A170" s="585" t="s">
        <v>626</v>
      </c>
      <c r="B170" s="596">
        <v>329.04</v>
      </c>
      <c r="C170" s="295">
        <f t="shared" si="27"/>
        <v>1.5645641440860114E-3</v>
      </c>
      <c r="D170" s="301">
        <v>56556</v>
      </c>
      <c r="E170" s="295">
        <f t="shared" si="28"/>
        <v>8.3799878757622182E-3</v>
      </c>
    </row>
    <row r="171" spans="1:5" hidden="1" outlineLevel="2" x14ac:dyDescent="0.15">
      <c r="A171" s="585" t="s">
        <v>628</v>
      </c>
      <c r="B171" s="596">
        <v>329.52199999999999</v>
      </c>
      <c r="C171" s="295">
        <f t="shared" si="27"/>
        <v>1.4648674933137595E-3</v>
      </c>
      <c r="D171" s="301">
        <v>58417</v>
      </c>
      <c r="E171" s="295">
        <f t="shared" si="28"/>
        <v>3.2905438857061986E-2</v>
      </c>
    </row>
    <row r="172" spans="1:5" hidden="1" outlineLevel="2" x14ac:dyDescent="0.15">
      <c r="A172" s="585" t="s">
        <v>613</v>
      </c>
      <c r="B172" s="596">
        <v>329.86799999999999</v>
      </c>
      <c r="C172" s="295">
        <f t="shared" si="27"/>
        <v>1.0500057659277306E-3</v>
      </c>
      <c r="D172" s="301">
        <v>60308</v>
      </c>
      <c r="E172" s="295">
        <f t="shared" si="28"/>
        <v>3.2370714004485102E-2</v>
      </c>
    </row>
    <row r="173" spans="1:5" hidden="1" outlineLevel="2" x14ac:dyDescent="0.15">
      <c r="A173" s="585" t="s">
        <v>616</v>
      </c>
      <c r="B173" s="596">
        <v>330.245</v>
      </c>
      <c r="C173" s="295">
        <f t="shared" si="27"/>
        <v>1.1428813949823091E-3</v>
      </c>
      <c r="D173" s="301">
        <v>60595</v>
      </c>
      <c r="E173" s="295">
        <f t="shared" si="28"/>
        <v>4.7589042913045443E-3</v>
      </c>
    </row>
    <row r="174" spans="1:5" hidden="1" outlineLevel="2" x14ac:dyDescent="0.15">
      <c r="A174" s="585" t="s">
        <v>626</v>
      </c>
      <c r="B174" s="596">
        <v>330.72899999999998</v>
      </c>
      <c r="C174" s="295">
        <f t="shared" si="27"/>
        <v>1.4655785855954839E-3</v>
      </c>
      <c r="D174" s="301">
        <v>60351</v>
      </c>
      <c r="E174" s="295">
        <f t="shared" si="28"/>
        <v>-4.0267348791154234E-3</v>
      </c>
    </row>
    <row r="175" spans="1:5" hidden="1" outlineLevel="2" x14ac:dyDescent="0.15">
      <c r="A175" s="585" t="s">
        <v>628</v>
      </c>
      <c r="B175" s="596">
        <v>331.20800000000003</v>
      </c>
      <c r="C175" s="295">
        <f t="shared" si="27"/>
        <v>1.4483156904898653E-3</v>
      </c>
      <c r="D175" s="301">
        <v>60901</v>
      </c>
      <c r="E175" s="295">
        <f t="shared" si="28"/>
        <v>9.113353548408476E-3</v>
      </c>
    </row>
    <row r="176" spans="1:5" hidden="1" outlineLevel="2" x14ac:dyDescent="0.15">
      <c r="A176" s="585" t="s">
        <v>613</v>
      </c>
      <c r="B176" s="596">
        <v>331.53399999999999</v>
      </c>
      <c r="C176" s="295">
        <f t="shared" si="27"/>
        <v>9.8427574213166835E-4</v>
      </c>
      <c r="D176" s="301">
        <v>64421</v>
      </c>
      <c r="E176" s="295">
        <f t="shared" si="28"/>
        <v>5.7798722516871681E-2</v>
      </c>
    </row>
    <row r="177" spans="1:8" hidden="1" outlineLevel="2" x14ac:dyDescent="0.15">
      <c r="A177" s="585" t="s">
        <v>616</v>
      </c>
      <c r="B177" s="596">
        <v>331.69900000000001</v>
      </c>
      <c r="C177" s="295">
        <f t="shared" si="27"/>
        <v>4.976865117907181E-4</v>
      </c>
      <c r="D177" s="301">
        <v>62138</v>
      </c>
      <c r="E177" s="295">
        <f t="shared" si="28"/>
        <v>-3.5438754443426812E-2</v>
      </c>
    </row>
    <row r="178" spans="1:8" hidden="1" outlineLevel="2" x14ac:dyDescent="0.15">
      <c r="A178" s="585" t="s">
        <v>626</v>
      </c>
      <c r="B178" s="596">
        <v>331.87200000000001</v>
      </c>
      <c r="C178" s="295">
        <f t="shared" si="27"/>
        <v>5.2155719492663621E-4</v>
      </c>
      <c r="D178" s="301">
        <v>65115</v>
      </c>
      <c r="E178" s="295">
        <f t="shared" si="28"/>
        <v>4.7909491776368718E-2</v>
      </c>
    </row>
    <row r="179" spans="1:8" hidden="1" outlineLevel="2" x14ac:dyDescent="0.15">
      <c r="A179" s="585" t="s">
        <v>628</v>
      </c>
      <c r="B179" s="596">
        <v>332.04500000000002</v>
      </c>
      <c r="C179" s="295">
        <f t="shared" si="27"/>
        <v>5.212853148202079E-4</v>
      </c>
      <c r="D179" s="301">
        <v>65467</v>
      </c>
      <c r="E179" s="295">
        <f t="shared" si="28"/>
        <v>5.4058204714735325E-3</v>
      </c>
    </row>
    <row r="180" spans="1:8" hidden="1" outlineLevel="2" x14ac:dyDescent="0.15">
      <c r="A180" s="585" t="s">
        <v>613</v>
      </c>
      <c r="B180" s="596">
        <v>331.98899999999998</v>
      </c>
      <c r="C180" s="295">
        <f t="shared" si="27"/>
        <v>-1.6865183935921291E-4</v>
      </c>
      <c r="D180" s="301">
        <v>70196</v>
      </c>
      <c r="E180" s="295">
        <f t="shared" si="28"/>
        <v>7.2234866421250432E-2</v>
      </c>
    </row>
    <row r="181" spans="1:8" hidden="1" outlineLevel="2" x14ac:dyDescent="0.15">
      <c r="A181" s="585" t="s">
        <v>616</v>
      </c>
      <c r="B181" s="596">
        <v>332.149</v>
      </c>
      <c r="C181" s="295">
        <f t="shared" si="27"/>
        <v>4.8194367885701084E-4</v>
      </c>
      <c r="D181" s="301">
        <v>71321</v>
      </c>
      <c r="E181" s="295">
        <f t="shared" si="28"/>
        <v>1.6026554219613631E-2</v>
      </c>
      <c r="G181" s="197"/>
      <c r="H181" s="197"/>
    </row>
    <row r="182" spans="1:8" hidden="1" outlineLevel="2" x14ac:dyDescent="0.15">
      <c r="A182" s="585" t="s">
        <v>626</v>
      </c>
      <c r="B182" s="596">
        <v>332.48</v>
      </c>
      <c r="C182" s="295">
        <f t="shared" si="27"/>
        <v>9.9654070913968162E-4</v>
      </c>
      <c r="D182" s="301">
        <v>72337</v>
      </c>
      <c r="E182" s="295">
        <f t="shared" si="28"/>
        <v>1.4245453653201734E-2</v>
      </c>
      <c r="G182" s="291"/>
      <c r="H182" s="197"/>
    </row>
    <row r="183" spans="1:8" hidden="1" outlineLevel="2" x14ac:dyDescent="0.15">
      <c r="A183" s="585" t="s">
        <v>628</v>
      </c>
      <c r="B183" s="596">
        <v>332.786</v>
      </c>
      <c r="C183" s="295">
        <f t="shared" si="27"/>
        <v>9.2035611164575926E-4</v>
      </c>
      <c r="D183" s="301">
        <v>73743</v>
      </c>
      <c r="E183" s="295">
        <f t="shared" si="28"/>
        <v>1.9436802742718085E-2</v>
      </c>
      <c r="G183" s="291"/>
    </row>
    <row r="184" spans="1:8" hidden="1" outlineLevel="2" x14ac:dyDescent="0.15">
      <c r="A184" s="585" t="s">
        <v>613</v>
      </c>
      <c r="B184" s="596">
        <v>332.97800000000001</v>
      </c>
      <c r="C184" s="295">
        <f t="shared" si="27"/>
        <v>5.7694734754476507E-4</v>
      </c>
      <c r="D184" s="301">
        <v>80149</v>
      </c>
      <c r="E184" s="295">
        <f t="shared" si="28"/>
        <v>8.6869262167256656E-2</v>
      </c>
      <c r="G184" s="291"/>
    </row>
    <row r="185" spans="1:8" hidden="1" outlineLevel="2" x14ac:dyDescent="0.15">
      <c r="A185" s="585" t="s">
        <v>616</v>
      </c>
      <c r="B185" s="596">
        <v>333.32100000000003</v>
      </c>
      <c r="C185" s="295">
        <f t="shared" si="27"/>
        <v>1.0300980845581176E-3</v>
      </c>
      <c r="D185" s="301">
        <v>80332</v>
      </c>
      <c r="E185" s="295">
        <f t="shared" si="28"/>
        <v>2.2832474516214507E-3</v>
      </c>
      <c r="G185" s="291"/>
    </row>
    <row r="186" spans="1:8" hidden="1" outlineLevel="2" x14ac:dyDescent="0.15">
      <c r="A186" s="585" t="s">
        <v>626</v>
      </c>
      <c r="B186" s="596">
        <v>333.79899999999998</v>
      </c>
      <c r="C186" s="295">
        <f t="shared" si="27"/>
        <v>1.4340530599630252E-3</v>
      </c>
      <c r="D186" s="301">
        <v>80894</v>
      </c>
      <c r="E186" s="295">
        <f t="shared" si="28"/>
        <v>6.9959667380370405E-3</v>
      </c>
      <c r="G186" s="291"/>
    </row>
    <row r="187" spans="1:8" hidden="1" outlineLevel="2" x14ac:dyDescent="0.15">
      <c r="A187" s="585" t="s">
        <v>628</v>
      </c>
      <c r="B187" s="596">
        <v>334.28199999999998</v>
      </c>
      <c r="C187" s="295">
        <f t="shared" si="27"/>
        <v>1.4469785709363414E-3</v>
      </c>
      <c r="D187" s="301">
        <v>82787</v>
      </c>
      <c r="E187" s="295">
        <f t="shared" si="28"/>
        <v>2.3400993893242905E-2</v>
      </c>
      <c r="G187" s="291"/>
    </row>
    <row r="188" spans="1:8" hidden="1" outlineLevel="2" x14ac:dyDescent="0.15">
      <c r="A188" s="585" t="s">
        <v>613</v>
      </c>
      <c r="B188" s="596">
        <v>334.64100000000002</v>
      </c>
      <c r="C188" s="295">
        <f t="shared" si="27"/>
        <v>1.073943556637813E-3</v>
      </c>
      <c r="D188" s="301">
        <v>91931</v>
      </c>
      <c r="E188" s="295">
        <f t="shared" si="28"/>
        <v>0.11045212412576855</v>
      </c>
      <c r="G188" s="291"/>
    </row>
    <row r="189" spans="1:8" hidden="1" outlineLevel="2" x14ac:dyDescent="0.15">
      <c r="A189" s="585" t="s">
        <v>616</v>
      </c>
      <c r="B189" s="596">
        <v>335.01900000000001</v>
      </c>
      <c r="C189" s="295">
        <f t="shared" si="27"/>
        <v>1.1295687019821088E-3</v>
      </c>
      <c r="D189" s="301">
        <v>92903</v>
      </c>
      <c r="E189" s="295">
        <f t="shared" si="28"/>
        <v>1.0573147251743187E-2</v>
      </c>
      <c r="G189" s="291"/>
    </row>
    <row r="190" spans="1:8" hidden="1" outlineLevel="2" x14ac:dyDescent="0.15">
      <c r="A190" s="585" t="s">
        <v>626</v>
      </c>
      <c r="B190" s="596">
        <v>335.50099999999998</v>
      </c>
      <c r="C190" s="295">
        <f t="shared" si="27"/>
        <v>1.438724370856459E-3</v>
      </c>
      <c r="D190" s="301">
        <v>92361</v>
      </c>
      <c r="E190" s="295">
        <f t="shared" si="28"/>
        <v>-5.8340419577408431E-3</v>
      </c>
      <c r="G190" s="291"/>
    </row>
    <row r="191" spans="1:8" outlineLevel="1" collapsed="1" x14ac:dyDescent="0.15">
      <c r="A191" s="585"/>
    </row>
    <row r="192" spans="1:8" outlineLevel="1" x14ac:dyDescent="0.15">
      <c r="A192" s="585"/>
    </row>
    <row r="193" spans="1:16" outlineLevel="1" x14ac:dyDescent="0.15">
      <c r="A193" s="585"/>
      <c r="B193" s="597" t="s">
        <v>645</v>
      </c>
    </row>
    <row r="194" spans="1:16" outlineLevel="1" x14ac:dyDescent="0.15">
      <c r="A194" s="585"/>
      <c r="B194" s="190" t="s">
        <v>123</v>
      </c>
      <c r="C194" s="190" t="s">
        <v>646</v>
      </c>
      <c r="D194" s="190" t="s">
        <v>647</v>
      </c>
      <c r="G194" s="197"/>
      <c r="H194" s="197"/>
      <c r="K194" s="590" t="s">
        <v>614</v>
      </c>
      <c r="L194" s="188" t="s">
        <v>648</v>
      </c>
      <c r="M194" s="188" t="s">
        <v>649</v>
      </c>
      <c r="N194" s="188" t="s">
        <v>650</v>
      </c>
      <c r="O194" s="188" t="s">
        <v>651</v>
      </c>
      <c r="P194" s="188" t="s">
        <v>652</v>
      </c>
    </row>
    <row r="195" spans="1:16" outlineLevel="1" x14ac:dyDescent="0.15">
      <c r="A195" s="585"/>
      <c r="B195" s="194">
        <v>1994</v>
      </c>
      <c r="C195" s="188" t="s">
        <v>653</v>
      </c>
      <c r="D195" s="188">
        <v>1</v>
      </c>
      <c r="E195" s="188">
        <v>1994</v>
      </c>
      <c r="G195" s="291"/>
      <c r="H195" s="197"/>
      <c r="K195" s="295">
        <v>-6.2312147203280599E-4</v>
      </c>
      <c r="L195" s="197"/>
    </row>
    <row r="196" spans="1:16" outlineLevel="1" x14ac:dyDescent="0.15">
      <c r="A196" s="585"/>
      <c r="B196" s="194">
        <v>1995</v>
      </c>
      <c r="C196" s="188" t="s">
        <v>654</v>
      </c>
      <c r="D196" s="188">
        <v>1</v>
      </c>
      <c r="E196" s="188">
        <v>1995</v>
      </c>
      <c r="G196" s="291"/>
      <c r="H196" s="197"/>
      <c r="K196" s="295">
        <v>1.3570511644966921E-3</v>
      </c>
      <c r="L196" s="197">
        <f>AVERAGE(K195:K196)</f>
        <v>3.6696484623194303E-4</v>
      </c>
    </row>
    <row r="197" spans="1:16" outlineLevel="1" x14ac:dyDescent="0.15">
      <c r="A197" s="585"/>
      <c r="B197" s="194">
        <v>1996</v>
      </c>
      <c r="C197" s="188" t="s">
        <v>655</v>
      </c>
      <c r="D197" s="188">
        <v>1</v>
      </c>
      <c r="E197" s="188">
        <v>1996</v>
      </c>
      <c r="G197" s="291"/>
      <c r="H197" s="197"/>
      <c r="K197" s="295">
        <v>5.3732327302029148E-2</v>
      </c>
      <c r="L197" s="197">
        <f>AVERAGE(K196:K197)</f>
        <v>2.754468923326292E-2</v>
      </c>
      <c r="M197" s="197">
        <f>AVERAGE(K195:K197)</f>
        <v>1.8155418998164346E-2</v>
      </c>
    </row>
    <row r="198" spans="1:16" outlineLevel="1" x14ac:dyDescent="0.15">
      <c r="A198" s="585"/>
      <c r="B198" s="194">
        <v>1998</v>
      </c>
      <c r="C198" s="188" t="s">
        <v>656</v>
      </c>
      <c r="D198" s="188">
        <v>0</v>
      </c>
      <c r="E198" s="188">
        <v>1997</v>
      </c>
      <c r="G198" s="291"/>
      <c r="H198" s="197"/>
      <c r="K198" s="295">
        <v>5.4607389898849501E-2</v>
      </c>
      <c r="L198" s="197">
        <f>AVERAGE(K197:K198)</f>
        <v>5.4169858600439325E-2</v>
      </c>
      <c r="M198" s="197">
        <f>AVERAGE(K196:K198)</f>
        <v>3.6565589455125114E-2</v>
      </c>
      <c r="N198" s="197">
        <f>AVERAGE(K195:K198)</f>
        <v>2.7268411723335634E-2</v>
      </c>
    </row>
    <row r="199" spans="1:16" outlineLevel="1" x14ac:dyDescent="0.15">
      <c r="A199" s="585"/>
      <c r="B199" s="194">
        <v>2001</v>
      </c>
      <c r="C199" s="188" t="s">
        <v>657</v>
      </c>
      <c r="D199" s="188">
        <v>1</v>
      </c>
      <c r="E199" s="188">
        <v>1998</v>
      </c>
      <c r="G199" s="291"/>
      <c r="H199" s="197"/>
      <c r="K199" s="295">
        <v>2.2412656558998822E-3</v>
      </c>
      <c r="L199" s="197">
        <f>AVERAGE(K198:K199)</f>
        <v>2.8424327777374692E-2</v>
      </c>
      <c r="M199" s="197">
        <f t="shared" ref="M199:M239" si="29">AVERAGE(K197:K199)</f>
        <v>3.6860327618926179E-2</v>
      </c>
      <c r="N199" s="197">
        <f>AVERAGE(K196:K199)</f>
        <v>2.7984508505318806E-2</v>
      </c>
    </row>
    <row r="200" spans="1:16" outlineLevel="1" x14ac:dyDescent="0.15">
      <c r="A200" s="585"/>
      <c r="B200" s="194">
        <v>2002</v>
      </c>
      <c r="C200" s="188" t="s">
        <v>658</v>
      </c>
      <c r="D200" s="188">
        <v>0</v>
      </c>
      <c r="E200" s="188">
        <v>1999</v>
      </c>
      <c r="G200" s="291"/>
      <c r="H200" s="197"/>
      <c r="K200" s="295">
        <v>7.1033938437252697E-3</v>
      </c>
      <c r="L200" s="197">
        <f t="shared" ref="L200:L239" si="30">AVERAGE(K199:K200)</f>
        <v>4.672329749812576E-3</v>
      </c>
      <c r="M200" s="197">
        <f>AVERAGE(K198:K200)</f>
        <v>2.1317349799491552E-2</v>
      </c>
      <c r="N200" s="197">
        <f t="shared" ref="N200:N239" si="31">AVERAGE(K197:K200)</f>
        <v>2.942109417512595E-2</v>
      </c>
    </row>
    <row r="201" spans="1:16" outlineLevel="1" x14ac:dyDescent="0.15">
      <c r="A201" s="585"/>
      <c r="B201" s="194">
        <v>2002</v>
      </c>
      <c r="C201" s="188" t="s">
        <v>659</v>
      </c>
      <c r="D201" s="188">
        <v>0</v>
      </c>
      <c r="E201" s="188">
        <v>2000</v>
      </c>
      <c r="G201" s="291"/>
      <c r="H201" s="197"/>
      <c r="K201" s="295">
        <v>1.6098484848484862E-2</v>
      </c>
      <c r="L201" s="197">
        <f t="shared" si="30"/>
        <v>1.1600939346105066E-2</v>
      </c>
      <c r="M201" s="197">
        <f t="shared" si="29"/>
        <v>8.4810481160366713E-3</v>
      </c>
      <c r="N201" s="197">
        <f t="shared" si="31"/>
        <v>2.0012633561739879E-2</v>
      </c>
    </row>
    <row r="202" spans="1:16" outlineLevel="1" x14ac:dyDescent="0.15">
      <c r="A202" s="585"/>
      <c r="B202" s="194">
        <v>2003</v>
      </c>
      <c r="C202" s="188" t="s">
        <v>660</v>
      </c>
      <c r="D202" s="188">
        <v>1</v>
      </c>
      <c r="E202" s="188">
        <v>2001</v>
      </c>
      <c r="G202" s="291"/>
      <c r="H202" s="197"/>
      <c r="K202" s="295">
        <v>1.8992833499373418E-2</v>
      </c>
      <c r="L202" s="197">
        <f t="shared" si="30"/>
        <v>1.754565917392914E-2</v>
      </c>
      <c r="M202" s="197">
        <f t="shared" si="29"/>
        <v>1.4064904063861183E-2</v>
      </c>
      <c r="N202" s="197">
        <f t="shared" si="31"/>
        <v>1.1108994461870858E-2</v>
      </c>
      <c r="O202" s="197">
        <f t="shared" ref="O202:O240" si="32">AVERAGE(K195:K202)</f>
        <v>1.9188703092603246E-2</v>
      </c>
    </row>
    <row r="203" spans="1:16" outlineLevel="1" x14ac:dyDescent="0.15">
      <c r="A203" s="585"/>
      <c r="B203" s="194">
        <v>2003</v>
      </c>
      <c r="C203" s="188" t="s">
        <v>661</v>
      </c>
      <c r="D203" s="188">
        <v>2</v>
      </c>
      <c r="E203" s="188">
        <v>2002</v>
      </c>
      <c r="G203" s="291"/>
      <c r="H203" s="197"/>
      <c r="K203" s="295">
        <v>2.7311719439889082E-2</v>
      </c>
      <c r="L203" s="197">
        <f t="shared" si="30"/>
        <v>2.315227646963125E-2</v>
      </c>
      <c r="M203" s="197">
        <f t="shared" si="29"/>
        <v>2.0801012595915786E-2</v>
      </c>
      <c r="N203" s="197">
        <f t="shared" si="31"/>
        <v>1.7376607907868158E-2</v>
      </c>
      <c r="O203" s="197">
        <f t="shared" si="32"/>
        <v>2.2680558206593482E-2</v>
      </c>
    </row>
    <row r="204" spans="1:16" outlineLevel="1" x14ac:dyDescent="0.15">
      <c r="A204" s="585"/>
      <c r="B204" s="194">
        <v>2004</v>
      </c>
      <c r="C204" s="188" t="s">
        <v>662</v>
      </c>
      <c r="D204" s="188">
        <v>2</v>
      </c>
      <c r="E204" s="188">
        <v>2003</v>
      </c>
      <c r="H204" s="197"/>
      <c r="K204" s="295">
        <v>5.6793761895990169E-3</v>
      </c>
      <c r="L204" s="197">
        <f t="shared" si="30"/>
        <v>1.6495547814744049E-2</v>
      </c>
      <c r="M204" s="197">
        <f t="shared" si="29"/>
        <v>1.7327976376287173E-2</v>
      </c>
      <c r="N204" s="197">
        <f t="shared" si="31"/>
        <v>1.7020603494336595E-2</v>
      </c>
      <c r="O204" s="197">
        <f t="shared" si="32"/>
        <v>2.3220848834731272E-2</v>
      </c>
    </row>
    <row r="205" spans="1:16" outlineLevel="1" x14ac:dyDescent="0.15">
      <c r="A205" s="585"/>
      <c r="B205" s="194">
        <v>2004</v>
      </c>
      <c r="C205" s="188" t="s">
        <v>663</v>
      </c>
      <c r="D205" s="188">
        <v>2</v>
      </c>
      <c r="E205" s="188">
        <v>2004</v>
      </c>
      <c r="K205" s="295">
        <v>2.0574498611068748E-2</v>
      </c>
      <c r="L205" s="197">
        <f>AVERAGE(K204:K205)</f>
        <v>1.3126937400333882E-2</v>
      </c>
      <c r="M205" s="197">
        <f t="shared" si="29"/>
        <v>1.7855198080185614E-2</v>
      </c>
      <c r="N205" s="197">
        <f t="shared" si="31"/>
        <v>1.8139606934982566E-2</v>
      </c>
      <c r="O205" s="197">
        <f t="shared" si="32"/>
        <v>1.9076120248361222E-2</v>
      </c>
    </row>
    <row r="206" spans="1:16" outlineLevel="1" x14ac:dyDescent="0.15">
      <c r="A206" s="585"/>
      <c r="B206" s="194">
        <v>2005</v>
      </c>
      <c r="C206" s="188" t="s">
        <v>664</v>
      </c>
      <c r="D206" s="188">
        <v>2</v>
      </c>
      <c r="E206" s="188">
        <v>2005</v>
      </c>
      <c r="K206" s="295">
        <v>6.9482248078245989E-2</v>
      </c>
      <c r="L206" s="197">
        <f t="shared" si="30"/>
        <v>4.5028373344657369E-2</v>
      </c>
      <c r="M206" s="197">
        <f t="shared" si="29"/>
        <v>3.191204095963792E-2</v>
      </c>
      <c r="N206" s="197">
        <f t="shared" si="31"/>
        <v>3.0761960579700709E-2</v>
      </c>
      <c r="O206" s="197">
        <f t="shared" si="32"/>
        <v>2.0935477520785784E-2</v>
      </c>
      <c r="P206" s="197">
        <f t="shared" ref="P206:P240" si="33">AVERAGE(K195:K206)</f>
        <v>2.30464555883024E-2</v>
      </c>
    </row>
    <row r="207" spans="1:16" outlineLevel="1" x14ac:dyDescent="0.15">
      <c r="A207" s="585"/>
      <c r="B207" s="194">
        <v>2005</v>
      </c>
      <c r="C207" s="188" t="s">
        <v>665</v>
      </c>
      <c r="D207" s="188">
        <v>1</v>
      </c>
      <c r="E207" s="188">
        <v>2006</v>
      </c>
      <c r="K207" s="295">
        <v>1.4179438415930168E-2</v>
      </c>
      <c r="L207" s="197">
        <f t="shared" si="30"/>
        <v>4.1830843247088079E-2</v>
      </c>
      <c r="M207" s="197">
        <f t="shared" si="29"/>
        <v>3.4745395035081637E-2</v>
      </c>
      <c r="N207" s="197">
        <f t="shared" si="31"/>
        <v>2.7478890323710981E-2</v>
      </c>
      <c r="O207" s="197">
        <f t="shared" si="32"/>
        <v>2.2427749115789569E-2</v>
      </c>
      <c r="P207" s="197">
        <f t="shared" si="33"/>
        <v>2.4280002245632648E-2</v>
      </c>
    </row>
    <row r="208" spans="1:16" outlineLevel="1" x14ac:dyDescent="0.15">
      <c r="A208" s="585"/>
      <c r="B208" s="194">
        <v>2006</v>
      </c>
      <c r="C208" s="188" t="s">
        <v>666</v>
      </c>
      <c r="D208" s="188">
        <v>0</v>
      </c>
      <c r="E208" s="188">
        <v>2007</v>
      </c>
      <c r="K208" s="295">
        <v>0.14411383503846897</v>
      </c>
      <c r="L208" s="197">
        <f t="shared" si="30"/>
        <v>7.9146636727199571E-2</v>
      </c>
      <c r="M208" s="197">
        <f t="shared" si="29"/>
        <v>7.5925173844215044E-2</v>
      </c>
      <c r="N208" s="197">
        <f t="shared" si="31"/>
        <v>6.208750503592847E-2</v>
      </c>
      <c r="O208" s="197">
        <f t="shared" si="32"/>
        <v>3.9554054265132532E-2</v>
      </c>
      <c r="P208" s="197">
        <f t="shared" si="33"/>
        <v>3.6176400901797003E-2</v>
      </c>
    </row>
    <row r="209" spans="1:16" outlineLevel="1" x14ac:dyDescent="0.15">
      <c r="A209" s="585"/>
      <c r="B209" s="194">
        <v>2008</v>
      </c>
      <c r="C209" s="188" t="s">
        <v>667</v>
      </c>
      <c r="D209" s="188">
        <v>1</v>
      </c>
      <c r="E209" s="188">
        <v>2008</v>
      </c>
      <c r="K209" s="295">
        <v>5.0856853623852061E-2</v>
      </c>
      <c r="L209" s="197">
        <f t="shared" si="30"/>
        <v>9.7485344331160517E-2</v>
      </c>
      <c r="M209" s="197">
        <f t="shared" si="29"/>
        <v>6.9716709026083734E-2</v>
      </c>
      <c r="N209" s="197">
        <f t="shared" si="31"/>
        <v>6.9658093789124298E-2</v>
      </c>
      <c r="O209" s="197">
        <f t="shared" si="32"/>
        <v>4.3898850362053432E-2</v>
      </c>
      <c r="P209" s="197">
        <f t="shared" si="33"/>
        <v>3.593677809528225E-2</v>
      </c>
    </row>
    <row r="210" spans="1:16" outlineLevel="1" x14ac:dyDescent="0.15">
      <c r="A210" s="585"/>
      <c r="B210" s="194">
        <v>2009</v>
      </c>
      <c r="C210" s="188" t="s">
        <v>668</v>
      </c>
      <c r="D210" s="188">
        <v>1</v>
      </c>
      <c r="E210" s="188">
        <v>2009</v>
      </c>
      <c r="K210" s="295">
        <v>2.1284891855317678E-2</v>
      </c>
      <c r="L210" s="197">
        <f t="shared" si="30"/>
        <v>3.6070872739584869E-2</v>
      </c>
      <c r="M210" s="197">
        <f t="shared" si="29"/>
        <v>7.2085193505879566E-2</v>
      </c>
      <c r="N210" s="197">
        <f t="shared" si="31"/>
        <v>5.760875473339222E-2</v>
      </c>
      <c r="O210" s="197">
        <f t="shared" si="32"/>
        <v>4.4185357656546465E-2</v>
      </c>
      <c r="P210" s="197">
        <f t="shared" si="33"/>
        <v>3.3159903258321265E-2</v>
      </c>
    </row>
    <row r="211" spans="1:16" outlineLevel="1" x14ac:dyDescent="0.15">
      <c r="A211" s="585"/>
      <c r="B211" s="194">
        <v>2010</v>
      </c>
      <c r="C211" s="188" t="s">
        <v>669</v>
      </c>
      <c r="D211" s="188">
        <v>1</v>
      </c>
      <c r="E211" s="188">
        <v>2010</v>
      </c>
      <c r="K211" s="295">
        <v>4.3973319558919366E-2</v>
      </c>
      <c r="L211" s="197">
        <f t="shared" si="30"/>
        <v>3.2629105707118522E-2</v>
      </c>
      <c r="M211" s="197">
        <f t="shared" si="29"/>
        <v>3.8705021679363037E-2</v>
      </c>
      <c r="N211" s="197">
        <f t="shared" si="31"/>
        <v>6.505722501913952E-2</v>
      </c>
      <c r="O211" s="197">
        <f t="shared" si="32"/>
        <v>4.626805767142525E-2</v>
      </c>
      <c r="P211" s="197">
        <f t="shared" si="33"/>
        <v>3.6637574416906217E-2</v>
      </c>
    </row>
    <row r="212" spans="1:16" outlineLevel="1" x14ac:dyDescent="0.15">
      <c r="A212" s="585"/>
      <c r="B212" s="194">
        <v>2011</v>
      </c>
      <c r="C212" s="188" t="s">
        <v>670</v>
      </c>
      <c r="D212" s="188">
        <v>1</v>
      </c>
      <c r="E212" s="188">
        <v>2011</v>
      </c>
      <c r="K212" s="295">
        <v>-3.8722168441432947E-3</v>
      </c>
      <c r="L212" s="197">
        <f t="shared" si="30"/>
        <v>2.0050551357388036E-2</v>
      </c>
      <c r="M212" s="197">
        <f t="shared" si="29"/>
        <v>2.046199819003125E-2</v>
      </c>
      <c r="N212" s="197">
        <f t="shared" si="31"/>
        <v>2.8060712048486453E-2</v>
      </c>
      <c r="O212" s="197">
        <f t="shared" si="32"/>
        <v>4.5074108542207461E-2</v>
      </c>
      <c r="P212" s="197">
        <f t="shared" si="33"/>
        <v>3.572294019291717E-2</v>
      </c>
    </row>
    <row r="213" spans="1:16" outlineLevel="1" x14ac:dyDescent="0.15">
      <c r="A213" s="585"/>
      <c r="B213" s="194">
        <v>2012</v>
      </c>
      <c r="C213" s="188" t="s">
        <v>671</v>
      </c>
      <c r="D213" s="188">
        <v>1</v>
      </c>
      <c r="E213" s="188">
        <v>2012</v>
      </c>
      <c r="K213" s="295">
        <v>2.6303854875283417E-2</v>
      </c>
      <c r="L213" s="197">
        <f t="shared" si="30"/>
        <v>1.1215819015570061E-2</v>
      </c>
      <c r="M213" s="197">
        <f t="shared" si="29"/>
        <v>2.2134985863353163E-2</v>
      </c>
      <c r="N213" s="197">
        <f t="shared" si="31"/>
        <v>2.1922462361344291E-2</v>
      </c>
      <c r="O213" s="197">
        <f t="shared" si="32"/>
        <v>4.5790278075234295E-2</v>
      </c>
      <c r="P213" s="197">
        <f t="shared" si="33"/>
        <v>3.6573387695150388E-2</v>
      </c>
    </row>
    <row r="214" spans="1:16" outlineLevel="1" x14ac:dyDescent="0.15">
      <c r="A214" s="585"/>
      <c r="B214" s="194">
        <v>2014</v>
      </c>
      <c r="C214" s="188" t="s">
        <v>672</v>
      </c>
      <c r="D214" s="188">
        <v>0</v>
      </c>
      <c r="E214" s="188">
        <v>2013</v>
      </c>
      <c r="K214" s="295">
        <v>2.5250931128085297E-2</v>
      </c>
      <c r="L214" s="197">
        <f t="shared" si="30"/>
        <v>2.5777393001684357E-2</v>
      </c>
      <c r="M214" s="197">
        <f t="shared" si="29"/>
        <v>1.5894189719741807E-2</v>
      </c>
      <c r="N214" s="197">
        <f t="shared" si="31"/>
        <v>2.2913972179536196E-2</v>
      </c>
      <c r="O214" s="197">
        <f t="shared" si="32"/>
        <v>4.0261363456464208E-2</v>
      </c>
      <c r="P214" s="197">
        <f t="shared" si="33"/>
        <v>3.7094895830876377E-2</v>
      </c>
    </row>
    <row r="215" spans="1:16" outlineLevel="1" x14ac:dyDescent="0.15">
      <c r="A215" s="585"/>
      <c r="B215" s="194">
        <v>2014</v>
      </c>
      <c r="C215" s="188" t="s">
        <v>673</v>
      </c>
      <c r="D215" s="188">
        <v>2</v>
      </c>
      <c r="E215" s="188">
        <v>2014</v>
      </c>
      <c r="K215" s="295">
        <v>2.7297169714508573E-2</v>
      </c>
      <c r="L215" s="197">
        <f t="shared" si="30"/>
        <v>2.6274050421296935E-2</v>
      </c>
      <c r="M215" s="197">
        <f t="shared" si="29"/>
        <v>2.6283985239292429E-2</v>
      </c>
      <c r="N215" s="197">
        <f t="shared" si="31"/>
        <v>1.8744934718433498E-2</v>
      </c>
      <c r="O215" s="197">
        <f t="shared" si="32"/>
        <v>4.1901079868786509E-2</v>
      </c>
      <c r="P215" s="197">
        <f t="shared" si="33"/>
        <v>3.7093683353761335E-2</v>
      </c>
    </row>
    <row r="216" spans="1:16" outlineLevel="1" x14ac:dyDescent="0.15">
      <c r="A216" s="585"/>
      <c r="B216" s="194">
        <v>2015</v>
      </c>
      <c r="C216" s="188" t="s">
        <v>674</v>
      </c>
      <c r="D216" s="188">
        <v>1</v>
      </c>
      <c r="E216" s="188">
        <v>2015</v>
      </c>
      <c r="K216" s="295">
        <v>5.3743032385671352E-3</v>
      </c>
      <c r="L216" s="197">
        <f t="shared" si="30"/>
        <v>1.6335736476537854E-2</v>
      </c>
      <c r="M216" s="197">
        <f t="shared" si="29"/>
        <v>1.930746802705367E-2</v>
      </c>
      <c r="N216" s="197">
        <f t="shared" si="31"/>
        <v>2.1056564739111105E-2</v>
      </c>
      <c r="O216" s="197">
        <f t="shared" si="32"/>
        <v>2.4558638393798779E-2</v>
      </c>
      <c r="P216" s="197">
        <f t="shared" si="33"/>
        <v>3.7068260607842012E-2</v>
      </c>
    </row>
    <row r="217" spans="1:16" outlineLevel="1" x14ac:dyDescent="0.15">
      <c r="A217" s="585"/>
      <c r="B217" s="194">
        <v>2017</v>
      </c>
      <c r="C217" s="188" t="s">
        <v>675</v>
      </c>
      <c r="D217" s="188">
        <v>0</v>
      </c>
      <c r="E217" s="188">
        <v>2016</v>
      </c>
      <c r="K217" s="295">
        <v>3.4557450021859282E-2</v>
      </c>
      <c r="L217" s="197">
        <f t="shared" si="30"/>
        <v>1.9965876630213208E-2</v>
      </c>
      <c r="M217" s="197">
        <f t="shared" si="29"/>
        <v>2.2409640991644997E-2</v>
      </c>
      <c r="N217" s="197">
        <f t="shared" si="31"/>
        <v>2.3119963525755072E-2</v>
      </c>
      <c r="O217" s="197">
        <f t="shared" si="32"/>
        <v>2.2521212943549682E-2</v>
      </c>
      <c r="P217" s="197">
        <f t="shared" si="33"/>
        <v>3.823350655874122E-2</v>
      </c>
    </row>
    <row r="218" spans="1:16" outlineLevel="1" x14ac:dyDescent="0.15">
      <c r="A218" s="585"/>
      <c r="B218" s="194">
        <v>2019</v>
      </c>
      <c r="C218" s="188" t="s">
        <v>676</v>
      </c>
      <c r="D218" s="188">
        <v>1</v>
      </c>
      <c r="E218" s="188">
        <v>2017</v>
      </c>
      <c r="K218" s="295">
        <v>6.0064155509882644E-2</v>
      </c>
      <c r="L218" s="197">
        <f t="shared" si="30"/>
        <v>4.7310802765870963E-2</v>
      </c>
      <c r="M218" s="197">
        <f t="shared" si="29"/>
        <v>3.3331969590103018E-2</v>
      </c>
      <c r="N218" s="197">
        <f t="shared" si="31"/>
        <v>3.1823269621204409E-2</v>
      </c>
      <c r="O218" s="197">
        <f t="shared" si="32"/>
        <v>2.7368620900370302E-2</v>
      </c>
      <c r="P218" s="197">
        <f t="shared" si="33"/>
        <v>3.7448665511377606E-2</v>
      </c>
    </row>
    <row r="219" spans="1:16" outlineLevel="1" x14ac:dyDescent="0.15">
      <c r="A219" s="585"/>
      <c r="B219" s="194">
        <v>2019</v>
      </c>
      <c r="C219" s="188" t="s">
        <v>677</v>
      </c>
      <c r="D219" s="188">
        <v>0</v>
      </c>
      <c r="E219" s="188">
        <v>2018</v>
      </c>
      <c r="K219" s="295">
        <v>1.6271653257954544E-2</v>
      </c>
      <c r="L219" s="197">
        <f t="shared" si="30"/>
        <v>3.8167904383918594E-2</v>
      </c>
      <c r="M219" s="197">
        <f t="shared" si="29"/>
        <v>3.696441959656549E-2</v>
      </c>
      <c r="N219" s="197">
        <f t="shared" si="31"/>
        <v>2.9066890507065901E-2</v>
      </c>
      <c r="O219" s="197">
        <f t="shared" si="32"/>
        <v>2.39059126127497E-2</v>
      </c>
      <c r="P219" s="197">
        <f t="shared" si="33"/>
        <v>3.7623016748212973E-2</v>
      </c>
    </row>
    <row r="220" spans="1:16" outlineLevel="1" x14ac:dyDescent="0.15">
      <c r="A220" s="585"/>
      <c r="B220" s="194">
        <v>2019</v>
      </c>
      <c r="C220" s="188" t="s">
        <v>678</v>
      </c>
      <c r="D220" s="188">
        <v>4</v>
      </c>
      <c r="E220" s="188">
        <v>2019</v>
      </c>
      <c r="K220" s="295">
        <v>8.3799878757622182E-3</v>
      </c>
      <c r="L220" s="197">
        <f t="shared" si="30"/>
        <v>1.2325820566858381E-2</v>
      </c>
      <c r="M220" s="197">
        <f t="shared" si="29"/>
        <v>2.8238598881199801E-2</v>
      </c>
      <c r="N220" s="197">
        <f t="shared" si="31"/>
        <v>2.9818311666364672E-2</v>
      </c>
      <c r="O220" s="197">
        <f t="shared" si="32"/>
        <v>2.5437438202737889E-2</v>
      </c>
      <c r="P220" s="197">
        <f t="shared" si="33"/>
        <v>2.6311862817987409E-2</v>
      </c>
    </row>
    <row r="221" spans="1:16" outlineLevel="1" x14ac:dyDescent="0.15">
      <c r="A221" s="585"/>
      <c r="B221" s="194">
        <v>2019</v>
      </c>
      <c r="C221" s="188" t="s">
        <v>679</v>
      </c>
      <c r="D221" s="188">
        <v>0</v>
      </c>
      <c r="E221" s="188">
        <v>2020</v>
      </c>
      <c r="K221" s="295">
        <v>3.2905438857061986E-2</v>
      </c>
      <c r="L221" s="197">
        <f t="shared" si="30"/>
        <v>2.0642713366412102E-2</v>
      </c>
      <c r="M221" s="197">
        <f t="shared" si="29"/>
        <v>1.9185693330259584E-2</v>
      </c>
      <c r="N221" s="197">
        <f t="shared" si="31"/>
        <v>2.9405308875165348E-2</v>
      </c>
      <c r="O221" s="197">
        <f t="shared" si="32"/>
        <v>2.626263620046021E-2</v>
      </c>
      <c r="P221" s="197">
        <f t="shared" si="33"/>
        <v>2.4815911587421569E-2</v>
      </c>
    </row>
    <row r="222" spans="1:16" outlineLevel="1" x14ac:dyDescent="0.15">
      <c r="A222" s="585"/>
      <c r="B222" s="194">
        <v>2022</v>
      </c>
      <c r="C222" s="188" t="s">
        <v>680</v>
      </c>
      <c r="D222" s="188">
        <v>0</v>
      </c>
      <c r="E222" s="188">
        <v>2021</v>
      </c>
      <c r="K222" s="295">
        <v>3.2370714004485102E-2</v>
      </c>
      <c r="L222" s="197">
        <f t="shared" si="30"/>
        <v>3.2638076430773544E-2</v>
      </c>
      <c r="M222" s="197">
        <f t="shared" si="29"/>
        <v>2.4552046912436436E-2</v>
      </c>
      <c r="N222" s="197">
        <f t="shared" si="31"/>
        <v>2.2481948498815962E-2</v>
      </c>
      <c r="O222" s="197">
        <f t="shared" si="32"/>
        <v>2.7152609060010185E-2</v>
      </c>
      <c r="P222" s="197">
        <f t="shared" si="33"/>
        <v>2.5739730099852188E-2</v>
      </c>
    </row>
    <row r="223" spans="1:16" outlineLevel="1" x14ac:dyDescent="0.15">
      <c r="A223" s="585"/>
      <c r="B223" s="194">
        <v>2022</v>
      </c>
      <c r="C223" s="188" t="s">
        <v>681</v>
      </c>
      <c r="D223" s="188">
        <v>2</v>
      </c>
      <c r="E223" s="188">
        <v>2022</v>
      </c>
      <c r="K223" s="295">
        <v>4.7589042913045443E-3</v>
      </c>
      <c r="L223" s="197">
        <f t="shared" si="30"/>
        <v>1.8564809147894823E-2</v>
      </c>
      <c r="M223" s="197">
        <f t="shared" si="29"/>
        <v>2.3345019050950544E-2</v>
      </c>
      <c r="N223" s="197">
        <f t="shared" si="31"/>
        <v>1.9603761257153463E-2</v>
      </c>
      <c r="O223" s="197">
        <f t="shared" si="32"/>
        <v>2.4335325882109682E-2</v>
      </c>
      <c r="P223" s="197">
        <f t="shared" si="33"/>
        <v>2.2471862160884287E-2</v>
      </c>
    </row>
    <row r="224" spans="1:16" outlineLevel="1" x14ac:dyDescent="0.15">
      <c r="A224" s="585"/>
      <c r="B224" s="194">
        <v>2022</v>
      </c>
      <c r="C224" s="188" t="s">
        <v>682</v>
      </c>
      <c r="D224" s="188">
        <v>2</v>
      </c>
      <c r="E224" s="188">
        <v>2023</v>
      </c>
      <c r="K224" s="295">
        <v>-4.0267348791154234E-3</v>
      </c>
      <c r="L224" s="197">
        <f t="shared" si="30"/>
        <v>3.6608470609456045E-4</v>
      </c>
      <c r="M224" s="197">
        <f t="shared" si="29"/>
        <v>1.103429447222474E-2</v>
      </c>
      <c r="N224" s="197">
        <f t="shared" si="31"/>
        <v>1.6502080568434052E-2</v>
      </c>
      <c r="O224" s="197">
        <f t="shared" si="32"/>
        <v>2.3160196117399362E-2</v>
      </c>
      <c r="P224" s="197">
        <f t="shared" si="33"/>
        <v>2.2458985657969943E-2</v>
      </c>
    </row>
    <row r="225" spans="1:16" outlineLevel="1" x14ac:dyDescent="0.15">
      <c r="A225" s="585"/>
      <c r="B225" s="194">
        <v>2023</v>
      </c>
      <c r="C225" s="188" t="s">
        <v>683</v>
      </c>
      <c r="K225" s="295">
        <v>9.113353548408476E-3</v>
      </c>
      <c r="L225" s="197">
        <f t="shared" si="30"/>
        <v>2.5433093346465263E-3</v>
      </c>
      <c r="M225" s="197">
        <f t="shared" si="29"/>
        <v>3.2818409868658658E-3</v>
      </c>
      <c r="N225" s="197">
        <f t="shared" si="31"/>
        <v>1.0554059241270675E-2</v>
      </c>
      <c r="O225" s="197">
        <f t="shared" si="32"/>
        <v>1.9979684058218011E-2</v>
      </c>
      <c r="P225" s="197">
        <f t="shared" si="33"/>
        <v>2.1026443880730366E-2</v>
      </c>
    </row>
    <row r="226" spans="1:16" outlineLevel="1" x14ac:dyDescent="0.15">
      <c r="A226" s="585"/>
      <c r="B226" s="194">
        <v>2023</v>
      </c>
      <c r="C226" s="188" t="s">
        <v>684</v>
      </c>
      <c r="K226" s="295">
        <v>5.7798722516871681E-2</v>
      </c>
      <c r="L226" s="197">
        <f t="shared" si="30"/>
        <v>3.3456038032640079E-2</v>
      </c>
      <c r="M226" s="197">
        <f t="shared" si="29"/>
        <v>2.0961780395388246E-2</v>
      </c>
      <c r="N226" s="197">
        <f t="shared" si="31"/>
        <v>1.691106136936732E-2</v>
      </c>
      <c r="O226" s="197">
        <f t="shared" si="32"/>
        <v>1.9696504934091641E-2</v>
      </c>
      <c r="P226" s="197">
        <f t="shared" si="33"/>
        <v>2.3738759829795897E-2</v>
      </c>
    </row>
    <row r="227" spans="1:16" outlineLevel="1" x14ac:dyDescent="0.15">
      <c r="A227" s="585"/>
      <c r="K227" s="295">
        <v>-3.5438754443426812E-2</v>
      </c>
      <c r="L227" s="197">
        <f t="shared" si="30"/>
        <v>1.1179984036722435E-2</v>
      </c>
      <c r="M227" s="197">
        <f t="shared" si="29"/>
        <v>1.0491107207284448E-2</v>
      </c>
      <c r="N227" s="197">
        <f t="shared" si="31"/>
        <v>6.8616466856844804E-3</v>
      </c>
      <c r="O227" s="197">
        <f t="shared" si="32"/>
        <v>1.3232703971418971E-2</v>
      </c>
      <c r="P227" s="197">
        <f t="shared" si="33"/>
        <v>1.8510766149967949E-2</v>
      </c>
    </row>
    <row r="228" spans="1:16" outlineLevel="1" collapsed="1" x14ac:dyDescent="0.15">
      <c r="A228" s="585"/>
      <c r="K228" s="295">
        <v>4.7909491776368718E-2</v>
      </c>
      <c r="L228" s="197">
        <f t="shared" si="30"/>
        <v>6.2353686664709529E-3</v>
      </c>
      <c r="M228" s="197">
        <f t="shared" si="29"/>
        <v>2.3423153283271197E-2</v>
      </c>
      <c r="N228" s="197">
        <f t="shared" si="31"/>
        <v>1.9845703349555516E-2</v>
      </c>
      <c r="O228" s="197">
        <f t="shared" si="32"/>
        <v>1.8173891958994784E-2</v>
      </c>
      <c r="P228" s="197">
        <f t="shared" si="33"/>
        <v>2.2055365194784748E-2</v>
      </c>
    </row>
    <row r="229" spans="1:16" outlineLevel="1" x14ac:dyDescent="0.15">
      <c r="A229" s="585"/>
      <c r="K229" s="295">
        <v>5.4058204714735325E-3</v>
      </c>
      <c r="L229" s="197">
        <f t="shared" si="30"/>
        <v>2.6657656123921125E-2</v>
      </c>
      <c r="M229" s="197">
        <f t="shared" si="29"/>
        <v>5.9588526014718131E-3</v>
      </c>
      <c r="N229" s="197">
        <f t="shared" si="31"/>
        <v>1.891882008032178E-2</v>
      </c>
      <c r="O229" s="197">
        <f t="shared" si="32"/>
        <v>1.4736439660796227E-2</v>
      </c>
      <c r="P229" s="197">
        <f t="shared" si="33"/>
        <v>1.9626062732252602E-2</v>
      </c>
    </row>
    <row r="230" spans="1:16" outlineLevel="1" x14ac:dyDescent="0.15">
      <c r="A230" s="585"/>
      <c r="K230" s="295">
        <v>7.2234866421250432E-2</v>
      </c>
      <c r="L230" s="197">
        <f t="shared" si="30"/>
        <v>3.8820343446361982E-2</v>
      </c>
      <c r="M230" s="197">
        <f t="shared" si="29"/>
        <v>4.1850059556364227E-2</v>
      </c>
      <c r="N230" s="197">
        <f t="shared" si="31"/>
        <v>2.2527856056416468E-2</v>
      </c>
      <c r="O230" s="197">
        <f t="shared" si="32"/>
        <v>1.9719458712891894E-2</v>
      </c>
      <c r="P230" s="197">
        <f t="shared" si="33"/>
        <v>2.064028864153325E-2</v>
      </c>
    </row>
    <row r="231" spans="1:16" outlineLevel="1" x14ac:dyDescent="0.15">
      <c r="A231" s="585"/>
      <c r="K231" s="295">
        <v>1.6026554219613631E-2</v>
      </c>
      <c r="L231" s="197">
        <f t="shared" si="30"/>
        <v>4.4130710320432032E-2</v>
      </c>
      <c r="M231" s="197">
        <f t="shared" si="29"/>
        <v>3.1222413704112533E-2</v>
      </c>
      <c r="N231" s="197">
        <f t="shared" si="31"/>
        <v>3.5394183222176578E-2</v>
      </c>
      <c r="O231" s="197">
        <f t="shared" si="32"/>
        <v>2.1127914953930529E-2</v>
      </c>
      <c r="P231" s="197">
        <f t="shared" si="33"/>
        <v>2.0619863721671506E-2</v>
      </c>
    </row>
    <row r="232" spans="1:16" outlineLevel="1" x14ac:dyDescent="0.15">
      <c r="A232" s="585"/>
      <c r="K232" s="295">
        <v>1.4245453653201734E-2</v>
      </c>
      <c r="L232" s="197">
        <f t="shared" si="30"/>
        <v>1.5136003936407683E-2</v>
      </c>
      <c r="M232" s="197">
        <f t="shared" si="29"/>
        <v>3.416895809802193E-2</v>
      </c>
      <c r="N232" s="197">
        <f t="shared" si="31"/>
        <v>2.6978173691384832E-2</v>
      </c>
      <c r="O232" s="197">
        <f t="shared" si="32"/>
        <v>2.3411938520470174E-2</v>
      </c>
      <c r="P232" s="197">
        <f t="shared" si="33"/>
        <v>2.1108652536458133E-2</v>
      </c>
    </row>
    <row r="233" spans="1:16" outlineLevel="1" x14ac:dyDescent="0.15">
      <c r="A233" s="585"/>
      <c r="K233" s="295">
        <v>1.9436802742718085E-2</v>
      </c>
      <c r="L233" s="197">
        <f t="shared" si="30"/>
        <v>1.6841128197959909E-2</v>
      </c>
      <c r="M233" s="197">
        <f t="shared" si="29"/>
        <v>1.6569603538511151E-2</v>
      </c>
      <c r="N233" s="197">
        <f t="shared" si="31"/>
        <v>3.048591925919597E-2</v>
      </c>
      <c r="O233" s="197">
        <f t="shared" si="32"/>
        <v>2.4702369669758875E-2</v>
      </c>
      <c r="P233" s="197">
        <f t="shared" si="33"/>
        <v>1.9986266193596142E-2</v>
      </c>
    </row>
    <row r="234" spans="1:16" outlineLevel="1" x14ac:dyDescent="0.15">
      <c r="A234" s="585"/>
      <c r="K234" s="295">
        <v>8.6869262167256656E-2</v>
      </c>
      <c r="L234" s="197">
        <f t="shared" si="30"/>
        <v>5.315303245498737E-2</v>
      </c>
      <c r="M234" s="197">
        <f t="shared" si="29"/>
        <v>4.0183839521058827E-2</v>
      </c>
      <c r="N234" s="197">
        <f t="shared" si="31"/>
        <v>3.4144518195697526E-2</v>
      </c>
      <c r="O234" s="197">
        <f t="shared" si="32"/>
        <v>2.8336187126056997E-2</v>
      </c>
      <c r="P234" s="197">
        <f t="shared" si="33"/>
        <v>2.4527811873827104E-2</v>
      </c>
    </row>
    <row r="235" spans="1:16" outlineLevel="1" x14ac:dyDescent="0.15">
      <c r="A235" s="585"/>
      <c r="K235" s="295">
        <v>2.2832474516214507E-3</v>
      </c>
      <c r="L235" s="197">
        <f t="shared" si="30"/>
        <v>4.4576254809439053E-2</v>
      </c>
      <c r="M235" s="197">
        <f t="shared" si="29"/>
        <v>3.6196437453865395E-2</v>
      </c>
      <c r="N235" s="197">
        <f t="shared" si="31"/>
        <v>3.0708691503699481E-2</v>
      </c>
      <c r="O235" s="197">
        <f t="shared" si="32"/>
        <v>3.305143736293803E-2</v>
      </c>
      <c r="P235" s="197">
        <f t="shared" si="33"/>
        <v>2.4321507137186848E-2</v>
      </c>
    </row>
    <row r="236" spans="1:16" outlineLevel="1" x14ac:dyDescent="0.15">
      <c r="A236" s="585"/>
      <c r="K236" s="295">
        <v>6.9959667380370405E-3</v>
      </c>
      <c r="L236" s="197">
        <f t="shared" si="30"/>
        <v>4.6396070948292456E-3</v>
      </c>
      <c r="M236" s="197">
        <f t="shared" si="29"/>
        <v>3.2049492118971713E-2</v>
      </c>
      <c r="N236" s="197">
        <f t="shared" si="31"/>
        <v>2.8896319774908308E-2</v>
      </c>
      <c r="O236" s="197">
        <f t="shared" si="32"/>
        <v>2.793724673314657E-2</v>
      </c>
      <c r="P236" s="197">
        <f t="shared" si="33"/>
        <v>2.5240065605282885E-2</v>
      </c>
    </row>
    <row r="237" spans="1:16" outlineLevel="1" x14ac:dyDescent="0.15">
      <c r="A237" s="585"/>
      <c r="K237" s="295">
        <v>2.3400993893242905E-2</v>
      </c>
      <c r="L237" s="197">
        <f t="shared" si="30"/>
        <v>1.5198480315639973E-2</v>
      </c>
      <c r="M237" s="197">
        <f t="shared" si="29"/>
        <v>1.0893402694300466E-2</v>
      </c>
      <c r="N237" s="197">
        <f t="shared" si="31"/>
        <v>2.9887367562539513E-2</v>
      </c>
      <c r="O237" s="197">
        <f t="shared" si="32"/>
        <v>3.0186643410867742E-2</v>
      </c>
      <c r="P237" s="197">
        <f t="shared" si="33"/>
        <v>2.6430702300685754E-2</v>
      </c>
    </row>
    <row r="238" spans="1:16" outlineLevel="1" x14ac:dyDescent="0.15">
      <c r="A238" s="585"/>
      <c r="K238" s="295">
        <v>0.11045212412576855</v>
      </c>
      <c r="L238" s="197">
        <f t="shared" si="30"/>
        <v>6.6926559009505726E-2</v>
      </c>
      <c r="M238" s="197">
        <f t="shared" si="29"/>
        <v>4.6949694919016162E-2</v>
      </c>
      <c r="N238" s="197">
        <f t="shared" si="31"/>
        <v>3.5783083052167486E-2</v>
      </c>
      <c r="O238" s="197">
        <f t="shared" si="32"/>
        <v>3.4963800623932506E-2</v>
      </c>
      <c r="P238" s="197">
        <f t="shared" si="33"/>
        <v>3.0818485768093828E-2</v>
      </c>
    </row>
    <row r="239" spans="1:16" outlineLevel="1" x14ac:dyDescent="0.15">
      <c r="A239" s="585"/>
      <c r="K239" s="295">
        <v>1.0573147251743187E-2</v>
      </c>
      <c r="L239" s="197">
        <f t="shared" si="30"/>
        <v>6.0512635688755867E-2</v>
      </c>
      <c r="M239" s="197">
        <f t="shared" si="29"/>
        <v>4.8142088423584882E-2</v>
      </c>
      <c r="N239" s="197">
        <f t="shared" si="31"/>
        <v>3.785555800219792E-2</v>
      </c>
      <c r="O239" s="197">
        <f t="shared" si="32"/>
        <v>3.4282124752948701E-2</v>
      </c>
      <c r="P239" s="197">
        <f t="shared" si="33"/>
        <v>3.4652810909357991E-2</v>
      </c>
    </row>
    <row r="240" spans="1:16" outlineLevel="1" x14ac:dyDescent="0.15">
      <c r="A240" s="585"/>
      <c r="K240" s="295">
        <v>-5.8340419577408431E-3</v>
      </c>
      <c r="L240" s="197">
        <f>AVERAGE(K239:K240)</f>
        <v>2.3695526470011719E-3</v>
      </c>
      <c r="M240" s="197">
        <f>AVERAGE(K238:K240)</f>
        <v>3.8397076473256964E-2</v>
      </c>
      <c r="N240" s="197">
        <f>AVERAGE(K237:K240)</f>
        <v>3.4648055828253449E-2</v>
      </c>
      <c r="O240" s="197">
        <f t="shared" si="32"/>
        <v>3.1772187801580878E-2</v>
      </c>
      <c r="P240" s="197">
        <f t="shared" si="33"/>
        <v>3.0174183098182195E-2</v>
      </c>
    </row>
    <row r="241" spans="1:20" outlineLevel="1" x14ac:dyDescent="0.15">
      <c r="A241" s="585"/>
      <c r="Q241" s="188" t="s">
        <v>685</v>
      </c>
    </row>
    <row r="242" spans="1:20" outlineLevel="1" x14ac:dyDescent="0.15">
      <c r="A242" s="585"/>
      <c r="K242" s="188" t="s">
        <v>686</v>
      </c>
      <c r="L242" s="197">
        <f>MAX(L196:L240)</f>
        <v>9.7485344331160517E-2</v>
      </c>
      <c r="M242" s="197">
        <f t="shared" ref="M242:N242" si="34">MAX(M196:M240)</f>
        <v>7.5925173844215044E-2</v>
      </c>
      <c r="N242" s="197">
        <f t="shared" si="34"/>
        <v>6.9658093789124298E-2</v>
      </c>
      <c r="O242" s="197">
        <f>MAX(O196:O240)</f>
        <v>4.626805767142525E-2</v>
      </c>
      <c r="P242" s="197">
        <f>MAX(P196:P240)</f>
        <v>3.823350655874122E-2</v>
      </c>
      <c r="Q242" s="197">
        <f>AVERAGE(L242:P242)</f>
        <v>6.551403523893326E-2</v>
      </c>
    </row>
    <row r="243" spans="1:20" outlineLevel="1" x14ac:dyDescent="0.15">
      <c r="A243" s="585"/>
      <c r="K243" s="188" t="s">
        <v>687</v>
      </c>
      <c r="L243" s="197">
        <f>MIN(L196:L240)</f>
        <v>3.6608470609456045E-4</v>
      </c>
      <c r="M243" s="197">
        <f t="shared" ref="M243:N243" si="35">MIN(M196:M240)</f>
        <v>3.2818409868658658E-3</v>
      </c>
      <c r="N243" s="197">
        <f t="shared" si="35"/>
        <v>6.8616466856844804E-3</v>
      </c>
      <c r="O243" s="197">
        <f>MIN(O196:O240)</f>
        <v>1.3232703971418971E-2</v>
      </c>
      <c r="P243" s="197">
        <f>MIN(P196:P240)</f>
        <v>1.8510766149967949E-2</v>
      </c>
      <c r="Q243" s="197">
        <f>AVERAGE(L243:P243)</f>
        <v>8.4506085000063645E-3</v>
      </c>
    </row>
    <row r="244" spans="1:20" outlineLevel="1" x14ac:dyDescent="0.15">
      <c r="A244" s="585"/>
      <c r="K244" s="188" t="s">
        <v>286</v>
      </c>
      <c r="L244" s="197">
        <f>MEDIAN(L196:L240)</f>
        <v>2.315227646963125E-2</v>
      </c>
      <c r="M244" s="197">
        <f t="shared" ref="M244:N244" si="36">MEDIAN(M196:M240)</f>
        <v>2.3987600097853817E-2</v>
      </c>
      <c r="N244" s="197">
        <f t="shared" si="36"/>
        <v>2.7478890323710981E-2</v>
      </c>
      <c r="O244" s="197">
        <f>MEDIAN(O196:O240)</f>
        <v>2.4702369669758875E-2</v>
      </c>
      <c r="P244" s="197">
        <f>MEDIAN(P196:P240)</f>
        <v>2.5739730099852188E-2</v>
      </c>
    </row>
    <row r="245" spans="1:20" outlineLevel="1" x14ac:dyDescent="0.15">
      <c r="A245" s="585"/>
      <c r="K245" s="598" t="s">
        <v>688</v>
      </c>
      <c r="L245" s="599">
        <f>AVERAGE(L196:L240)</f>
        <v>2.8028955753220189E-2</v>
      </c>
      <c r="M245" s="599">
        <f t="shared" ref="M245:N245" si="37">AVERAGE(M196:M240)</f>
        <v>2.8600056136237659E-2</v>
      </c>
      <c r="N245" s="599">
        <f t="shared" si="37"/>
        <v>2.8276885760169356E-2</v>
      </c>
      <c r="O245" s="599">
        <f>AVERAGE(O196:O240)</f>
        <v>2.8063480294408798E-2</v>
      </c>
      <c r="P245" s="599">
        <f>AVERAGE(P196:P240)</f>
        <v>2.8324910254361242E-2</v>
      </c>
      <c r="Q245" s="197">
        <f>AVERAGE(L245:P245)</f>
        <v>2.8258857639679447E-2</v>
      </c>
    </row>
    <row r="246" spans="1:20" outlineLevel="1" x14ac:dyDescent="0.15">
      <c r="A246" s="585"/>
    </row>
    <row r="247" spans="1:20" outlineLevel="1" x14ac:dyDescent="0.15">
      <c r="A247" s="585"/>
      <c r="K247" s="188" t="s">
        <v>689</v>
      </c>
      <c r="M247" s="197">
        <f>AVERAGE(H55,H59,H63,H67,H71,H75,H79,H83,H87,H91,H95)</f>
        <v>0.24389788986601177</v>
      </c>
    </row>
    <row r="248" spans="1:20" outlineLevel="1" x14ac:dyDescent="0.15">
      <c r="A248" s="585"/>
      <c r="K248" s="188" t="s">
        <v>690</v>
      </c>
      <c r="M248" s="197">
        <f>AVERAGE(H56,H60,H64,H68,H72,H76,H80,H84,H88,H92,H96)</f>
        <v>0.24646359001045778</v>
      </c>
    </row>
    <row r="249" spans="1:20" outlineLevel="1" x14ac:dyDescent="0.15">
      <c r="A249" s="585"/>
      <c r="K249" s="188" t="s">
        <v>691</v>
      </c>
      <c r="M249" s="197">
        <f>AVERAGE(H57,H61,H65,H69,H73,H77,H81,H85,H89,H93,H97)</f>
        <v>0.25146874355270676</v>
      </c>
    </row>
    <row r="250" spans="1:20" outlineLevel="1" x14ac:dyDescent="0.15">
      <c r="A250" s="585"/>
      <c r="K250" s="188" t="s">
        <v>692</v>
      </c>
      <c r="M250" s="197">
        <f>AVERAGE(H58,H62,H66,H70,H74,H78,H82,H86,H90,H94,H98)</f>
        <v>0.25816977657082374</v>
      </c>
    </row>
    <row r="251" spans="1:20" outlineLevel="1" x14ac:dyDescent="0.15">
      <c r="A251" s="585"/>
    </row>
    <row r="252" spans="1:20" x14ac:dyDescent="0.15">
      <c r="A252" s="585"/>
    </row>
    <row r="253" spans="1:20" x14ac:dyDescent="0.15">
      <c r="A253" s="585"/>
    </row>
    <row r="254" spans="1:20" ht="13.5" outlineLevel="1" thickBot="1" x14ac:dyDescent="0.2">
      <c r="A254" s="585"/>
      <c r="B254" s="190" t="s">
        <v>693</v>
      </c>
    </row>
    <row r="255" spans="1:20" outlineLevel="1" x14ac:dyDescent="0.15">
      <c r="A255" s="585"/>
      <c r="D255" s="330">
        <v>2023</v>
      </c>
      <c r="E255" s="330">
        <f t="shared" ref="E255:N255" si="38">D255+1</f>
        <v>2024</v>
      </c>
      <c r="F255" s="330">
        <f t="shared" si="38"/>
        <v>2025</v>
      </c>
      <c r="G255" s="331">
        <f t="shared" si="38"/>
        <v>2026</v>
      </c>
      <c r="H255" s="332">
        <f t="shared" si="38"/>
        <v>2027</v>
      </c>
      <c r="I255" s="332">
        <f t="shared" si="38"/>
        <v>2028</v>
      </c>
      <c r="J255" s="332">
        <f t="shared" si="38"/>
        <v>2029</v>
      </c>
      <c r="K255" s="332">
        <f t="shared" si="38"/>
        <v>2030</v>
      </c>
      <c r="L255" s="332">
        <f t="shared" si="38"/>
        <v>2031</v>
      </c>
      <c r="M255" s="332">
        <f t="shared" si="38"/>
        <v>2032</v>
      </c>
      <c r="N255" s="332">
        <f t="shared" si="38"/>
        <v>2033</v>
      </c>
    </row>
    <row r="256" spans="1:20" outlineLevel="1" x14ac:dyDescent="0.15">
      <c r="A256" s="585"/>
      <c r="B256" s="598" t="s">
        <v>694</v>
      </c>
      <c r="C256" s="188" t="s">
        <v>695</v>
      </c>
      <c r="D256" s="301">
        <f>C99</f>
        <v>91931</v>
      </c>
      <c r="E256" s="600">
        <f>D259*(1+Q245)</f>
        <v>97658.696113176411</v>
      </c>
      <c r="F256" s="600">
        <f>E259*(1+$Q$245)</f>
        <v>106174.02937263656</v>
      </c>
      <c r="G256" s="600">
        <f>F259*(1+$Q$245)</f>
        <v>118693.82803135247</v>
      </c>
      <c r="H256" s="600">
        <f t="shared" ref="H256:N256" si="39">G259*(1+$Q$245)</f>
        <v>132689.93270747174</v>
      </c>
      <c r="I256" s="600">
        <f t="shared" si="39"/>
        <v>148336.42602935233</v>
      </c>
      <c r="J256" s="600">
        <f t="shared" si="39"/>
        <v>165827.91805065473</v>
      </c>
      <c r="K256" s="600">
        <f t="shared" si="39"/>
        <v>185381.96679737495</v>
      </c>
      <c r="L256" s="600">
        <f t="shared" si="39"/>
        <v>207241.78424024626</v>
      </c>
      <c r="M256" s="600">
        <f t="shared" si="39"/>
        <v>231679.26134921639</v>
      </c>
      <c r="N256" s="600">
        <f t="shared" si="39"/>
        <v>258998.34985542836</v>
      </c>
      <c r="T256" s="587"/>
    </row>
    <row r="257" spans="1:53" outlineLevel="1" x14ac:dyDescent="0.15">
      <c r="A257" s="585"/>
      <c r="C257" s="188" t="s">
        <v>696</v>
      </c>
      <c r="D257" s="301">
        <f>C100</f>
        <v>92903</v>
      </c>
      <c r="E257" s="600">
        <f>E256*(1+Q245)</f>
        <v>100418.41930391538</v>
      </c>
      <c r="F257" s="600">
        <f>F256*(1+$Q$245)</f>
        <v>109174.38615370904</v>
      </c>
      <c r="G257" s="600">
        <f>G256*(1+$Q$245)</f>
        <v>122047.98002039905</v>
      </c>
      <c r="H257" s="600">
        <f t="shared" ref="H257:N259" si="40">H256*(1+$Q$245)</f>
        <v>136439.59862607083</v>
      </c>
      <c r="I257" s="600">
        <f t="shared" si="40"/>
        <v>152528.24397529464</v>
      </c>
      <c r="J257" s="600">
        <f t="shared" si="40"/>
        <v>170514.02557953261</v>
      </c>
      <c r="K257" s="600">
        <f t="shared" si="40"/>
        <v>190620.64940606573</v>
      </c>
      <c r="L257" s="600">
        <f t="shared" si="40"/>
        <v>213098.20031808453</v>
      </c>
      <c r="M257" s="600">
        <f t="shared" si="40"/>
        <v>238226.25261374997</v>
      </c>
      <c r="N257" s="600">
        <f t="shared" si="40"/>
        <v>266317.34735290479</v>
      </c>
      <c r="T257" s="587"/>
    </row>
    <row r="258" spans="1:53" outlineLevel="1" x14ac:dyDescent="0.15">
      <c r="A258" s="585"/>
      <c r="C258" s="188" t="s">
        <v>697</v>
      </c>
      <c r="D258" s="301">
        <f>C101</f>
        <v>92361</v>
      </c>
      <c r="E258" s="600">
        <f>E257*(1+Q245)</f>
        <v>103256.12911942635</v>
      </c>
      <c r="F258" s="600">
        <f t="shared" ref="F258:G259" si="41">F257*(1+$Q$245)</f>
        <v>112259.5295899261</v>
      </c>
      <c r="G258" s="600">
        <f t="shared" si="41"/>
        <v>125496.91651300594</v>
      </c>
      <c r="H258" s="600">
        <f t="shared" si="40"/>
        <v>140295.22582005998</v>
      </c>
      <c r="I258" s="600">
        <f t="shared" si="40"/>
        <v>156838.51790782277</v>
      </c>
      <c r="J258" s="600">
        <f t="shared" si="40"/>
        <v>175332.55715395327</v>
      </c>
      <c r="K258" s="600">
        <f t="shared" si="40"/>
        <v>196007.37120081499</v>
      </c>
      <c r="L258" s="600">
        <f t="shared" si="40"/>
        <v>219120.11202414517</v>
      </c>
      <c r="M258" s="600">
        <f t="shared" si="40"/>
        <v>244958.25437239622</v>
      </c>
      <c r="N258" s="600">
        <f t="shared" si="40"/>
        <v>273843.17135872756</v>
      </c>
      <c r="T258" s="587"/>
    </row>
    <row r="259" spans="1:53" outlineLevel="1" x14ac:dyDescent="0.15">
      <c r="A259" s="585"/>
      <c r="C259" s="188" t="s">
        <v>698</v>
      </c>
      <c r="D259" s="301">
        <f>D258*(1+0.0283)</f>
        <v>94974.816300000006</v>
      </c>
      <c r="E259" s="600">
        <f>E258*(1+Q246)</f>
        <v>103256.12911942635</v>
      </c>
      <c r="F259" s="600">
        <f t="shared" si="41"/>
        <v>115431.85565530519</v>
      </c>
      <c r="G259" s="600">
        <f t="shared" si="41"/>
        <v>129043.3160109657</v>
      </c>
      <c r="H259" s="600">
        <f t="shared" si="40"/>
        <v>144259.80863403573</v>
      </c>
      <c r="I259" s="600">
        <f t="shared" si="40"/>
        <v>161270.59525779824</v>
      </c>
      <c r="J259" s="600">
        <f t="shared" si="40"/>
        <v>180287.25492616778</v>
      </c>
      <c r="K259" s="600">
        <f t="shared" si="40"/>
        <v>201546.31559990661</v>
      </c>
      <c r="L259" s="600">
        <f t="shared" si="40"/>
        <v>225312.1960758261</v>
      </c>
      <c r="M259" s="600">
        <f t="shared" si="40"/>
        <v>251880.49481037012</v>
      </c>
      <c r="N259" s="600">
        <f t="shared" si="40"/>
        <v>281581.66655375215</v>
      </c>
      <c r="T259" s="587"/>
    </row>
    <row r="260" spans="1:53" outlineLevel="1" x14ac:dyDescent="0.15">
      <c r="A260" s="585"/>
      <c r="C260" s="190" t="s">
        <v>546</v>
      </c>
      <c r="D260" s="601">
        <f>SUM(D256:D259)</f>
        <v>372169.81630000001</v>
      </c>
      <c r="E260" s="601">
        <f>SUM(E256:E259)</f>
        <v>404589.37365594448</v>
      </c>
      <c r="F260" s="601">
        <f t="shared" ref="F260:N260" si="42">SUM(F256:F259)</f>
        <v>443039.80077157693</v>
      </c>
      <c r="G260" s="601">
        <f t="shared" si="42"/>
        <v>495282.04057572316</v>
      </c>
      <c r="H260" s="601">
        <f t="shared" si="42"/>
        <v>553684.5657876383</v>
      </c>
      <c r="I260" s="601">
        <f t="shared" si="42"/>
        <v>618973.78317026794</v>
      </c>
      <c r="J260" s="601">
        <f t="shared" si="42"/>
        <v>691961.75571030832</v>
      </c>
      <c r="K260" s="601">
        <f t="shared" si="42"/>
        <v>773556.30300416227</v>
      </c>
      <c r="L260" s="601">
        <f t="shared" si="42"/>
        <v>864772.292658302</v>
      </c>
      <c r="M260" s="601">
        <f t="shared" si="42"/>
        <v>966744.26314573281</v>
      </c>
      <c r="N260" s="601">
        <f t="shared" si="42"/>
        <v>1080740.5351208127</v>
      </c>
      <c r="T260" s="601"/>
      <c r="U260" s="601"/>
      <c r="V260" s="601"/>
      <c r="W260" s="601"/>
      <c r="X260" s="601"/>
      <c r="Y260" s="601"/>
      <c r="Z260" s="601"/>
      <c r="AA260" s="601"/>
      <c r="AB260" s="601"/>
    </row>
    <row r="261" spans="1:53" outlineLevel="1" x14ac:dyDescent="0.15">
      <c r="A261" s="585"/>
      <c r="T261" s="601"/>
      <c r="U261" s="601"/>
      <c r="V261" s="601"/>
      <c r="W261" s="601"/>
      <c r="X261" s="601"/>
      <c r="Y261" s="601"/>
      <c r="Z261" s="601"/>
      <c r="AA261" s="601"/>
    </row>
    <row r="262" spans="1:53" outlineLevel="1" x14ac:dyDescent="0.15">
      <c r="A262" s="585"/>
      <c r="B262" s="602" t="s">
        <v>699</v>
      </c>
      <c r="C262" s="188" t="s">
        <v>695</v>
      </c>
      <c r="D262" s="301">
        <f>D256</f>
        <v>91931</v>
      </c>
      <c r="E262" s="600">
        <f t="shared" ref="E262:N262" si="43">D265*(1+$Q$242)</f>
        <v>104859.30523229032</v>
      </c>
      <c r="F262" s="600">
        <f t="shared" si="43"/>
        <v>135158.5969466462</v>
      </c>
      <c r="G262" s="600">
        <f t="shared" si="43"/>
        <v>174212.92548255954</v>
      </c>
      <c r="H262" s="600">
        <f t="shared" si="43"/>
        <v>224552.07504982129</v>
      </c>
      <c r="I262" s="600">
        <f t="shared" si="43"/>
        <v>289436.81572139426</v>
      </c>
      <c r="J262" s="600">
        <f t="shared" si="43"/>
        <v>373070.12316120212</v>
      </c>
      <c r="K262" s="600">
        <f t="shared" si="43"/>
        <v>480869.43068599643</v>
      </c>
      <c r="L262" s="600">
        <f t="shared" si="43"/>
        <v>619817.54906800296</v>
      </c>
      <c r="M262" s="600">
        <f t="shared" si="43"/>
        <v>798914.98526869027</v>
      </c>
      <c r="N262" s="600">
        <f t="shared" si="43"/>
        <v>1029762.9595138242</v>
      </c>
      <c r="T262" s="601"/>
      <c r="U262" s="601"/>
      <c r="V262" s="601"/>
      <c r="W262" s="601"/>
      <c r="X262" s="601"/>
      <c r="Y262" s="601"/>
      <c r="Z262" s="601"/>
      <c r="AA262" s="601"/>
    </row>
    <row r="263" spans="1:53" outlineLevel="1" x14ac:dyDescent="0.15">
      <c r="A263" s="585"/>
      <c r="C263" s="188" t="s">
        <v>696</v>
      </c>
      <c r="D263" s="301">
        <f>D257</f>
        <v>92903</v>
      </c>
      <c r="E263" s="600">
        <f t="shared" ref="E263:N265" si="44">E262*(1+$Q$242)</f>
        <v>111729.06145040864</v>
      </c>
      <c r="F263" s="600">
        <f t="shared" si="44"/>
        <v>144013.38202985353</v>
      </c>
      <c r="G263" s="600">
        <f t="shared" si="44"/>
        <v>185626.31722170158</v>
      </c>
      <c r="H263" s="600">
        <f t="shared" si="44"/>
        <v>239263.38760761084</v>
      </c>
      <c r="I263" s="600">
        <f t="shared" si="44"/>
        <v>308398.9894660103</v>
      </c>
      <c r="J263" s="600">
        <f t="shared" si="44"/>
        <v>397511.45235657826</v>
      </c>
      <c r="K263" s="600">
        <f t="shared" si="44"/>
        <v>512373.1275132845</v>
      </c>
      <c r="L263" s="600">
        <f t="shared" si="44"/>
        <v>660424.29781935329</v>
      </c>
      <c r="M263" s="600">
        <f t="shared" si="44"/>
        <v>851255.12976649508</v>
      </c>
      <c r="N263" s="600">
        <f t="shared" si="44"/>
        <v>1097226.886331161</v>
      </c>
      <c r="T263" s="601"/>
      <c r="U263" s="601"/>
      <c r="V263" s="601"/>
      <c r="W263" s="601"/>
      <c r="X263" s="601"/>
      <c r="Y263" s="601"/>
      <c r="Z263" s="601"/>
      <c r="AA263" s="601"/>
    </row>
    <row r="264" spans="1:53" outlineLevel="1" x14ac:dyDescent="0.15">
      <c r="A264" s="585"/>
      <c r="C264" s="188" t="s">
        <v>697</v>
      </c>
      <c r="D264" s="301">
        <f>D258</f>
        <v>92361</v>
      </c>
      <c r="E264" s="600">
        <f t="shared" si="44"/>
        <v>119048.88311948364</v>
      </c>
      <c r="F264" s="600">
        <f t="shared" si="44"/>
        <v>153448.27981503529</v>
      </c>
      <c r="G264" s="600">
        <f t="shared" si="44"/>
        <v>197787.44630943754</v>
      </c>
      <c r="H264" s="600">
        <f t="shared" si="44"/>
        <v>254938.49761472238</v>
      </c>
      <c r="I264" s="600">
        <f t="shared" si="44"/>
        <v>328603.45172953786</v>
      </c>
      <c r="J264" s="600">
        <f t="shared" si="44"/>
        <v>423554.03165414662</v>
      </c>
      <c r="K264" s="600">
        <f t="shared" si="44"/>
        <v>545940.75864467223</v>
      </c>
      <c r="L264" s="600">
        <f t="shared" si="44"/>
        <v>703691.35853933811</v>
      </c>
      <c r="M264" s="600">
        <f t="shared" si="44"/>
        <v>907024.28833533986</v>
      </c>
      <c r="N264" s="600">
        <f t="shared" si="44"/>
        <v>1169110.6472273655</v>
      </c>
      <c r="U264" s="601"/>
      <c r="V264" s="601"/>
      <c r="W264" s="601"/>
      <c r="X264" s="601"/>
      <c r="Y264" s="601"/>
      <c r="Z264" s="601"/>
      <c r="AA264" s="601"/>
    </row>
    <row r="265" spans="1:53" outlineLevel="1" x14ac:dyDescent="0.15">
      <c r="A265" s="585"/>
      <c r="C265" s="188" t="s">
        <v>698</v>
      </c>
      <c r="D265" s="301">
        <f>D264*(1+Q242)</f>
        <v>98411.941808703108</v>
      </c>
      <c r="E265" s="600">
        <f t="shared" si="44"/>
        <v>126848.25584332913</v>
      </c>
      <c r="F265" s="600">
        <f t="shared" si="44"/>
        <v>163501.2958261912</v>
      </c>
      <c r="G265" s="600">
        <f t="shared" si="44"/>
        <v>210745.30003677262</v>
      </c>
      <c r="H265" s="600">
        <f t="shared" si="44"/>
        <v>271640.54733121401</v>
      </c>
      <c r="I265" s="600">
        <f t="shared" si="44"/>
        <v>350131.58984578185</v>
      </c>
      <c r="J265" s="600">
        <f t="shared" si="44"/>
        <v>451302.76540952857</v>
      </c>
      <c r="K265" s="600">
        <f t="shared" si="44"/>
        <v>581707.54074488918</v>
      </c>
      <c r="L265" s="600">
        <f t="shared" si="44"/>
        <v>749793.01900001708</v>
      </c>
      <c r="M265" s="600">
        <f t="shared" si="44"/>
        <v>966447.10952390963</v>
      </c>
      <c r="N265" s="600">
        <f t="shared" si="44"/>
        <v>1245703.803368031</v>
      </c>
      <c r="U265" s="601"/>
      <c r="V265" s="601"/>
      <c r="W265" s="601"/>
      <c r="X265" s="601"/>
      <c r="Y265" s="601"/>
      <c r="Z265" s="601"/>
      <c r="AA265" s="601"/>
    </row>
    <row r="266" spans="1:53" outlineLevel="1" x14ac:dyDescent="0.15">
      <c r="A266" s="585"/>
      <c r="C266" s="190" t="s">
        <v>546</v>
      </c>
      <c r="D266" s="601">
        <f>SUM(D262:D265)</f>
        <v>375606.94180870312</v>
      </c>
      <c r="E266" s="601">
        <f t="shared" ref="E266:M266" si="45">SUM(E262:E265)</f>
        <v>462485.50564551173</v>
      </c>
      <c r="F266" s="601">
        <f t="shared" si="45"/>
        <v>596121.55461772624</v>
      </c>
      <c r="G266" s="601">
        <f t="shared" si="45"/>
        <v>768371.98905047122</v>
      </c>
      <c r="H266" s="601">
        <f t="shared" si="45"/>
        <v>990394.50760336849</v>
      </c>
      <c r="I266" s="601">
        <f t="shared" si="45"/>
        <v>1276570.8467627245</v>
      </c>
      <c r="J266" s="601">
        <f t="shared" si="45"/>
        <v>1645438.3725814556</v>
      </c>
      <c r="K266" s="601">
        <f t="shared" si="45"/>
        <v>2120890.857588842</v>
      </c>
      <c r="L266" s="601">
        <f t="shared" si="45"/>
        <v>2733726.2244267114</v>
      </c>
      <c r="M266" s="601">
        <f t="shared" si="45"/>
        <v>3523641.5128944349</v>
      </c>
      <c r="N266" s="601">
        <f>SUM(N262:N265)</f>
        <v>4541804.2964403816</v>
      </c>
      <c r="U266" s="601"/>
      <c r="V266" s="601"/>
      <c r="W266" s="601"/>
      <c r="X266" s="601"/>
      <c r="Y266" s="601"/>
      <c r="Z266" s="601"/>
      <c r="AA266" s="601"/>
      <c r="AB266" s="600"/>
      <c r="AC266" s="600"/>
      <c r="AD266" s="600"/>
      <c r="AE266" s="600"/>
      <c r="AF266" s="600"/>
      <c r="AG266" s="600"/>
      <c r="AH266" s="600"/>
      <c r="AI266" s="600"/>
      <c r="AJ266" s="600"/>
      <c r="AK266" s="600"/>
      <c r="AL266" s="600"/>
      <c r="AM266" s="600"/>
      <c r="AN266" s="600"/>
      <c r="AO266" s="600"/>
      <c r="AP266" s="600"/>
      <c r="AQ266" s="600"/>
      <c r="AR266" s="600"/>
      <c r="AS266" s="600"/>
      <c r="AT266" s="600"/>
      <c r="AU266" s="600"/>
      <c r="AV266" s="600"/>
      <c r="AW266" s="600"/>
      <c r="AX266" s="600"/>
      <c r="AY266" s="600"/>
      <c r="AZ266" s="600"/>
    </row>
    <row r="267" spans="1:53" outlineLevel="1" x14ac:dyDescent="0.15">
      <c r="A267" s="585"/>
      <c r="B267" s="197"/>
      <c r="U267" s="601"/>
      <c r="V267" s="601"/>
      <c r="W267" s="601"/>
      <c r="X267" s="601"/>
      <c r="Y267" s="601"/>
      <c r="Z267" s="601"/>
      <c r="AA267" s="601"/>
      <c r="AB267" s="600"/>
      <c r="AC267" s="600"/>
      <c r="AD267" s="600"/>
      <c r="AE267" s="600"/>
      <c r="AF267" s="600"/>
      <c r="AG267" s="600"/>
      <c r="AH267" s="600"/>
      <c r="AI267" s="600"/>
      <c r="AJ267" s="600"/>
      <c r="AK267" s="600"/>
      <c r="AL267" s="600"/>
      <c r="AM267" s="600"/>
      <c r="AN267" s="600"/>
      <c r="AO267" s="600"/>
      <c r="AP267" s="600"/>
      <c r="AQ267" s="600"/>
      <c r="AR267" s="600"/>
      <c r="AS267" s="600"/>
      <c r="AT267" s="600"/>
      <c r="AU267" s="600"/>
      <c r="AV267" s="600"/>
      <c r="AW267" s="600"/>
      <c r="AX267" s="600"/>
      <c r="AY267" s="600"/>
      <c r="AZ267" s="600"/>
    </row>
    <row r="268" spans="1:53" outlineLevel="1" x14ac:dyDescent="0.15">
      <c r="A268" s="585"/>
      <c r="B268" s="603" t="s">
        <v>700</v>
      </c>
      <c r="C268" s="188" t="s">
        <v>695</v>
      </c>
      <c r="D268" s="301">
        <f>D262</f>
        <v>91931</v>
      </c>
      <c r="E268" s="600">
        <f>D271*(1+$Q$243)</f>
        <v>93928.609059483104</v>
      </c>
      <c r="F268" s="600">
        <f t="shared" ref="F268:N268" si="46">E271*(1+$Q$243)</f>
        <v>97144.098104482808</v>
      </c>
      <c r="G268" s="600">
        <f t="shared" si="46"/>
        <v>100469.6640462027</v>
      </c>
      <c r="H268" s="600">
        <f t="shared" si="46"/>
        <v>103909.07518334386</v>
      </c>
      <c r="I268" s="600">
        <f t="shared" si="46"/>
        <v>107466.22881601928</v>
      </c>
      <c r="J268" s="600">
        <f t="shared" si="46"/>
        <v>111145.15566190182</v>
      </c>
      <c r="K268" s="600">
        <f t="shared" si="46"/>
        <v>114950.02442355147</v>
      </c>
      <c r="L268" s="600">
        <f t="shared" si="46"/>
        <v>118885.14651209749</v>
      </c>
      <c r="M268" s="600">
        <f t="shared" si="46"/>
        <v>122954.98093262794</v>
      </c>
      <c r="N268" s="600">
        <f t="shared" si="46"/>
        <v>127164.13933682229</v>
      </c>
      <c r="U268" s="601"/>
      <c r="V268" s="601"/>
      <c r="W268" s="601"/>
      <c r="X268" s="601"/>
      <c r="Y268" s="601"/>
      <c r="Z268" s="601"/>
      <c r="AA268" s="601"/>
      <c r="AB268" s="600"/>
      <c r="AC268" s="600"/>
      <c r="AD268" s="600"/>
      <c r="AE268" s="600"/>
      <c r="AF268" s="600"/>
      <c r="AG268" s="600"/>
      <c r="AH268" s="600"/>
      <c r="AI268" s="600"/>
      <c r="AJ268" s="600"/>
      <c r="AK268" s="600"/>
      <c r="AL268" s="600"/>
      <c r="AM268" s="600"/>
      <c r="AN268" s="600"/>
      <c r="AO268" s="600"/>
      <c r="AP268" s="600"/>
      <c r="AQ268" s="600"/>
      <c r="AR268" s="600"/>
      <c r="AS268" s="600"/>
      <c r="AT268" s="600"/>
      <c r="AU268" s="600"/>
      <c r="AV268" s="600"/>
      <c r="AW268" s="600"/>
      <c r="AX268" s="600"/>
      <c r="AY268" s="600"/>
      <c r="AZ268" s="600"/>
    </row>
    <row r="269" spans="1:53" outlineLevel="1" x14ac:dyDescent="0.15">
      <c r="A269" s="585"/>
      <c r="C269" s="188" t="s">
        <v>696</v>
      </c>
      <c r="D269" s="301">
        <f>D263</f>
        <v>92903</v>
      </c>
      <c r="E269" s="600">
        <f>E268*(1+$Q$243)</f>
        <v>94722.362961594961</v>
      </c>
      <c r="F269" s="600">
        <f t="shared" ref="F269:N271" si="47">F268*(1+$Q$243)</f>
        <v>97965.024845650012</v>
      </c>
      <c r="G269" s="600">
        <f t="shared" si="47"/>
        <v>101318.69384318433</v>
      </c>
      <c r="H269" s="600">
        <f t="shared" si="47"/>
        <v>104787.17009731603</v>
      </c>
      <c r="I269" s="600">
        <f t="shared" si="47"/>
        <v>108374.38384271557</v>
      </c>
      <c r="J269" s="600">
        <f t="shared" si="47"/>
        <v>112084.39985907283</v>
      </c>
      <c r="K269" s="600">
        <f t="shared" si="47"/>
        <v>115921.42207702108</v>
      </c>
      <c r="L269" s="600">
        <f t="shared" si="47"/>
        <v>119889.79834173713</v>
      </c>
      <c r="M269" s="600">
        <f t="shared" si="47"/>
        <v>123994.02533961533</v>
      </c>
      <c r="N269" s="600">
        <f t="shared" si="47"/>
        <v>128238.75369359805</v>
      </c>
      <c r="U269" s="601"/>
      <c r="V269" s="601"/>
      <c r="W269" s="601"/>
      <c r="X269" s="601"/>
      <c r="Y269" s="601"/>
      <c r="Z269" s="601"/>
      <c r="AA269" s="601"/>
      <c r="AB269" s="600"/>
      <c r="AC269" s="600"/>
      <c r="AD269" s="600"/>
      <c r="AE269" s="600"/>
      <c r="AF269" s="600"/>
      <c r="AG269" s="600"/>
      <c r="AH269" s="600"/>
      <c r="AI269" s="600"/>
      <c r="AJ269" s="600"/>
      <c r="AK269" s="600"/>
      <c r="AL269" s="600"/>
      <c r="AM269" s="600"/>
      <c r="AN269" s="600"/>
      <c r="AO269" s="600"/>
      <c r="AP269" s="600"/>
      <c r="AQ269" s="600"/>
      <c r="AR269" s="600"/>
      <c r="AS269" s="600"/>
      <c r="AT269" s="600"/>
      <c r="AU269" s="600"/>
      <c r="AV269" s="600"/>
      <c r="AW269" s="600"/>
      <c r="AX269" s="600"/>
      <c r="AY269" s="600"/>
      <c r="AZ269" s="600"/>
    </row>
    <row r="270" spans="1:53" outlineLevel="1" x14ac:dyDescent="0.15">
      <c r="A270" s="585"/>
      <c r="C270" s="188" t="s">
        <v>697</v>
      </c>
      <c r="D270" s="301">
        <f>D264</f>
        <v>92361</v>
      </c>
      <c r="E270" s="600">
        <f t="shared" ref="E270:E271" si="48">E269*(1+$Q$243)</f>
        <v>95522.824567178919</v>
      </c>
      <c r="F270" s="600">
        <f t="shared" si="47"/>
        <v>98792.888917314005</v>
      </c>
      <c r="G270" s="600">
        <f t="shared" si="47"/>
        <v>102174.8984585851</v>
      </c>
      <c r="H270" s="600">
        <f t="shared" si="47"/>
        <v>105672.68544763203</v>
      </c>
      <c r="I270" s="600">
        <f t="shared" si="47"/>
        <v>109290.21333199978</v>
      </c>
      <c r="J270" s="600">
        <f t="shared" si="47"/>
        <v>113031.58124124003</v>
      </c>
      <c r="K270" s="600">
        <f t="shared" si="47"/>
        <v>116901.02863175799</v>
      </c>
      <c r="L270" s="600">
        <f t="shared" si="47"/>
        <v>120902.94009066788</v>
      </c>
      <c r="M270" s="600">
        <f t="shared" si="47"/>
        <v>125041.8503041003</v>
      </c>
      <c r="N270" s="600">
        <f t="shared" si="47"/>
        <v>129322.4491955914</v>
      </c>
      <c r="U270" s="601"/>
      <c r="V270" s="601"/>
      <c r="W270" s="601"/>
      <c r="X270" s="601"/>
      <c r="Y270" s="601"/>
      <c r="Z270" s="601"/>
      <c r="AA270" s="601"/>
      <c r="BA270" s="301"/>
    </row>
    <row r="271" spans="1:53" outlineLevel="1" x14ac:dyDescent="0.15">
      <c r="A271" s="585"/>
      <c r="C271" s="188" t="s">
        <v>698</v>
      </c>
      <c r="D271" s="301">
        <f>D270*(1+Q243)</f>
        <v>93141.5066516691</v>
      </c>
      <c r="E271" s="600">
        <f t="shared" si="48"/>
        <v>96330.050560410949</v>
      </c>
      <c r="F271" s="600">
        <f t="shared" si="47"/>
        <v>99627.748944138846</v>
      </c>
      <c r="G271" s="600">
        <f t="shared" si="47"/>
        <v>103038.33852398652</v>
      </c>
      <c r="H271" s="600">
        <f t="shared" si="47"/>
        <v>106565.6839414943</v>
      </c>
      <c r="I271" s="600">
        <f t="shared" si="47"/>
        <v>110213.78213775069</v>
      </c>
      <c r="J271" s="600">
        <f t="shared" si="47"/>
        <v>113986.76688244642</v>
      </c>
      <c r="K271" s="600">
        <f t="shared" si="47"/>
        <v>117888.91345797302</v>
      </c>
      <c r="L271" s="600">
        <f t="shared" si="47"/>
        <v>121924.64350387384</v>
      </c>
      <c r="M271" s="600">
        <f t="shared" si="47"/>
        <v>126098.53002713666</v>
      </c>
      <c r="N271" s="600">
        <f t="shared" si="47"/>
        <v>130415.30258400532</v>
      </c>
    </row>
    <row r="272" spans="1:53" outlineLevel="1" x14ac:dyDescent="0.15">
      <c r="A272" s="585"/>
      <c r="C272" s="190" t="s">
        <v>546</v>
      </c>
      <c r="D272" s="601">
        <f>SUM(D268:D271)</f>
        <v>370336.5066516691</v>
      </c>
      <c r="E272" s="601">
        <f t="shared" ref="E272:N272" si="49">SUM(E268:E271)</f>
        <v>380503.8471486679</v>
      </c>
      <c r="F272" s="601">
        <f t="shared" si="49"/>
        <v>393529.7608115857</v>
      </c>
      <c r="G272" s="601">
        <f t="shared" si="49"/>
        <v>407001.59487195866</v>
      </c>
      <c r="H272" s="601">
        <f t="shared" si="49"/>
        <v>420934.61466978618</v>
      </c>
      <c r="I272" s="601">
        <f t="shared" si="49"/>
        <v>435344.60812848533</v>
      </c>
      <c r="J272" s="601">
        <f t="shared" si="49"/>
        <v>450247.90364466113</v>
      </c>
      <c r="K272" s="601">
        <f t="shared" si="49"/>
        <v>465661.3885903036</v>
      </c>
      <c r="L272" s="601">
        <f t="shared" si="49"/>
        <v>481602.52844837634</v>
      </c>
      <c r="M272" s="601">
        <f t="shared" si="49"/>
        <v>498089.38660348026</v>
      </c>
      <c r="N272" s="601">
        <f t="shared" si="49"/>
        <v>515140.64481001708</v>
      </c>
    </row>
    <row r="273" spans="1:26" outlineLevel="1" x14ac:dyDescent="0.15">
      <c r="A273" s="585"/>
    </row>
    <row r="274" spans="1:26" ht="13.5" outlineLevel="1" thickBot="1" x14ac:dyDescent="0.2">
      <c r="A274" s="585"/>
      <c r="B274" s="190" t="s">
        <v>701</v>
      </c>
    </row>
    <row r="275" spans="1:26" outlineLevel="1" x14ac:dyDescent="0.15">
      <c r="A275" s="585"/>
      <c r="D275" s="330">
        <v>2023</v>
      </c>
      <c r="E275" s="330">
        <f t="shared" ref="E275:N275" si="50">D275+1</f>
        <v>2024</v>
      </c>
      <c r="F275" s="330">
        <f t="shared" si="50"/>
        <v>2025</v>
      </c>
      <c r="G275" s="331">
        <f t="shared" si="50"/>
        <v>2026</v>
      </c>
      <c r="H275" s="332">
        <f t="shared" si="50"/>
        <v>2027</v>
      </c>
      <c r="I275" s="332">
        <f t="shared" si="50"/>
        <v>2028</v>
      </c>
      <c r="J275" s="332">
        <f t="shared" si="50"/>
        <v>2029</v>
      </c>
      <c r="K275" s="332">
        <f t="shared" si="50"/>
        <v>2030</v>
      </c>
      <c r="L275" s="332">
        <f t="shared" si="50"/>
        <v>2031</v>
      </c>
      <c r="M275" s="332">
        <f t="shared" si="50"/>
        <v>2032</v>
      </c>
      <c r="N275" s="332">
        <f t="shared" si="50"/>
        <v>2033</v>
      </c>
      <c r="U275" s="301"/>
      <c r="V275" s="301"/>
      <c r="W275" s="301"/>
      <c r="X275" s="301"/>
      <c r="Y275" s="301"/>
      <c r="Z275" s="301"/>
    </row>
    <row r="276" spans="1:26" outlineLevel="1" x14ac:dyDescent="0.15">
      <c r="A276" s="585"/>
      <c r="B276" s="598" t="s">
        <v>694</v>
      </c>
      <c r="C276" s="188" t="s">
        <v>695</v>
      </c>
      <c r="D276" s="301">
        <v>91931</v>
      </c>
      <c r="E276" s="600">
        <f>$M$247*E280</f>
        <v>98678.494496896237</v>
      </c>
      <c r="F276" s="600">
        <f t="shared" ref="F276:N276" si="51">$M$247*F280</f>
        <v>108056.47253484587</v>
      </c>
      <c r="G276" s="600">
        <f t="shared" si="51"/>
        <v>120798.2445849513</v>
      </c>
      <c r="H276" s="600">
        <f t="shared" si="51"/>
        <v>135042.49724698396</v>
      </c>
      <c r="I276" s="600">
        <f t="shared" si="51"/>
        <v>150966.39959761067</v>
      </c>
      <c r="J276" s="600">
        <f t="shared" si="51"/>
        <v>168768.01208572491</v>
      </c>
      <c r="K276" s="600">
        <f t="shared" si="51"/>
        <v>188668.74999526839</v>
      </c>
      <c r="L276" s="600">
        <f t="shared" si="51"/>
        <v>210916.13739395305</v>
      </c>
      <c r="M276" s="600">
        <f t="shared" si="51"/>
        <v>235786.88582131665</v>
      </c>
      <c r="N276" s="600">
        <f t="shared" si="51"/>
        <v>263590.33600863058</v>
      </c>
    </row>
    <row r="277" spans="1:26" outlineLevel="1" x14ac:dyDescent="0.15">
      <c r="A277" s="585"/>
      <c r="C277" s="188" t="s">
        <v>696</v>
      </c>
      <c r="D277" s="301">
        <v>92903</v>
      </c>
      <c r="E277" s="600">
        <f t="shared" ref="E277:N277" si="52">$M$248*E280</f>
        <v>99716.549511326608</v>
      </c>
      <c r="F277" s="600">
        <f t="shared" si="52"/>
        <v>109193.17981568084</v>
      </c>
      <c r="G277" s="600">
        <f t="shared" si="52"/>
        <v>122068.98978799795</v>
      </c>
      <c r="H277" s="600">
        <f t="shared" si="52"/>
        <v>136463.08581740284</v>
      </c>
      <c r="I277" s="600">
        <f t="shared" si="52"/>
        <v>152554.50072249892</v>
      </c>
      <c r="J277" s="600">
        <f t="shared" si="52"/>
        <v>170543.37846230197</v>
      </c>
      <c r="K277" s="600">
        <f t="shared" si="52"/>
        <v>190653.46351362331</v>
      </c>
      <c r="L277" s="600">
        <f t="shared" si="52"/>
        <v>213134.88379013934</v>
      </c>
      <c r="M277" s="600">
        <f t="shared" si="52"/>
        <v>238267.26171691201</v>
      </c>
      <c r="N277" s="600">
        <f t="shared" si="52"/>
        <v>266363.19215569872</v>
      </c>
    </row>
    <row r="278" spans="1:26" outlineLevel="1" x14ac:dyDescent="0.15">
      <c r="A278" s="585"/>
      <c r="C278" s="188" t="s">
        <v>697</v>
      </c>
      <c r="D278" s="301">
        <v>92361</v>
      </c>
      <c r="E278" s="600">
        <f>$M$249*E280</f>
        <v>101741.58144803696</v>
      </c>
      <c r="F278" s="600">
        <f t="shared" ref="F278:N278" si="53">$M$249*F280</f>
        <v>111410.66204386998</v>
      </c>
      <c r="G278" s="600">
        <f t="shared" si="53"/>
        <v>124547.95244779784</v>
      </c>
      <c r="H278" s="600">
        <f t="shared" si="53"/>
        <v>139234.36208314341</v>
      </c>
      <c r="I278" s="600">
        <f t="shared" si="53"/>
        <v>155652.55954589284</v>
      </c>
      <c r="J278" s="600">
        <f t="shared" si="53"/>
        <v>174006.75329499625</v>
      </c>
      <c r="K278" s="600">
        <f t="shared" si="53"/>
        <v>194525.23158373361</v>
      </c>
      <c r="L278" s="600">
        <f t="shared" si="53"/>
        <v>217463.20189397683</v>
      </c>
      <c r="M278" s="600">
        <f t="shared" si="53"/>
        <v>243105.96519004475</v>
      </c>
      <c r="N278" s="600">
        <f t="shared" si="53"/>
        <v>271772.46447331074</v>
      </c>
    </row>
    <row r="279" spans="1:26" outlineLevel="1" x14ac:dyDescent="0.15">
      <c r="A279" s="585"/>
      <c r="C279" s="188" t="s">
        <v>698</v>
      </c>
      <c r="D279" s="301">
        <v>94974.816300000006</v>
      </c>
      <c r="E279" s="600">
        <f t="shared" ref="E279:N279" si="54">$M$250*E280</f>
        <v>104452.74819968471</v>
      </c>
      <c r="F279" s="600">
        <f t="shared" si="54"/>
        <v>114379.48637718028</v>
      </c>
      <c r="G279" s="600">
        <f t="shared" si="54"/>
        <v>127866.85375497611</v>
      </c>
      <c r="H279" s="600">
        <f t="shared" si="54"/>
        <v>142944.62064010813</v>
      </c>
      <c r="I279" s="600">
        <f t="shared" si="54"/>
        <v>159800.32330426556</v>
      </c>
      <c r="J279" s="600">
        <f t="shared" si="54"/>
        <v>178643.61186728522</v>
      </c>
      <c r="K279" s="600">
        <f t="shared" si="54"/>
        <v>199708.85791153699</v>
      </c>
      <c r="L279" s="600">
        <f t="shared" si="54"/>
        <v>223258.06958023281</v>
      </c>
      <c r="M279" s="600">
        <f t="shared" si="54"/>
        <v>249584.15041745946</v>
      </c>
      <c r="N279" s="600">
        <f t="shared" si="54"/>
        <v>279014.54248317273</v>
      </c>
    </row>
    <row r="280" spans="1:26" outlineLevel="1" x14ac:dyDescent="0.15">
      <c r="A280" s="585"/>
      <c r="C280" s="190" t="s">
        <v>546</v>
      </c>
      <c r="D280" s="601">
        <v>1</v>
      </c>
      <c r="E280" s="601">
        <f t="shared" ref="E280:N280" si="55">E260</f>
        <v>404589.37365594448</v>
      </c>
      <c r="F280" s="601">
        <f t="shared" si="55"/>
        <v>443039.80077157693</v>
      </c>
      <c r="G280" s="601">
        <f t="shared" si="55"/>
        <v>495282.04057572316</v>
      </c>
      <c r="H280" s="601">
        <f t="shared" si="55"/>
        <v>553684.5657876383</v>
      </c>
      <c r="I280" s="601">
        <f t="shared" si="55"/>
        <v>618973.78317026794</v>
      </c>
      <c r="J280" s="601">
        <f t="shared" si="55"/>
        <v>691961.75571030832</v>
      </c>
      <c r="K280" s="601">
        <f t="shared" si="55"/>
        <v>773556.30300416227</v>
      </c>
      <c r="L280" s="601">
        <f t="shared" si="55"/>
        <v>864772.292658302</v>
      </c>
      <c r="M280" s="601">
        <f t="shared" si="55"/>
        <v>966744.26314573281</v>
      </c>
      <c r="N280" s="601">
        <f t="shared" si="55"/>
        <v>1080740.5351208127</v>
      </c>
    </row>
    <row r="281" spans="1:26" outlineLevel="1" x14ac:dyDescent="0.15">
      <c r="A281" s="585"/>
    </row>
    <row r="282" spans="1:26" outlineLevel="1" x14ac:dyDescent="0.15">
      <c r="A282" s="585"/>
      <c r="B282" s="602" t="s">
        <v>699</v>
      </c>
      <c r="C282" s="188" t="s">
        <v>695</v>
      </c>
      <c r="D282" s="600">
        <f>$M$247*D286</f>
        <v>91609.740526168564</v>
      </c>
      <c r="E282" s="600">
        <f t="shared" ref="E282:N282" si="56">$M$247*E286</f>
        <v>112799.23892055578</v>
      </c>
      <c r="F282" s="600">
        <f t="shared" si="56"/>
        <v>145392.78927490991</v>
      </c>
      <c r="G282" s="600">
        <f t="shared" si="56"/>
        <v>187404.30676156023</v>
      </c>
      <c r="H282" s="600">
        <f t="shared" si="56"/>
        <v>241555.13053934931</v>
      </c>
      <c r="I282" s="600">
        <f t="shared" si="56"/>
        <v>311352.93578989635</v>
      </c>
      <c r="J282" s="600">
        <f t="shared" si="56"/>
        <v>401318.94697718148</v>
      </c>
      <c r="K282" s="600">
        <f t="shared" si="56"/>
        <v>517280.80480203463</v>
      </c>
      <c r="L282" s="600">
        <f t="shared" si="56"/>
        <v>666750.05760905426</v>
      </c>
      <c r="M282" s="600">
        <f t="shared" si="56"/>
        <v>859408.7296392339</v>
      </c>
      <c r="N282" s="600">
        <f t="shared" si="56"/>
        <v>1107736.4840861952</v>
      </c>
    </row>
    <row r="283" spans="1:26" outlineLevel="1" x14ac:dyDescent="0.15">
      <c r="A283" s="585"/>
      <c r="C283" s="188" t="s">
        <v>696</v>
      </c>
      <c r="D283" s="600">
        <f t="shared" ref="D283:N283" si="57">$M$248*D286</f>
        <v>92573.435311022084</v>
      </c>
      <c r="E283" s="600">
        <f t="shared" si="57"/>
        <v>113985.83804919466</v>
      </c>
      <c r="F283" s="600">
        <f t="shared" si="57"/>
        <v>146922.25843369999</v>
      </c>
      <c r="G283" s="600">
        <f t="shared" si="57"/>
        <v>189375.71888485531</v>
      </c>
      <c r="H283" s="600">
        <f t="shared" si="57"/>
        <v>244096.18587056582</v>
      </c>
      <c r="I283" s="600">
        <f t="shared" si="57"/>
        <v>314628.23379583104</v>
      </c>
      <c r="J283" s="600">
        <f t="shared" si="57"/>
        <v>405540.64844739076</v>
      </c>
      <c r="K283" s="600">
        <f t="shared" si="57"/>
        <v>522722.37478170457</v>
      </c>
      <c r="L283" s="600">
        <f t="shared" si="57"/>
        <v>673763.97937794169</v>
      </c>
      <c r="M283" s="600">
        <f t="shared" si="57"/>
        <v>868449.3371778432</v>
      </c>
      <c r="N283" s="600">
        <f t="shared" si="57"/>
        <v>1119389.3920256179</v>
      </c>
    </row>
    <row r="284" spans="1:26" outlineLevel="1" x14ac:dyDescent="0.15">
      <c r="A284" s="585"/>
      <c r="C284" s="188" t="s">
        <v>697</v>
      </c>
      <c r="D284" s="600">
        <f t="shared" ref="D284:N284" si="58">$M$249*D286</f>
        <v>94453.405726309211</v>
      </c>
      <c r="E284" s="600">
        <f t="shared" si="58"/>
        <v>116300.6490160151</v>
      </c>
      <c r="F284" s="600">
        <f t="shared" si="58"/>
        <v>149905.93834440588</v>
      </c>
      <c r="G284" s="600">
        <f t="shared" si="58"/>
        <v>193221.53866761614</v>
      </c>
      <c r="H284" s="600">
        <f>$M$249*H286</f>
        <v>249053.26244852075</v>
      </c>
      <c r="I284" s="600">
        <f t="shared" si="58"/>
        <v>321017.66689143726</v>
      </c>
      <c r="J284" s="600">
        <f t="shared" si="58"/>
        <v>413776.32014646922</v>
      </c>
      <c r="K284" s="600">
        <f t="shared" si="58"/>
        <v>533337.7591702888</v>
      </c>
      <c r="L284" s="600">
        <f t="shared" si="58"/>
        <v>687446.69887366996</v>
      </c>
      <c r="M284" s="600">
        <f t="shared" si="58"/>
        <v>886085.70397772233</v>
      </c>
      <c r="N284" s="600">
        <f t="shared" si="58"/>
        <v>1142121.819888148</v>
      </c>
    </row>
    <row r="285" spans="1:26" outlineLevel="1" x14ac:dyDescent="0.15">
      <c r="A285" s="585"/>
      <c r="C285" s="188" t="s">
        <v>698</v>
      </c>
      <c r="D285" s="600">
        <f t="shared" ref="D285:N285" si="59">$M$250*D286</f>
        <v>96970.360245203279</v>
      </c>
      <c r="E285" s="600">
        <f t="shared" si="59"/>
        <v>119399.7796597462</v>
      </c>
      <c r="F285" s="600">
        <f t="shared" si="59"/>
        <v>153900.5685647105</v>
      </c>
      <c r="G285" s="600">
        <f t="shared" si="59"/>
        <v>198370.42473643957</v>
      </c>
      <c r="H285" s="600">
        <f>$M$250*H286</f>
        <v>255689.92874493264</v>
      </c>
      <c r="I285" s="600">
        <f t="shared" si="59"/>
        <v>329572.01028555987</v>
      </c>
      <c r="J285" s="600">
        <f t="shared" si="59"/>
        <v>424802.45701041422</v>
      </c>
      <c r="K285" s="600">
        <f t="shared" si="59"/>
        <v>547549.9188348141</v>
      </c>
      <c r="L285" s="600">
        <f t="shared" si="59"/>
        <v>705765.48856604565</v>
      </c>
      <c r="M285" s="600">
        <f t="shared" si="59"/>
        <v>909697.74209963554</v>
      </c>
      <c r="N285" s="600">
        <f t="shared" si="59"/>
        <v>1172556.6004404207</v>
      </c>
    </row>
    <row r="286" spans="1:26" outlineLevel="1" x14ac:dyDescent="0.15">
      <c r="A286" s="585"/>
      <c r="C286" s="190" t="s">
        <v>546</v>
      </c>
      <c r="D286" s="601">
        <f>D266</f>
        <v>375606.94180870312</v>
      </c>
      <c r="E286" s="601">
        <f t="shared" ref="E286:N286" si="60">E266</f>
        <v>462485.50564551173</v>
      </c>
      <c r="F286" s="601">
        <f t="shared" si="60"/>
        <v>596121.55461772624</v>
      </c>
      <c r="G286" s="601">
        <f t="shared" si="60"/>
        <v>768371.98905047122</v>
      </c>
      <c r="H286" s="601">
        <f t="shared" si="60"/>
        <v>990394.50760336849</v>
      </c>
      <c r="I286" s="601">
        <f t="shared" si="60"/>
        <v>1276570.8467627245</v>
      </c>
      <c r="J286" s="601">
        <f t="shared" si="60"/>
        <v>1645438.3725814556</v>
      </c>
      <c r="K286" s="601">
        <f t="shared" si="60"/>
        <v>2120890.857588842</v>
      </c>
      <c r="L286" s="601">
        <f t="shared" si="60"/>
        <v>2733726.2244267114</v>
      </c>
      <c r="M286" s="601">
        <f t="shared" si="60"/>
        <v>3523641.5128944349</v>
      </c>
      <c r="N286" s="601">
        <f t="shared" si="60"/>
        <v>4541804.2964403816</v>
      </c>
    </row>
    <row r="287" spans="1:26" outlineLevel="1" x14ac:dyDescent="0.15">
      <c r="A287" s="585"/>
      <c r="B287" s="197"/>
    </row>
    <row r="288" spans="1:26" outlineLevel="1" x14ac:dyDescent="0.15">
      <c r="A288" s="585"/>
      <c r="B288" s="603" t="s">
        <v>700</v>
      </c>
      <c r="C288" s="188" t="s">
        <v>695</v>
      </c>
      <c r="D288" s="600">
        <f t="shared" ref="D288:N288" si="61">$M$247*D292</f>
        <v>90324.292512692322</v>
      </c>
      <c r="E288" s="600">
        <f t="shared" si="61"/>
        <v>92804.085405459584</v>
      </c>
      <c r="F288" s="600">
        <f t="shared" si="61"/>
        <v>95981.078261422081</v>
      </c>
      <c r="G288" s="600">
        <f t="shared" si="61"/>
        <v>99266.830161372112</v>
      </c>
      <c r="H288" s="600">
        <f t="shared" si="61"/>
        <v>102665.06428952361</v>
      </c>
      <c r="I288" s="600">
        <f t="shared" si="61"/>
        <v>106179.63128708336</v>
      </c>
      <c r="J288" s="600">
        <f t="shared" si="61"/>
        <v>109814.51361552824</v>
      </c>
      <c r="K288" s="600">
        <f t="shared" si="61"/>
        <v>113573.83006925197</v>
      </c>
      <c r="L288" s="600">
        <f t="shared" si="61"/>
        <v>117461.8404426949</v>
      </c>
      <c r="M288" s="600">
        <f t="shared" si="61"/>
        <v>121482.95035724499</v>
      </c>
      <c r="N288" s="600">
        <f t="shared" si="61"/>
        <v>125641.71625337984</v>
      </c>
    </row>
    <row r="289" spans="1:19" outlineLevel="1" x14ac:dyDescent="0.15">
      <c r="A289" s="585"/>
      <c r="C289" s="188" t="s">
        <v>696</v>
      </c>
      <c r="D289" s="600">
        <f t="shared" ref="D289:N289" si="62">$M$248*D292</f>
        <v>91274.46494130214</v>
      </c>
      <c r="E289" s="600">
        <f t="shared" si="62"/>
        <v>93780.344181051187</v>
      </c>
      <c r="F289" s="600">
        <f t="shared" si="62"/>
        <v>96990.757625580169</v>
      </c>
      <c r="G289" s="600">
        <f t="shared" si="62"/>
        <v>100311.07421212486</v>
      </c>
      <c r="H289" s="600">
        <f t="shared" si="62"/>
        <v>103745.05629118421</v>
      </c>
      <c r="I289" s="600">
        <f t="shared" si="62"/>
        <v>107296.59501104242</v>
      </c>
      <c r="J289" s="600">
        <f t="shared" si="62"/>
        <v>110969.71472694587</v>
      </c>
      <c r="K289" s="600">
        <f t="shared" si="62"/>
        <v>114768.57756122106</v>
      </c>
      <c r="L289" s="600">
        <f t="shared" si="62"/>
        <v>118697.48811950046</v>
      </c>
      <c r="M289" s="600">
        <f t="shared" si="62"/>
        <v>122760.89836840057</v>
      </c>
      <c r="N289" s="600">
        <f t="shared" si="62"/>
        <v>126963.41268017891</v>
      </c>
    </row>
    <row r="290" spans="1:19" outlineLevel="1" x14ac:dyDescent="0.15">
      <c r="A290" s="585"/>
      <c r="C290" s="188" t="s">
        <v>697</v>
      </c>
      <c r="D290" s="600">
        <f t="shared" ref="D290:N290" si="63">$M$249*D292</f>
        <v>93128.056019393858</v>
      </c>
      <c r="E290" s="600">
        <f t="shared" si="63"/>
        <v>95684.824359446706</v>
      </c>
      <c r="F290" s="600">
        <f t="shared" si="63"/>
        <v>98960.434501886673</v>
      </c>
      <c r="G290" s="600">
        <f t="shared" si="63"/>
        <v>102348.17968639922</v>
      </c>
      <c r="H290" s="600">
        <f t="shared" si="63"/>
        <v>105851.8986688539</v>
      </c>
      <c r="I290" s="600">
        <f t="shared" si="63"/>
        <v>109475.5616185157</v>
      </c>
      <c r="J290" s="600">
        <f t="shared" si="63"/>
        <v>113223.27461676311</v>
      </c>
      <c r="K290" s="600">
        <f t="shared" si="63"/>
        <v>117099.28430981238</v>
      </c>
      <c r="L290" s="600">
        <f t="shared" si="63"/>
        <v>121107.98272071991</v>
      </c>
      <c r="M290" s="600">
        <f t="shared" si="63"/>
        <v>125253.9122261156</v>
      </c>
      <c r="N290" s="600">
        <f t="shared" si="63"/>
        <v>129541.77070330619</v>
      </c>
    </row>
    <row r="291" spans="1:19" outlineLevel="1" x14ac:dyDescent="0.15">
      <c r="A291" s="585"/>
      <c r="C291" s="188" t="s">
        <v>698</v>
      </c>
      <c r="D291" s="600">
        <f t="shared" ref="D291:N291" si="64">$M$250*D292</f>
        <v>95609.693178280795</v>
      </c>
      <c r="E291" s="600">
        <f t="shared" si="64"/>
        <v>98234.593202710457</v>
      </c>
      <c r="F291" s="600">
        <f t="shared" si="64"/>
        <v>101597.49042269679</v>
      </c>
      <c r="G291" s="600">
        <f t="shared" si="64"/>
        <v>105075.51081206249</v>
      </c>
      <c r="H291" s="600">
        <f t="shared" si="64"/>
        <v>108672.59542022449</v>
      </c>
      <c r="I291" s="600">
        <f t="shared" si="64"/>
        <v>112392.82021184388</v>
      </c>
      <c r="J291" s="600">
        <f t="shared" si="64"/>
        <v>116240.40068542394</v>
      </c>
      <c r="K291" s="600">
        <f t="shared" si="64"/>
        <v>120219.69665001822</v>
      </c>
      <c r="L291" s="600">
        <f t="shared" si="64"/>
        <v>124335.2171654611</v>
      </c>
      <c r="M291" s="600">
        <f t="shared" si="64"/>
        <v>128591.62565171915</v>
      </c>
      <c r="N291" s="600">
        <f t="shared" si="64"/>
        <v>132993.74517315219</v>
      </c>
    </row>
    <row r="292" spans="1:19" outlineLevel="1" x14ac:dyDescent="0.15">
      <c r="A292" s="585"/>
      <c r="C292" s="190" t="s">
        <v>546</v>
      </c>
      <c r="D292" s="601">
        <f>D272</f>
        <v>370336.5066516691</v>
      </c>
      <c r="E292" s="601">
        <f t="shared" ref="E292:N292" si="65">E272</f>
        <v>380503.8471486679</v>
      </c>
      <c r="F292" s="601">
        <f t="shared" si="65"/>
        <v>393529.7608115857</v>
      </c>
      <c r="G292" s="601">
        <f t="shared" si="65"/>
        <v>407001.59487195866</v>
      </c>
      <c r="H292" s="601">
        <f t="shared" si="65"/>
        <v>420934.61466978618</v>
      </c>
      <c r="I292" s="601">
        <f t="shared" si="65"/>
        <v>435344.60812848533</v>
      </c>
      <c r="J292" s="601">
        <f t="shared" si="65"/>
        <v>450247.90364466113</v>
      </c>
      <c r="K292" s="601">
        <f t="shared" si="65"/>
        <v>465661.3885903036</v>
      </c>
      <c r="L292" s="601">
        <f t="shared" si="65"/>
        <v>481602.52844837634</v>
      </c>
      <c r="M292" s="601">
        <f t="shared" si="65"/>
        <v>498089.38660348026</v>
      </c>
      <c r="N292" s="601">
        <f t="shared" si="65"/>
        <v>515140.64481001708</v>
      </c>
    </row>
    <row r="293" spans="1:19" outlineLevel="1" x14ac:dyDescent="0.15">
      <c r="A293" s="585"/>
    </row>
    <row r="294" spans="1:19" x14ac:dyDescent="0.15">
      <c r="A294" s="585"/>
    </row>
    <row r="295" spans="1:19" ht="13.5" thickBot="1" x14ac:dyDescent="0.2">
      <c r="A295" s="585"/>
      <c r="B295" s="604" t="s">
        <v>702</v>
      </c>
    </row>
    <row r="296" spans="1:19" x14ac:dyDescent="0.15">
      <c r="A296" s="585"/>
      <c r="D296" s="330">
        <v>2023</v>
      </c>
      <c r="E296" s="330">
        <f t="shared" ref="E296:N296" si="66">D296+1</f>
        <v>2024</v>
      </c>
      <c r="F296" s="330">
        <f t="shared" si="66"/>
        <v>2025</v>
      </c>
      <c r="G296" s="331">
        <f t="shared" si="66"/>
        <v>2026</v>
      </c>
      <c r="H296" s="332">
        <f t="shared" si="66"/>
        <v>2027</v>
      </c>
      <c r="I296" s="332">
        <f t="shared" si="66"/>
        <v>2028</v>
      </c>
      <c r="J296" s="332">
        <f t="shared" si="66"/>
        <v>2029</v>
      </c>
      <c r="K296" s="332">
        <f t="shared" si="66"/>
        <v>2030</v>
      </c>
      <c r="L296" s="332">
        <f t="shared" si="66"/>
        <v>2031</v>
      </c>
      <c r="M296" s="332">
        <f t="shared" si="66"/>
        <v>2032</v>
      </c>
      <c r="N296" s="332">
        <f t="shared" si="66"/>
        <v>2033</v>
      </c>
    </row>
    <row r="297" spans="1:19" x14ac:dyDescent="0.15">
      <c r="A297" s="585"/>
      <c r="B297" s="598" t="s">
        <v>694</v>
      </c>
      <c r="C297" s="188" t="s">
        <v>695</v>
      </c>
      <c r="D297" s="600">
        <f>D256</f>
        <v>91931</v>
      </c>
      <c r="E297" s="600">
        <f t="shared" ref="E297:N300" si="67">AVERAGE(E276,E256)</f>
        <v>98168.595305036317</v>
      </c>
      <c r="F297" s="600">
        <f t="shared" si="67"/>
        <v>107115.25095374123</v>
      </c>
      <c r="G297" s="600">
        <f t="shared" si="67"/>
        <v>119746.03630815189</v>
      </c>
      <c r="H297" s="600">
        <f t="shared" si="67"/>
        <v>133866.21497722785</v>
      </c>
      <c r="I297" s="600">
        <f t="shared" si="67"/>
        <v>149651.4128134815</v>
      </c>
      <c r="J297" s="600">
        <f t="shared" si="67"/>
        <v>167297.96506818983</v>
      </c>
      <c r="K297" s="600">
        <f t="shared" si="67"/>
        <v>187025.35839632165</v>
      </c>
      <c r="L297" s="600">
        <f t="shared" si="67"/>
        <v>209078.96081709967</v>
      </c>
      <c r="M297" s="600">
        <f>AVERAGE(M276,M256)</f>
        <v>233733.07358526654</v>
      </c>
      <c r="N297" s="600">
        <f t="shared" si="67"/>
        <v>261294.34293202945</v>
      </c>
      <c r="P297" s="188" t="s">
        <v>123</v>
      </c>
      <c r="Q297" s="188" t="s">
        <v>703</v>
      </c>
      <c r="R297" s="188" t="s">
        <v>704</v>
      </c>
      <c r="S297" s="188" t="s">
        <v>705</v>
      </c>
    </row>
    <row r="298" spans="1:19" x14ac:dyDescent="0.15">
      <c r="A298" s="585"/>
      <c r="C298" s="188" t="s">
        <v>696</v>
      </c>
      <c r="D298" s="600">
        <f t="shared" ref="D298:D299" si="68">D257</f>
        <v>92903</v>
      </c>
      <c r="E298" s="600">
        <f t="shared" si="67"/>
        <v>100067.484407621</v>
      </c>
      <c r="F298" s="600">
        <f t="shared" si="67"/>
        <v>109183.78298469493</v>
      </c>
      <c r="G298" s="600">
        <f t="shared" si="67"/>
        <v>122058.4849041985</v>
      </c>
      <c r="H298" s="600">
        <f t="shared" si="67"/>
        <v>136451.34222173685</v>
      </c>
      <c r="I298" s="600">
        <f t="shared" si="67"/>
        <v>152541.37234889678</v>
      </c>
      <c r="J298" s="600">
        <f t="shared" si="67"/>
        <v>170528.70202091729</v>
      </c>
      <c r="K298" s="600">
        <f t="shared" si="67"/>
        <v>190637.05645984452</v>
      </c>
      <c r="L298" s="600">
        <f t="shared" si="67"/>
        <v>213116.54205411195</v>
      </c>
      <c r="M298" s="600">
        <f t="shared" si="67"/>
        <v>238246.75716533099</v>
      </c>
      <c r="N298" s="600">
        <f t="shared" si="67"/>
        <v>266340.26975430176</v>
      </c>
      <c r="P298" s="188">
        <v>2012</v>
      </c>
      <c r="Q298" s="587">
        <f>Inputs!$L$6</f>
        <v>110618</v>
      </c>
      <c r="R298" s="587">
        <f>Inputs!$L$6</f>
        <v>110618</v>
      </c>
      <c r="S298" s="587">
        <f>Inputs!$L$6</f>
        <v>110618</v>
      </c>
    </row>
    <row r="299" spans="1:19" x14ac:dyDescent="0.15">
      <c r="A299" s="585"/>
      <c r="C299" s="188" t="s">
        <v>697</v>
      </c>
      <c r="D299" s="600">
        <f t="shared" si="68"/>
        <v>92361</v>
      </c>
      <c r="E299" s="600">
        <f t="shared" si="67"/>
        <v>102498.85528373165</v>
      </c>
      <c r="F299" s="600">
        <f t="shared" si="67"/>
        <v>111835.09581689804</v>
      </c>
      <c r="G299" s="600">
        <f t="shared" si="67"/>
        <v>125022.43448040189</v>
      </c>
      <c r="H299" s="600">
        <f t="shared" si="67"/>
        <v>139764.79395160169</v>
      </c>
      <c r="I299" s="600">
        <f t="shared" si="67"/>
        <v>156245.53872685781</v>
      </c>
      <c r="J299" s="600">
        <f t="shared" si="67"/>
        <v>174669.65522447476</v>
      </c>
      <c r="K299" s="600">
        <f t="shared" si="67"/>
        <v>195266.3013922743</v>
      </c>
      <c r="L299" s="600">
        <f t="shared" si="67"/>
        <v>218291.65695906099</v>
      </c>
      <c r="M299" s="600">
        <f t="shared" si="67"/>
        <v>244032.1097812205</v>
      </c>
      <c r="N299" s="600">
        <f t="shared" si="67"/>
        <v>272807.81791601912</v>
      </c>
      <c r="P299" s="188">
        <v>2013</v>
      </c>
      <c r="Q299" s="587">
        <f>Inputs!$K$6</f>
        <v>122489</v>
      </c>
      <c r="R299" s="587">
        <f>Inputs!$K$6</f>
        <v>122489</v>
      </c>
      <c r="S299" s="587">
        <f>Inputs!$K$6</f>
        <v>122489</v>
      </c>
    </row>
    <row r="300" spans="1:19" x14ac:dyDescent="0.15">
      <c r="A300" s="585"/>
      <c r="C300" s="188" t="s">
        <v>698</v>
      </c>
      <c r="D300" s="600">
        <f>AVERAGE(D279,D259)</f>
        <v>94974.816300000006</v>
      </c>
      <c r="E300" s="600">
        <f t="shared" si="67"/>
        <v>103854.43865955553</v>
      </c>
      <c r="F300" s="600">
        <f t="shared" si="67"/>
        <v>114905.67101624273</v>
      </c>
      <c r="G300" s="600">
        <f t="shared" si="67"/>
        <v>128455.0848829709</v>
      </c>
      <c r="H300" s="600">
        <f t="shared" si="67"/>
        <v>143602.21463707194</v>
      </c>
      <c r="I300" s="600">
        <f t="shared" si="67"/>
        <v>160535.45928103192</v>
      </c>
      <c r="J300" s="600">
        <f t="shared" si="67"/>
        <v>179465.4333967265</v>
      </c>
      <c r="K300" s="600">
        <f t="shared" si="67"/>
        <v>200627.5867557218</v>
      </c>
      <c r="L300" s="600">
        <f t="shared" si="67"/>
        <v>224285.13282802945</v>
      </c>
      <c r="M300" s="600">
        <f t="shared" si="67"/>
        <v>250732.32261391479</v>
      </c>
      <c r="N300" s="600">
        <f t="shared" si="67"/>
        <v>280298.10451846244</v>
      </c>
      <c r="P300" s="188">
        <v>2014</v>
      </c>
      <c r="Q300" s="587">
        <f>Inputs!$J$6</f>
        <v>130474</v>
      </c>
      <c r="R300" s="587">
        <f>Inputs!$J$6</f>
        <v>130474</v>
      </c>
      <c r="S300" s="587">
        <f>Inputs!$J$6</f>
        <v>130474</v>
      </c>
    </row>
    <row r="301" spans="1:19" x14ac:dyDescent="0.15">
      <c r="A301" s="585"/>
      <c r="C301" s="190" t="s">
        <v>546</v>
      </c>
      <c r="D301" s="601">
        <f>SUM(D297:D300)</f>
        <v>372169.81630000001</v>
      </c>
      <c r="E301" s="601">
        <f t="shared" ref="E301:N301" si="69">SUM(E297:E300)</f>
        <v>404589.37365594448</v>
      </c>
      <c r="F301" s="601">
        <f t="shared" si="69"/>
        <v>443039.80077157693</v>
      </c>
      <c r="G301" s="601">
        <f t="shared" si="69"/>
        <v>495282.04057572316</v>
      </c>
      <c r="H301" s="601">
        <f t="shared" si="69"/>
        <v>553684.5657876383</v>
      </c>
      <c r="I301" s="601">
        <f t="shared" si="69"/>
        <v>618973.78317026794</v>
      </c>
      <c r="J301" s="601">
        <f t="shared" si="69"/>
        <v>691961.75571030832</v>
      </c>
      <c r="K301" s="601">
        <f t="shared" si="69"/>
        <v>773556.30300416227</v>
      </c>
      <c r="L301" s="601">
        <f t="shared" si="69"/>
        <v>864772.29265830212</v>
      </c>
      <c r="M301" s="601">
        <f t="shared" si="69"/>
        <v>966744.26314573269</v>
      </c>
      <c r="N301" s="601">
        <f t="shared" si="69"/>
        <v>1080740.5351208127</v>
      </c>
      <c r="O301" s="601"/>
      <c r="P301" s="188">
        <v>2015</v>
      </c>
      <c r="Q301" s="587">
        <f>Inputs!$I$6</f>
        <v>157107</v>
      </c>
      <c r="R301" s="587">
        <f>Inputs!$I$6</f>
        <v>157107</v>
      </c>
      <c r="S301" s="587">
        <f>Inputs!$I$6</f>
        <v>157107</v>
      </c>
    </row>
    <row r="302" spans="1:19" x14ac:dyDescent="0.15">
      <c r="A302" s="585"/>
      <c r="P302" s="188">
        <v>2016</v>
      </c>
      <c r="Q302" s="587">
        <f>Inputs!$H$6</f>
        <v>184840</v>
      </c>
      <c r="R302" s="587">
        <f>Inputs!$H$6</f>
        <v>184840</v>
      </c>
      <c r="S302" s="587">
        <f>Inputs!$H$6</f>
        <v>184840</v>
      </c>
    </row>
    <row r="303" spans="1:19" x14ac:dyDescent="0.15">
      <c r="A303" s="585"/>
      <c r="B303" s="602" t="s">
        <v>699</v>
      </c>
      <c r="C303" s="188" t="s">
        <v>695</v>
      </c>
      <c r="D303" s="600">
        <f>AVERAGE(D282,D262)</f>
        <v>91770.370263084274</v>
      </c>
      <c r="E303" s="600">
        <f t="shared" ref="E303:N303" si="70">AVERAGE(E282,E262)</f>
        <v>108829.27207642305</v>
      </c>
      <c r="F303" s="600">
        <f t="shared" si="70"/>
        <v>140275.69311077805</v>
      </c>
      <c r="G303" s="600">
        <f t="shared" si="70"/>
        <v>180808.61612205987</v>
      </c>
      <c r="H303" s="600">
        <f t="shared" si="70"/>
        <v>233053.60279458528</v>
      </c>
      <c r="I303" s="600">
        <f t="shared" si="70"/>
        <v>300394.87575564533</v>
      </c>
      <c r="J303" s="600">
        <f t="shared" si="70"/>
        <v>387194.53506919183</v>
      </c>
      <c r="K303" s="600">
        <f t="shared" si="70"/>
        <v>499075.11774401553</v>
      </c>
      <c r="L303" s="600">
        <f t="shared" si="70"/>
        <v>643283.80333852861</v>
      </c>
      <c r="M303" s="600">
        <f t="shared" si="70"/>
        <v>829161.85745396209</v>
      </c>
      <c r="N303" s="600">
        <f t="shared" si="70"/>
        <v>1068749.7218000097</v>
      </c>
      <c r="P303" s="188">
        <v>2017</v>
      </c>
      <c r="Q303" s="587">
        <f>Inputs!$G$6</f>
        <v>201159</v>
      </c>
      <c r="R303" s="587">
        <f>Inputs!$G$6</f>
        <v>201159</v>
      </c>
      <c r="S303" s="587">
        <f>Inputs!$G$6</f>
        <v>201159</v>
      </c>
    </row>
    <row r="304" spans="1:19" x14ac:dyDescent="0.15">
      <c r="A304" s="585"/>
      <c r="C304" s="188" t="s">
        <v>696</v>
      </c>
      <c r="D304" s="600">
        <f t="shared" ref="D304:N306" si="71">AVERAGE(D283,D263)</f>
        <v>92738.217655511049</v>
      </c>
      <c r="E304" s="600">
        <f t="shared" si="71"/>
        <v>112857.44974980166</v>
      </c>
      <c r="F304" s="600">
        <f t="shared" si="71"/>
        <v>145467.82023177674</v>
      </c>
      <c r="G304" s="600">
        <f t="shared" si="71"/>
        <v>187501.01805327844</v>
      </c>
      <c r="H304" s="600">
        <f t="shared" si="71"/>
        <v>241679.78673908833</v>
      </c>
      <c r="I304" s="600">
        <f t="shared" si="71"/>
        <v>311513.61163092067</v>
      </c>
      <c r="J304" s="600">
        <f t="shared" si="71"/>
        <v>401526.05040198448</v>
      </c>
      <c r="K304" s="600">
        <f t="shared" si="71"/>
        <v>517547.75114749453</v>
      </c>
      <c r="L304" s="600">
        <f t="shared" si="71"/>
        <v>667094.13859864743</v>
      </c>
      <c r="M304" s="600">
        <f t="shared" si="71"/>
        <v>859852.23347216914</v>
      </c>
      <c r="N304" s="600">
        <f t="shared" si="71"/>
        <v>1108308.1391783895</v>
      </c>
      <c r="P304" s="188">
        <v>2018</v>
      </c>
      <c r="Q304" s="587">
        <f>Inputs!$F$6</f>
        <v>226247</v>
      </c>
      <c r="R304" s="587">
        <f>Inputs!$F$6</f>
        <v>226247</v>
      </c>
      <c r="S304" s="587">
        <f>Inputs!$F$6</f>
        <v>226247</v>
      </c>
    </row>
    <row r="305" spans="1:19" x14ac:dyDescent="0.15">
      <c r="A305" s="585"/>
      <c r="C305" s="188" t="s">
        <v>697</v>
      </c>
      <c r="D305" s="600">
        <f t="shared" si="71"/>
        <v>93407.202863154613</v>
      </c>
      <c r="E305" s="600">
        <f t="shared" si="71"/>
        <v>117674.76606774937</v>
      </c>
      <c r="F305" s="600">
        <f t="shared" si="71"/>
        <v>151677.10907972057</v>
      </c>
      <c r="G305" s="600">
        <f t="shared" si="71"/>
        <v>195504.49248852686</v>
      </c>
      <c r="H305" s="600">
        <f t="shared" si="71"/>
        <v>251995.88003162155</v>
      </c>
      <c r="I305" s="600">
        <f t="shared" si="71"/>
        <v>324810.55931048759</v>
      </c>
      <c r="J305" s="600">
        <f t="shared" si="71"/>
        <v>418665.17590030795</v>
      </c>
      <c r="K305" s="600">
        <f t="shared" si="71"/>
        <v>539639.25890748051</v>
      </c>
      <c r="L305" s="600">
        <f t="shared" si="71"/>
        <v>695569.02870650403</v>
      </c>
      <c r="M305" s="600">
        <f t="shared" si="71"/>
        <v>896554.99615653115</v>
      </c>
      <c r="N305" s="600">
        <f t="shared" si="71"/>
        <v>1155616.2335577568</v>
      </c>
      <c r="P305" s="188">
        <v>2019</v>
      </c>
      <c r="Q305" s="587">
        <v>242155</v>
      </c>
      <c r="R305" s="587">
        <v>242155</v>
      </c>
      <c r="S305" s="587">
        <v>242155</v>
      </c>
    </row>
    <row r="306" spans="1:19" x14ac:dyDescent="0.15">
      <c r="A306" s="585"/>
      <c r="C306" s="188" t="s">
        <v>698</v>
      </c>
      <c r="D306" s="600">
        <f t="shared" si="71"/>
        <v>97691.151026953186</v>
      </c>
      <c r="E306" s="600">
        <f t="shared" si="71"/>
        <v>123124.01775153767</v>
      </c>
      <c r="F306" s="600">
        <f t="shared" si="71"/>
        <v>158700.93219545085</v>
      </c>
      <c r="G306" s="600">
        <f t="shared" si="71"/>
        <v>204557.86238660611</v>
      </c>
      <c r="H306" s="600">
        <f t="shared" si="71"/>
        <v>263665.23803807329</v>
      </c>
      <c r="I306" s="600">
        <f t="shared" si="71"/>
        <v>339851.80006567086</v>
      </c>
      <c r="J306" s="600">
        <f t="shared" si="71"/>
        <v>438052.61120997136</v>
      </c>
      <c r="K306" s="600">
        <f t="shared" si="71"/>
        <v>564628.7297898517</v>
      </c>
      <c r="L306" s="600">
        <f t="shared" si="71"/>
        <v>727779.25378303137</v>
      </c>
      <c r="M306" s="600">
        <f t="shared" si="71"/>
        <v>938072.42581177258</v>
      </c>
      <c r="N306" s="600">
        <f t="shared" si="71"/>
        <v>1209130.2019042259</v>
      </c>
      <c r="P306" s="188">
        <v>2020</v>
      </c>
      <c r="Q306" s="587">
        <v>257141</v>
      </c>
      <c r="R306" s="587">
        <v>257141</v>
      </c>
      <c r="S306" s="587">
        <v>257141</v>
      </c>
    </row>
    <row r="307" spans="1:19" x14ac:dyDescent="0.15">
      <c r="A307" s="585"/>
      <c r="C307" s="190" t="s">
        <v>546</v>
      </c>
      <c r="D307" s="601">
        <f>SUM(D303:D306)</f>
        <v>375606.94180870312</v>
      </c>
      <c r="E307" s="601">
        <f t="shared" ref="E307:N307" si="72">SUM(E303:E306)</f>
        <v>462485.50564551173</v>
      </c>
      <c r="F307" s="601">
        <f t="shared" si="72"/>
        <v>596121.55461772624</v>
      </c>
      <c r="G307" s="601">
        <f t="shared" si="72"/>
        <v>768371.98905047122</v>
      </c>
      <c r="H307" s="601">
        <f t="shared" si="72"/>
        <v>990394.50760336849</v>
      </c>
      <c r="I307" s="601">
        <f t="shared" si="72"/>
        <v>1276570.8467627245</v>
      </c>
      <c r="J307" s="601">
        <f t="shared" si="72"/>
        <v>1645438.3725814556</v>
      </c>
      <c r="K307" s="601">
        <f t="shared" si="72"/>
        <v>2120890.8575888425</v>
      </c>
      <c r="L307" s="601">
        <f t="shared" si="72"/>
        <v>2733726.2244267114</v>
      </c>
      <c r="M307" s="601">
        <f t="shared" si="72"/>
        <v>3523641.5128944353</v>
      </c>
      <c r="N307" s="601">
        <f t="shared" si="72"/>
        <v>4541804.2964403825</v>
      </c>
      <c r="P307" s="188">
        <v>2021</v>
      </c>
      <c r="Q307" s="587">
        <v>287597</v>
      </c>
      <c r="R307" s="587">
        <v>287597</v>
      </c>
      <c r="S307" s="587">
        <v>287597</v>
      </c>
    </row>
    <row r="308" spans="1:19" x14ac:dyDescent="0.15">
      <c r="A308" s="585"/>
      <c r="B308" s="197"/>
      <c r="D308" s="589"/>
      <c r="E308" s="589"/>
      <c r="F308" s="589"/>
      <c r="G308" s="589"/>
      <c r="H308" s="589"/>
      <c r="I308" s="589"/>
      <c r="J308" s="589"/>
      <c r="K308" s="589"/>
      <c r="L308" s="589"/>
      <c r="M308" s="589"/>
      <c r="N308" s="589"/>
      <c r="P308" s="188">
        <v>2022</v>
      </c>
      <c r="Q308" s="605">
        <v>324162</v>
      </c>
      <c r="R308" s="605">
        <v>324162</v>
      </c>
      <c r="S308" s="605">
        <v>324162</v>
      </c>
    </row>
    <row r="309" spans="1:19" x14ac:dyDescent="0.15">
      <c r="A309" s="585"/>
      <c r="B309" s="603" t="s">
        <v>700</v>
      </c>
      <c r="C309" s="188" t="s">
        <v>695</v>
      </c>
      <c r="D309" s="600">
        <f>AVERAGE(D288,D268)</f>
        <v>91127.646256346168</v>
      </c>
      <c r="E309" s="600">
        <f t="shared" ref="E309:N309" si="73">AVERAGE(E288,E268)</f>
        <v>93366.347232471337</v>
      </c>
      <c r="F309" s="600">
        <f t="shared" si="73"/>
        <v>96562.588182952444</v>
      </c>
      <c r="G309" s="600">
        <f t="shared" si="73"/>
        <v>99868.247103787406</v>
      </c>
      <c r="H309" s="600">
        <f t="shared" si="73"/>
        <v>103287.06973643374</v>
      </c>
      <c r="I309" s="600">
        <f t="shared" si="73"/>
        <v>106822.93005155132</v>
      </c>
      <c r="J309" s="600">
        <f t="shared" si="73"/>
        <v>110479.83463871502</v>
      </c>
      <c r="K309" s="600">
        <f t="shared" si="73"/>
        <v>114261.92724640173</v>
      </c>
      <c r="L309" s="600">
        <f t="shared" si="73"/>
        <v>118173.4934773962</v>
      </c>
      <c r="M309" s="600">
        <f t="shared" si="73"/>
        <v>122218.96564493646</v>
      </c>
      <c r="N309" s="600">
        <f t="shared" si="73"/>
        <v>126402.92779510107</v>
      </c>
      <c r="P309" s="188">
        <v>2023</v>
      </c>
      <c r="Q309" s="293">
        <v>370336.5066516691</v>
      </c>
      <c r="R309" s="293">
        <v>375606.94180870312</v>
      </c>
      <c r="S309" s="293">
        <v>372169.81630000001</v>
      </c>
    </row>
    <row r="310" spans="1:19" x14ac:dyDescent="0.15">
      <c r="A310" s="585"/>
      <c r="C310" s="188" t="s">
        <v>696</v>
      </c>
      <c r="D310" s="600">
        <f t="shared" ref="D310:N312" si="74">AVERAGE(D289,D269)</f>
        <v>92088.73247065107</v>
      </c>
      <c r="E310" s="600">
        <f t="shared" si="74"/>
        <v>94251.353571323067</v>
      </c>
      <c r="F310" s="600">
        <f t="shared" si="74"/>
        <v>97477.891235615098</v>
      </c>
      <c r="G310" s="600">
        <f t="shared" si="74"/>
        <v>100814.8840276546</v>
      </c>
      <c r="H310" s="600">
        <f t="shared" si="74"/>
        <v>104266.11319425012</v>
      </c>
      <c r="I310" s="600">
        <f t="shared" si="74"/>
        <v>107835.48942687899</v>
      </c>
      <c r="J310" s="600">
        <f t="shared" si="74"/>
        <v>111527.05729300935</v>
      </c>
      <c r="K310" s="600">
        <f t="shared" si="74"/>
        <v>115344.99981912106</v>
      </c>
      <c r="L310" s="600">
        <f t="shared" si="74"/>
        <v>119293.64323061879</v>
      </c>
      <c r="M310" s="600">
        <f t="shared" si="74"/>
        <v>123377.46185400794</v>
      </c>
      <c r="N310" s="600">
        <f t="shared" si="74"/>
        <v>127601.08318688849</v>
      </c>
      <c r="P310" s="188">
        <v>2024</v>
      </c>
      <c r="Q310" s="293">
        <v>380503.8471486679</v>
      </c>
      <c r="R310" s="293">
        <v>462485.50564551173</v>
      </c>
      <c r="S310" s="293">
        <v>404589.37365594448</v>
      </c>
    </row>
    <row r="311" spans="1:19" x14ac:dyDescent="0.15">
      <c r="A311" s="585"/>
      <c r="C311" s="188" t="s">
        <v>697</v>
      </c>
      <c r="D311" s="600">
        <f t="shared" si="74"/>
        <v>92744.528009696922</v>
      </c>
      <c r="E311" s="600">
        <f t="shared" si="74"/>
        <v>95603.824463312805</v>
      </c>
      <c r="F311" s="600">
        <f t="shared" si="74"/>
        <v>98876.661709600332</v>
      </c>
      <c r="G311" s="600">
        <f t="shared" si="74"/>
        <v>102261.53907249216</v>
      </c>
      <c r="H311" s="600">
        <f t="shared" si="74"/>
        <v>105762.29205824297</v>
      </c>
      <c r="I311" s="600">
        <f t="shared" si="74"/>
        <v>109382.88747525774</v>
      </c>
      <c r="J311" s="600">
        <f t="shared" si="74"/>
        <v>113127.42792900157</v>
      </c>
      <c r="K311" s="600">
        <f t="shared" si="74"/>
        <v>117000.15647078518</v>
      </c>
      <c r="L311" s="600">
        <f t="shared" si="74"/>
        <v>121005.4614056939</v>
      </c>
      <c r="M311" s="600">
        <f t="shared" si="74"/>
        <v>125147.88126510795</v>
      </c>
      <c r="N311" s="600">
        <f t="shared" si="74"/>
        <v>129432.10994944879</v>
      </c>
      <c r="P311" s="188">
        <v>2025</v>
      </c>
      <c r="Q311" s="293">
        <v>393529.7608115857</v>
      </c>
      <c r="R311" s="293">
        <v>596121.55461772624</v>
      </c>
      <c r="S311" s="293">
        <v>443039.80077157693</v>
      </c>
    </row>
    <row r="312" spans="1:19" x14ac:dyDescent="0.15">
      <c r="A312" s="585"/>
      <c r="C312" s="188" t="s">
        <v>698</v>
      </c>
      <c r="D312" s="600">
        <f t="shared" si="74"/>
        <v>94375.59991497494</v>
      </c>
      <c r="E312" s="600">
        <f t="shared" si="74"/>
        <v>97282.321881560696</v>
      </c>
      <c r="F312" s="600">
        <f t="shared" si="74"/>
        <v>100612.61968341781</v>
      </c>
      <c r="G312" s="600">
        <f t="shared" si="74"/>
        <v>104056.9246680245</v>
      </c>
      <c r="H312" s="600">
        <f t="shared" si="74"/>
        <v>107619.1396808594</v>
      </c>
      <c r="I312" s="600">
        <f t="shared" si="74"/>
        <v>111303.30117479729</v>
      </c>
      <c r="J312" s="600">
        <f t="shared" si="74"/>
        <v>115113.58378393517</v>
      </c>
      <c r="K312" s="600">
        <f t="shared" si="74"/>
        <v>119054.30505399562</v>
      </c>
      <c r="L312" s="600">
        <f t="shared" si="74"/>
        <v>123129.93033466747</v>
      </c>
      <c r="M312" s="600">
        <f t="shared" si="74"/>
        <v>127345.0778394279</v>
      </c>
      <c r="N312" s="600">
        <f t="shared" si="74"/>
        <v>131704.52387857874</v>
      </c>
      <c r="P312" s="188">
        <v>2026</v>
      </c>
      <c r="Q312" s="293">
        <v>407001.59487195872</v>
      </c>
      <c r="R312" s="293">
        <v>768371.98905047122</v>
      </c>
      <c r="S312" s="293">
        <v>495282.04057572316</v>
      </c>
    </row>
    <row r="313" spans="1:19" x14ac:dyDescent="0.15">
      <c r="A313" s="585"/>
      <c r="C313" s="190" t="s">
        <v>546</v>
      </c>
      <c r="D313" s="601">
        <f>SUM(D309:D312)</f>
        <v>370336.5066516691</v>
      </c>
      <c r="E313" s="601">
        <f t="shared" ref="E313:N313" si="75">SUM(E309:E312)</f>
        <v>380503.8471486679</v>
      </c>
      <c r="F313" s="601">
        <f t="shared" si="75"/>
        <v>393529.7608115857</v>
      </c>
      <c r="G313" s="601">
        <f t="shared" si="75"/>
        <v>407001.59487195872</v>
      </c>
      <c r="H313" s="601">
        <f t="shared" si="75"/>
        <v>420934.61466978624</v>
      </c>
      <c r="I313" s="601">
        <f t="shared" si="75"/>
        <v>435344.60812848533</v>
      </c>
      <c r="J313" s="601">
        <f t="shared" si="75"/>
        <v>450247.90364466113</v>
      </c>
      <c r="K313" s="601">
        <f t="shared" si="75"/>
        <v>465661.3885903036</v>
      </c>
      <c r="L313" s="601">
        <f t="shared" si="75"/>
        <v>481602.52844837634</v>
      </c>
      <c r="M313" s="601">
        <f t="shared" si="75"/>
        <v>498089.38660348026</v>
      </c>
      <c r="N313" s="601">
        <f t="shared" si="75"/>
        <v>515140.64481001708</v>
      </c>
      <c r="P313" s="188">
        <v>2027</v>
      </c>
      <c r="Q313" s="293">
        <v>420934.61466978624</v>
      </c>
      <c r="R313" s="293">
        <v>990394.50760336849</v>
      </c>
      <c r="S313" s="293">
        <v>553684.5657876383</v>
      </c>
    </row>
    <row r="314" spans="1:19" x14ac:dyDescent="0.15">
      <c r="D314" s="589"/>
      <c r="E314" s="589"/>
      <c r="F314" s="589"/>
      <c r="G314" s="589"/>
      <c r="H314" s="589"/>
      <c r="I314" s="589"/>
      <c r="J314" s="589"/>
      <c r="K314" s="589"/>
      <c r="L314" s="589"/>
      <c r="M314" s="589"/>
      <c r="N314" s="589"/>
      <c r="P314" s="188">
        <v>2028</v>
      </c>
      <c r="Q314" s="293">
        <v>435344.60812848533</v>
      </c>
      <c r="R314" s="293">
        <v>1276570.8467627245</v>
      </c>
      <c r="S314" s="293">
        <v>618973.78317026794</v>
      </c>
    </row>
    <row r="315" spans="1:19" ht="13.5" thickBot="1" x14ac:dyDescent="0.2">
      <c r="A315" s="584" t="s">
        <v>706</v>
      </c>
      <c r="B315" s="301"/>
      <c r="E315" s="601"/>
      <c r="P315" s="188">
        <v>2029</v>
      </c>
      <c r="Q315" s="293">
        <v>450247.90364466113</v>
      </c>
      <c r="R315" s="293">
        <v>1645438.3725814556</v>
      </c>
      <c r="S315" s="293">
        <v>691961.75571030832</v>
      </c>
    </row>
    <row r="316" spans="1:19" x14ac:dyDescent="0.15">
      <c r="A316" s="585"/>
      <c r="B316" s="199"/>
      <c r="C316" s="586" t="s">
        <v>707</v>
      </c>
      <c r="D316" s="586" t="s">
        <v>605</v>
      </c>
      <c r="E316" s="330" t="s">
        <v>492</v>
      </c>
      <c r="F316" s="330" t="s">
        <v>493</v>
      </c>
      <c r="G316" s="330" t="s">
        <v>494</v>
      </c>
      <c r="P316" s="188">
        <v>2030</v>
      </c>
      <c r="Q316" s="293">
        <v>465661.3885903036</v>
      </c>
      <c r="R316" s="293">
        <v>2120890.8575888425</v>
      </c>
      <c r="S316" s="293">
        <v>773556.30300416227</v>
      </c>
    </row>
    <row r="317" spans="1:19" x14ac:dyDescent="0.15">
      <c r="A317" s="585"/>
      <c r="B317" s="601" t="s">
        <v>708</v>
      </c>
      <c r="C317" s="293">
        <f>Inputs!F65*-1</f>
        <v>2063</v>
      </c>
      <c r="D317" s="293">
        <f>-1*Inputs!E65</f>
        <v>2071</v>
      </c>
      <c r="E317" s="293">
        <f>-1*Inputs!D65</f>
        <v>2051</v>
      </c>
      <c r="F317" s="293">
        <f>-1*Inputs!C65</f>
        <v>2454</v>
      </c>
      <c r="G317" s="606">
        <f>-1*Inputs!B65</f>
        <v>2802</v>
      </c>
      <c r="J317" s="601"/>
      <c r="K317" s="601"/>
      <c r="L317" s="601"/>
      <c r="P317" s="188">
        <v>2031</v>
      </c>
      <c r="Q317" s="293">
        <v>481602.52844837634</v>
      </c>
      <c r="R317" s="293">
        <v>2733726.2244267114</v>
      </c>
      <c r="S317" s="293">
        <v>864772.29265830212</v>
      </c>
    </row>
    <row r="318" spans="1:19" x14ac:dyDescent="0.15">
      <c r="A318" s="585"/>
      <c r="B318" s="601" t="s">
        <v>603</v>
      </c>
      <c r="C318" s="587">
        <f>Q304</f>
        <v>226247</v>
      </c>
      <c r="D318" s="587">
        <f>Q305</f>
        <v>242155</v>
      </c>
      <c r="E318" s="587">
        <f>Q306</f>
        <v>257141</v>
      </c>
      <c r="F318" s="587">
        <f>Q307</f>
        <v>287597</v>
      </c>
      <c r="G318" s="607">
        <f>Q308</f>
        <v>324162</v>
      </c>
      <c r="P318" s="188">
        <v>2032</v>
      </c>
      <c r="Q318" s="293">
        <v>498089.38660348026</v>
      </c>
      <c r="R318" s="293">
        <v>3523641.5128944353</v>
      </c>
      <c r="S318" s="293">
        <v>966744.26314573269</v>
      </c>
    </row>
    <row r="319" spans="1:19" x14ac:dyDescent="0.15">
      <c r="A319" s="585"/>
      <c r="B319" s="601" t="s">
        <v>709</v>
      </c>
      <c r="C319" s="608">
        <f>C317/C318</f>
        <v>9.1183529505363611E-3</v>
      </c>
      <c r="D319" s="608">
        <f t="shared" ref="D319:G319" si="76">D317/D318</f>
        <v>8.5523734797959983E-3</v>
      </c>
      <c r="E319" s="608">
        <f t="shared" si="76"/>
        <v>7.9761687167740659E-3</v>
      </c>
      <c r="F319" s="608">
        <f t="shared" si="76"/>
        <v>8.5327732904028897E-3</v>
      </c>
      <c r="G319" s="609">
        <f t="shared" si="76"/>
        <v>8.6438262350306324E-3</v>
      </c>
      <c r="H319" s="610" t="s">
        <v>710</v>
      </c>
      <c r="I319" s="611">
        <f>AVERAGE(C319:G319)</f>
        <v>8.5646989345079909E-3</v>
      </c>
      <c r="P319" s="188">
        <v>2033</v>
      </c>
      <c r="Q319" s="293">
        <v>515140.64481001708</v>
      </c>
      <c r="R319" s="293">
        <v>4541804.2964403825</v>
      </c>
      <c r="S319" s="293">
        <v>1080740.5351208127</v>
      </c>
    </row>
    <row r="320" spans="1:19" x14ac:dyDescent="0.15">
      <c r="B320" s="601"/>
      <c r="C320" s="612"/>
    </row>
    <row r="321" spans="1:12" ht="13.5" thickBot="1" x14ac:dyDescent="0.2">
      <c r="B321" s="601"/>
    </row>
    <row r="322" spans="1:12" x14ac:dyDescent="0.15">
      <c r="A322" s="584" t="s">
        <v>711</v>
      </c>
      <c r="B322" s="601"/>
      <c r="C322" s="586" t="s">
        <v>707</v>
      </c>
      <c r="D322" s="586" t="s">
        <v>605</v>
      </c>
      <c r="E322" s="330" t="s">
        <v>492</v>
      </c>
      <c r="F322" s="330" t="s">
        <v>493</v>
      </c>
      <c r="G322" s="330" t="s">
        <v>494</v>
      </c>
    </row>
    <row r="323" spans="1:12" x14ac:dyDescent="0.15">
      <c r="A323" s="585"/>
      <c r="B323" s="601" t="s">
        <v>711</v>
      </c>
      <c r="C323" s="587">
        <v>-1618.6666666666665</v>
      </c>
      <c r="D323" s="587">
        <v>-1813.3333333333333</v>
      </c>
      <c r="E323" s="587">
        <v>-1450</v>
      </c>
      <c r="F323" s="587">
        <v>-1560</v>
      </c>
      <c r="G323" s="587">
        <v>-1700</v>
      </c>
      <c r="H323" s="587"/>
      <c r="I323" s="587"/>
      <c r="J323" s="587"/>
      <c r="K323" s="587"/>
      <c r="L323" s="587"/>
    </row>
    <row r="324" spans="1:12" x14ac:dyDescent="0.15">
      <c r="A324" s="584" t="s">
        <v>712</v>
      </c>
      <c r="B324" s="601" t="s">
        <v>502</v>
      </c>
      <c r="C324" s="587">
        <v>-809.33333333333326</v>
      </c>
      <c r="D324" s="587">
        <v>-906.66666666666663</v>
      </c>
      <c r="E324" s="587">
        <v>-1441</v>
      </c>
      <c r="F324" s="587">
        <v>-1543</v>
      </c>
      <c r="G324" s="587">
        <v>-1700</v>
      </c>
      <c r="H324" s="587"/>
      <c r="I324" s="587"/>
      <c r="J324" s="587"/>
      <c r="K324" s="587"/>
      <c r="L324" s="587"/>
    </row>
    <row r="325" spans="1:12" x14ac:dyDescent="0.15">
      <c r="A325" s="585"/>
      <c r="B325" s="601" t="s">
        <v>713</v>
      </c>
      <c r="C325" s="587">
        <v>12599</v>
      </c>
      <c r="D325" s="587">
        <v>13699</v>
      </c>
      <c r="E325" s="587">
        <f>DCF!D40</f>
        <v>13856</v>
      </c>
      <c r="F325" s="587">
        <f>DCF!E40</f>
        <v>14961</v>
      </c>
      <c r="G325" s="587">
        <f>DCF!F40</f>
        <v>17058</v>
      </c>
    </row>
    <row r="326" spans="1:12" x14ac:dyDescent="0.15">
      <c r="A326" s="585"/>
      <c r="B326" s="601" t="s">
        <v>714</v>
      </c>
      <c r="C326" s="589">
        <f>C323/C325</f>
        <v>-0.12847580495806543</v>
      </c>
      <c r="D326" s="589">
        <f t="shared" ref="D326:G326" si="77">D323/D325</f>
        <v>-0.13236975934983089</v>
      </c>
      <c r="E326" s="589">
        <f t="shared" si="77"/>
        <v>-0.10464780600461894</v>
      </c>
      <c r="F326" s="589">
        <f t="shared" si="77"/>
        <v>-0.10427110487266894</v>
      </c>
      <c r="G326" s="589">
        <f t="shared" si="77"/>
        <v>-9.9659983585414474E-2</v>
      </c>
      <c r="H326" s="610" t="s">
        <v>710</v>
      </c>
      <c r="I326" s="611">
        <f>AVERAGE(C326:G326)</f>
        <v>-0.11388489175411973</v>
      </c>
    </row>
    <row r="327" spans="1:12" x14ac:dyDescent="0.15">
      <c r="A327" s="585"/>
      <c r="B327" s="601" t="s">
        <v>715</v>
      </c>
      <c r="C327" s="587">
        <f>72827</f>
        <v>72827</v>
      </c>
      <c r="D327" s="587">
        <v>81080</v>
      </c>
      <c r="E327" s="587">
        <f>DCF!D38</f>
        <v>87648</v>
      </c>
      <c r="F327" s="587">
        <f>DCF!E38</f>
        <v>91475</v>
      </c>
      <c r="G327" s="587">
        <f>DCF!F38</f>
        <v>113890</v>
      </c>
    </row>
    <row r="328" spans="1:12" x14ac:dyDescent="0.15">
      <c r="A328" s="585"/>
      <c r="B328" s="601" t="s">
        <v>716</v>
      </c>
      <c r="C328" s="587">
        <v>68145</v>
      </c>
      <c r="D328" s="587">
        <v>76008</v>
      </c>
      <c r="E328" s="587">
        <v>82163</v>
      </c>
      <c r="F328" s="587">
        <v>85839</v>
      </c>
      <c r="G328" s="587">
        <v>107753</v>
      </c>
    </row>
    <row r="329" spans="1:12" x14ac:dyDescent="0.15">
      <c r="A329" s="585"/>
      <c r="B329" s="601" t="s">
        <v>717</v>
      </c>
      <c r="C329" s="589">
        <f>C324/C327</f>
        <v>-1.1113094502496784E-2</v>
      </c>
      <c r="D329" s="589">
        <f t="shared" ref="D329:G329" si="78">D324/D327</f>
        <v>-1.1182371320506495E-2</v>
      </c>
      <c r="E329" s="589">
        <f t="shared" si="78"/>
        <v>-1.6440763052208835E-2</v>
      </c>
      <c r="F329" s="589">
        <f t="shared" si="78"/>
        <v>-1.6867996720415415E-2</v>
      </c>
      <c r="G329" s="589">
        <f t="shared" si="78"/>
        <v>-1.4926683642110809E-2</v>
      </c>
      <c r="H329" s="610"/>
      <c r="I329" s="611">
        <f>AVERAGE(C329:G329)</f>
        <v>-1.4106181847547666E-2</v>
      </c>
    </row>
    <row r="330" spans="1:12" x14ac:dyDescent="0.15">
      <c r="A330" s="585"/>
      <c r="B330" s="601" t="s">
        <v>718</v>
      </c>
      <c r="C330" s="589">
        <f>C324/C328</f>
        <v>-1.1876635605449163E-2</v>
      </c>
      <c r="D330" s="589">
        <f t="shared" ref="D330:G330" si="79">D324/D328</f>
        <v>-1.1928568922569554E-2</v>
      </c>
      <c r="E330" s="589">
        <f t="shared" si="79"/>
        <v>-1.7538307997517131E-2</v>
      </c>
      <c r="F330" s="589">
        <f t="shared" si="79"/>
        <v>-1.7975512296275586E-2</v>
      </c>
      <c r="G330" s="589">
        <f t="shared" si="79"/>
        <v>-1.5776822919083458E-2</v>
      </c>
      <c r="H330" s="610"/>
      <c r="I330" s="611">
        <f>AVERAGE(C330:G330)</f>
        <v>-1.5019169548178979E-2</v>
      </c>
    </row>
    <row r="331" spans="1:12" ht="13.5" thickBot="1" x14ac:dyDescent="0.2"/>
    <row r="332" spans="1:12" x14ac:dyDescent="0.15">
      <c r="A332" s="584" t="s">
        <v>719</v>
      </c>
      <c r="B332" s="601"/>
      <c r="C332" s="586" t="s">
        <v>707</v>
      </c>
      <c r="D332" s="586" t="s">
        <v>605</v>
      </c>
      <c r="E332" s="330" t="s">
        <v>492</v>
      </c>
      <c r="F332" s="330" t="s">
        <v>493</v>
      </c>
      <c r="G332" s="330" t="s">
        <v>494</v>
      </c>
    </row>
    <row r="333" spans="1:12" x14ac:dyDescent="0.15">
      <c r="A333" s="585"/>
      <c r="B333" s="613" t="s">
        <v>720</v>
      </c>
      <c r="C333" s="587">
        <f>Inputs!F10</f>
        <v>-1400</v>
      </c>
      <c r="D333" s="587">
        <f>Inputs!E10</f>
        <v>-1704</v>
      </c>
      <c r="E333" s="587">
        <f>Inputs!D10</f>
        <v>-1663</v>
      </c>
      <c r="F333" s="587">
        <f>Inputs!C10</f>
        <v>-1660</v>
      </c>
      <c r="G333" s="587">
        <f>Inputs!B10</f>
        <v>-2092</v>
      </c>
    </row>
    <row r="334" spans="1:12" x14ac:dyDescent="0.15">
      <c r="A334" s="585"/>
      <c r="B334" s="613" t="s">
        <v>60</v>
      </c>
      <c r="C334" s="587">
        <f>Inputs!F8</f>
        <v>17344</v>
      </c>
      <c r="D334" s="587">
        <f>Inputs!E8</f>
        <v>19685</v>
      </c>
      <c r="E334" s="587">
        <f>Inputs!D8</f>
        <v>22405</v>
      </c>
      <c r="F334" s="587">
        <f>Inputs!C8</f>
        <v>23970</v>
      </c>
      <c r="G334" s="587">
        <f>Inputs!B8</f>
        <v>28435</v>
      </c>
    </row>
    <row r="335" spans="1:12" x14ac:dyDescent="0.15">
      <c r="A335" s="585"/>
      <c r="B335" s="613" t="s">
        <v>367</v>
      </c>
      <c r="C335" s="587">
        <f>'Fin. Data'!F58</f>
        <v>41424</v>
      </c>
      <c r="D335" s="587">
        <f>'Fin. Data'!E58</f>
        <v>46293</v>
      </c>
      <c r="E335" s="587">
        <f>'Fin. Data'!D58</f>
        <v>49676</v>
      </c>
      <c r="F335" s="587">
        <f>'Fin. Data'!C58</f>
        <v>51839</v>
      </c>
      <c r="G335" s="587">
        <f>'Fin. Data'!B58</f>
        <v>63467</v>
      </c>
    </row>
    <row r="336" spans="1:12" x14ac:dyDescent="0.15">
      <c r="A336" s="585"/>
      <c r="B336" s="614" t="s">
        <v>721</v>
      </c>
      <c r="C336" s="589">
        <f>C333/C335*-1</f>
        <v>3.3796832753959061E-2</v>
      </c>
      <c r="D336" s="589">
        <f>D333/D335*-1</f>
        <v>3.6809020802281121E-2</v>
      </c>
      <c r="E336" s="589">
        <f>E333/E335*-1</f>
        <v>3.3476930509702872E-2</v>
      </c>
      <c r="F336" s="589">
        <f>F333/F335*-1</f>
        <v>3.2022222650899899E-2</v>
      </c>
      <c r="G336" s="589">
        <f>G333/G335*-1</f>
        <v>3.2962011754139944E-2</v>
      </c>
      <c r="H336" s="610" t="s">
        <v>710</v>
      </c>
      <c r="I336" s="611">
        <f>AVERAGE(C336:G336)</f>
        <v>3.3813403694196588E-2</v>
      </c>
    </row>
    <row r="337" spans="1:9" x14ac:dyDescent="0.15">
      <c r="A337" s="585"/>
      <c r="B337" s="613" t="s">
        <v>722</v>
      </c>
      <c r="C337" s="587">
        <f>C334+C333</f>
        <v>15944</v>
      </c>
      <c r="D337" s="587">
        <f t="shared" ref="D337:G337" si="80">D334+D333</f>
        <v>17981</v>
      </c>
      <c r="E337" s="587">
        <f t="shared" si="80"/>
        <v>20742</v>
      </c>
      <c r="F337" s="587">
        <f t="shared" si="80"/>
        <v>22310</v>
      </c>
      <c r="G337" s="587">
        <f t="shared" si="80"/>
        <v>26343</v>
      </c>
    </row>
    <row r="338" spans="1:9" x14ac:dyDescent="0.15">
      <c r="A338" s="585"/>
      <c r="B338" s="613" t="s">
        <v>723</v>
      </c>
      <c r="C338" s="587">
        <f>Inputs!F11</f>
        <v>-3562</v>
      </c>
      <c r="D338" s="587">
        <f>Inputs!E11</f>
        <v>-3742</v>
      </c>
      <c r="E338" s="587">
        <f>Inputs!D11</f>
        <v>-4973</v>
      </c>
      <c r="F338" s="587">
        <f>Inputs!C11</f>
        <v>-4578</v>
      </c>
      <c r="G338" s="587">
        <f>Inputs!B11</f>
        <v>-5704</v>
      </c>
    </row>
    <row r="339" spans="1:9" x14ac:dyDescent="0.15">
      <c r="A339" s="585"/>
      <c r="B339" s="613" t="s">
        <v>555</v>
      </c>
      <c r="C339" s="589">
        <f>C338/C337*-1</f>
        <v>0.22340692423482186</v>
      </c>
      <c r="D339" s="589">
        <f>D338/D337*-1</f>
        <v>0.20810855903453646</v>
      </c>
      <c r="E339" s="589">
        <f>E338/E337*-1</f>
        <v>0.23975508629833189</v>
      </c>
      <c r="F339" s="589">
        <f>F338/F337*-1</f>
        <v>0.2051994621246078</v>
      </c>
      <c r="G339" s="589">
        <f>G338/G337*-1</f>
        <v>0.21652810993432792</v>
      </c>
      <c r="H339" s="610"/>
      <c r="I339" s="611">
        <f>AVERAGE(C339:G339)</f>
        <v>0.21859962832532517</v>
      </c>
    </row>
    <row r="340" spans="1:9" x14ac:dyDescent="0.15">
      <c r="A340" s="585"/>
      <c r="B340" s="613"/>
    </row>
    <row r="341" spans="1:9" x14ac:dyDescent="0.15">
      <c r="A341" s="585"/>
      <c r="B341" s="601"/>
    </row>
    <row r="345" spans="1:9" x14ac:dyDescent="0.15">
      <c r="A345" s="584" t="s">
        <v>112</v>
      </c>
      <c r="C345" s="615"/>
    </row>
    <row r="346" spans="1:9" x14ac:dyDescent="0.15">
      <c r="A346" s="585"/>
      <c r="B346" s="190" t="s">
        <v>724</v>
      </c>
      <c r="C346" s="616">
        <v>4.1399999999999999E-2</v>
      </c>
    </row>
    <row r="347" spans="1:9" x14ac:dyDescent="0.15">
      <c r="A347" s="585"/>
      <c r="B347" s="617">
        <v>45268</v>
      </c>
    </row>
    <row r="348" spans="1:9" x14ac:dyDescent="0.15">
      <c r="A348" s="585"/>
    </row>
    <row r="349" spans="1:9" x14ac:dyDescent="0.15">
      <c r="A349" s="585"/>
      <c r="B349" s="190" t="s">
        <v>725</v>
      </c>
      <c r="C349" s="618">
        <f>0.8909*C350+0.1091*C351</f>
        <v>5.2686977142857146E-2</v>
      </c>
    </row>
    <row r="350" spans="1:9" x14ac:dyDescent="0.15">
      <c r="A350" s="585"/>
      <c r="B350" s="188" t="s">
        <v>726</v>
      </c>
      <c r="C350" s="197">
        <v>0.05</v>
      </c>
      <c r="D350" s="199"/>
      <c r="E350" s="199" t="s">
        <v>727</v>
      </c>
    </row>
    <row r="351" spans="1:9" x14ac:dyDescent="0.15">
      <c r="A351" s="585"/>
      <c r="B351" s="188" t="s">
        <v>187</v>
      </c>
      <c r="C351" s="197">
        <f>AVERAGE(C352:C358)</f>
        <v>7.4628571428571419E-2</v>
      </c>
      <c r="D351" s="199"/>
      <c r="E351" s="199" t="s">
        <v>728</v>
      </c>
    </row>
    <row r="352" spans="1:9" x14ac:dyDescent="0.15">
      <c r="A352" s="585"/>
      <c r="B352" s="619" t="s">
        <v>729</v>
      </c>
      <c r="C352" s="620">
        <v>5.91E-2</v>
      </c>
    </row>
    <row r="353" spans="1:9" x14ac:dyDescent="0.15">
      <c r="A353" s="585"/>
      <c r="B353" s="619" t="s">
        <v>730</v>
      </c>
      <c r="C353" s="620">
        <v>5.91E-2</v>
      </c>
    </row>
    <row r="354" spans="1:9" x14ac:dyDescent="0.15">
      <c r="A354" s="585"/>
      <c r="B354" s="619" t="s">
        <v>282</v>
      </c>
      <c r="C354" s="620">
        <v>9.5699999999999993E-2</v>
      </c>
    </row>
    <row r="355" spans="1:9" x14ac:dyDescent="0.15">
      <c r="A355" s="585"/>
      <c r="B355" s="619" t="s">
        <v>731</v>
      </c>
      <c r="C355" s="620">
        <v>7.8899999999999998E-2</v>
      </c>
    </row>
    <row r="356" spans="1:9" x14ac:dyDescent="0.15">
      <c r="A356" s="585"/>
      <c r="B356" s="619" t="s">
        <v>732</v>
      </c>
      <c r="C356" s="620">
        <v>8.3299999999999999E-2</v>
      </c>
    </row>
    <row r="357" spans="1:9" x14ac:dyDescent="0.15">
      <c r="A357" s="585"/>
      <c r="B357" s="619" t="s">
        <v>733</v>
      </c>
      <c r="C357" s="620">
        <v>7.8899999999999998E-2</v>
      </c>
    </row>
    <row r="358" spans="1:9" x14ac:dyDescent="0.15">
      <c r="A358" s="585"/>
      <c r="B358" s="619" t="s">
        <v>734</v>
      </c>
      <c r="C358" s="620">
        <v>6.7400000000000002E-2</v>
      </c>
    </row>
    <row r="361" spans="1:9" ht="13.5" thickBot="1" x14ac:dyDescent="0.2"/>
    <row r="362" spans="1:9" x14ac:dyDescent="0.15">
      <c r="A362" s="584" t="s">
        <v>566</v>
      </c>
      <c r="C362" s="586" t="s">
        <v>707</v>
      </c>
      <c r="D362" s="586" t="s">
        <v>605</v>
      </c>
      <c r="E362" s="330" t="s">
        <v>492</v>
      </c>
      <c r="F362" s="330" t="s">
        <v>493</v>
      </c>
      <c r="G362" s="330" t="s">
        <v>494</v>
      </c>
      <c r="I362" s="621">
        <f>I365*I364+I367*I368</f>
        <v>0.11313467367637974</v>
      </c>
    </row>
    <row r="363" spans="1:9" x14ac:dyDescent="0.15">
      <c r="A363" s="585"/>
      <c r="B363" s="188" t="s">
        <v>735</v>
      </c>
      <c r="C363" s="587">
        <v>58910</v>
      </c>
      <c r="D363" s="587">
        <v>65659</v>
      </c>
      <c r="E363" s="587">
        <v>71337</v>
      </c>
      <c r="F363" s="587">
        <v>75795</v>
      </c>
      <c r="G363" s="587">
        <v>93352</v>
      </c>
    </row>
    <row r="364" spans="1:9" x14ac:dyDescent="0.15">
      <c r="A364" s="585"/>
      <c r="B364" s="588" t="s">
        <v>736</v>
      </c>
      <c r="C364" s="589">
        <f>(C363/54556)-1</f>
        <v>7.9807903805264369E-2</v>
      </c>
      <c r="D364" s="589">
        <f t="shared" ref="D364:F364" si="81">(D363/C363)-1</f>
        <v>0.11456459005262265</v>
      </c>
      <c r="E364" s="589">
        <f t="shared" si="81"/>
        <v>8.6477101387471667E-2</v>
      </c>
      <c r="F364" s="589">
        <f t="shared" si="81"/>
        <v>6.2492114891290695E-2</v>
      </c>
      <c r="G364" s="589">
        <f>(G363/F363)-1</f>
        <v>0.2316379708424039</v>
      </c>
      <c r="H364" s="610" t="s">
        <v>710</v>
      </c>
      <c r="I364" s="611">
        <f>AVERAGE(C364:G364)</f>
        <v>0.11499593619581065</v>
      </c>
    </row>
    <row r="365" spans="1:9" x14ac:dyDescent="0.15">
      <c r="A365" s="585"/>
      <c r="B365" s="588" t="s">
        <v>737</v>
      </c>
      <c r="C365" s="589">
        <f>C363/C327</f>
        <v>0.80890329136172023</v>
      </c>
      <c r="D365" s="589">
        <f t="shared" ref="D365:G365" si="82">D363/D327</f>
        <v>0.80980513073507643</v>
      </c>
      <c r="E365" s="589">
        <f t="shared" si="82"/>
        <v>0.81390334063526837</v>
      </c>
      <c r="F365" s="589">
        <f t="shared" si="82"/>
        <v>0.82858704564088548</v>
      </c>
      <c r="G365" s="589">
        <f t="shared" si="82"/>
        <v>0.81966810079901664</v>
      </c>
      <c r="H365" s="610"/>
      <c r="I365" s="611">
        <f>AVERAGE(C365:G365)</f>
        <v>0.81617338183439347</v>
      </c>
    </row>
    <row r="366" spans="1:9" x14ac:dyDescent="0.15">
      <c r="A366" s="585"/>
      <c r="B366" s="188" t="s">
        <v>738</v>
      </c>
      <c r="C366" s="587">
        <f>C327-C363</f>
        <v>13917</v>
      </c>
      <c r="D366" s="587">
        <f t="shared" ref="D366:G366" si="83">D327-D363</f>
        <v>15421</v>
      </c>
      <c r="E366" s="587">
        <f t="shared" si="83"/>
        <v>16311</v>
      </c>
      <c r="F366" s="587">
        <f t="shared" si="83"/>
        <v>15680</v>
      </c>
      <c r="G366" s="587">
        <f t="shared" si="83"/>
        <v>20538</v>
      </c>
    </row>
    <row r="367" spans="1:9" x14ac:dyDescent="0.15">
      <c r="A367" s="585"/>
      <c r="B367" s="588" t="s">
        <v>736</v>
      </c>
      <c r="C367" s="589">
        <f>(C366/12798)-1</f>
        <v>8.7435536802625391E-2</v>
      </c>
      <c r="D367" s="589">
        <f t="shared" ref="D367:F367" si="84">(D366/C366)-1</f>
        <v>0.10806926780196879</v>
      </c>
      <c r="E367" s="589">
        <f t="shared" si="84"/>
        <v>5.7713507554633336E-2</v>
      </c>
      <c r="F367" s="589">
        <f t="shared" si="84"/>
        <v>-3.8685549629084659E-2</v>
      </c>
      <c r="G367" s="589">
        <f>(G366/F366)-1</f>
        <v>0.30982142857142847</v>
      </c>
      <c r="H367" s="610"/>
      <c r="I367" s="611">
        <f>AVERAGE(C367:G367)</f>
        <v>0.10487083822031426</v>
      </c>
    </row>
    <row r="368" spans="1:9" x14ac:dyDescent="0.15">
      <c r="A368" s="585"/>
      <c r="B368" s="588" t="s">
        <v>737</v>
      </c>
      <c r="C368" s="589">
        <f>1-C365</f>
        <v>0.19109670863827977</v>
      </c>
      <c r="D368" s="589">
        <f t="shared" ref="D368:G368" si="85">1-D365</f>
        <v>0.19019486926492357</v>
      </c>
      <c r="E368" s="589">
        <f t="shared" si="85"/>
        <v>0.18609665936473163</v>
      </c>
      <c r="F368" s="589">
        <f t="shared" si="85"/>
        <v>0.17141295435911452</v>
      </c>
      <c r="G368" s="589">
        <f t="shared" si="85"/>
        <v>0.18033189920098336</v>
      </c>
      <c r="H368" s="610"/>
      <c r="I368" s="611">
        <f>AVERAGE(C368:G368)</f>
        <v>0.18382661816560658</v>
      </c>
    </row>
    <row r="370" spans="1:9" ht="13.5" thickBot="1" x14ac:dyDescent="0.2"/>
    <row r="371" spans="1:9" x14ac:dyDescent="0.15">
      <c r="A371" s="584" t="s">
        <v>739</v>
      </c>
      <c r="C371" s="586" t="s">
        <v>707</v>
      </c>
      <c r="D371" s="586" t="s">
        <v>605</v>
      </c>
      <c r="E371" s="330" t="s">
        <v>492</v>
      </c>
      <c r="F371" s="330" t="s">
        <v>493</v>
      </c>
      <c r="G371" s="330" t="s">
        <v>494</v>
      </c>
    </row>
    <row r="372" spans="1:9" x14ac:dyDescent="0.15">
      <c r="A372" s="585"/>
      <c r="B372" s="188" t="s">
        <v>740</v>
      </c>
      <c r="C372" s="587">
        <v>5997</v>
      </c>
      <c r="D372" s="587">
        <v>8343</v>
      </c>
      <c r="E372" s="587">
        <v>7139</v>
      </c>
      <c r="F372" s="587">
        <v>4821</v>
      </c>
      <c r="G372" s="587">
        <v>21458</v>
      </c>
    </row>
    <row r="373" spans="1:9" x14ac:dyDescent="0.15">
      <c r="A373" s="585"/>
      <c r="B373" s="588" t="s">
        <v>496</v>
      </c>
      <c r="C373" s="589">
        <f>(C372/2131)-1</f>
        <v>1.8141717503519472</v>
      </c>
      <c r="D373" s="589">
        <f>(D372/C372)-1</f>
        <v>0.39119559779889945</v>
      </c>
      <c r="E373" s="589">
        <f t="shared" ref="E373:G373" si="86">(E372/D372)-1</f>
        <v>-0.14431259738703106</v>
      </c>
      <c r="F373" s="589">
        <f t="shared" si="86"/>
        <v>-0.32469533548115981</v>
      </c>
      <c r="G373" s="589">
        <f t="shared" si="86"/>
        <v>3.4509437875959348</v>
      </c>
    </row>
    <row r="374" spans="1:9" x14ac:dyDescent="0.15">
      <c r="A374" s="585"/>
      <c r="B374" s="588" t="s">
        <v>741</v>
      </c>
      <c r="C374" s="589">
        <f>C372/C318</f>
        <v>2.6506428814525716E-2</v>
      </c>
      <c r="D374" s="589">
        <f t="shared" ref="D374:G374" si="87">D372/D318</f>
        <v>3.4453139518077262E-2</v>
      </c>
      <c r="E374" s="589">
        <f t="shared" si="87"/>
        <v>2.7762978288176525E-2</v>
      </c>
      <c r="F374" s="589">
        <f t="shared" si="87"/>
        <v>1.6763039948260935E-2</v>
      </c>
      <c r="G374" s="589">
        <f t="shared" si="87"/>
        <v>6.6195297413021881E-2</v>
      </c>
      <c r="H374" s="610" t="s">
        <v>710</v>
      </c>
      <c r="I374" s="611">
        <f>AVERAGE(C374:G374)</f>
        <v>3.4336176796412467E-2</v>
      </c>
    </row>
    <row r="375" spans="1:9" x14ac:dyDescent="0.15">
      <c r="A375" s="585"/>
    </row>
    <row r="376" spans="1:9" x14ac:dyDescent="0.15">
      <c r="A376" s="585"/>
    </row>
    <row r="377" spans="1:9" x14ac:dyDescent="0.15">
      <c r="A377" s="585"/>
    </row>
    <row r="378" spans="1:9" x14ac:dyDescent="0.15">
      <c r="A378" s="585"/>
    </row>
    <row r="379" spans="1:9" x14ac:dyDescent="0.15">
      <c r="A379" s="585"/>
      <c r="B379" s="597" t="s">
        <v>645</v>
      </c>
    </row>
    <row r="380" spans="1:9" x14ac:dyDescent="0.15">
      <c r="A380" s="585"/>
      <c r="B380" s="190" t="s">
        <v>123</v>
      </c>
      <c r="C380" s="190" t="s">
        <v>646</v>
      </c>
      <c r="D380" s="190" t="s">
        <v>647</v>
      </c>
      <c r="F380" s="190" t="s">
        <v>742</v>
      </c>
      <c r="G380" s="190" t="s">
        <v>743</v>
      </c>
    </row>
    <row r="381" spans="1:9" x14ac:dyDescent="0.15">
      <c r="A381" s="585"/>
      <c r="B381" s="194">
        <v>1994</v>
      </c>
      <c r="C381" s="188" t="s">
        <v>653</v>
      </c>
      <c r="D381" s="188">
        <v>1</v>
      </c>
      <c r="E381" s="188">
        <v>1994</v>
      </c>
      <c r="F381" s="188">
        <v>1</v>
      </c>
      <c r="G381" s="188" t="s">
        <v>67</v>
      </c>
    </row>
    <row r="382" spans="1:9" x14ac:dyDescent="0.15">
      <c r="A382" s="585"/>
      <c r="B382" s="194">
        <v>1995</v>
      </c>
      <c r="C382" s="188" t="s">
        <v>654</v>
      </c>
      <c r="D382" s="188">
        <v>1</v>
      </c>
      <c r="E382" s="188">
        <v>1995</v>
      </c>
      <c r="F382" s="188">
        <v>2</v>
      </c>
      <c r="G382" s="622">
        <f>(F382/F381)-1</f>
        <v>1</v>
      </c>
    </row>
    <row r="383" spans="1:9" x14ac:dyDescent="0.15">
      <c r="A383" s="585"/>
      <c r="B383" s="194">
        <v>1996</v>
      </c>
      <c r="C383" s="188" t="s">
        <v>655</v>
      </c>
      <c r="D383" s="188">
        <v>1</v>
      </c>
      <c r="E383" s="188">
        <v>1996</v>
      </c>
      <c r="F383" s="188">
        <v>3</v>
      </c>
      <c r="G383" s="622">
        <f t="shared" ref="G383:G410" si="88">(F383/F382)-1</f>
        <v>0.5</v>
      </c>
    </row>
    <row r="384" spans="1:9" x14ac:dyDescent="0.15">
      <c r="A384" s="585"/>
      <c r="B384" s="194">
        <v>1998</v>
      </c>
      <c r="C384" s="188" t="s">
        <v>656</v>
      </c>
      <c r="D384" s="188">
        <v>0</v>
      </c>
      <c r="E384" s="188">
        <v>1997</v>
      </c>
      <c r="F384" s="188">
        <v>3</v>
      </c>
      <c r="G384" s="622">
        <f t="shared" si="88"/>
        <v>0</v>
      </c>
    </row>
    <row r="385" spans="1:7" x14ac:dyDescent="0.15">
      <c r="A385" s="585"/>
      <c r="B385" s="194">
        <v>2001</v>
      </c>
      <c r="C385" s="188" t="s">
        <v>657</v>
      </c>
      <c r="D385" s="188">
        <v>1</v>
      </c>
      <c r="E385" s="188">
        <v>1998</v>
      </c>
      <c r="F385" s="188">
        <v>4</v>
      </c>
      <c r="G385" s="622">
        <f t="shared" si="88"/>
        <v>0.33333333333333326</v>
      </c>
    </row>
    <row r="386" spans="1:7" x14ac:dyDescent="0.15">
      <c r="A386" s="585"/>
      <c r="B386" s="194">
        <v>2002</v>
      </c>
      <c r="C386" s="188" t="s">
        <v>658</v>
      </c>
      <c r="D386" s="188">
        <v>0</v>
      </c>
      <c r="E386" s="188">
        <v>1999</v>
      </c>
      <c r="F386" s="188">
        <v>4</v>
      </c>
      <c r="G386" s="622">
        <f t="shared" si="88"/>
        <v>0</v>
      </c>
    </row>
    <row r="387" spans="1:7" x14ac:dyDescent="0.15">
      <c r="A387" s="585"/>
      <c r="B387" s="194">
        <v>2002</v>
      </c>
      <c r="C387" s="188" t="s">
        <v>659</v>
      </c>
      <c r="D387" s="188">
        <v>0</v>
      </c>
      <c r="E387" s="188">
        <v>2000</v>
      </c>
      <c r="F387" s="188">
        <v>4</v>
      </c>
      <c r="G387" s="622">
        <f t="shared" si="88"/>
        <v>0</v>
      </c>
    </row>
    <row r="388" spans="1:7" x14ac:dyDescent="0.15">
      <c r="A388" s="585"/>
      <c r="B388" s="194">
        <v>2003</v>
      </c>
      <c r="C388" s="188" t="s">
        <v>660</v>
      </c>
      <c r="D388" s="188">
        <v>1</v>
      </c>
      <c r="E388" s="188">
        <v>2001</v>
      </c>
      <c r="F388" s="188">
        <v>5</v>
      </c>
      <c r="G388" s="622">
        <f t="shared" si="88"/>
        <v>0.25</v>
      </c>
    </row>
    <row r="389" spans="1:7" x14ac:dyDescent="0.15">
      <c r="A389" s="585"/>
      <c r="B389" s="194">
        <v>2003</v>
      </c>
      <c r="C389" s="188" t="s">
        <v>661</v>
      </c>
      <c r="D389" s="188">
        <v>2</v>
      </c>
      <c r="E389" s="188">
        <v>2002</v>
      </c>
      <c r="F389" s="188">
        <v>7</v>
      </c>
      <c r="G389" s="622">
        <f t="shared" si="88"/>
        <v>0.39999999999999991</v>
      </c>
    </row>
    <row r="390" spans="1:7" x14ac:dyDescent="0.15">
      <c r="A390" s="585"/>
      <c r="B390" s="194">
        <v>2004</v>
      </c>
      <c r="C390" s="188" t="s">
        <v>662</v>
      </c>
      <c r="D390" s="188">
        <v>2</v>
      </c>
      <c r="E390" s="188">
        <v>2003</v>
      </c>
      <c r="F390" s="188">
        <v>9</v>
      </c>
      <c r="G390" s="622">
        <f t="shared" si="88"/>
        <v>0.28571428571428581</v>
      </c>
    </row>
    <row r="391" spans="1:7" x14ac:dyDescent="0.15">
      <c r="A391" s="585"/>
      <c r="B391" s="194">
        <v>2004</v>
      </c>
      <c r="C391" s="188" t="s">
        <v>663</v>
      </c>
      <c r="D391" s="188">
        <v>2</v>
      </c>
      <c r="E391" s="188">
        <v>2004</v>
      </c>
      <c r="F391" s="188">
        <v>11</v>
      </c>
      <c r="G391" s="622">
        <f t="shared" si="88"/>
        <v>0.22222222222222232</v>
      </c>
    </row>
    <row r="392" spans="1:7" x14ac:dyDescent="0.15">
      <c r="A392" s="585"/>
      <c r="B392" s="194">
        <v>2005</v>
      </c>
      <c r="C392" s="188" t="s">
        <v>664</v>
      </c>
      <c r="D392" s="188">
        <v>2</v>
      </c>
      <c r="E392" s="188">
        <v>2005</v>
      </c>
      <c r="F392" s="188">
        <v>13</v>
      </c>
      <c r="G392" s="622">
        <f t="shared" si="88"/>
        <v>0.18181818181818188</v>
      </c>
    </row>
    <row r="393" spans="1:7" x14ac:dyDescent="0.15">
      <c r="A393" s="585"/>
      <c r="B393" s="194">
        <v>2005</v>
      </c>
      <c r="C393" s="188" t="s">
        <v>665</v>
      </c>
      <c r="D393" s="188">
        <v>1</v>
      </c>
      <c r="E393" s="188">
        <v>2006</v>
      </c>
      <c r="F393" s="188">
        <v>14</v>
      </c>
      <c r="G393" s="622">
        <f t="shared" si="88"/>
        <v>7.6923076923076872E-2</v>
      </c>
    </row>
    <row r="394" spans="1:7" x14ac:dyDescent="0.15">
      <c r="A394" s="585"/>
      <c r="B394" s="194">
        <v>2006</v>
      </c>
      <c r="C394" s="188" t="s">
        <v>666</v>
      </c>
      <c r="D394" s="188">
        <v>0</v>
      </c>
      <c r="E394" s="188">
        <v>2007</v>
      </c>
      <c r="F394" s="188">
        <v>14</v>
      </c>
      <c r="G394" s="622">
        <f t="shared" si="88"/>
        <v>0</v>
      </c>
    </row>
    <row r="395" spans="1:7" x14ac:dyDescent="0.15">
      <c r="A395" s="585"/>
      <c r="B395" s="194">
        <v>2008</v>
      </c>
      <c r="C395" s="188" t="s">
        <v>667</v>
      </c>
      <c r="D395" s="188">
        <v>1</v>
      </c>
      <c r="E395" s="188">
        <v>2008</v>
      </c>
      <c r="F395" s="188">
        <v>15</v>
      </c>
      <c r="G395" s="622">
        <f t="shared" si="88"/>
        <v>7.1428571428571397E-2</v>
      </c>
    </row>
    <row r="396" spans="1:7" x14ac:dyDescent="0.15">
      <c r="A396" s="585"/>
      <c r="B396" s="194">
        <v>2009</v>
      </c>
      <c r="C396" s="188" t="s">
        <v>668</v>
      </c>
      <c r="D396" s="188">
        <v>1</v>
      </c>
      <c r="E396" s="188">
        <v>2009</v>
      </c>
      <c r="F396" s="188">
        <v>16</v>
      </c>
      <c r="G396" s="622">
        <f t="shared" si="88"/>
        <v>6.6666666666666652E-2</v>
      </c>
    </row>
    <row r="397" spans="1:7" x14ac:dyDescent="0.15">
      <c r="A397" s="585"/>
      <c r="B397" s="194">
        <v>2010</v>
      </c>
      <c r="C397" s="188" t="s">
        <v>669</v>
      </c>
      <c r="D397" s="188">
        <v>1</v>
      </c>
      <c r="E397" s="188">
        <v>2010</v>
      </c>
      <c r="F397" s="188">
        <v>17</v>
      </c>
      <c r="G397" s="622">
        <f t="shared" si="88"/>
        <v>6.25E-2</v>
      </c>
    </row>
    <row r="398" spans="1:7" x14ac:dyDescent="0.15">
      <c r="A398" s="585"/>
      <c r="B398" s="194">
        <v>2011</v>
      </c>
      <c r="C398" s="188" t="s">
        <v>670</v>
      </c>
      <c r="D398" s="188">
        <v>1</v>
      </c>
      <c r="E398" s="188">
        <v>2011</v>
      </c>
      <c r="F398" s="188">
        <v>18</v>
      </c>
      <c r="G398" s="622">
        <f t="shared" si="88"/>
        <v>5.8823529411764719E-2</v>
      </c>
    </row>
    <row r="399" spans="1:7" x14ac:dyDescent="0.15">
      <c r="A399" s="585"/>
      <c r="B399" s="194">
        <v>2012</v>
      </c>
      <c r="C399" s="188" t="s">
        <v>671</v>
      </c>
      <c r="D399" s="188">
        <v>1</v>
      </c>
      <c r="E399" s="188">
        <v>2012</v>
      </c>
      <c r="F399" s="188">
        <v>19</v>
      </c>
      <c r="G399" s="622">
        <f t="shared" si="88"/>
        <v>5.555555555555558E-2</v>
      </c>
    </row>
    <row r="400" spans="1:7" x14ac:dyDescent="0.15">
      <c r="A400" s="585"/>
      <c r="B400" s="194">
        <v>2014</v>
      </c>
      <c r="C400" s="188" t="s">
        <v>672</v>
      </c>
      <c r="D400" s="188">
        <v>0</v>
      </c>
      <c r="E400" s="188">
        <v>2013</v>
      </c>
      <c r="F400" s="188">
        <v>19</v>
      </c>
      <c r="G400" s="622">
        <f t="shared" si="88"/>
        <v>0</v>
      </c>
    </row>
    <row r="401" spans="1:7" x14ac:dyDescent="0.15">
      <c r="A401" s="585"/>
      <c r="B401" s="194">
        <v>2014</v>
      </c>
      <c r="C401" s="188" t="s">
        <v>673</v>
      </c>
      <c r="D401" s="188">
        <v>2</v>
      </c>
      <c r="E401" s="188">
        <v>2014</v>
      </c>
      <c r="F401" s="188">
        <v>21</v>
      </c>
      <c r="G401" s="622">
        <f t="shared" si="88"/>
        <v>0.10526315789473695</v>
      </c>
    </row>
    <row r="402" spans="1:7" x14ac:dyDescent="0.15">
      <c r="A402" s="585"/>
      <c r="B402" s="194">
        <v>2015</v>
      </c>
      <c r="C402" s="188" t="s">
        <v>674</v>
      </c>
      <c r="D402" s="188">
        <v>1</v>
      </c>
      <c r="E402" s="188">
        <v>2015</v>
      </c>
      <c r="F402" s="188">
        <v>22</v>
      </c>
      <c r="G402" s="622">
        <f t="shared" si="88"/>
        <v>4.7619047619047672E-2</v>
      </c>
    </row>
    <row r="403" spans="1:7" x14ac:dyDescent="0.15">
      <c r="A403" s="585"/>
      <c r="B403" s="194">
        <v>2017</v>
      </c>
      <c r="C403" s="188" t="s">
        <v>675</v>
      </c>
      <c r="D403" s="188">
        <v>0</v>
      </c>
      <c r="E403" s="188">
        <v>2016</v>
      </c>
      <c r="F403" s="188">
        <v>22</v>
      </c>
      <c r="G403" s="622">
        <f t="shared" si="88"/>
        <v>0</v>
      </c>
    </row>
    <row r="404" spans="1:7" x14ac:dyDescent="0.15">
      <c r="A404" s="585"/>
      <c r="B404" s="194">
        <v>2019</v>
      </c>
      <c r="C404" s="188" t="s">
        <v>676</v>
      </c>
      <c r="D404" s="188">
        <v>1</v>
      </c>
      <c r="E404" s="188">
        <v>2017</v>
      </c>
      <c r="F404" s="188">
        <v>23</v>
      </c>
      <c r="G404" s="622">
        <f t="shared" si="88"/>
        <v>4.5454545454545414E-2</v>
      </c>
    </row>
    <row r="405" spans="1:7" x14ac:dyDescent="0.15">
      <c r="A405" s="585"/>
      <c r="B405" s="194">
        <v>2019</v>
      </c>
      <c r="C405" s="188" t="s">
        <v>677</v>
      </c>
      <c r="D405" s="188">
        <v>0</v>
      </c>
      <c r="E405" s="188">
        <v>2018</v>
      </c>
      <c r="F405" s="188">
        <v>23</v>
      </c>
      <c r="G405" s="622">
        <f t="shared" si="88"/>
        <v>0</v>
      </c>
    </row>
    <row r="406" spans="1:7" x14ac:dyDescent="0.15">
      <c r="A406" s="585"/>
      <c r="B406" s="194">
        <v>2019</v>
      </c>
      <c r="C406" s="188" t="s">
        <v>678</v>
      </c>
      <c r="D406" s="188">
        <v>4</v>
      </c>
      <c r="E406" s="188">
        <v>2019</v>
      </c>
      <c r="F406" s="188">
        <v>27</v>
      </c>
      <c r="G406" s="622">
        <f t="shared" si="88"/>
        <v>0.17391304347826098</v>
      </c>
    </row>
    <row r="407" spans="1:7" x14ac:dyDescent="0.15">
      <c r="A407" s="585"/>
      <c r="B407" s="194">
        <v>2019</v>
      </c>
      <c r="C407" s="188" t="s">
        <v>679</v>
      </c>
      <c r="D407" s="188">
        <v>0</v>
      </c>
      <c r="E407" s="188">
        <v>2020</v>
      </c>
      <c r="F407" s="188">
        <v>27</v>
      </c>
      <c r="G407" s="622">
        <f t="shared" si="88"/>
        <v>0</v>
      </c>
    </row>
    <row r="408" spans="1:7" x14ac:dyDescent="0.15">
      <c r="A408" s="585"/>
      <c r="B408" s="194">
        <v>2022</v>
      </c>
      <c r="C408" s="188" t="s">
        <v>680</v>
      </c>
      <c r="D408" s="188">
        <v>0</v>
      </c>
      <c r="E408" s="188">
        <v>2021</v>
      </c>
      <c r="F408" s="188">
        <v>27</v>
      </c>
      <c r="G408" s="622">
        <f t="shared" si="88"/>
        <v>0</v>
      </c>
    </row>
    <row r="409" spans="1:7" x14ac:dyDescent="0.15">
      <c r="A409" s="585"/>
      <c r="B409" s="194">
        <v>2022</v>
      </c>
      <c r="C409" s="188" t="s">
        <v>681</v>
      </c>
      <c r="D409" s="188">
        <v>2</v>
      </c>
      <c r="E409" s="188">
        <v>2022</v>
      </c>
      <c r="F409" s="188">
        <v>29</v>
      </c>
      <c r="G409" s="622">
        <f t="shared" si="88"/>
        <v>7.4074074074074181E-2</v>
      </c>
    </row>
    <row r="410" spans="1:7" x14ac:dyDescent="0.15">
      <c r="A410" s="585"/>
      <c r="B410" s="194">
        <v>2022</v>
      </c>
      <c r="C410" s="188" t="s">
        <v>682</v>
      </c>
      <c r="D410" s="188">
        <v>2</v>
      </c>
      <c r="E410" s="188">
        <v>2023</v>
      </c>
      <c r="F410" s="188">
        <v>31</v>
      </c>
      <c r="G410" s="622">
        <f t="shared" si="88"/>
        <v>6.8965517241379226E-2</v>
      </c>
    </row>
    <row r="411" spans="1:7" x14ac:dyDescent="0.15">
      <c r="A411" s="585"/>
      <c r="B411" s="194">
        <v>2023</v>
      </c>
      <c r="C411" s="188" t="s">
        <v>683</v>
      </c>
    </row>
    <row r="412" spans="1:7" x14ac:dyDescent="0.15">
      <c r="A412" s="585"/>
      <c r="B412" s="194">
        <v>2023</v>
      </c>
      <c r="C412" s="188" t="s">
        <v>684</v>
      </c>
      <c r="D412" s="623">
        <f>AVERAGE(D381:D410)</f>
        <v>1.0333333333333334</v>
      </c>
    </row>
    <row r="415" spans="1:7" ht="13.5" thickBot="1" x14ac:dyDescent="0.2"/>
    <row r="416" spans="1:7" x14ac:dyDescent="0.15">
      <c r="A416" s="584" t="s">
        <v>135</v>
      </c>
      <c r="C416" s="586" t="s">
        <v>707</v>
      </c>
      <c r="D416" s="586" t="s">
        <v>605</v>
      </c>
      <c r="E416" s="330" t="s">
        <v>492</v>
      </c>
      <c r="F416" s="330" t="s">
        <v>493</v>
      </c>
      <c r="G416" s="330" t="s">
        <v>494</v>
      </c>
    </row>
    <row r="417" spans="1:9" x14ac:dyDescent="0.15">
      <c r="A417" s="585"/>
      <c r="B417" s="188" t="s">
        <v>135</v>
      </c>
      <c r="C417" s="587">
        <f>'Fin. Data'!F72</f>
        <v>-3320</v>
      </c>
      <c r="D417" s="587">
        <f>'Fin. Data'!E72</f>
        <v>-3932</v>
      </c>
      <c r="E417" s="587">
        <f>'Fin. Data'!D72</f>
        <v>-4584</v>
      </c>
      <c r="F417" s="587">
        <f>'Fin. Data'!C72</f>
        <v>-5280</v>
      </c>
      <c r="G417" s="587">
        <f>'Fin. Data'!B72</f>
        <v>-5991</v>
      </c>
    </row>
    <row r="418" spans="1:9" x14ac:dyDescent="0.15">
      <c r="A418" s="585"/>
      <c r="B418" s="188" t="s">
        <v>744</v>
      </c>
      <c r="C418" s="589">
        <f>-C417/'Fin. Data'!F23</f>
        <v>0.26813115813277338</v>
      </c>
      <c r="D418" s="589">
        <f>-D417/'Fin. Data'!E23</f>
        <v>0.27614298756935179</v>
      </c>
      <c r="E418" s="589">
        <f>-E417/'Fin. Data'!D23</f>
        <v>0.29069693702834676</v>
      </c>
      <c r="F418" s="589">
        <f>-F417/'Fin. Data'!C23</f>
        <v>0.29776674937965258</v>
      </c>
      <c r="G418" s="589">
        <f>-G417/'Fin. Data'!B23</f>
        <v>0.29027569165172729</v>
      </c>
      <c r="H418" s="610" t="s">
        <v>710</v>
      </c>
      <c r="I418" s="611">
        <f>AVERAGE(C418:G418)</f>
        <v>0.28460270475237037</v>
      </c>
    </row>
    <row r="419" spans="1:9" x14ac:dyDescent="0.15">
      <c r="A419" s="585"/>
      <c r="B419" s="588" t="s">
        <v>745</v>
      </c>
      <c r="C419" s="589"/>
      <c r="D419" s="589"/>
      <c r="E419" s="589"/>
      <c r="F419" s="589"/>
      <c r="G419" s="624">
        <v>0.30640000000000001</v>
      </c>
    </row>
    <row r="420" spans="1:9" x14ac:dyDescent="0.15">
      <c r="A420" s="585"/>
      <c r="B420" s="188" t="s">
        <v>746</v>
      </c>
      <c r="C420" s="197">
        <f>1-C418</f>
        <v>0.73186884186722656</v>
      </c>
      <c r="D420" s="197">
        <f t="shared" ref="D420:G420" si="89">1-D418</f>
        <v>0.72385701243064826</v>
      </c>
      <c r="E420" s="197">
        <f t="shared" si="89"/>
        <v>0.70930306297165324</v>
      </c>
      <c r="F420" s="197">
        <f t="shared" si="89"/>
        <v>0.70223325062034747</v>
      </c>
      <c r="G420" s="197">
        <f t="shared" si="89"/>
        <v>0.70972430834827271</v>
      </c>
    </row>
    <row r="421" spans="1:9" ht="13.5" thickBot="1" x14ac:dyDescent="0.2"/>
    <row r="422" spans="1:9" x14ac:dyDescent="0.15">
      <c r="A422" s="584" t="s">
        <v>572</v>
      </c>
      <c r="C422" s="586" t="s">
        <v>707</v>
      </c>
      <c r="D422" s="586" t="s">
        <v>605</v>
      </c>
      <c r="E422" s="330" t="s">
        <v>492</v>
      </c>
      <c r="F422" s="330" t="s">
        <v>493</v>
      </c>
      <c r="G422" s="330" t="s">
        <v>494</v>
      </c>
    </row>
    <row r="423" spans="1:9" x14ac:dyDescent="0.15">
      <c r="A423" s="585"/>
      <c r="B423" s="188" t="s">
        <v>747</v>
      </c>
      <c r="C423" s="587">
        <v>4500</v>
      </c>
      <c r="D423" s="587">
        <v>5500</v>
      </c>
      <c r="E423" s="587">
        <v>4250</v>
      </c>
      <c r="F423" s="587">
        <v>5000</v>
      </c>
      <c r="G423" s="587">
        <v>7000</v>
      </c>
    </row>
    <row r="424" spans="1:9" x14ac:dyDescent="0.15">
      <c r="A424" s="585"/>
      <c r="B424" s="588" t="s">
        <v>748</v>
      </c>
      <c r="C424" s="587">
        <f>(C420*'Fin. Data'!F23)</f>
        <v>9062</v>
      </c>
      <c r="D424" s="587">
        <f>(D420*'Fin. Data'!E23)</f>
        <v>10307</v>
      </c>
      <c r="E424" s="587">
        <f>(E420*'Fin. Data'!D23)</f>
        <v>11185</v>
      </c>
      <c r="F424" s="587">
        <f>(F420*'Fin. Data'!C23)</f>
        <v>12452.000000000002</v>
      </c>
      <c r="G424" s="587">
        <f>(G420*'Fin. Data'!B23)</f>
        <v>14648</v>
      </c>
    </row>
    <row r="425" spans="1:9" x14ac:dyDescent="0.15">
      <c r="A425" s="585"/>
      <c r="B425" s="588" t="s">
        <v>749</v>
      </c>
      <c r="C425" s="589">
        <f>C423/(C420*'Fin. Data'!F23)</f>
        <v>0.49657912160670936</v>
      </c>
      <c r="D425" s="589">
        <f>D423/('Fin. Data'!E23)</f>
        <v>0.38626308027249107</v>
      </c>
      <c r="E425" s="589">
        <f>E423/(E420*'Fin. Data'!D23)</f>
        <v>0.37997317836388017</v>
      </c>
      <c r="F425" s="589">
        <f>F423/(F420*'Fin. Data'!C23)</f>
        <v>0.40154192097654989</v>
      </c>
      <c r="G425" s="589">
        <f>G423/(G420*'Fin. Data'!B23)</f>
        <v>0.4778809393773894</v>
      </c>
      <c r="H425" s="610" t="s">
        <v>710</v>
      </c>
      <c r="I425" s="611">
        <f>AVERAGE(C425:G425)</f>
        <v>0.428447648119404</v>
      </c>
    </row>
    <row r="426" spans="1:9" x14ac:dyDescent="0.15">
      <c r="A426" s="585"/>
      <c r="B426" s="588" t="s">
        <v>750</v>
      </c>
      <c r="C426" s="589">
        <f>C423/'Fin. Data'!F23</f>
        <v>0.36343078662574707</v>
      </c>
      <c r="D426" s="589">
        <f>D423/'Fin. Data'!E23</f>
        <v>0.38626308027249107</v>
      </c>
      <c r="E426" s="589">
        <f>E423/'Fin. Data'!D23</f>
        <v>0.26951613926057455</v>
      </c>
      <c r="F426" s="589">
        <f>F423/'Fin. Data'!C23</f>
        <v>0.28197608842770133</v>
      </c>
      <c r="G426" s="589">
        <f>G423/'Fin. Data'!B23</f>
        <v>0.33916371917244054</v>
      </c>
      <c r="H426" s="610"/>
      <c r="I426" s="611">
        <f>AVERAGE(C426:G426)</f>
        <v>0.32806996275179096</v>
      </c>
    </row>
    <row r="427" spans="1:9" x14ac:dyDescent="0.15">
      <c r="A427" s="585"/>
      <c r="C427" s="589"/>
      <c r="D427" s="589"/>
      <c r="E427" s="589"/>
      <c r="F427" s="589"/>
      <c r="G427" s="624"/>
    </row>
    <row r="428" spans="1:9" ht="13.5" thickBot="1" x14ac:dyDescent="0.2"/>
    <row r="429" spans="1:9" x14ac:dyDescent="0.15">
      <c r="A429" s="584" t="s">
        <v>367</v>
      </c>
      <c r="C429" s="586" t="s">
        <v>707</v>
      </c>
      <c r="D429" s="586" t="s">
        <v>605</v>
      </c>
      <c r="E429" s="330" t="s">
        <v>492</v>
      </c>
      <c r="F429" s="330" t="s">
        <v>493</v>
      </c>
      <c r="G429" s="330" t="s">
        <v>494</v>
      </c>
    </row>
    <row r="430" spans="1:9" x14ac:dyDescent="0.15">
      <c r="A430" s="585"/>
      <c r="B430" s="188" t="s">
        <v>367</v>
      </c>
      <c r="C430" s="587">
        <f>'Fin. Data'!F58</f>
        <v>41424</v>
      </c>
      <c r="D430" s="587">
        <f>'Fin. Data'!E58</f>
        <v>46293</v>
      </c>
      <c r="E430" s="587">
        <f>'Fin. Data'!D58</f>
        <v>49676</v>
      </c>
      <c r="F430" s="587">
        <f>'Fin. Data'!C58</f>
        <v>51839</v>
      </c>
      <c r="G430" s="587">
        <f>'Fin. Data'!B58</f>
        <v>63467</v>
      </c>
    </row>
    <row r="431" spans="1:9" x14ac:dyDescent="0.15">
      <c r="A431" s="585"/>
      <c r="B431" s="188" t="s">
        <v>52</v>
      </c>
      <c r="C431" s="587">
        <f>'Fin. Data'!F19</f>
        <v>19772</v>
      </c>
      <c r="D431" s="587">
        <f>'Fin. Data'!E19</f>
        <v>22405</v>
      </c>
      <c r="E431" s="587">
        <f>'Fin. Data'!D19</f>
        <v>25296</v>
      </c>
      <c r="F431" s="587">
        <f>'Fin. Data'!C19</f>
        <v>27073</v>
      </c>
      <c r="G431" s="587">
        <f>'Fin. Data'!B19</f>
        <v>31835</v>
      </c>
    </row>
    <row r="432" spans="1:9" x14ac:dyDescent="0.15">
      <c r="A432" s="585"/>
      <c r="B432" s="588" t="s">
        <v>751</v>
      </c>
      <c r="C432" s="582">
        <f>C430/C431</f>
        <v>2.0950839571110662</v>
      </c>
      <c r="D432" s="582">
        <f t="shared" ref="D432:G432" si="90">D430/D431</f>
        <v>2.0661905824592726</v>
      </c>
      <c r="E432" s="582">
        <f t="shared" si="90"/>
        <v>1.9637887413029729</v>
      </c>
      <c r="F432" s="582">
        <f t="shared" si="90"/>
        <v>1.9147859491005799</v>
      </c>
      <c r="G432" s="582">
        <f t="shared" si="90"/>
        <v>1.9936233705041622</v>
      </c>
      <c r="H432" s="610" t="s">
        <v>710</v>
      </c>
      <c r="I432" s="625">
        <f>AVERAGE(C432:G432)</f>
        <v>2.006694520095611</v>
      </c>
    </row>
    <row r="433" spans="1:1" x14ac:dyDescent="0.15">
      <c r="A433" s="585"/>
    </row>
  </sheetData>
  <mergeCells count="7">
    <mergeCell ref="Q106:Q107"/>
    <mergeCell ref="R106:R107"/>
    <mergeCell ref="C20:G20"/>
    <mergeCell ref="X56:X57"/>
    <mergeCell ref="I100:L100"/>
    <mergeCell ref="I101:K101"/>
    <mergeCell ref="I102:K102"/>
  </mergeCells>
  <conditionalFormatting sqref="C145:C190">
    <cfRule type="dataBar" priority="5">
      <dataBar>
        <cfvo type="min"/>
        <cfvo type="max"/>
        <color rgb="FF63C384"/>
      </dataBar>
      <extLst>
        <ext xmlns:x14="http://schemas.microsoft.com/office/spreadsheetml/2009/9/main" uri="{B025F937-C7B1-47D3-B67F-A62EFF666E3E}">
          <x14:id>{391DF577-FF82-9544-9C86-B5B00339B7CF}</x14:id>
        </ext>
      </extLst>
    </cfRule>
    <cfRule type="dataBar" priority="6">
      <dataBar>
        <cfvo type="min"/>
        <cfvo type="max"/>
        <color rgb="FF63C384"/>
      </dataBar>
      <extLst>
        <ext xmlns:x14="http://schemas.microsoft.com/office/spreadsheetml/2009/9/main" uri="{B025F937-C7B1-47D3-B67F-A62EFF666E3E}">
          <x14:id>{A25E6174-4836-4B4E-9281-913B51AB3CFF}</x14:id>
        </ext>
      </extLst>
    </cfRule>
  </conditionalFormatting>
  <conditionalFormatting sqref="D56:D101">
    <cfRule type="dataBar" priority="24">
      <dataBar>
        <cfvo type="min"/>
        <cfvo type="max"/>
        <color rgb="FF63C384"/>
      </dataBar>
      <extLst>
        <ext xmlns:x14="http://schemas.microsoft.com/office/spreadsheetml/2009/9/main" uri="{B025F937-C7B1-47D3-B67F-A62EFF666E3E}">
          <x14:id>{6A7C1AC9-EB22-D345-9F27-64FF57B59109}</x14:id>
        </ext>
      </extLst>
    </cfRule>
    <cfRule type="dataBar" priority="23">
      <dataBar>
        <cfvo type="min"/>
        <cfvo type="max"/>
        <color rgb="FF63C384"/>
      </dataBar>
      <extLst>
        <ext xmlns:x14="http://schemas.microsoft.com/office/spreadsheetml/2009/9/main" uri="{B025F937-C7B1-47D3-B67F-A62EFF666E3E}">
          <x14:id>{EDEF35EA-9ED1-9148-B359-CD49A994904B}</x14:id>
        </ext>
      </extLst>
    </cfRule>
  </conditionalFormatting>
  <conditionalFormatting sqref="E145:E190">
    <cfRule type="dataBar" priority="3">
      <dataBar>
        <cfvo type="min"/>
        <cfvo type="max"/>
        <color rgb="FF63C384"/>
      </dataBar>
      <extLst>
        <ext xmlns:x14="http://schemas.microsoft.com/office/spreadsheetml/2009/9/main" uri="{B025F937-C7B1-47D3-B67F-A62EFF666E3E}">
          <x14:id>{BF8E9BF2-8943-A642-B30A-14E71642D86E}</x14:id>
        </ext>
      </extLst>
    </cfRule>
    <cfRule type="dataBar" priority="4">
      <dataBar>
        <cfvo type="min"/>
        <cfvo type="max"/>
        <color rgb="FF63C384"/>
      </dataBar>
      <extLst>
        <ext xmlns:x14="http://schemas.microsoft.com/office/spreadsheetml/2009/9/main" uri="{B025F937-C7B1-47D3-B67F-A62EFF666E3E}">
          <x14:id>{F4EA3519-E44B-5345-A38B-53CDE154BB1F}</x14:id>
        </ext>
      </extLst>
    </cfRule>
  </conditionalFormatting>
  <conditionalFormatting sqref="K195:K240">
    <cfRule type="dataBar" priority="1">
      <dataBar>
        <cfvo type="min"/>
        <cfvo type="max"/>
        <color rgb="FF63C384"/>
      </dataBar>
      <extLst>
        <ext xmlns:x14="http://schemas.microsoft.com/office/spreadsheetml/2009/9/main" uri="{B025F937-C7B1-47D3-B67F-A62EFF666E3E}">
          <x14:id>{B1C9273B-3F6E-3B47-BF58-F88AAECD8FB6}</x14:id>
        </ext>
      </extLst>
    </cfRule>
    <cfRule type="dataBar" priority="2">
      <dataBar>
        <cfvo type="min"/>
        <cfvo type="max"/>
        <color rgb="FF63C384"/>
      </dataBar>
      <extLst>
        <ext xmlns:x14="http://schemas.microsoft.com/office/spreadsheetml/2009/9/main" uri="{B025F937-C7B1-47D3-B67F-A62EFF666E3E}">
          <x14:id>{9AD5D067-93EC-8B49-BBF1-2A9F90545836}</x14:id>
        </ext>
      </extLst>
    </cfRule>
  </conditionalFormatting>
  <conditionalFormatting sqref="L101:L102">
    <cfRule type="dataBar" priority="21">
      <dataBar>
        <cfvo type="min"/>
        <cfvo type="max"/>
        <color rgb="FF638EC6"/>
      </dataBar>
      <extLst>
        <ext xmlns:x14="http://schemas.microsoft.com/office/spreadsheetml/2009/9/main" uri="{B025F937-C7B1-47D3-B67F-A62EFF666E3E}">
          <x14:id>{6CCD727E-F976-AB4A-B06F-B37C08AF80BD}</x14:id>
        </ext>
      </extLst>
    </cfRule>
    <cfRule type="dataBar" priority="22">
      <dataBar>
        <cfvo type="min"/>
        <cfvo type="max"/>
        <color rgb="FF638EC6"/>
      </dataBar>
      <extLst>
        <ext xmlns:x14="http://schemas.microsoft.com/office/spreadsheetml/2009/9/main" uri="{B025F937-C7B1-47D3-B67F-A62EFF666E3E}">
          <x14:id>{1D1ABFD7-55A1-8849-86D1-71547F2CDE36}</x14:id>
        </ext>
      </extLst>
    </cfRule>
  </conditionalFormatting>
  <conditionalFormatting sqref="L150:L152 N107:N149">
    <cfRule type="dataBar" priority="8">
      <dataBar>
        <cfvo type="min"/>
        <cfvo type="max"/>
        <color rgb="FF63C384"/>
      </dataBar>
      <extLst>
        <ext xmlns:x14="http://schemas.microsoft.com/office/spreadsheetml/2009/9/main" uri="{B025F937-C7B1-47D3-B67F-A62EFF666E3E}">
          <x14:id>{0D7DB5C9-5BBE-9D45-85D1-CC9BF905DDDE}</x14:id>
        </ext>
      </extLst>
    </cfRule>
    <cfRule type="dataBar" priority="7">
      <dataBar>
        <cfvo type="min"/>
        <cfvo type="max"/>
        <color rgb="FF63C384"/>
      </dataBar>
      <extLst>
        <ext xmlns:x14="http://schemas.microsoft.com/office/spreadsheetml/2009/9/main" uri="{B025F937-C7B1-47D3-B67F-A62EFF666E3E}">
          <x14:id>{F32DF619-28B6-1941-B247-CAF144E6BE09}</x14:id>
        </ext>
      </extLst>
    </cfRule>
  </conditionalFormatting>
  <conditionalFormatting sqref="M107:M149">
    <cfRule type="dataBar" priority="9">
      <dataBar>
        <cfvo type="min"/>
        <cfvo type="max"/>
        <color rgb="FF63C384"/>
      </dataBar>
      <extLst>
        <ext xmlns:x14="http://schemas.microsoft.com/office/spreadsheetml/2009/9/main" uri="{B025F937-C7B1-47D3-B67F-A62EFF666E3E}">
          <x14:id>{3BD904F0-499A-3B48-878B-B3B3E7B82B5D}</x14:id>
        </ext>
      </extLst>
    </cfRule>
    <cfRule type="dataBar" priority="10">
      <dataBar>
        <cfvo type="min"/>
        <cfvo type="max"/>
        <color rgb="FF63C384"/>
      </dataBar>
      <extLst>
        <ext xmlns:x14="http://schemas.microsoft.com/office/spreadsheetml/2009/9/main" uri="{B025F937-C7B1-47D3-B67F-A62EFF666E3E}">
          <x14:id>{435D60F8-D0CA-324C-998F-3FADC09AC72D}</x14:id>
        </ext>
      </extLst>
    </cfRule>
  </conditionalFormatting>
  <conditionalFormatting sqref="AE57:AE100">
    <cfRule type="dataBar" priority="19">
      <dataBar>
        <cfvo type="min"/>
        <cfvo type="max"/>
        <color rgb="FF63C384"/>
      </dataBar>
      <extLst>
        <ext xmlns:x14="http://schemas.microsoft.com/office/spreadsheetml/2009/9/main" uri="{B025F937-C7B1-47D3-B67F-A62EFF666E3E}">
          <x14:id>{92936DBC-28DF-5C47-95EE-CC29EA8204EA}</x14:id>
        </ext>
      </extLst>
    </cfRule>
    <cfRule type="dataBar" priority="20">
      <dataBar>
        <cfvo type="min"/>
        <cfvo type="max"/>
        <color rgb="FF63C384"/>
      </dataBar>
      <extLst>
        <ext xmlns:x14="http://schemas.microsoft.com/office/spreadsheetml/2009/9/main" uri="{B025F937-C7B1-47D3-B67F-A62EFF666E3E}">
          <x14:id>{12C920EC-0587-F24D-96B8-BA806E2EFB27}</x14:id>
        </ext>
      </extLst>
    </cfRule>
  </conditionalFormatting>
  <conditionalFormatting sqref="AK57">
    <cfRule type="dataBar" priority="15">
      <dataBar>
        <cfvo type="min"/>
        <cfvo type="max"/>
        <color rgb="FF63C384"/>
      </dataBar>
      <extLst>
        <ext xmlns:x14="http://schemas.microsoft.com/office/spreadsheetml/2009/9/main" uri="{B025F937-C7B1-47D3-B67F-A62EFF666E3E}">
          <x14:id>{30F0B0BC-A34E-B048-B79F-15ABA5A1746A}</x14:id>
        </ext>
      </extLst>
    </cfRule>
    <cfRule type="dataBar" priority="16">
      <dataBar>
        <cfvo type="min"/>
        <cfvo type="max"/>
        <color rgb="FF63C384"/>
      </dataBar>
      <extLst>
        <ext xmlns:x14="http://schemas.microsoft.com/office/spreadsheetml/2009/9/main" uri="{B025F937-C7B1-47D3-B67F-A62EFF666E3E}">
          <x14:id>{04DD2F14-B02B-0E47-8913-30E88670790A}</x14:id>
        </ext>
      </extLst>
    </cfRule>
  </conditionalFormatting>
  <conditionalFormatting sqref="AK58:AK100">
    <cfRule type="dataBar" priority="17">
      <dataBar>
        <cfvo type="min"/>
        <cfvo type="max"/>
        <color rgb="FF63C384"/>
      </dataBar>
      <extLst>
        <ext xmlns:x14="http://schemas.microsoft.com/office/spreadsheetml/2009/9/main" uri="{B025F937-C7B1-47D3-B67F-A62EFF666E3E}">
          <x14:id>{2A8E26C0-4BA6-4442-89B8-3BA06D53DFE0}</x14:id>
        </ext>
      </extLst>
    </cfRule>
    <cfRule type="dataBar" priority="18">
      <dataBar>
        <cfvo type="min"/>
        <cfvo type="max"/>
        <color rgb="FF63C384"/>
      </dataBar>
      <extLst>
        <ext xmlns:x14="http://schemas.microsoft.com/office/spreadsheetml/2009/9/main" uri="{B025F937-C7B1-47D3-B67F-A62EFF666E3E}">
          <x14:id>{F1D0A8BE-81D2-A643-86D7-17C9F71F5555}</x14:id>
        </ext>
      </extLst>
    </cfRule>
  </conditionalFormatting>
  <conditionalFormatting sqref="AX58">
    <cfRule type="dataBar" priority="11">
      <dataBar>
        <cfvo type="min"/>
        <cfvo type="max"/>
        <color rgb="FF63C384"/>
      </dataBar>
      <extLst>
        <ext xmlns:x14="http://schemas.microsoft.com/office/spreadsheetml/2009/9/main" uri="{B025F937-C7B1-47D3-B67F-A62EFF666E3E}">
          <x14:id>{C6E84C5C-603C-8949-A849-CCB2817ECBFB}</x14:id>
        </ext>
      </extLst>
    </cfRule>
    <cfRule type="dataBar" priority="12">
      <dataBar>
        <cfvo type="min"/>
        <cfvo type="max"/>
        <color rgb="FF63C384"/>
      </dataBar>
      <extLst>
        <ext xmlns:x14="http://schemas.microsoft.com/office/spreadsheetml/2009/9/main" uri="{B025F937-C7B1-47D3-B67F-A62EFF666E3E}">
          <x14:id>{D4159D02-11EF-5449-BEEF-E7FA22F6CB1B}</x14:id>
        </ext>
      </extLst>
    </cfRule>
  </conditionalFormatting>
  <conditionalFormatting sqref="AX59:AX101">
    <cfRule type="dataBar" priority="14">
      <dataBar>
        <cfvo type="min"/>
        <cfvo type="max"/>
        <color rgb="FF63C384"/>
      </dataBar>
      <extLst>
        <ext xmlns:x14="http://schemas.microsoft.com/office/spreadsheetml/2009/9/main" uri="{B025F937-C7B1-47D3-B67F-A62EFF666E3E}">
          <x14:id>{9EF74963-00CA-8C4B-8DDC-13254C3BE539}</x14:id>
        </ext>
      </extLst>
    </cfRule>
    <cfRule type="dataBar" priority="13">
      <dataBar>
        <cfvo type="min"/>
        <cfvo type="max"/>
        <color rgb="FF63C384"/>
      </dataBar>
      <extLst>
        <ext xmlns:x14="http://schemas.microsoft.com/office/spreadsheetml/2009/9/main" uri="{B025F937-C7B1-47D3-B67F-A62EFF666E3E}">
          <x14:id>{12FE8944-95CC-684D-82C8-BC2C54E755B4}</x14:id>
        </ext>
      </extLst>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391DF577-FF82-9544-9C86-B5B00339B7CF}">
            <x14:dataBar minLength="0" maxLength="100" gradient="0">
              <x14:cfvo type="autoMin"/>
              <x14:cfvo type="autoMax"/>
              <x14:negativeFillColor rgb="FFFF0000"/>
              <x14:axisColor rgb="FF000000"/>
            </x14:dataBar>
          </x14:cfRule>
          <x14:cfRule type="dataBar" id="{A25E6174-4836-4B4E-9281-913B51AB3CFF}">
            <x14:dataBar minLength="0" maxLength="100" border="1" negativeBarBorderColorSameAsPositive="0">
              <x14:cfvo type="autoMin"/>
              <x14:cfvo type="autoMax"/>
              <x14:borderColor rgb="FF63C384"/>
              <x14:negativeFillColor rgb="FFFF0000"/>
              <x14:negativeBorderColor rgb="FFFF0000"/>
              <x14:axisColor rgb="FF000000"/>
            </x14:dataBar>
          </x14:cfRule>
          <xm:sqref>C145:C190</xm:sqref>
        </x14:conditionalFormatting>
        <x14:conditionalFormatting xmlns:xm="http://schemas.microsoft.com/office/excel/2006/main">
          <x14:cfRule type="dataBar" id="{6A7C1AC9-EB22-D345-9F27-64FF57B5910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DEF35EA-9ED1-9148-B359-CD49A994904B}">
            <x14:dataBar minLength="0" maxLength="100" gradient="0">
              <x14:cfvo type="autoMin"/>
              <x14:cfvo type="autoMax"/>
              <x14:negativeFillColor rgb="FFFF0000"/>
              <x14:axisColor rgb="FF000000"/>
            </x14:dataBar>
          </x14:cfRule>
          <xm:sqref>D56:D101</xm:sqref>
        </x14:conditionalFormatting>
        <x14:conditionalFormatting xmlns:xm="http://schemas.microsoft.com/office/excel/2006/main">
          <x14:cfRule type="dataBar" id="{BF8E9BF2-8943-A642-B30A-14E71642D86E}">
            <x14:dataBar minLength="0" maxLength="100" gradient="0">
              <x14:cfvo type="autoMin"/>
              <x14:cfvo type="autoMax"/>
              <x14:negativeFillColor rgb="FFFF0000"/>
              <x14:axisColor rgb="FF000000"/>
            </x14:dataBar>
          </x14:cfRule>
          <x14:cfRule type="dataBar" id="{F4EA3519-E44B-5345-A38B-53CDE154BB1F}">
            <x14:dataBar minLength="0" maxLength="100" border="1" negativeBarBorderColorSameAsPositive="0">
              <x14:cfvo type="autoMin"/>
              <x14:cfvo type="autoMax"/>
              <x14:borderColor rgb="FF63C384"/>
              <x14:negativeFillColor rgb="FFFF0000"/>
              <x14:negativeBorderColor rgb="FFFF0000"/>
              <x14:axisColor rgb="FF000000"/>
            </x14:dataBar>
          </x14:cfRule>
          <xm:sqref>E145:E190</xm:sqref>
        </x14:conditionalFormatting>
        <x14:conditionalFormatting xmlns:xm="http://schemas.microsoft.com/office/excel/2006/main">
          <x14:cfRule type="dataBar" id="{B1C9273B-3F6E-3B47-BF58-F88AAECD8FB6}">
            <x14:dataBar minLength="0" maxLength="100" gradient="0">
              <x14:cfvo type="autoMin"/>
              <x14:cfvo type="autoMax"/>
              <x14:negativeFillColor rgb="FFFF0000"/>
              <x14:axisColor rgb="FF000000"/>
            </x14:dataBar>
          </x14:cfRule>
          <x14:cfRule type="dataBar" id="{9AD5D067-93EC-8B49-BBF1-2A9F90545836}">
            <x14:dataBar minLength="0" maxLength="100" border="1" negativeBarBorderColorSameAsPositive="0">
              <x14:cfvo type="autoMin"/>
              <x14:cfvo type="autoMax"/>
              <x14:borderColor rgb="FF63C384"/>
              <x14:negativeFillColor rgb="FFFF0000"/>
              <x14:negativeBorderColor rgb="FFFF0000"/>
              <x14:axisColor rgb="FF000000"/>
            </x14:dataBar>
          </x14:cfRule>
          <xm:sqref>K195:K240</xm:sqref>
        </x14:conditionalFormatting>
        <x14:conditionalFormatting xmlns:xm="http://schemas.microsoft.com/office/excel/2006/main">
          <x14:cfRule type="dataBar" id="{6CCD727E-F976-AB4A-B06F-B37C08AF80BD}">
            <x14:dataBar minLength="0" maxLength="100" gradient="0">
              <x14:cfvo type="autoMin"/>
              <x14:cfvo type="autoMax"/>
              <x14:negativeFillColor rgb="FFFF0000"/>
              <x14:axisColor rgb="FF000000"/>
            </x14:dataBar>
          </x14:cfRule>
          <x14:cfRule type="dataBar" id="{1D1ABFD7-55A1-8849-86D1-71547F2CDE36}">
            <x14:dataBar minLength="0" maxLength="100" border="1" negativeBarBorderColorSameAsPositive="0">
              <x14:cfvo type="autoMin"/>
              <x14:cfvo type="autoMax"/>
              <x14:borderColor rgb="FF638EC6"/>
              <x14:negativeFillColor rgb="FFFF0000"/>
              <x14:negativeBorderColor rgb="FFFF0000"/>
              <x14:axisColor rgb="FF000000"/>
            </x14:dataBar>
          </x14:cfRule>
          <xm:sqref>L101:L102</xm:sqref>
        </x14:conditionalFormatting>
        <x14:conditionalFormatting xmlns:xm="http://schemas.microsoft.com/office/excel/2006/main">
          <x14:cfRule type="dataBar" id="{0D7DB5C9-5BBE-9D45-85D1-CC9BF905DDD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32DF619-28B6-1941-B247-CAF144E6BE09}">
            <x14:dataBar minLength="0" maxLength="100" gradient="0">
              <x14:cfvo type="autoMin"/>
              <x14:cfvo type="autoMax"/>
              <x14:negativeFillColor rgb="FFFF0000"/>
              <x14:axisColor rgb="FF000000"/>
            </x14:dataBar>
          </x14:cfRule>
          <xm:sqref>L150:L152 N107:N149</xm:sqref>
        </x14:conditionalFormatting>
        <x14:conditionalFormatting xmlns:xm="http://schemas.microsoft.com/office/excel/2006/main">
          <x14:cfRule type="dataBar" id="{3BD904F0-499A-3B48-878B-B3B3E7B82B5D}">
            <x14:dataBar minLength="0" maxLength="100" gradient="0">
              <x14:cfvo type="autoMin"/>
              <x14:cfvo type="autoMax"/>
              <x14:negativeFillColor rgb="FFFF0000"/>
              <x14:axisColor rgb="FF000000"/>
            </x14:dataBar>
          </x14:cfRule>
          <x14:cfRule type="dataBar" id="{435D60F8-D0CA-324C-998F-3FADC09AC72D}">
            <x14:dataBar minLength="0" maxLength="100" border="1" negativeBarBorderColorSameAsPositive="0">
              <x14:cfvo type="autoMin"/>
              <x14:cfvo type="autoMax"/>
              <x14:borderColor rgb="FF63C384"/>
              <x14:negativeFillColor rgb="FFFF0000"/>
              <x14:negativeBorderColor rgb="FFFF0000"/>
              <x14:axisColor rgb="FF000000"/>
            </x14:dataBar>
          </x14:cfRule>
          <xm:sqref>M107:M149</xm:sqref>
        </x14:conditionalFormatting>
        <x14:conditionalFormatting xmlns:xm="http://schemas.microsoft.com/office/excel/2006/main">
          <x14:cfRule type="dataBar" id="{92936DBC-28DF-5C47-95EE-CC29EA8204EA}">
            <x14:dataBar minLength="0" maxLength="100" gradient="0">
              <x14:cfvo type="autoMin"/>
              <x14:cfvo type="autoMax"/>
              <x14:negativeFillColor rgb="FFFF0000"/>
              <x14:axisColor rgb="FF000000"/>
            </x14:dataBar>
          </x14:cfRule>
          <x14:cfRule type="dataBar" id="{12C920EC-0587-F24D-96B8-BA806E2EFB27}">
            <x14:dataBar minLength="0" maxLength="100" border="1" negativeBarBorderColorSameAsPositive="0">
              <x14:cfvo type="autoMin"/>
              <x14:cfvo type="autoMax"/>
              <x14:borderColor rgb="FF63C384"/>
              <x14:negativeFillColor rgb="FFFF0000"/>
              <x14:negativeBorderColor rgb="FFFF0000"/>
              <x14:axisColor rgb="FF000000"/>
            </x14:dataBar>
          </x14:cfRule>
          <xm:sqref>AE57:AE100</xm:sqref>
        </x14:conditionalFormatting>
        <x14:conditionalFormatting xmlns:xm="http://schemas.microsoft.com/office/excel/2006/main">
          <x14:cfRule type="dataBar" id="{30F0B0BC-A34E-B048-B79F-15ABA5A1746A}">
            <x14:dataBar minLength="0" maxLength="100" gradient="0">
              <x14:cfvo type="autoMin"/>
              <x14:cfvo type="autoMax"/>
              <x14:negativeFillColor rgb="FFFF0000"/>
              <x14:axisColor rgb="FF000000"/>
            </x14:dataBar>
          </x14:cfRule>
          <x14:cfRule type="dataBar" id="{04DD2F14-B02B-0E47-8913-30E88670790A}">
            <x14:dataBar minLength="0" maxLength="100" border="1" negativeBarBorderColorSameAsPositive="0">
              <x14:cfvo type="autoMin"/>
              <x14:cfvo type="autoMax"/>
              <x14:borderColor rgb="FF63C384"/>
              <x14:negativeFillColor rgb="FFFF0000"/>
              <x14:negativeBorderColor rgb="FFFF0000"/>
              <x14:axisColor rgb="FF000000"/>
            </x14:dataBar>
          </x14:cfRule>
          <xm:sqref>AK57</xm:sqref>
        </x14:conditionalFormatting>
        <x14:conditionalFormatting xmlns:xm="http://schemas.microsoft.com/office/excel/2006/main">
          <x14:cfRule type="dataBar" id="{2A8E26C0-4BA6-4442-89B8-3BA06D53DFE0}">
            <x14:dataBar minLength="0" maxLength="100" gradient="0">
              <x14:cfvo type="autoMin"/>
              <x14:cfvo type="autoMax"/>
              <x14:negativeFillColor rgb="FFFF0000"/>
              <x14:axisColor rgb="FF000000"/>
            </x14:dataBar>
          </x14:cfRule>
          <x14:cfRule type="dataBar" id="{F1D0A8BE-81D2-A643-86D7-17C9F71F5555}">
            <x14:dataBar minLength="0" maxLength="100" border="1" negativeBarBorderColorSameAsPositive="0">
              <x14:cfvo type="autoMin"/>
              <x14:cfvo type="autoMax"/>
              <x14:borderColor rgb="FF63C384"/>
              <x14:negativeFillColor rgb="FFFF0000"/>
              <x14:negativeBorderColor rgb="FFFF0000"/>
              <x14:axisColor rgb="FF000000"/>
            </x14:dataBar>
          </x14:cfRule>
          <xm:sqref>AK58:AK100</xm:sqref>
        </x14:conditionalFormatting>
        <x14:conditionalFormatting xmlns:xm="http://schemas.microsoft.com/office/excel/2006/main">
          <x14:cfRule type="dataBar" id="{C6E84C5C-603C-8949-A849-CCB2817ECBFB}">
            <x14:dataBar minLength="0" maxLength="100" gradient="0">
              <x14:cfvo type="autoMin"/>
              <x14:cfvo type="autoMax"/>
              <x14:negativeFillColor rgb="FFFF0000"/>
              <x14:axisColor rgb="FF000000"/>
            </x14:dataBar>
          </x14:cfRule>
          <x14:cfRule type="dataBar" id="{D4159D02-11EF-5449-BEEF-E7FA22F6CB1B}">
            <x14:dataBar minLength="0" maxLength="100" border="1" negativeBarBorderColorSameAsPositive="0">
              <x14:cfvo type="autoMin"/>
              <x14:cfvo type="autoMax"/>
              <x14:borderColor rgb="FF63C384"/>
              <x14:negativeFillColor rgb="FFFF0000"/>
              <x14:negativeBorderColor rgb="FFFF0000"/>
              <x14:axisColor rgb="FF000000"/>
            </x14:dataBar>
          </x14:cfRule>
          <xm:sqref>AX58</xm:sqref>
        </x14:conditionalFormatting>
        <x14:conditionalFormatting xmlns:xm="http://schemas.microsoft.com/office/excel/2006/main">
          <x14:cfRule type="dataBar" id="{9EF74963-00CA-8C4B-8DDC-13254C3BE53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2FE8944-95CC-684D-82C8-BC2C54E755B4}">
            <x14:dataBar minLength="0" maxLength="100" gradient="0">
              <x14:cfvo type="autoMin"/>
              <x14:cfvo type="autoMax"/>
              <x14:negativeFillColor rgb="FFFF0000"/>
              <x14:axisColor rgb="FF000000"/>
            </x14:dataBar>
          </x14:cfRule>
          <xm:sqref>AX59:AX101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72F6-29C0-8448-8CAA-943AF78A3194}">
  <sheetPr>
    <tabColor rgb="FFFFFF00"/>
  </sheetPr>
  <dimension ref="A1:IA99"/>
  <sheetViews>
    <sheetView zoomScale="93" zoomScaleNormal="93" workbookViewId="0">
      <selection activeCell="A3" sqref="A3:M3"/>
    </sheetView>
  </sheetViews>
  <sheetFormatPr defaultColWidth="11.4609375" defaultRowHeight="12.75" x14ac:dyDescent="0.15"/>
  <cols>
    <col min="1" max="1" width="36.140625" style="188" customWidth="1"/>
    <col min="2" max="10" width="12.40625" style="642" customWidth="1"/>
    <col min="11" max="12" width="12.40625" style="626" customWidth="1"/>
    <col min="13" max="13" width="12.13671875" style="626" bestFit="1" customWidth="1"/>
    <col min="14" max="16384" width="11.4609375" style="192"/>
  </cols>
  <sheetData>
    <row r="1" spans="1:47" ht="14.25" x14ac:dyDescent="0.15">
      <c r="A1" s="1271" t="e" vm="4">
        <f>Inputs!H3</f>
        <v>#VALUE!</v>
      </c>
      <c r="B1" s="1271"/>
      <c r="C1" s="1271"/>
      <c r="D1" s="1271"/>
      <c r="E1" s="1271"/>
      <c r="F1" s="1271"/>
      <c r="G1" s="1271"/>
      <c r="H1" s="1271"/>
      <c r="I1" s="1271"/>
      <c r="J1" s="1271"/>
      <c r="K1" s="1271"/>
      <c r="L1" s="1271"/>
      <c r="M1" s="1271"/>
    </row>
    <row r="2" spans="1:47" x14ac:dyDescent="0.15">
      <c r="A2" s="1272" t="str">
        <f>Inputs!G2</f>
        <v>Figures in Millions of USD</v>
      </c>
      <c r="B2" s="1272"/>
      <c r="C2" s="1272"/>
      <c r="D2" s="1272"/>
      <c r="E2" s="1272"/>
      <c r="F2" s="1272"/>
      <c r="G2" s="1272"/>
      <c r="H2" s="1272"/>
      <c r="I2" s="1272"/>
      <c r="J2" s="1272"/>
      <c r="K2" s="1272"/>
      <c r="L2" s="1272"/>
      <c r="M2" s="1272"/>
    </row>
    <row r="3" spans="1:47" ht="20.25" x14ac:dyDescent="0.25">
      <c r="A3" s="1270" t="s">
        <v>239</v>
      </c>
      <c r="B3" s="1270"/>
      <c r="C3" s="1270"/>
      <c r="D3" s="1270"/>
      <c r="E3" s="1270"/>
      <c r="F3" s="1270"/>
      <c r="G3" s="1270"/>
      <c r="H3" s="1270"/>
      <c r="I3" s="1270"/>
      <c r="J3" s="1270"/>
      <c r="K3" s="1270"/>
      <c r="L3" s="1270"/>
      <c r="M3" s="1270"/>
    </row>
    <row r="4" spans="1:47" x14ac:dyDescent="0.15">
      <c r="A4" s="627"/>
      <c r="B4" s="628">
        <f>[2]OP1!J20</f>
        <v>2022</v>
      </c>
      <c r="C4" s="629">
        <f>B4-1</f>
        <v>2021</v>
      </c>
      <c r="D4" s="629">
        <f t="shared" ref="D4:M4" si="0">C4-1</f>
        <v>2020</v>
      </c>
      <c r="E4" s="629">
        <f t="shared" si="0"/>
        <v>2019</v>
      </c>
      <c r="F4" s="629">
        <f t="shared" si="0"/>
        <v>2018</v>
      </c>
      <c r="G4" s="629">
        <f t="shared" si="0"/>
        <v>2017</v>
      </c>
      <c r="H4" s="629">
        <f t="shared" si="0"/>
        <v>2016</v>
      </c>
      <c r="I4" s="629">
        <f t="shared" si="0"/>
        <v>2015</v>
      </c>
      <c r="J4" s="629">
        <f>I4-1</f>
        <v>2014</v>
      </c>
      <c r="K4" s="629">
        <f t="shared" si="0"/>
        <v>2013</v>
      </c>
      <c r="L4" s="629">
        <f t="shared" si="0"/>
        <v>2012</v>
      </c>
      <c r="M4" s="629">
        <f t="shared" si="0"/>
        <v>2011</v>
      </c>
    </row>
    <row r="5" spans="1:47" x14ac:dyDescent="0.15">
      <c r="A5" s="630" t="s">
        <v>124</v>
      </c>
      <c r="B5" s="631">
        <f>_xlfn.XLOOKUP($A5,Inputs!$A:$A,Inputs!B:B,,0)</f>
        <v>324162</v>
      </c>
      <c r="C5" s="631">
        <f>_xlfn.XLOOKUP($A5,Inputs!$A:$A,Inputs!C:C,,0)</f>
        <v>287597</v>
      </c>
      <c r="D5" s="631">
        <f>_xlfn.XLOOKUP($A5,Inputs!$A:$A,Inputs!D:D,,0)</f>
        <v>257141</v>
      </c>
      <c r="E5" s="631">
        <f>_xlfn.XLOOKUP($A5,Inputs!$A:$A,Inputs!E:E,,0)</f>
        <v>242155</v>
      </c>
      <c r="F5" s="631">
        <f>_xlfn.XLOOKUP($A5,Inputs!$A:$A,Inputs!F:F,,0)</f>
        <v>226247</v>
      </c>
      <c r="G5" s="631">
        <f>_xlfn.XLOOKUP($A5,Inputs!$A:$A,Inputs!G:G,,0)</f>
        <v>201159</v>
      </c>
      <c r="H5" s="631">
        <f>_xlfn.XLOOKUP($A5,Inputs!$A:$A,Inputs!H:H,,0)</f>
        <v>184840</v>
      </c>
      <c r="I5" s="631">
        <f>_xlfn.XLOOKUP($A5,Inputs!$A:$A,Inputs!I:I,,0)</f>
        <v>157107</v>
      </c>
      <c r="J5" s="631">
        <f>_xlfn.XLOOKUP($A5,Inputs!$A:$A,Inputs!J:J,,0)</f>
        <v>130474</v>
      </c>
      <c r="K5" s="631">
        <f>_xlfn.XLOOKUP($A5,Inputs!$A:$A,Inputs!K:K,,0)</f>
        <v>122489</v>
      </c>
      <c r="L5" s="631">
        <f>_xlfn.XLOOKUP($A5,Inputs!$A:$A,Inputs!L:L,,0)</f>
        <v>110618</v>
      </c>
      <c r="M5" s="632">
        <f>_xlfn.XLOOKUP($A5,Inputs!$A:$A,Inputs!M:M,,0)</f>
        <v>101862</v>
      </c>
    </row>
    <row r="6" spans="1:47" x14ac:dyDescent="0.15">
      <c r="A6" s="633" t="s">
        <v>752</v>
      </c>
      <c r="B6" s="7">
        <f>IFERROR(B5/C5-1,"-")</f>
        <v>0.12713971286209524</v>
      </c>
      <c r="C6" s="7">
        <f t="shared" ref="C6:L6" si="1">IFERROR(C5/D5-1,"-")</f>
        <v>0.11844085540617799</v>
      </c>
      <c r="D6" s="7">
        <f t="shared" si="1"/>
        <v>6.1885982118890848E-2</v>
      </c>
      <c r="E6" s="7">
        <f t="shared" si="1"/>
        <v>7.0312534530844628E-2</v>
      </c>
      <c r="F6" s="7">
        <f t="shared" si="1"/>
        <v>0.1247172634582594</v>
      </c>
      <c r="G6" s="261">
        <f t="shared" si="1"/>
        <v>8.8287167279809564E-2</v>
      </c>
      <c r="H6" s="7">
        <f t="shared" si="1"/>
        <v>0.1765230066133272</v>
      </c>
      <c r="I6" s="261">
        <f t="shared" si="1"/>
        <v>0.20412495976209821</v>
      </c>
      <c r="J6" s="7">
        <f t="shared" si="1"/>
        <v>6.518952722285265E-2</v>
      </c>
      <c r="K6" s="7">
        <f t="shared" si="1"/>
        <v>0.10731526514672107</v>
      </c>
      <c r="L6" s="7">
        <f t="shared" si="1"/>
        <v>8.5959435314445054E-2</v>
      </c>
      <c r="M6" s="8" t="str">
        <f>IFERROR(M5/#REF!-1,"-")</f>
        <v>-</v>
      </c>
      <c r="N6" s="201"/>
      <c r="AI6" s="642"/>
      <c r="AJ6" s="628">
        <v>2022</v>
      </c>
      <c r="AK6" s="629">
        <f>AJ6-1</f>
        <v>2021</v>
      </c>
      <c r="AL6" s="629">
        <f t="shared" ref="AL6" si="2">AK6-1</f>
        <v>2020</v>
      </c>
      <c r="AM6" s="629">
        <f t="shared" ref="AM6" si="3">AL6-1</f>
        <v>2019</v>
      </c>
      <c r="AN6" s="629">
        <f t="shared" ref="AN6" si="4">AM6-1</f>
        <v>2018</v>
      </c>
      <c r="AO6" s="629">
        <f t="shared" ref="AO6" si="5">AN6-1</f>
        <v>2017</v>
      </c>
      <c r="AP6" s="629">
        <f t="shared" ref="AP6" si="6">AO6-1</f>
        <v>2016</v>
      </c>
      <c r="AQ6" s="629">
        <f t="shared" ref="AQ6" si="7">AP6-1</f>
        <v>2015</v>
      </c>
      <c r="AR6" s="629">
        <f>AQ6-1</f>
        <v>2014</v>
      </c>
      <c r="AS6" s="629">
        <f t="shared" ref="AS6" si="8">AR6-1</f>
        <v>2013</v>
      </c>
      <c r="AT6" s="629">
        <f t="shared" ref="AT6" si="9">AS6-1</f>
        <v>2012</v>
      </c>
      <c r="AU6" s="629">
        <f t="shared" ref="AU6" si="10">AT6-1</f>
        <v>2011</v>
      </c>
    </row>
    <row r="7" spans="1:47" x14ac:dyDescent="0.15">
      <c r="A7" s="630" t="s">
        <v>753</v>
      </c>
      <c r="B7" s="631">
        <f>_xlfn.XLOOKUP($A7,Inputs!$A:$A,Inputs!B:B,,0)</f>
        <v>290459</v>
      </c>
      <c r="C7" s="631">
        <f>_xlfn.XLOOKUP($A7,Inputs!$A:$A,Inputs!C:C,,0)</f>
        <v>256563</v>
      </c>
      <c r="D7" s="631">
        <f>_xlfn.XLOOKUP($A7,Inputs!$A:$A,Inputs!D:D,,0)</f>
        <v>226396</v>
      </c>
      <c r="E7" s="631">
        <f>_xlfn.XLOOKUP($A7,Inputs!$A:$A,Inputs!E:E,,0)</f>
        <v>214038</v>
      </c>
      <c r="F7" s="631">
        <f>_xlfn.XLOOKUP($A7,Inputs!$A:$A,Inputs!F:F,,0)</f>
        <v>199249</v>
      </c>
      <c r="G7" s="631">
        <f>_xlfn.XLOOKUP($A7,Inputs!$A:$A,Inputs!G:G,,0)</f>
        <v>177047</v>
      </c>
      <c r="H7" s="631">
        <f>_xlfn.XLOOKUP($A7,Inputs!$A:$A,Inputs!H:H,,0)</f>
        <v>160424</v>
      </c>
      <c r="I7" s="631">
        <f>_xlfn.XLOOKUP($A7,Inputs!$A:$A,Inputs!I:I,,0)</f>
        <v>140901</v>
      </c>
      <c r="J7" s="631">
        <f>_xlfn.XLOOKUP($A7,Inputs!$A:$A,Inputs!J:J,,0)</f>
        <v>126690</v>
      </c>
      <c r="K7" s="631">
        <f>_xlfn.XLOOKUP($A7,Inputs!$A:$A,Inputs!K:K,,0)</f>
        <v>119650</v>
      </c>
      <c r="L7" s="631">
        <f>_xlfn.XLOOKUP($A7,Inputs!$A:$A,Inputs!L:L,,0)</f>
        <v>108095</v>
      </c>
      <c r="M7" s="632">
        <f>_xlfn.XLOOKUP($A7,Inputs!$A:$A,Inputs!M:M,,0)</f>
        <v>99477</v>
      </c>
      <c r="AI7" s="642" t="s">
        <v>125</v>
      </c>
      <c r="AJ7" s="927">
        <v>8.7718486435794454E-2</v>
      </c>
      <c r="AK7" s="927">
        <v>8.3345792897700596E-2</v>
      </c>
      <c r="AL7" s="927">
        <v>8.7131184836334932E-2</v>
      </c>
      <c r="AM7" s="927">
        <v>8.1290908715492147E-2</v>
      </c>
      <c r="AN7" s="927">
        <v>7.6659580016530601E-2</v>
      </c>
      <c r="AO7" s="927">
        <v>7.5606858256404133E-2</v>
      </c>
      <c r="AP7" s="927">
        <v>6.9952391257303612E-2</v>
      </c>
      <c r="AQ7" s="927">
        <v>7.0149643236774931E-2</v>
      </c>
      <c r="AR7" s="927">
        <v>7.8743657740239434E-2</v>
      </c>
      <c r="AS7" s="927">
        <v>7.8562156601817312E-2</v>
      </c>
      <c r="AT7" s="927">
        <v>8.3657270968558461E-2</v>
      </c>
      <c r="AU7" s="927">
        <v>8.3092811843474501E-2</v>
      </c>
    </row>
    <row r="8" spans="1:47" x14ac:dyDescent="0.15">
      <c r="A8" s="633" t="s">
        <v>754</v>
      </c>
      <c r="B8" s="7">
        <f>IFERROR(B7/B$5,"-")</f>
        <v>0.89603037987179246</v>
      </c>
      <c r="C8" s="7">
        <f t="shared" ref="C8:M8" si="11">IFERROR(C7/C$5,"-")</f>
        <v>0.89209205937475011</v>
      </c>
      <c r="D8" s="7">
        <f t="shared" si="11"/>
        <v>0.88043524758789926</v>
      </c>
      <c r="E8" s="7">
        <f t="shared" si="11"/>
        <v>0.88388841857487976</v>
      </c>
      <c r="F8" s="7">
        <f t="shared" si="11"/>
        <v>0.88067024093137147</v>
      </c>
      <c r="G8" s="7">
        <f t="shared" si="11"/>
        <v>0.88013461987780806</v>
      </c>
      <c r="H8" s="7">
        <f t="shared" si="11"/>
        <v>0.86790737935511797</v>
      </c>
      <c r="I8" s="7">
        <f t="shared" si="11"/>
        <v>0.89684737153659611</v>
      </c>
      <c r="J8" s="7">
        <f t="shared" si="11"/>
        <v>0.97099805325198896</v>
      </c>
      <c r="K8" s="7">
        <f t="shared" si="11"/>
        <v>0.97682240854280789</v>
      </c>
      <c r="L8" s="7">
        <f t="shared" si="11"/>
        <v>0.97719177710679994</v>
      </c>
      <c r="M8" s="8">
        <f t="shared" si="11"/>
        <v>0.97658596925251806</v>
      </c>
      <c r="AI8" s="642" t="s">
        <v>317</v>
      </c>
      <c r="AJ8" s="927">
        <v>6.3668782892504369E-2</v>
      </c>
      <c r="AK8" s="927">
        <v>6.1655719635462125E-2</v>
      </c>
      <c r="AL8" s="927">
        <v>6.1324331786840686E-2</v>
      </c>
      <c r="AM8" s="927">
        <v>5.8801181061716667E-2</v>
      </c>
      <c r="AN8" s="927">
        <v>5.4727797495657399E-2</v>
      </c>
      <c r="AO8" s="927">
        <v>4.7837780064526068E-2</v>
      </c>
      <c r="AP8" s="927">
        <v>3.8265526942220296E-2</v>
      </c>
      <c r="AQ8" s="927">
        <v>3.7350340850503164E-2</v>
      </c>
      <c r="AR8" s="927">
        <v>4.3066051473856858E-2</v>
      </c>
      <c r="AS8" s="927">
        <v>4.6314362922384868E-2</v>
      </c>
      <c r="AT8" s="927">
        <v>4.9955703411741305E-2</v>
      </c>
      <c r="AU8" s="927">
        <v>5.0480061259350888E-2</v>
      </c>
    </row>
    <row r="9" spans="1:47" x14ac:dyDescent="0.15">
      <c r="A9" s="630" t="s">
        <v>755</v>
      </c>
      <c r="B9" s="631">
        <f t="shared" ref="B9:M9" si="12">B5-B11</f>
        <v>295727</v>
      </c>
      <c r="C9" s="631">
        <f t="shared" si="12"/>
        <v>263627</v>
      </c>
      <c r="D9" s="631">
        <f t="shared" si="12"/>
        <v>234736</v>
      </c>
      <c r="E9" s="631">
        <f t="shared" si="12"/>
        <v>222470</v>
      </c>
      <c r="F9" s="631">
        <f t="shared" si="12"/>
        <v>208903</v>
      </c>
      <c r="G9" s="631">
        <f t="shared" si="12"/>
        <v>185950</v>
      </c>
      <c r="H9" s="631">
        <f t="shared" si="12"/>
        <v>171910</v>
      </c>
      <c r="I9" s="631">
        <f t="shared" si="12"/>
        <v>146086</v>
      </c>
      <c r="J9" s="631">
        <f t="shared" si="12"/>
        <v>120200</v>
      </c>
      <c r="K9" s="631">
        <f t="shared" si="12"/>
        <v>112866</v>
      </c>
      <c r="L9" s="631">
        <f t="shared" si="12"/>
        <v>101364</v>
      </c>
      <c r="M9" s="632">
        <f t="shared" si="12"/>
        <v>93398</v>
      </c>
    </row>
    <row r="10" spans="1:47" x14ac:dyDescent="0.15">
      <c r="A10" s="633" t="s">
        <v>754</v>
      </c>
      <c r="B10" s="7">
        <f>IFERROR(B9/B$5,"-")</f>
        <v>0.9122815135642055</v>
      </c>
      <c r="C10" s="7">
        <f t="shared" ref="C10:M10" si="13">IFERROR(C9/C$5,"-")</f>
        <v>0.91665420710229939</v>
      </c>
      <c r="D10" s="7">
        <f t="shared" si="13"/>
        <v>0.91286881516366503</v>
      </c>
      <c r="E10" s="7">
        <f t="shared" si="13"/>
        <v>0.91870909128450784</v>
      </c>
      <c r="F10" s="7">
        <f t="shared" si="13"/>
        <v>0.92334041998346938</v>
      </c>
      <c r="G10" s="7">
        <f t="shared" si="13"/>
        <v>0.92439314174359588</v>
      </c>
      <c r="H10" s="7">
        <f t="shared" si="13"/>
        <v>0.93004760874269643</v>
      </c>
      <c r="I10" s="7">
        <f t="shared" si="13"/>
        <v>0.92985035676322503</v>
      </c>
      <c r="J10" s="7">
        <f t="shared" si="13"/>
        <v>0.92125634225976061</v>
      </c>
      <c r="K10" s="7">
        <f t="shared" si="13"/>
        <v>0.92143784339818269</v>
      </c>
      <c r="L10" s="7">
        <f t="shared" si="13"/>
        <v>0.91634272903144154</v>
      </c>
      <c r="M10" s="8">
        <f t="shared" si="13"/>
        <v>0.9169071881565255</v>
      </c>
    </row>
    <row r="11" spans="1:47" x14ac:dyDescent="0.15">
      <c r="A11" s="630" t="s">
        <v>355</v>
      </c>
      <c r="B11" s="631">
        <f>_xlfn.XLOOKUP($A11,Inputs!$A:$A,Inputs!B:B,,0)</f>
        <v>28435</v>
      </c>
      <c r="C11" s="631">
        <f>_xlfn.XLOOKUP($A11,Inputs!$A:$A,Inputs!C:C,,0)</f>
        <v>23970</v>
      </c>
      <c r="D11" s="631">
        <f>_xlfn.XLOOKUP($A11,Inputs!$A:$A,Inputs!D:D,,0)</f>
        <v>22405</v>
      </c>
      <c r="E11" s="631">
        <f>_xlfn.XLOOKUP($A11,Inputs!$A:$A,Inputs!E:E,,0)</f>
        <v>19685</v>
      </c>
      <c r="F11" s="631">
        <f>_xlfn.XLOOKUP($A11,Inputs!$A:$A,Inputs!F:F,,0)</f>
        <v>17344</v>
      </c>
      <c r="G11" s="631">
        <f>_xlfn.XLOOKUP($A11,Inputs!$A:$A,Inputs!G:G,,0)</f>
        <v>15209</v>
      </c>
      <c r="H11" s="631">
        <f>_xlfn.XLOOKUP($A11,Inputs!$A:$A,Inputs!H:H,,0)</f>
        <v>12930</v>
      </c>
      <c r="I11" s="631">
        <f>_xlfn.XLOOKUP($A11,Inputs!$A:$A,Inputs!I:I,,0)</f>
        <v>11021</v>
      </c>
      <c r="J11" s="631">
        <f>_xlfn.XLOOKUP($A11,Inputs!$A:$A,Inputs!J:J,,0)</f>
        <v>10274</v>
      </c>
      <c r="K11" s="631">
        <f>_xlfn.XLOOKUP($A11,Inputs!$A:$A,Inputs!K:K,,0)</f>
        <v>9623</v>
      </c>
      <c r="L11" s="631">
        <f>_xlfn.XLOOKUP($A11,Inputs!$A:$A,Inputs!L:L,,0)</f>
        <v>9254</v>
      </c>
      <c r="M11" s="632">
        <f>_xlfn.XLOOKUP($A11,Inputs!$A:$A,Inputs!M:M,,0)</f>
        <v>8464</v>
      </c>
      <c r="O11" s="201"/>
    </row>
    <row r="12" spans="1:47" x14ac:dyDescent="0.15">
      <c r="A12" s="633" t="s">
        <v>125</v>
      </c>
      <c r="B12" s="7">
        <f t="shared" ref="B12:M12" si="14">IFERROR(B11/B$5,"-")</f>
        <v>8.7718486435794454E-2</v>
      </c>
      <c r="C12" s="7">
        <f t="shared" si="14"/>
        <v>8.3345792897700596E-2</v>
      </c>
      <c r="D12" s="7">
        <f t="shared" si="14"/>
        <v>8.7131184836334932E-2</v>
      </c>
      <c r="E12" s="7">
        <f t="shared" si="14"/>
        <v>8.1290908715492147E-2</v>
      </c>
      <c r="F12" s="7">
        <f t="shared" si="14"/>
        <v>7.6659580016530601E-2</v>
      </c>
      <c r="G12" s="7">
        <f t="shared" si="14"/>
        <v>7.5606858256404133E-2</v>
      </c>
      <c r="H12" s="7">
        <f t="shared" si="14"/>
        <v>6.9952391257303612E-2</v>
      </c>
      <c r="I12" s="7">
        <f t="shared" si="14"/>
        <v>7.0149643236774931E-2</v>
      </c>
      <c r="J12" s="7">
        <f t="shared" si="14"/>
        <v>7.8743657740239434E-2</v>
      </c>
      <c r="K12" s="7">
        <f t="shared" si="14"/>
        <v>7.8562156601817312E-2</v>
      </c>
      <c r="L12" s="7">
        <f t="shared" si="14"/>
        <v>8.3657270968558461E-2</v>
      </c>
      <c r="M12" s="8">
        <f t="shared" si="14"/>
        <v>8.3092811843474501E-2</v>
      </c>
    </row>
    <row r="13" spans="1:47" x14ac:dyDescent="0.15">
      <c r="A13" s="630" t="s">
        <v>756</v>
      </c>
      <c r="B13" s="261">
        <f t="shared" ref="B13:L13" si="15">IFERROR(B12/C12-1,"-")</f>
        <v>5.2464478242602475E-2</v>
      </c>
      <c r="C13" s="261">
        <f t="shared" si="15"/>
        <v>-4.3444743070402692E-2</v>
      </c>
      <c r="D13" s="7">
        <f t="shared" si="15"/>
        <v>7.1844148541665431E-2</v>
      </c>
      <c r="E13" s="7">
        <f t="shared" si="15"/>
        <v>6.0414219566071958E-2</v>
      </c>
      <c r="F13" s="7">
        <f t="shared" si="15"/>
        <v>1.3923627887782342E-2</v>
      </c>
      <c r="G13" s="7">
        <f t="shared" si="15"/>
        <v>8.0833076574921892E-2</v>
      </c>
      <c r="H13" s="7">
        <f t="shared" si="15"/>
        <v>-2.8118743071228192E-3</v>
      </c>
      <c r="I13" s="261">
        <f t="shared" si="15"/>
        <v>-0.10913913259928243</v>
      </c>
      <c r="J13" s="7">
        <f t="shared" si="15"/>
        <v>2.3102871187974383E-3</v>
      </c>
      <c r="K13" s="261">
        <f t="shared" si="15"/>
        <v>-6.0904620814801413E-2</v>
      </c>
      <c r="L13" s="7">
        <f t="shared" si="15"/>
        <v>6.7931161861178868E-3</v>
      </c>
      <c r="M13" s="8" t="str">
        <f>IFERROR(M12/#REF!-1,"-")</f>
        <v>-</v>
      </c>
    </row>
    <row r="14" spans="1:47" x14ac:dyDescent="0.15">
      <c r="A14" s="634" t="s">
        <v>356</v>
      </c>
      <c r="B14" s="631">
        <f>_xlfn.XLOOKUP($A14,Inputs!$A:$A,Inputs!B:B,,0)</f>
        <v>-2092</v>
      </c>
      <c r="C14" s="631">
        <f>_xlfn.XLOOKUP($A14,Inputs!$A:$A,Inputs!C:C,,0)</f>
        <v>-1660</v>
      </c>
      <c r="D14" s="631">
        <f>_xlfn.XLOOKUP($A14,Inputs!$A:$A,Inputs!D:D,,0)</f>
        <v>-1663</v>
      </c>
      <c r="E14" s="631">
        <f>_xlfn.XLOOKUP($A14,Inputs!$A:$A,Inputs!E:E,,0)</f>
        <v>-1704</v>
      </c>
      <c r="F14" s="631">
        <f>_xlfn.XLOOKUP($A14,Inputs!$A:$A,Inputs!F:F,,0)</f>
        <v>-1400</v>
      </c>
      <c r="G14" s="631">
        <f>_xlfn.XLOOKUP($A14,Inputs!$A:$A,Inputs!G:G,,0)</f>
        <v>-1186</v>
      </c>
      <c r="H14" s="631">
        <f>_xlfn.XLOOKUP($A14,Inputs!$A:$A,Inputs!H:H,,0)</f>
        <v>-1067</v>
      </c>
      <c r="I14" s="631">
        <f>_xlfn.XLOOKUP($A14,Inputs!$A:$A,Inputs!I:I,,0)</f>
        <v>-790</v>
      </c>
      <c r="J14" s="631">
        <f>_xlfn.XLOOKUP($A14,Inputs!$A:$A,Inputs!J:J,,0)</f>
        <v>-618</v>
      </c>
      <c r="K14" s="631">
        <f>_xlfn.XLOOKUP($A14,Inputs!$A:$A,Inputs!K:K,,0)</f>
        <v>-708</v>
      </c>
      <c r="L14" s="631">
        <f>_xlfn.XLOOKUP($A14,Inputs!$A:$A,Inputs!L:L,,0)</f>
        <v>-632</v>
      </c>
      <c r="M14" s="632">
        <f>_xlfn.XLOOKUP($A14,Inputs!$A:$A,Inputs!M:M,,0)</f>
        <v>-505</v>
      </c>
    </row>
    <row r="15" spans="1:47" x14ac:dyDescent="0.15">
      <c r="A15" s="630" t="s">
        <v>757</v>
      </c>
      <c r="B15" s="631">
        <f>_xlfn.XLOOKUP($A15,Inputs!$A:$A,Inputs!B:B,,0)</f>
        <v>0</v>
      </c>
      <c r="C15" s="631">
        <f>_xlfn.XLOOKUP($A15,Inputs!$A:$A,Inputs!C:C,,0)</f>
        <v>0</v>
      </c>
      <c r="D15" s="631">
        <f>_xlfn.XLOOKUP($A15,Inputs!$A:$A,Inputs!D:D,,0)</f>
        <v>0</v>
      </c>
      <c r="E15" s="631">
        <f>_xlfn.XLOOKUP($A15,Inputs!$A:$A,Inputs!E:E,,0)</f>
        <v>0</v>
      </c>
      <c r="F15" s="631">
        <f>_xlfn.XLOOKUP($A15,Inputs!$A:$A,Inputs!F:F,,0)</f>
        <v>0</v>
      </c>
      <c r="G15" s="631">
        <f>_xlfn.XLOOKUP($A15,Inputs!$A:$A,Inputs!G:G,,0)</f>
        <v>0</v>
      </c>
      <c r="H15" s="631">
        <f>_xlfn.XLOOKUP($A15,Inputs!$A:$A,Inputs!H:H,,0)</f>
        <v>0</v>
      </c>
      <c r="I15" s="631">
        <f>_xlfn.XLOOKUP($A15,Inputs!$A:$A,Inputs!I:I,,0)</f>
        <v>0</v>
      </c>
      <c r="J15" s="631">
        <f>_xlfn.XLOOKUP($A15,Inputs!$A:$A,Inputs!J:J,,0)</f>
        <v>0</v>
      </c>
      <c r="K15" s="631">
        <f>_xlfn.XLOOKUP($A15,Inputs!$A:$A,Inputs!K:K,,0)</f>
        <v>0</v>
      </c>
      <c r="L15" s="631">
        <f>_xlfn.XLOOKUP($A15,Inputs!$A:$A,Inputs!L:L,,0)</f>
        <v>0</v>
      </c>
      <c r="M15" s="632">
        <f>_xlfn.XLOOKUP($A15,Inputs!$A:$A,Inputs!M:M,,0)</f>
        <v>0</v>
      </c>
    </row>
    <row r="16" spans="1:47" x14ac:dyDescent="0.15">
      <c r="A16" s="634" t="s">
        <v>60</v>
      </c>
      <c r="B16" s="631">
        <f>B11-B15</f>
        <v>28435</v>
      </c>
      <c r="C16" s="631">
        <f t="shared" ref="C16:M16" si="16">C11-C15</f>
        <v>23970</v>
      </c>
      <c r="D16" s="631">
        <f t="shared" si="16"/>
        <v>22405</v>
      </c>
      <c r="E16" s="631">
        <f t="shared" si="16"/>
        <v>19685</v>
      </c>
      <c r="F16" s="631">
        <f t="shared" si="16"/>
        <v>17344</v>
      </c>
      <c r="G16" s="631">
        <f t="shared" si="16"/>
        <v>15209</v>
      </c>
      <c r="H16" s="631">
        <f t="shared" si="16"/>
        <v>12930</v>
      </c>
      <c r="I16" s="631">
        <f t="shared" si="16"/>
        <v>11021</v>
      </c>
      <c r="J16" s="631">
        <f t="shared" si="16"/>
        <v>10274</v>
      </c>
      <c r="K16" s="631">
        <f t="shared" si="16"/>
        <v>9623</v>
      </c>
      <c r="L16" s="631">
        <f t="shared" si="16"/>
        <v>9254</v>
      </c>
      <c r="M16" s="632">
        <f t="shared" si="16"/>
        <v>8464</v>
      </c>
      <c r="N16" s="635"/>
      <c r="O16" s="635"/>
      <c r="P16" s="635"/>
      <c r="Q16" s="635"/>
      <c r="R16" s="635"/>
      <c r="S16" s="635"/>
      <c r="T16" s="635"/>
      <c r="U16" s="635"/>
      <c r="V16" s="635"/>
      <c r="W16" s="635"/>
      <c r="X16" s="635"/>
      <c r="Y16" s="635"/>
    </row>
    <row r="17" spans="1:18" x14ac:dyDescent="0.15">
      <c r="A17" s="630" t="s">
        <v>56</v>
      </c>
      <c r="B17" s="631">
        <f>_xlfn.XLOOKUP($A17,Inputs!$A:$A,Inputs!B:B,,0)</f>
        <v>3400</v>
      </c>
      <c r="C17" s="631">
        <f>_xlfn.XLOOKUP($A17,Inputs!$A:$A,Inputs!C:C,,0)</f>
        <v>3103</v>
      </c>
      <c r="D17" s="631">
        <f>_xlfn.XLOOKUP($A17,Inputs!$A:$A,Inputs!D:D,,0)</f>
        <v>2891</v>
      </c>
      <c r="E17" s="631">
        <f>_xlfn.XLOOKUP($A17,Inputs!$A:$A,Inputs!E:E,,0)</f>
        <v>2720</v>
      </c>
      <c r="F17" s="631">
        <f>_xlfn.XLOOKUP($A17,Inputs!$A:$A,Inputs!F:F,,0)</f>
        <v>2428</v>
      </c>
      <c r="G17" s="631">
        <f>_xlfn.XLOOKUP($A17,Inputs!$A:$A,Inputs!G:G,,0)</f>
        <v>2245</v>
      </c>
      <c r="H17" s="631">
        <f>_xlfn.XLOOKUP($A17,Inputs!$A:$A,Inputs!H:H,,0)</f>
        <v>2055</v>
      </c>
      <c r="I17" s="631">
        <f>_xlfn.XLOOKUP($A17,Inputs!$A:$A,Inputs!I:I,,0)</f>
        <v>1693</v>
      </c>
      <c r="J17" s="631">
        <f>_xlfn.XLOOKUP($A17,Inputs!$A:$A,Inputs!J:J,,0)</f>
        <v>1478</v>
      </c>
      <c r="K17" s="631">
        <f>_xlfn.XLOOKUP($A17,Inputs!$A:$A,Inputs!K:K,,0)</f>
        <v>1375</v>
      </c>
      <c r="L17" s="631">
        <f>_xlfn.XLOOKUP($A17,Inputs!$A:$A,Inputs!L:L,,0)</f>
        <v>1309</v>
      </c>
      <c r="M17" s="632">
        <f>_xlfn.XLOOKUP($A17,Inputs!$A:$A,Inputs!M:M,,0)</f>
        <v>1124</v>
      </c>
      <c r="N17" s="103"/>
    </row>
    <row r="18" spans="1:18" x14ac:dyDescent="0.15">
      <c r="A18" s="634" t="s">
        <v>758</v>
      </c>
      <c r="B18" s="631">
        <f>_xlfn.XLOOKUP($A18,Inputs!$A:$A,Inputs!B:B,,0)</f>
        <v>-7638</v>
      </c>
      <c r="C18" s="631">
        <f>_xlfn.XLOOKUP($A18,Inputs!$A:$A,Inputs!C:C,,0)</f>
        <v>-1958</v>
      </c>
      <c r="D18" s="631">
        <f>_xlfn.XLOOKUP($A18,Inputs!$A:$A,Inputs!D:D,,0)</f>
        <v>-5090</v>
      </c>
      <c r="E18" s="631">
        <f>_xlfn.XLOOKUP($A18,Inputs!$A:$A,Inputs!E:E,,0)</f>
        <v>-4552</v>
      </c>
      <c r="F18" s="631">
        <f>_xlfn.XLOOKUP($A18,Inputs!$A:$A,Inputs!F:F,,0)</f>
        <v>28</v>
      </c>
      <c r="G18" s="631">
        <f>_xlfn.XLOOKUP($A18,Inputs!$A:$A,Inputs!G:G,,0)</f>
        <v>-221</v>
      </c>
      <c r="H18" s="631">
        <f>_xlfn.XLOOKUP($A18,Inputs!$A:$A,Inputs!H:H,,0)</f>
        <v>-4468</v>
      </c>
      <c r="I18" s="631">
        <f>_xlfn.XLOOKUP($A18,Inputs!$A:$A,Inputs!I:I,,0)</f>
        <v>-7877</v>
      </c>
      <c r="J18" s="631">
        <f>_xlfn.XLOOKUP($A18,Inputs!$A:$A,Inputs!J:J,,0)</f>
        <v>411</v>
      </c>
      <c r="K18" s="631">
        <f>_xlfn.XLOOKUP($A18,Inputs!$A:$A,Inputs!K:K,,0)</f>
        <v>787</v>
      </c>
      <c r="L18" s="631">
        <f>_xlfn.XLOOKUP($A18,Inputs!$A:$A,Inputs!L:L,,0)</f>
        <v>-1923</v>
      </c>
      <c r="M18" s="632">
        <f>_xlfn.XLOOKUP($A18,Inputs!$A:$A,Inputs!M:M,,0)</f>
        <v>0</v>
      </c>
    </row>
    <row r="19" spans="1:18" x14ac:dyDescent="0.15">
      <c r="A19" s="630" t="s">
        <v>52</v>
      </c>
      <c r="B19" s="631">
        <f>B11-B15+B17</f>
        <v>31835</v>
      </c>
      <c r="C19" s="631">
        <f t="shared" ref="C19:M19" si="17">C11-C15+C17</f>
        <v>27073</v>
      </c>
      <c r="D19" s="631">
        <f>D11-D15+D17</f>
        <v>25296</v>
      </c>
      <c r="E19" s="631">
        <f t="shared" si="17"/>
        <v>22405</v>
      </c>
      <c r="F19" s="631">
        <f t="shared" si="17"/>
        <v>19772</v>
      </c>
      <c r="G19" s="631">
        <f t="shared" si="17"/>
        <v>17454</v>
      </c>
      <c r="H19" s="631">
        <f t="shared" si="17"/>
        <v>14985</v>
      </c>
      <c r="I19" s="631">
        <f t="shared" si="17"/>
        <v>12714</v>
      </c>
      <c r="J19" s="631">
        <f t="shared" si="17"/>
        <v>11752</v>
      </c>
      <c r="K19" s="631">
        <f t="shared" si="17"/>
        <v>10998</v>
      </c>
      <c r="L19" s="631">
        <f t="shared" si="17"/>
        <v>10563</v>
      </c>
      <c r="M19" s="632">
        <f t="shared" si="17"/>
        <v>9588</v>
      </c>
    </row>
    <row r="20" spans="1:18" x14ac:dyDescent="0.15">
      <c r="A20" s="633" t="s">
        <v>759</v>
      </c>
      <c r="B20" s="7">
        <f t="shared" ref="B20:M20" si="18">IFERROR(B19/B$5,"-")</f>
        <v>9.8207069304853747E-2</v>
      </c>
      <c r="C20" s="7">
        <f t="shared" si="18"/>
        <v>9.4135196125133436E-2</v>
      </c>
      <c r="D20" s="7">
        <f t="shared" si="18"/>
        <v>9.8374043812538642E-2</v>
      </c>
      <c r="E20" s="7">
        <f t="shared" si="18"/>
        <v>9.2523383783114116E-2</v>
      </c>
      <c r="F20" s="7">
        <f t="shared" si="18"/>
        <v>8.7391214027147321E-2</v>
      </c>
      <c r="G20" s="7">
        <f t="shared" si="18"/>
        <v>8.6767184167747896E-2</v>
      </c>
      <c r="H20" s="7">
        <f t="shared" si="18"/>
        <v>8.1070114693789219E-2</v>
      </c>
      <c r="I20" s="7">
        <f t="shared" si="18"/>
        <v>8.0925738509423514E-2</v>
      </c>
      <c r="J20" s="7">
        <f t="shared" si="18"/>
        <v>9.0071585143400218E-2</v>
      </c>
      <c r="K20" s="7">
        <f t="shared" si="18"/>
        <v>8.9787654401619732E-2</v>
      </c>
      <c r="L20" s="7">
        <f t="shared" si="18"/>
        <v>9.5490788117666203E-2</v>
      </c>
      <c r="M20" s="8">
        <f t="shared" si="18"/>
        <v>9.4127348765977503E-2</v>
      </c>
      <c r="P20" s="103"/>
      <c r="Q20" s="103"/>
      <c r="R20" s="103"/>
    </row>
    <row r="21" spans="1:18" x14ac:dyDescent="0.15">
      <c r="A21" s="630" t="s">
        <v>357</v>
      </c>
      <c r="B21" s="631">
        <f>_xlfn.XLOOKUP($A21,Inputs!$A:$A,Inputs!B:B,,0)</f>
        <v>-5704</v>
      </c>
      <c r="C21" s="631">
        <f>_xlfn.XLOOKUP($A21,Inputs!$A:$A,Inputs!C:C,,0)</f>
        <v>-4578</v>
      </c>
      <c r="D21" s="631">
        <f>_xlfn.XLOOKUP($A21,Inputs!$A:$A,Inputs!D:D,,0)</f>
        <v>-4973</v>
      </c>
      <c r="E21" s="631">
        <f>_xlfn.XLOOKUP($A21,Inputs!$A:$A,Inputs!E:E,,0)</f>
        <v>-3742</v>
      </c>
      <c r="F21" s="631">
        <f>_xlfn.XLOOKUP($A21,Inputs!$A:$A,Inputs!F:F,,0)</f>
        <v>-3562</v>
      </c>
      <c r="G21" s="631">
        <f>_xlfn.XLOOKUP($A21,Inputs!$A:$A,Inputs!G:G,,0)</f>
        <v>-4400</v>
      </c>
      <c r="H21" s="631">
        <f>_xlfn.XLOOKUP($A21,Inputs!$A:$A,Inputs!H:H,,0)</f>
        <v>-4790</v>
      </c>
      <c r="I21" s="631">
        <f>_xlfn.XLOOKUP($A21,Inputs!$A:$A,Inputs!I:I,,0)</f>
        <v>-4363</v>
      </c>
      <c r="J21" s="631">
        <f>_xlfn.XLOOKUP($A21,Inputs!$A:$A,Inputs!J:J,,0)</f>
        <v>-4037</v>
      </c>
      <c r="K21" s="631">
        <f>_xlfn.XLOOKUP($A21,Inputs!$A:$A,Inputs!K:K,,0)</f>
        <v>-3242</v>
      </c>
      <c r="L21" s="631">
        <f>_xlfn.XLOOKUP($A21,Inputs!$A:$A,Inputs!L:L,,0)</f>
        <v>-3096</v>
      </c>
      <c r="M21" s="632">
        <f>_xlfn.XLOOKUP($A21,Inputs!$A:$A,Inputs!M:M,,0)</f>
        <v>-2817</v>
      </c>
    </row>
    <row r="22" spans="1:18" x14ac:dyDescent="0.15">
      <c r="A22" s="633" t="s">
        <v>760</v>
      </c>
      <c r="B22" s="7">
        <f t="shared" ref="B22:M22" si="19">IFERROR(B21/B$5,"-")</f>
        <v>-1.7596140201504185E-2</v>
      </c>
      <c r="C22" s="7">
        <f t="shared" si="19"/>
        <v>-1.5918107629773606E-2</v>
      </c>
      <c r="D22" s="7">
        <f t="shared" si="19"/>
        <v>-1.9339584119218638E-2</v>
      </c>
      <c r="E22" s="7">
        <f t="shared" si="19"/>
        <v>-1.545291239082406E-2</v>
      </c>
      <c r="F22" s="7">
        <f t="shared" si="19"/>
        <v>-1.5743855167140337E-2</v>
      </c>
      <c r="G22" s="7">
        <f t="shared" si="19"/>
        <v>-2.1873244547845238E-2</v>
      </c>
      <c r="H22" s="7">
        <f t="shared" si="19"/>
        <v>-2.5914304263146504E-2</v>
      </c>
      <c r="I22" s="7">
        <f t="shared" si="19"/>
        <v>-2.7770882264953185E-2</v>
      </c>
      <c r="J22" s="7">
        <f t="shared" si="19"/>
        <v>-3.0941030396860678E-2</v>
      </c>
      <c r="K22" s="7">
        <f t="shared" si="19"/>
        <v>-2.6467682812334168E-2</v>
      </c>
      <c r="L22" s="7">
        <f t="shared" si="19"/>
        <v>-2.7988211683451156E-2</v>
      </c>
      <c r="M22" s="8">
        <f t="shared" si="19"/>
        <v>-2.7655062731931437E-2</v>
      </c>
    </row>
    <row r="23" spans="1:18" x14ac:dyDescent="0.15">
      <c r="A23" s="630" t="s">
        <v>64</v>
      </c>
      <c r="B23" s="631">
        <f>_xlfn.XLOOKUP($A23,Inputs!$A:$A,Inputs!B:B,,0)</f>
        <v>20639</v>
      </c>
      <c r="C23" s="631">
        <f>_xlfn.XLOOKUP($A23,Inputs!$A:$A,Inputs!C:C,,0)</f>
        <v>17732</v>
      </c>
      <c r="D23" s="631">
        <f>_xlfn.XLOOKUP($A23,Inputs!$A:$A,Inputs!D:D,,0)</f>
        <v>15769</v>
      </c>
      <c r="E23" s="631">
        <f>_xlfn.XLOOKUP($A23,Inputs!$A:$A,Inputs!E:E,,0)</f>
        <v>14239</v>
      </c>
      <c r="F23" s="631">
        <f>_xlfn.XLOOKUP($A23,Inputs!$A:$A,Inputs!F:F,,0)</f>
        <v>12382</v>
      </c>
      <c r="G23" s="631">
        <f>_xlfn.XLOOKUP($A23,Inputs!$A:$A,Inputs!G:G,,0)</f>
        <v>9623</v>
      </c>
      <c r="H23" s="631">
        <f>_xlfn.XLOOKUP($A23,Inputs!$A:$A,Inputs!H:H,,0)</f>
        <v>7073</v>
      </c>
      <c r="I23" s="631">
        <f>_xlfn.XLOOKUP($A23,Inputs!$A:$A,Inputs!I:I,,0)</f>
        <v>5868</v>
      </c>
      <c r="J23" s="631">
        <f>_xlfn.XLOOKUP($A23,Inputs!$A:$A,Inputs!J:J,,0)</f>
        <v>5619</v>
      </c>
      <c r="K23" s="631">
        <f>_xlfn.XLOOKUP($A23,Inputs!$A:$A,Inputs!K:K,,0)</f>
        <v>5673</v>
      </c>
      <c r="L23" s="631">
        <f>_xlfn.XLOOKUP($A23,Inputs!$A:$A,Inputs!L:L,,0)</f>
        <v>5526</v>
      </c>
      <c r="M23" s="632">
        <f>_xlfn.XLOOKUP($A23,Inputs!$A:$A,Inputs!M:M,,0)</f>
        <v>5142</v>
      </c>
    </row>
    <row r="24" spans="1:18" x14ac:dyDescent="0.15">
      <c r="A24" s="633" t="s">
        <v>317</v>
      </c>
      <c r="B24" s="7">
        <f t="shared" ref="B24:M24" si="20">IFERROR(B23/B$5,"-")</f>
        <v>6.3668782892504369E-2</v>
      </c>
      <c r="C24" s="7">
        <f t="shared" si="20"/>
        <v>6.1655719635462125E-2</v>
      </c>
      <c r="D24" s="7">
        <f t="shared" si="20"/>
        <v>6.1324331786840686E-2</v>
      </c>
      <c r="E24" s="7">
        <f t="shared" si="20"/>
        <v>5.8801181061716667E-2</v>
      </c>
      <c r="F24" s="7">
        <f t="shared" si="20"/>
        <v>5.4727797495657399E-2</v>
      </c>
      <c r="G24" s="7">
        <f t="shared" si="20"/>
        <v>4.7837780064526068E-2</v>
      </c>
      <c r="H24" s="7">
        <f t="shared" si="20"/>
        <v>3.8265526942220296E-2</v>
      </c>
      <c r="I24" s="7">
        <f t="shared" si="20"/>
        <v>3.7350340850503164E-2</v>
      </c>
      <c r="J24" s="7">
        <f t="shared" si="20"/>
        <v>4.3066051473856858E-2</v>
      </c>
      <c r="K24" s="7">
        <f>IFERROR(K23/K$5,"-")</f>
        <v>4.6314362922384868E-2</v>
      </c>
      <c r="L24" s="7">
        <f t="shared" si="20"/>
        <v>4.9955703411741305E-2</v>
      </c>
      <c r="M24" s="8">
        <f t="shared" si="20"/>
        <v>5.0480061259350888E-2</v>
      </c>
    </row>
    <row r="25" spans="1:18" x14ac:dyDescent="0.15">
      <c r="A25" s="630" t="s">
        <v>752</v>
      </c>
      <c r="B25" s="7">
        <f t="shared" ref="B25:L25" si="21">IFERROR(B24/C24-1,"-")</f>
        <v>3.265006505389012E-2</v>
      </c>
      <c r="C25" s="7">
        <f t="shared" si="21"/>
        <v>5.4038558426257044E-3</v>
      </c>
      <c r="D25" s="7">
        <f t="shared" si="21"/>
        <v>4.2909864726624614E-2</v>
      </c>
      <c r="E25" s="7">
        <f t="shared" si="21"/>
        <v>7.4429883029414556E-2</v>
      </c>
      <c r="F25" s="7">
        <f t="shared" si="21"/>
        <v>0.14402878690937837</v>
      </c>
      <c r="G25" s="261">
        <f t="shared" si="21"/>
        <v>0.25015343802163148</v>
      </c>
      <c r="H25" s="7">
        <f t="shared" si="21"/>
        <v>2.4502750734731293E-2</v>
      </c>
      <c r="I25" s="261">
        <f t="shared" si="21"/>
        <v>-0.13271963478758675</v>
      </c>
      <c r="J25" s="7">
        <f t="shared" si="21"/>
        <v>-7.0136157415608524E-2</v>
      </c>
      <c r="K25" s="261">
        <f t="shared" si="21"/>
        <v>-7.289138658190919E-2</v>
      </c>
      <c r="L25" s="7">
        <f t="shared" si="21"/>
        <v>-1.0387424946170176E-2</v>
      </c>
      <c r="M25" s="8" t="str">
        <f>IFERROR(M24/#REF!-1,"-")</f>
        <v>-</v>
      </c>
      <c r="N25" s="201"/>
    </row>
    <row r="26" spans="1:18" x14ac:dyDescent="0.15">
      <c r="A26" s="633" t="s">
        <v>761</v>
      </c>
      <c r="B26" s="9">
        <f>B39-C39</f>
        <v>4004</v>
      </c>
      <c r="C26" s="9">
        <f t="shared" ref="C26:M26" si="22">C39-D39</f>
        <v>4126</v>
      </c>
      <c r="D26" s="9">
        <f t="shared" si="22"/>
        <v>5536</v>
      </c>
      <c r="E26" s="9">
        <f>E39-F39</f>
        <v>-79</v>
      </c>
      <c r="F26" s="9">
        <f t="shared" si="22"/>
        <v>-1166</v>
      </c>
      <c r="G26" s="9">
        <f t="shared" si="22"/>
        <v>2215</v>
      </c>
      <c r="H26" s="9">
        <f t="shared" si="22"/>
        <v>364</v>
      </c>
      <c r="I26" s="9">
        <f t="shared" si="22"/>
        <v>3675</v>
      </c>
      <c r="J26" s="9">
        <f t="shared" si="22"/>
        <v>23</v>
      </c>
      <c r="K26" s="9">
        <f t="shared" si="22"/>
        <v>-2224</v>
      </c>
      <c r="L26" s="9">
        <f t="shared" si="22"/>
        <v>-569</v>
      </c>
      <c r="M26" s="632">
        <f t="shared" si="22"/>
        <v>12006</v>
      </c>
    </row>
    <row r="27" spans="1:18" x14ac:dyDescent="0.15">
      <c r="A27" s="630" t="s">
        <v>135</v>
      </c>
      <c r="B27" s="631">
        <f>_xlfn.XLOOKUP($A27,Inputs!$A:$A,Inputs!B:B,,0)</f>
        <v>-5991</v>
      </c>
      <c r="C27" s="631">
        <f>_xlfn.XLOOKUP($A27,Inputs!$A:$A,Inputs!C:C,,0)</f>
        <v>-5280</v>
      </c>
      <c r="D27" s="631">
        <f>_xlfn.XLOOKUP($A27,Inputs!$A:$A,Inputs!D:D,,0)</f>
        <v>-4584</v>
      </c>
      <c r="E27" s="631">
        <f>_xlfn.XLOOKUP($A27,Inputs!$A:$A,Inputs!E:E,,0)</f>
        <v>-3932</v>
      </c>
      <c r="F27" s="631">
        <f>_xlfn.XLOOKUP($A27,Inputs!$A:$A,Inputs!F:F,,0)</f>
        <v>-3320</v>
      </c>
      <c r="G27" s="631">
        <f>_xlfn.XLOOKUP($A27,Inputs!$A:$A,Inputs!G:G,,0)</f>
        <v>-2773</v>
      </c>
      <c r="H27" s="631">
        <f>_xlfn.XLOOKUP($A27,Inputs!$A:$A,Inputs!H:H,,0)</f>
        <v>-2261</v>
      </c>
      <c r="I27" s="631">
        <f>_xlfn.XLOOKUP($A27,Inputs!$A:$A,Inputs!I:I,,0)</f>
        <v>-1786</v>
      </c>
      <c r="J27" s="631">
        <f>_xlfn.XLOOKUP($A27,Inputs!$A:$A,Inputs!J:J,,0)</f>
        <v>-1362</v>
      </c>
      <c r="K27" s="631">
        <f>_xlfn.XLOOKUP($A27,Inputs!$A:$A,Inputs!K:K,,0)</f>
        <v>-1056</v>
      </c>
      <c r="L27" s="631">
        <f>_xlfn.XLOOKUP($A27,Inputs!$A:$A,Inputs!L:L,,0)</f>
        <v>-820</v>
      </c>
      <c r="M27" s="632">
        <f>_xlfn.XLOOKUP($A27,Inputs!$A:$A,Inputs!M:M,,0)</f>
        <v>-651</v>
      </c>
    </row>
    <row r="28" spans="1:18" x14ac:dyDescent="0.15">
      <c r="A28" s="634" t="s">
        <v>762</v>
      </c>
      <c r="B28" s="631">
        <f>_xlfn.XLOOKUP($A28,Inputs!$A:$A,Inputs!B:B,,0)</f>
        <v>-5747</v>
      </c>
      <c r="C28" s="631">
        <f>_xlfn.XLOOKUP($A28,Inputs!$A:$A,Inputs!C:C,,0)</f>
        <v>-3645</v>
      </c>
      <c r="D28" s="631">
        <f>_xlfn.XLOOKUP($A28,Inputs!$A:$A,Inputs!D:D,,0)</f>
        <v>-2810</v>
      </c>
      <c r="E28" s="631">
        <f>_xlfn.XLOOKUP($A28,Inputs!$A:$A,Inputs!E:E,,0)</f>
        <v>-4463</v>
      </c>
      <c r="F28" s="631">
        <f>_xlfn.XLOOKUP($A28,Inputs!$A:$A,Inputs!F:F,,0)</f>
        <v>-3662</v>
      </c>
      <c r="G28" s="631">
        <f>_xlfn.XLOOKUP($A28,Inputs!$A:$A,Inputs!G:G,,0)</f>
        <v>-812</v>
      </c>
      <c r="H28" s="631">
        <f>_xlfn.XLOOKUP($A28,Inputs!$A:$A,Inputs!H:H,,0)</f>
        <v>-851</v>
      </c>
      <c r="I28" s="631">
        <f>_xlfn.XLOOKUP($A28,Inputs!$A:$A,Inputs!I:I,,0)</f>
        <v>-798</v>
      </c>
      <c r="J28" s="631">
        <f>_xlfn.XLOOKUP($A28,Inputs!$A:$A,Inputs!J:J,,0)</f>
        <v>-3546</v>
      </c>
      <c r="K28" s="631">
        <f>_xlfn.XLOOKUP($A28,Inputs!$A:$A,Inputs!K:K,,0)</f>
        <v>-2572</v>
      </c>
      <c r="L28" s="631">
        <f>_xlfn.XLOOKUP($A28,Inputs!$A:$A,Inputs!L:L,,0)</f>
        <v>-2006</v>
      </c>
      <c r="M28" s="632">
        <f>_xlfn.XLOOKUP($A28,Inputs!$A:$A,Inputs!M:M,,0)</f>
        <v>-2613</v>
      </c>
    </row>
    <row r="29" spans="1:18" x14ac:dyDescent="0.15">
      <c r="A29" s="630" t="s">
        <v>127</v>
      </c>
      <c r="B29" s="9">
        <f>SUM(B26:B28)</f>
        <v>-7734</v>
      </c>
      <c r="C29" s="9">
        <f t="shared" ref="C29:M29" si="23">SUM(C26:C28)</f>
        <v>-4799</v>
      </c>
      <c r="D29" s="9">
        <f t="shared" si="23"/>
        <v>-1858</v>
      </c>
      <c r="E29" s="9">
        <f t="shared" si="23"/>
        <v>-8474</v>
      </c>
      <c r="F29" s="9">
        <f t="shared" si="23"/>
        <v>-8148</v>
      </c>
      <c r="G29" s="9">
        <f t="shared" si="23"/>
        <v>-1370</v>
      </c>
      <c r="H29" s="9">
        <f t="shared" si="23"/>
        <v>-2748</v>
      </c>
      <c r="I29" s="9">
        <f t="shared" si="23"/>
        <v>1091</v>
      </c>
      <c r="J29" s="9">
        <f t="shared" si="23"/>
        <v>-4885</v>
      </c>
      <c r="K29" s="9">
        <f t="shared" si="23"/>
        <v>-5852</v>
      </c>
      <c r="L29" s="9">
        <f t="shared" si="23"/>
        <v>-3395</v>
      </c>
      <c r="M29" s="632">
        <f t="shared" si="23"/>
        <v>8742</v>
      </c>
    </row>
    <row r="30" spans="1:18" x14ac:dyDescent="0.15">
      <c r="A30" s="634" t="s">
        <v>763</v>
      </c>
      <c r="B30" s="9">
        <f>+B29-(B58-C29)</f>
        <v>-76000</v>
      </c>
      <c r="C30" s="9">
        <f t="shared" ref="C30:M30" si="24">+C29-(C58-D29)</f>
        <v>-58496</v>
      </c>
      <c r="D30" s="9">
        <f t="shared" si="24"/>
        <v>-60008</v>
      </c>
      <c r="E30" s="9">
        <f t="shared" si="24"/>
        <v>-62915</v>
      </c>
      <c r="F30" s="9">
        <f t="shared" si="24"/>
        <v>-50942</v>
      </c>
      <c r="G30" s="9">
        <f t="shared" si="24"/>
        <v>-40261</v>
      </c>
      <c r="H30" s="9">
        <f t="shared" si="24"/>
        <v>-41880</v>
      </c>
      <c r="I30" s="9">
        <f t="shared" si="24"/>
        <v>-43984</v>
      </c>
      <c r="J30" s="9">
        <f t="shared" si="24"/>
        <v>-34668</v>
      </c>
      <c r="K30" s="9">
        <f t="shared" si="24"/>
        <v>-31968</v>
      </c>
      <c r="L30" s="9">
        <f t="shared" si="24"/>
        <v>-17806</v>
      </c>
      <c r="M30" s="632">
        <f t="shared" si="24"/>
        <v>-7917</v>
      </c>
    </row>
    <row r="31" spans="1:18" x14ac:dyDescent="0.15">
      <c r="A31" s="630" t="s">
        <v>764</v>
      </c>
      <c r="B31" s="9">
        <f>+B30+B33</f>
        <v>-101674</v>
      </c>
      <c r="C31" s="9">
        <f t="shared" ref="C31:M31" si="25">+C30+C33</f>
        <v>-66414</v>
      </c>
      <c r="D31" s="9">
        <f t="shared" si="25"/>
        <v>-70489</v>
      </c>
      <c r="E31" s="9">
        <f t="shared" si="25"/>
        <v>-73543</v>
      </c>
      <c r="F31" s="9">
        <f t="shared" si="25"/>
        <v>-61264</v>
      </c>
      <c r="G31" s="9">
        <f t="shared" si="25"/>
        <v>-46837</v>
      </c>
      <c r="H31" s="9">
        <f t="shared" si="25"/>
        <v>-49530</v>
      </c>
      <c r="I31" s="9">
        <f t="shared" si="25"/>
        <v>-60823</v>
      </c>
      <c r="J31" s="9">
        <f t="shared" si="25"/>
        <v>-35677</v>
      </c>
      <c r="K31" s="9">
        <f t="shared" si="25"/>
        <v>-33750</v>
      </c>
      <c r="L31" s="9">
        <f t="shared" si="25"/>
        <v>-25385</v>
      </c>
      <c r="M31" s="632">
        <f t="shared" si="25"/>
        <v>-11022</v>
      </c>
    </row>
    <row r="32" spans="1:18" x14ac:dyDescent="0.15">
      <c r="A32" s="634" t="s">
        <v>132</v>
      </c>
      <c r="B32" s="631">
        <f>_xlfn.XLOOKUP($A32,Inputs!$A:$A,Inputs!B:B,,0)</f>
        <v>-2802</v>
      </c>
      <c r="C32" s="631">
        <f>_xlfn.XLOOKUP($A32,Inputs!$A:$A,Inputs!C:C,,0)</f>
        <v>-2454</v>
      </c>
      <c r="D32" s="631">
        <f>_xlfn.XLOOKUP($A32,Inputs!$A:$A,Inputs!D:D,,0)</f>
        <v>-2051</v>
      </c>
      <c r="E32" s="631">
        <f>_xlfn.XLOOKUP($A32,Inputs!$A:$A,Inputs!E:E,,0)</f>
        <v>-2071</v>
      </c>
      <c r="F32" s="631">
        <f>_xlfn.XLOOKUP($A32,Inputs!$A:$A,Inputs!F:F,,0)</f>
        <v>-2063</v>
      </c>
      <c r="G32" s="631">
        <f>_xlfn.XLOOKUP($A32,Inputs!$A:$A,Inputs!G:G,,0)</f>
        <v>-2023</v>
      </c>
      <c r="H32" s="631">
        <f>_xlfn.XLOOKUP($A32,Inputs!$A:$A,Inputs!H:H,,0)</f>
        <v>-1705</v>
      </c>
      <c r="I32" s="631">
        <f>_xlfn.XLOOKUP($A32,Inputs!$A:$A,Inputs!I:I,,0)</f>
        <v>-1556</v>
      </c>
      <c r="J32" s="631">
        <f>_xlfn.XLOOKUP($A32,Inputs!$A:$A,Inputs!J:J,,0)</f>
        <v>-1525</v>
      </c>
      <c r="K32" s="631">
        <f>_xlfn.XLOOKUP($A32,Inputs!$A:$A,Inputs!K:K,,0)</f>
        <v>-1307</v>
      </c>
      <c r="L32" s="631">
        <f>_xlfn.XLOOKUP($A32,Inputs!$A:$A,Inputs!L:L,,0)</f>
        <v>-1070</v>
      </c>
      <c r="M32" s="632">
        <f>_xlfn.XLOOKUP($A32,Inputs!$A:$A,Inputs!M:M,,0)</f>
        <v>-1067</v>
      </c>
    </row>
    <row r="33" spans="1:13" x14ac:dyDescent="0.15">
      <c r="A33" s="630" t="s">
        <v>133</v>
      </c>
      <c r="B33" s="631">
        <f>_xlfn.XLOOKUP($A33,Inputs!$A:$A,Inputs!B:B,,0)</f>
        <v>-25674</v>
      </c>
      <c r="C33" s="631">
        <f>_xlfn.XLOOKUP($A33,Inputs!$A:$A,Inputs!C:C,,0)</f>
        <v>-7918</v>
      </c>
      <c r="D33" s="631">
        <f>_xlfn.XLOOKUP($A33,Inputs!$A:$A,Inputs!D:D,,0)</f>
        <v>-10481</v>
      </c>
      <c r="E33" s="631">
        <f>_xlfn.XLOOKUP($A33,Inputs!$A:$A,Inputs!E:E,,0)</f>
        <v>-10628</v>
      </c>
      <c r="F33" s="631">
        <f>_xlfn.XLOOKUP($A33,Inputs!$A:$A,Inputs!F:F,,0)</f>
        <v>-10322</v>
      </c>
      <c r="G33" s="631">
        <f>_xlfn.XLOOKUP($A33,Inputs!$A:$A,Inputs!G:G,,0)</f>
        <v>-6576</v>
      </c>
      <c r="H33" s="631">
        <f>_xlfn.XLOOKUP($A33,Inputs!$A:$A,Inputs!H:H,,0)</f>
        <v>-7650</v>
      </c>
      <c r="I33" s="631">
        <f>_xlfn.XLOOKUP($A33,Inputs!$A:$A,Inputs!I:I,,0)</f>
        <v>-16839</v>
      </c>
      <c r="J33" s="631">
        <f>_xlfn.XLOOKUP($A33,Inputs!$A:$A,Inputs!J:J,,0)</f>
        <v>-1009</v>
      </c>
      <c r="K33" s="631">
        <f>_xlfn.XLOOKUP($A33,Inputs!$A:$A,Inputs!K:K,,0)</f>
        <v>-1782</v>
      </c>
      <c r="L33" s="631">
        <f>_xlfn.XLOOKUP($A33,Inputs!$A:$A,Inputs!L:L,,0)</f>
        <v>-7579</v>
      </c>
      <c r="M33" s="632">
        <f>_xlfn.XLOOKUP($A33,Inputs!$A:$A,Inputs!M:M,,0)</f>
        <v>-3105</v>
      </c>
    </row>
    <row r="34" spans="1:13" x14ac:dyDescent="0.15">
      <c r="A34" s="633" t="s">
        <v>128</v>
      </c>
      <c r="B34" s="9">
        <f t="shared" ref="B34:M34" si="26">+B32+B33</f>
        <v>-28476</v>
      </c>
      <c r="C34" s="9">
        <f t="shared" si="26"/>
        <v>-10372</v>
      </c>
      <c r="D34" s="9">
        <f t="shared" si="26"/>
        <v>-12532</v>
      </c>
      <c r="E34" s="9">
        <f t="shared" si="26"/>
        <v>-12699</v>
      </c>
      <c r="F34" s="9">
        <f t="shared" si="26"/>
        <v>-12385</v>
      </c>
      <c r="G34" s="9">
        <f t="shared" si="26"/>
        <v>-8599</v>
      </c>
      <c r="H34" s="9">
        <f t="shared" si="26"/>
        <v>-9355</v>
      </c>
      <c r="I34" s="9">
        <f t="shared" si="26"/>
        <v>-18395</v>
      </c>
      <c r="J34" s="9">
        <f t="shared" si="26"/>
        <v>-2534</v>
      </c>
      <c r="K34" s="9">
        <f t="shared" si="26"/>
        <v>-3089</v>
      </c>
      <c r="L34" s="9">
        <f t="shared" si="26"/>
        <v>-8649</v>
      </c>
      <c r="M34" s="10">
        <f t="shared" si="26"/>
        <v>-4172</v>
      </c>
    </row>
    <row r="35" spans="1:13" x14ac:dyDescent="0.15">
      <c r="A35" s="630" t="s">
        <v>126</v>
      </c>
      <c r="B35" s="9">
        <f t="shared" ref="B35:M35" si="27">+B27+B28</f>
        <v>-11738</v>
      </c>
      <c r="C35" s="9">
        <f t="shared" si="27"/>
        <v>-8925</v>
      </c>
      <c r="D35" s="9">
        <f t="shared" si="27"/>
        <v>-7394</v>
      </c>
      <c r="E35" s="9">
        <f t="shared" si="27"/>
        <v>-8395</v>
      </c>
      <c r="F35" s="9">
        <f t="shared" si="27"/>
        <v>-6982</v>
      </c>
      <c r="G35" s="9">
        <f t="shared" si="27"/>
        <v>-3585</v>
      </c>
      <c r="H35" s="9">
        <f t="shared" si="27"/>
        <v>-3112</v>
      </c>
      <c r="I35" s="9">
        <f t="shared" si="27"/>
        <v>-2584</v>
      </c>
      <c r="J35" s="9">
        <f t="shared" si="27"/>
        <v>-4908</v>
      </c>
      <c r="K35" s="9">
        <f t="shared" si="27"/>
        <v>-3628</v>
      </c>
      <c r="L35" s="9">
        <f t="shared" si="27"/>
        <v>-2826</v>
      </c>
      <c r="M35" s="10">
        <f t="shared" si="27"/>
        <v>-3264</v>
      </c>
    </row>
    <row r="36" spans="1:13" x14ac:dyDescent="0.15">
      <c r="A36" s="634" t="s">
        <v>744</v>
      </c>
      <c r="B36" s="7">
        <f>-IFERROR(B35/B23,"-")</f>
        <v>0.56872910509230101</v>
      </c>
      <c r="C36" s="7">
        <f t="shared" ref="C36:F36" si="28">-IFERROR(C35/C23,"-")</f>
        <v>0.50332731784344686</v>
      </c>
      <c r="D36" s="7">
        <f t="shared" si="28"/>
        <v>0.46889466675122077</v>
      </c>
      <c r="E36" s="7">
        <f t="shared" si="28"/>
        <v>0.58957791979773866</v>
      </c>
      <c r="F36" s="7">
        <f t="shared" si="28"/>
        <v>0.56388305604910349</v>
      </c>
      <c r="G36" s="261">
        <f t="shared" ref="G36:L36" si="29">-IFERROR(G35/G23,"-")</f>
        <v>0.37254494440403202</v>
      </c>
      <c r="H36" s="7">
        <f t="shared" si="29"/>
        <v>0.43998303407323625</v>
      </c>
      <c r="I36" s="7">
        <f t="shared" si="29"/>
        <v>0.44035446489434221</v>
      </c>
      <c r="J36" s="261">
        <f t="shared" si="29"/>
        <v>0.87346502936465564</v>
      </c>
      <c r="K36" s="7">
        <f t="shared" si="29"/>
        <v>0.63952053587167279</v>
      </c>
      <c r="L36" s="7">
        <f t="shared" si="29"/>
        <v>0.51140065146579805</v>
      </c>
      <c r="M36" s="8">
        <f>IFERROR(M35/M23,"-")</f>
        <v>-0.63477246207701288</v>
      </c>
    </row>
    <row r="37" spans="1:13" x14ac:dyDescent="0.15">
      <c r="A37" s="351"/>
      <c r="B37" s="636"/>
      <c r="C37" s="636"/>
      <c r="D37" s="636"/>
      <c r="E37" s="636"/>
      <c r="F37" s="636"/>
      <c r="G37" s="636"/>
      <c r="H37" s="636"/>
      <c r="I37" s="636"/>
      <c r="J37" s="636"/>
      <c r="K37" s="636"/>
      <c r="L37" s="636"/>
      <c r="M37" s="636"/>
    </row>
    <row r="38" spans="1:13" ht="20.25" x14ac:dyDescent="0.25">
      <c r="A38" s="1270" t="s">
        <v>765</v>
      </c>
      <c r="B38" s="1270"/>
      <c r="C38" s="1270"/>
      <c r="D38" s="1270"/>
      <c r="E38" s="1270"/>
      <c r="F38" s="1270"/>
      <c r="G38" s="1270"/>
      <c r="H38" s="1270"/>
      <c r="I38" s="1270"/>
      <c r="J38" s="1270"/>
      <c r="K38" s="1270"/>
      <c r="L38" s="1270"/>
      <c r="M38" s="1270"/>
    </row>
    <row r="39" spans="1:13" x14ac:dyDescent="0.15">
      <c r="A39" s="637" t="s">
        <v>360</v>
      </c>
      <c r="B39" s="631">
        <f>_xlfn.XLOOKUP($A39,Inputs!$A:$A,Inputs!B:B,,0)</f>
        <v>27911</v>
      </c>
      <c r="C39" s="631">
        <f>_xlfn.XLOOKUP($A39,Inputs!$A:$A,Inputs!C:C,,0)</f>
        <v>23907</v>
      </c>
      <c r="D39" s="631">
        <f>_xlfn.XLOOKUP($A39,Inputs!$A:$A,Inputs!D:D,,0)</f>
        <v>19781</v>
      </c>
      <c r="E39" s="631">
        <f>_xlfn.XLOOKUP($A39,Inputs!$A:$A,Inputs!E:E,,0)</f>
        <v>14245</v>
      </c>
      <c r="F39" s="631">
        <f>_xlfn.XLOOKUP($A39,Inputs!$A:$A,Inputs!F:F,,0)</f>
        <v>14324</v>
      </c>
      <c r="G39" s="631">
        <f>_xlfn.XLOOKUP($A39,Inputs!$A:$A,Inputs!G:G,,0)</f>
        <v>15490</v>
      </c>
      <c r="H39" s="631">
        <f>_xlfn.XLOOKUP($A39,Inputs!$A:$A,Inputs!H:H,,0)</f>
        <v>13275</v>
      </c>
      <c r="I39" s="631">
        <f>_xlfn.XLOOKUP($A39,Inputs!$A:$A,Inputs!I:I,,0)</f>
        <v>12911</v>
      </c>
      <c r="J39" s="631">
        <f>_xlfn.XLOOKUP($A39,Inputs!$A:$A,Inputs!J:J,,0)</f>
        <v>9236</v>
      </c>
      <c r="K39" s="631">
        <f>_xlfn.XLOOKUP($A39,Inputs!$A:$A,Inputs!K:K,,0)</f>
        <v>9213</v>
      </c>
      <c r="L39" s="631">
        <f>_xlfn.XLOOKUP($A39,Inputs!$A:$A,Inputs!L:L,,0)</f>
        <v>11437</v>
      </c>
      <c r="M39" s="632">
        <f>_xlfn.XLOOKUP($A39,Inputs!$A:$A,Inputs!M:M,,0)</f>
        <v>12006</v>
      </c>
    </row>
    <row r="40" spans="1:13" x14ac:dyDescent="0.15">
      <c r="A40" s="633" t="s">
        <v>766</v>
      </c>
      <c r="B40" s="631">
        <f>_xlfn.XLOOKUP($A40,Inputs!$A:$A,Inputs!B:B,,0)</f>
        <v>30450</v>
      </c>
      <c r="C40" s="631">
        <f>_xlfn.XLOOKUP($A40,Inputs!$A:$A,Inputs!C:C,,0)</f>
        <v>28082</v>
      </c>
      <c r="D40" s="631">
        <f>_xlfn.XLOOKUP($A40,Inputs!$A:$A,Inputs!D:D,,0)</f>
        <v>25404</v>
      </c>
      <c r="E40" s="631">
        <f>_xlfn.XLOOKUP($A40,Inputs!$A:$A,Inputs!E:E,,0)</f>
        <v>21462</v>
      </c>
      <c r="F40" s="631">
        <f>_xlfn.XLOOKUP($A40,Inputs!$A:$A,Inputs!F:F,,0)</f>
        <v>18250</v>
      </c>
      <c r="G40" s="631">
        <f>_xlfn.XLOOKUP($A40,Inputs!$A:$A,Inputs!G:G,,0)</f>
        <v>15830</v>
      </c>
      <c r="H40" s="631">
        <f>_xlfn.XLOOKUP($A40,Inputs!$A:$A,Inputs!H:H,,0)</f>
        <v>15651</v>
      </c>
      <c r="I40" s="631">
        <f>_xlfn.XLOOKUP($A40,Inputs!$A:$A,Inputs!I:I,,0)</f>
        <v>13324</v>
      </c>
      <c r="J40" s="631">
        <f>_xlfn.XLOOKUP($A40,Inputs!$A:$A,Inputs!J:J,,0)</f>
        <v>9750</v>
      </c>
      <c r="K40" s="631">
        <f>_xlfn.XLOOKUP($A40,Inputs!$A:$A,Inputs!K:K,,0)</f>
        <v>7050</v>
      </c>
      <c r="L40" s="631">
        <f>_xlfn.XLOOKUP($A40,Inputs!$A:$A,Inputs!L:L,,0)</f>
        <v>5598</v>
      </c>
      <c r="M40" s="632">
        <f>_xlfn.XLOOKUP($A40,Inputs!$A:$A,Inputs!M:M,,0)</f>
        <v>4549</v>
      </c>
    </row>
    <row r="41" spans="1:13" x14ac:dyDescent="0.15">
      <c r="A41" s="637" t="s">
        <v>767</v>
      </c>
      <c r="B41" s="631">
        <v>24523</v>
      </c>
      <c r="C41" s="631">
        <v>23267</v>
      </c>
      <c r="D41" s="631">
        <v>23927</v>
      </c>
      <c r="E41" s="631">
        <v>19827</v>
      </c>
      <c r="F41" s="631">
        <v>16438</v>
      </c>
      <c r="G41" s="631">
        <v>15535</v>
      </c>
      <c r="H41" s="631">
        <v>15297</v>
      </c>
      <c r="I41" s="631">
        <v>14183</v>
      </c>
      <c r="J41" s="631">
        <v>11809</v>
      </c>
      <c r="K41" s="631">
        <v>10052</v>
      </c>
      <c r="L41" s="631">
        <v>-26749</v>
      </c>
      <c r="M41" s="632">
        <v>-27485</v>
      </c>
    </row>
    <row r="42" spans="1:13" x14ac:dyDescent="0.15">
      <c r="A42" s="633" t="s">
        <v>768</v>
      </c>
      <c r="B42" s="631">
        <f>_xlfn.XLOOKUP($A42,Inputs!$A:$A,Inputs!B:B,,0)</f>
        <v>10128</v>
      </c>
      <c r="C42" s="631">
        <f>_xlfn.XLOOKUP($A42,Inputs!$A:$A,Inputs!C:C,,0)</f>
        <v>8969</v>
      </c>
      <c r="D42" s="631">
        <f>_xlfn.XLOOKUP($A42,Inputs!$A:$A,Inputs!D:D,,0)</f>
        <v>8626</v>
      </c>
      <c r="E42" s="631">
        <f>_xlfn.XLOOKUP($A42,Inputs!$A:$A,Inputs!E:E,,0)</f>
        <v>8704</v>
      </c>
      <c r="F42" s="631">
        <f>_xlfn.XLOOKUP($A42,Inputs!$A:$A,Inputs!F:F,,0)</f>
        <v>8458</v>
      </c>
      <c r="G42" s="631">
        <f>_xlfn.XLOOKUP($A42,Inputs!$A:$A,Inputs!G:G,,0)</f>
        <v>7013</v>
      </c>
      <c r="H42" s="631">
        <f>_xlfn.XLOOKUP($A42,Inputs!$A:$A,Inputs!H:H,,0)</f>
        <v>5901</v>
      </c>
      <c r="I42" s="631">
        <f>_xlfn.XLOOKUP($A42,Inputs!$A:$A,Inputs!I:I,,0)</f>
        <v>4861</v>
      </c>
      <c r="J42" s="631">
        <f>_xlfn.XLOOKUP($A42,Inputs!$A:$A,Inputs!J:J,,0)</f>
        <v>4418</v>
      </c>
      <c r="K42" s="631">
        <f>_xlfn.XLOOKUP($A42,Inputs!$A:$A,Inputs!K:K,,0)</f>
        <v>4010</v>
      </c>
      <c r="L42" s="631">
        <f>_xlfn.XLOOKUP($A42,Inputs!$A:$A,Inputs!L:L,,0)</f>
        <v>3939</v>
      </c>
      <c r="M42" s="632">
        <f>_xlfn.XLOOKUP($A42,Inputs!$A:$A,Inputs!M:M,,0)</f>
        <v>2515</v>
      </c>
    </row>
    <row r="43" spans="1:13" x14ac:dyDescent="0.15">
      <c r="A43" s="637" t="s">
        <v>769</v>
      </c>
      <c r="B43" s="631">
        <f>_xlfn.XLOOKUP($A43,Inputs!$A:$A,Inputs!B:B,,0)</f>
        <v>129988</v>
      </c>
      <c r="C43" s="631">
        <f>_xlfn.XLOOKUP($A43,Inputs!$A:$A,Inputs!C:C,,0)</f>
        <v>105234</v>
      </c>
      <c r="D43" s="631">
        <f>_xlfn.XLOOKUP($A43,Inputs!$A:$A,Inputs!D:D,,0)</f>
        <v>102236</v>
      </c>
      <c r="E43" s="631">
        <f>_xlfn.XLOOKUP($A43,Inputs!$A:$A,Inputs!E:E,,0)</f>
        <v>92269</v>
      </c>
      <c r="F43" s="631">
        <f>_xlfn.XLOOKUP($A43,Inputs!$A:$A,Inputs!F:F,,0)</f>
        <v>78679</v>
      </c>
      <c r="G43" s="631">
        <f>_xlfn.XLOOKUP($A43,Inputs!$A:$A,Inputs!G:G,,0)</f>
        <v>72384</v>
      </c>
      <c r="H43" s="631">
        <f>_xlfn.XLOOKUP($A43,Inputs!$A:$A,Inputs!H:H,,0)</f>
        <v>64115</v>
      </c>
      <c r="I43" s="631">
        <f>_xlfn.XLOOKUP($A43,Inputs!$A:$A,Inputs!I:I,,0)</f>
        <v>61366</v>
      </c>
      <c r="J43" s="631">
        <f>_xlfn.XLOOKUP($A43,Inputs!$A:$A,Inputs!J:J,,0)</f>
        <v>44151</v>
      </c>
      <c r="K43" s="631">
        <f>_xlfn.XLOOKUP($A43,Inputs!$A:$A,Inputs!K:K,,0)</f>
        <v>42004</v>
      </c>
      <c r="L43" s="631">
        <f>_xlfn.XLOOKUP($A43,Inputs!$A:$A,Inputs!L:L,,0)</f>
        <v>42200</v>
      </c>
      <c r="M43" s="632">
        <f>_xlfn.XLOOKUP($A43,Inputs!$A:$A,Inputs!M:M,,0)</f>
        <v>32653</v>
      </c>
    </row>
    <row r="44" spans="1:13" x14ac:dyDescent="0.15">
      <c r="A44" s="638" t="s">
        <v>40</v>
      </c>
      <c r="B44" s="11">
        <f>_xlfn.XLOOKUP($A44,Inputs!$A:$A,Inputs!B:B,,0)</f>
        <v>245705</v>
      </c>
      <c r="C44" s="11">
        <f>_xlfn.XLOOKUP($A44,Inputs!$A:$A,Inputs!C:C,,0)</f>
        <v>212206</v>
      </c>
      <c r="D44" s="11">
        <f>_xlfn.XLOOKUP($A44,Inputs!$A:$A,Inputs!D:D,,0)</f>
        <v>197289</v>
      </c>
      <c r="E44" s="11">
        <f>_xlfn.XLOOKUP($A44,Inputs!$A:$A,Inputs!E:E,,0)</f>
        <v>173889</v>
      </c>
      <c r="F44" s="11">
        <f>_xlfn.XLOOKUP($A44,Inputs!$A:$A,Inputs!F:F,,0)</f>
        <v>152221</v>
      </c>
      <c r="G44" s="11">
        <f>_xlfn.XLOOKUP($A44,Inputs!$A:$A,Inputs!G:G,,0)</f>
        <v>139058</v>
      </c>
      <c r="H44" s="11">
        <f>_xlfn.XLOOKUP($A44,Inputs!$A:$A,Inputs!H:H,,0)</f>
        <v>122810</v>
      </c>
      <c r="I44" s="11">
        <f>_xlfn.XLOOKUP($A44,Inputs!$A:$A,Inputs!I:I,,0)</f>
        <v>111254</v>
      </c>
      <c r="J44" s="11">
        <f>_xlfn.XLOOKUP($A44,Inputs!$A:$A,Inputs!J:J,,0)</f>
        <v>86382</v>
      </c>
      <c r="K44" s="11">
        <f>_xlfn.XLOOKUP($A44,Inputs!$A:$A,Inputs!K:K,,0)</f>
        <v>81882</v>
      </c>
      <c r="L44" s="11">
        <f>_xlfn.XLOOKUP($A44,Inputs!$A:$A,Inputs!L:L,,0)</f>
        <v>80885</v>
      </c>
      <c r="M44" s="11">
        <f>_xlfn.XLOOKUP($A44,Inputs!$A:$A,Inputs!M:M,,0)</f>
        <v>67889</v>
      </c>
    </row>
    <row r="45" spans="1:13" x14ac:dyDescent="0.15">
      <c r="B45" s="188"/>
      <c r="C45" s="188"/>
      <c r="D45" s="188"/>
      <c r="E45" s="188"/>
      <c r="F45" s="188"/>
      <c r="G45" s="188"/>
      <c r="H45" s="188"/>
      <c r="I45" s="188"/>
      <c r="J45" s="188"/>
      <c r="K45" s="188"/>
      <c r="L45" s="188"/>
      <c r="M45" s="188"/>
    </row>
    <row r="46" spans="1:13" x14ac:dyDescent="0.15">
      <c r="B46" s="188"/>
      <c r="C46" s="188"/>
      <c r="D46" s="188"/>
      <c r="E46" s="188"/>
      <c r="F46" s="188"/>
      <c r="G46" s="188"/>
      <c r="H46" s="188"/>
      <c r="I46" s="188"/>
      <c r="J46" s="188"/>
      <c r="K46" s="188"/>
      <c r="L46" s="188"/>
      <c r="M46" s="188"/>
    </row>
    <row r="47" spans="1:13" ht="20.25" x14ac:dyDescent="0.25">
      <c r="A47" s="1270" t="s">
        <v>770</v>
      </c>
      <c r="B47" s="1270"/>
      <c r="C47" s="1270"/>
      <c r="D47" s="1270"/>
      <c r="E47" s="1270"/>
      <c r="F47" s="1270"/>
      <c r="G47" s="1270"/>
      <c r="H47" s="1270"/>
      <c r="I47" s="1270"/>
      <c r="J47" s="1270"/>
      <c r="K47" s="1270"/>
      <c r="L47" s="1270"/>
      <c r="M47" s="1270"/>
    </row>
    <row r="48" spans="1:13" x14ac:dyDescent="0.15">
      <c r="A48" s="639" t="s">
        <v>366</v>
      </c>
      <c r="B48" s="11">
        <f>_xlfn.XLOOKUP($A48,Inputs!$A:$A,Inputs!B:B,,0)</f>
        <v>89237</v>
      </c>
      <c r="C48" s="11">
        <f>_xlfn.XLOOKUP($A48,Inputs!$A:$A,Inputs!C:C,,0)</f>
        <v>78292</v>
      </c>
      <c r="D48" s="11">
        <f>_xlfn.XLOOKUP($A48,Inputs!$A:$A,Inputs!D:D,,0)</f>
        <v>72420</v>
      </c>
      <c r="E48" s="11">
        <f>_xlfn.XLOOKUP($A48,Inputs!$A:$A,Inputs!E:E,,0)</f>
        <v>61782</v>
      </c>
      <c r="F48" s="11">
        <f>_xlfn.XLOOKUP($A48,Inputs!$A:$A,Inputs!F:F,,0)</f>
        <v>53209</v>
      </c>
      <c r="G48" s="11">
        <f>_xlfn.XLOOKUP($A48,Inputs!$A:$A,Inputs!G:G,,0)</f>
        <v>50463</v>
      </c>
      <c r="H48" s="11">
        <f>_xlfn.XLOOKUP($A48,Inputs!$A:$A,Inputs!H:H,,0)</f>
        <v>49252</v>
      </c>
      <c r="I48" s="11">
        <f>_xlfn.XLOOKUP($A48,Inputs!$A:$A,Inputs!I:I,,0)</f>
        <v>42898</v>
      </c>
      <c r="J48" s="11">
        <f>_xlfn.XLOOKUP($A48,Inputs!$A:$A,Inputs!J:J,,0)</f>
        <v>30623</v>
      </c>
      <c r="K48" s="11">
        <f>_xlfn.XLOOKUP($A48,Inputs!$A:$A,Inputs!K:K,,0)</f>
        <v>27881</v>
      </c>
      <c r="L48" s="11">
        <f>_xlfn.XLOOKUP($A48,Inputs!$A:$A,Inputs!L:L,,0)</f>
        <v>27116</v>
      </c>
      <c r="M48" s="11">
        <f>_xlfn.XLOOKUP($A48,Inputs!$A:$A,Inputs!M:M,,0)</f>
        <v>23922</v>
      </c>
    </row>
    <row r="49" spans="1:13" x14ac:dyDescent="0.15">
      <c r="A49" s="640" t="s">
        <v>771</v>
      </c>
      <c r="B49" s="631">
        <f>_xlfn.XLOOKUP($A49,Inputs!$A:$A,Inputs!B:B,,0)</f>
        <v>6185</v>
      </c>
      <c r="C49" s="631">
        <f>_xlfn.XLOOKUP($A49,Inputs!$A:$A,Inputs!C:C,,0)</f>
        <v>6191</v>
      </c>
      <c r="D49" s="631">
        <f>_xlfn.XLOOKUP($A49,Inputs!$A:$A,Inputs!D:D,,0)</f>
        <v>7661</v>
      </c>
      <c r="E49" s="631">
        <f>_xlfn.XLOOKUP($A49,Inputs!$A:$A,Inputs!E:E,,0)</f>
        <v>6492</v>
      </c>
      <c r="F49" s="631">
        <f>_xlfn.XLOOKUP($A49,Inputs!$A:$A,Inputs!F:F,,0)</f>
        <v>4369</v>
      </c>
      <c r="G49" s="631">
        <f>_xlfn.XLOOKUP($A49,Inputs!$A:$A,Inputs!G:G,,0)</f>
        <v>5126</v>
      </c>
      <c r="H49" s="631">
        <f>_xlfn.XLOOKUP($A49,Inputs!$A:$A,Inputs!H:H,,0)</f>
        <v>9161</v>
      </c>
      <c r="I49" s="631">
        <f>_xlfn.XLOOKUP($A49,Inputs!$A:$A,Inputs!I:I,,0)</f>
        <v>8776</v>
      </c>
      <c r="J49" s="631">
        <f>_xlfn.XLOOKUP($A49,Inputs!$A:$A,Inputs!J:J,,0)</f>
        <v>3371</v>
      </c>
      <c r="K49" s="631">
        <f>_xlfn.XLOOKUP($A49,Inputs!$A:$A,Inputs!K:K,,0)</f>
        <v>3569</v>
      </c>
      <c r="L49" s="631">
        <f>_xlfn.XLOOKUP($A49,Inputs!$A:$A,Inputs!L:L,,0)</f>
        <v>4218</v>
      </c>
      <c r="M49" s="631">
        <f>_xlfn.XLOOKUP($A49,Inputs!$A:$A,Inputs!M:M,,0)</f>
        <v>2207</v>
      </c>
    </row>
    <row r="50" spans="1:13" x14ac:dyDescent="0.15">
      <c r="A50" s="630" t="s">
        <v>772</v>
      </c>
      <c r="B50" s="631">
        <f>_xlfn.XLOOKUP($A50,Inputs!$A:$A,Inputs!B:B,,0)</f>
        <v>0</v>
      </c>
      <c r="C50" s="631">
        <f>_xlfn.XLOOKUP($A50,Inputs!$A:$A,Inputs!C:C,,0)</f>
        <v>0</v>
      </c>
      <c r="D50" s="631">
        <f>_xlfn.XLOOKUP($A50,Inputs!$A:$A,Inputs!D:D,,0)</f>
        <v>0</v>
      </c>
      <c r="E50" s="631">
        <f>_xlfn.XLOOKUP($A50,Inputs!$A:$A,Inputs!E:E,,0)</f>
        <v>0</v>
      </c>
      <c r="F50" s="631">
        <f>_xlfn.XLOOKUP($A50,Inputs!$A:$A,Inputs!F:F,,0)</f>
        <v>0</v>
      </c>
      <c r="G50" s="631">
        <f>_xlfn.XLOOKUP($A50,Inputs!$A:$A,Inputs!G:G,,0)</f>
        <v>0</v>
      </c>
      <c r="H50" s="631">
        <f>_xlfn.XLOOKUP($A50,Inputs!$A:$A,Inputs!H:H,,0)</f>
        <v>0</v>
      </c>
      <c r="I50" s="631">
        <f>_xlfn.XLOOKUP($A50,Inputs!$A:$A,Inputs!I:I,,0)</f>
        <v>0</v>
      </c>
      <c r="J50" s="631">
        <f>_xlfn.XLOOKUP($A50,Inputs!$A:$A,Inputs!J:J,,0)</f>
        <v>0</v>
      </c>
      <c r="K50" s="631">
        <f>_xlfn.XLOOKUP($A50,Inputs!$A:$A,Inputs!K:K,,0)</f>
        <v>0</v>
      </c>
      <c r="L50" s="631">
        <f>_xlfn.XLOOKUP($A50,Inputs!$A:$A,Inputs!L:L,,0)</f>
        <v>0</v>
      </c>
      <c r="M50" s="631">
        <f>_xlfn.XLOOKUP($A50,Inputs!$A:$A,Inputs!M:M,,0)</f>
        <v>0</v>
      </c>
    </row>
    <row r="51" spans="1:13" x14ac:dyDescent="0.15">
      <c r="A51" s="633" t="s">
        <v>773</v>
      </c>
      <c r="B51" s="631">
        <f>_xlfn.XLOOKUP($A51,Inputs!$A:$A,Inputs!B:B,,0)</f>
        <v>26281</v>
      </c>
      <c r="C51" s="631">
        <f>_xlfn.XLOOKUP($A51,Inputs!$A:$A,Inputs!C:C,,0)</f>
        <v>22975</v>
      </c>
      <c r="D51" s="631">
        <f>_xlfn.XLOOKUP($A51,Inputs!$A:$A,Inputs!D:D,,0)</f>
        <v>20392</v>
      </c>
      <c r="E51" s="631">
        <f>_xlfn.XLOOKUP($A51,Inputs!$A:$A,Inputs!E:E,,0)</f>
        <v>14595</v>
      </c>
      <c r="F51" s="631">
        <f>_xlfn.XLOOKUP($A51,Inputs!$A:$A,Inputs!F:F,,0)</f>
        <v>12244</v>
      </c>
      <c r="G51" s="631">
        <f>_xlfn.XLOOKUP($A51,Inputs!$A:$A,Inputs!G:G,,0)</f>
        <v>12286</v>
      </c>
      <c r="H51" s="631">
        <f>_xlfn.XLOOKUP($A51,Inputs!$A:$A,Inputs!H:H,,0)</f>
        <v>10339</v>
      </c>
      <c r="I51" s="631">
        <f>_xlfn.XLOOKUP($A51,Inputs!$A:$A,Inputs!I:I,,0)</f>
        <v>7798</v>
      </c>
      <c r="J51" s="631">
        <f>_xlfn.XLOOKUP($A51,Inputs!$A:$A,Inputs!J:J,,0)</f>
        <v>5965</v>
      </c>
      <c r="K51" s="631">
        <f>_xlfn.XLOOKUP($A51,Inputs!$A:$A,Inputs!K:K,,0)</f>
        <v>5279</v>
      </c>
      <c r="L51" s="631">
        <f>_xlfn.XLOOKUP($A51,Inputs!$A:$A,Inputs!L:L,,0)</f>
        <v>4910</v>
      </c>
      <c r="M51" s="631">
        <f>_xlfn.XLOOKUP($A51,Inputs!$A:$A,Inputs!M:M,,0)</f>
        <v>5063</v>
      </c>
    </row>
    <row r="52" spans="1:13" x14ac:dyDescent="0.15">
      <c r="A52" s="639" t="s">
        <v>774</v>
      </c>
      <c r="B52" s="11">
        <f>_xlfn.XLOOKUP($A52,Inputs!$A:$A,Inputs!B:B,,0)</f>
        <v>70121</v>
      </c>
      <c r="C52" s="11">
        <f>_xlfn.XLOOKUP($A52,Inputs!$A:$A,Inputs!C:C,,0)</f>
        <v>57435</v>
      </c>
      <c r="D52" s="11">
        <f>_xlfn.XLOOKUP($A52,Inputs!$A:$A,Inputs!D:D,,0)</f>
        <v>54330</v>
      </c>
      <c r="E52" s="11">
        <f>_xlfn.XLOOKUP($A52,Inputs!$A:$A,Inputs!E:E,,0)</f>
        <v>49945</v>
      </c>
      <c r="F52" s="11">
        <f>_xlfn.XLOOKUP($A52,Inputs!$A:$A,Inputs!F:F,,0)</f>
        <v>42785</v>
      </c>
      <c r="G52" s="11">
        <f>_xlfn.XLOOKUP($A52,Inputs!$A:$A,Inputs!G:G,,0)</f>
        <v>36573</v>
      </c>
      <c r="H52" s="11">
        <f>_xlfn.XLOOKUP($A52,Inputs!$A:$A,Inputs!H:H,,0)</f>
        <v>33369</v>
      </c>
      <c r="I52" s="11">
        <f>_xlfn.XLOOKUP($A52,Inputs!$A:$A,Inputs!I:I,,0)</f>
        <v>32895</v>
      </c>
      <c r="J52" s="11">
        <f>_xlfn.XLOOKUP($A52,Inputs!$A:$A,Inputs!J:J,,0)</f>
        <v>21917</v>
      </c>
      <c r="K52" s="11">
        <f>_xlfn.XLOOKUP($A52,Inputs!$A:$A,Inputs!K:K,,0)</f>
        <v>20677</v>
      </c>
      <c r="L52" s="11">
        <f>_xlfn.XLOOKUP($A52,Inputs!$A:$A,Inputs!L:L,,0)</f>
        <v>20470</v>
      </c>
      <c r="M52" s="11">
        <f>_xlfn.XLOOKUP($A52,Inputs!$A:$A,Inputs!M:M,,0)</f>
        <v>15675</v>
      </c>
    </row>
    <row r="53" spans="1:13" x14ac:dyDescent="0.15">
      <c r="A53" s="640" t="s">
        <v>775</v>
      </c>
      <c r="B53" s="631">
        <f>_xlfn.XLOOKUP($A53,Inputs!$A:$A,Inputs!B:B,,0)</f>
        <v>57282</v>
      </c>
      <c r="C53" s="631">
        <f>_xlfn.XLOOKUP($A53,Inputs!$A:$A,Inputs!C:C,,0)</f>
        <v>45648</v>
      </c>
      <c r="D53" s="631">
        <f>_xlfn.XLOOKUP($A53,Inputs!$A:$A,Inputs!D:D,,0)</f>
        <v>42015</v>
      </c>
      <c r="E53" s="631">
        <f>_xlfn.XLOOKUP($A53,Inputs!$A:$A,Inputs!E:E,,0)</f>
        <v>39801</v>
      </c>
      <c r="F53" s="631">
        <f>_xlfn.XLOOKUP($A53,Inputs!$A:$A,Inputs!F:F,,0)</f>
        <v>37055</v>
      </c>
      <c r="G53" s="631">
        <f>_xlfn.XLOOKUP($A53,Inputs!$A:$A,Inputs!G:G,,0)</f>
        <v>31017</v>
      </c>
      <c r="H53" s="631">
        <f>_xlfn.XLOOKUP($A53,Inputs!$A:$A,Inputs!H:H,,0)</f>
        <v>31062</v>
      </c>
      <c r="I53" s="631">
        <f>_xlfn.XLOOKUP($A53,Inputs!$A:$A,Inputs!I:I,,0)</f>
        <v>31414</v>
      </c>
      <c r="J53" s="631">
        <f>_xlfn.XLOOKUP($A53,Inputs!$A:$A,Inputs!J:J,,0)</f>
        <v>20560</v>
      </c>
      <c r="K53" s="631">
        <f>_xlfn.XLOOKUP($A53,Inputs!$A:$A,Inputs!K:K,,0)</f>
        <v>19152</v>
      </c>
      <c r="L53" s="631">
        <f>_xlfn.XLOOKUP($A53,Inputs!$A:$A,Inputs!L:L,,0)</f>
        <v>18935</v>
      </c>
      <c r="M53" s="631">
        <f>_xlfn.XLOOKUP($A53,Inputs!$A:$A,Inputs!M:M,,0)</f>
        <v>14452</v>
      </c>
    </row>
    <row r="54" spans="1:13" x14ac:dyDescent="0.15">
      <c r="A54" s="630" t="s">
        <v>776</v>
      </c>
      <c r="B54" s="631">
        <f>_xlfn.XLOOKUP($A54,Inputs!$A:$A,Inputs!B:B,,0)</f>
        <v>0</v>
      </c>
      <c r="C54" s="631">
        <f>_xlfn.XLOOKUP($A54,Inputs!$A:$A,Inputs!C:C,,0)</f>
        <v>0</v>
      </c>
      <c r="D54" s="631">
        <f>_xlfn.XLOOKUP($A54,Inputs!$A:$A,Inputs!D:D,,0)</f>
        <v>0</v>
      </c>
      <c r="E54" s="631">
        <f>_xlfn.XLOOKUP($A54,Inputs!$A:$A,Inputs!E:E,,0)</f>
        <v>0</v>
      </c>
      <c r="F54" s="631">
        <f>_xlfn.XLOOKUP($A54,Inputs!$A:$A,Inputs!F:F,,0)</f>
        <v>0</v>
      </c>
      <c r="G54" s="631">
        <f>_xlfn.XLOOKUP($A54,Inputs!$A:$A,Inputs!G:G,,0)</f>
        <v>0</v>
      </c>
      <c r="H54" s="631">
        <f>_xlfn.XLOOKUP($A54,Inputs!$A:$A,Inputs!H:H,,0)</f>
        <v>0</v>
      </c>
      <c r="I54" s="631">
        <f>_xlfn.XLOOKUP($A54,Inputs!$A:$A,Inputs!I:I,,0)</f>
        <v>0</v>
      </c>
      <c r="J54" s="631">
        <f>_xlfn.XLOOKUP($A54,Inputs!$A:$A,Inputs!J:J,,0)</f>
        <v>0</v>
      </c>
      <c r="K54" s="631">
        <f>_xlfn.XLOOKUP($A54,Inputs!$A:$A,Inputs!K:K,,0)</f>
        <v>0</v>
      </c>
      <c r="L54" s="631">
        <f>_xlfn.XLOOKUP($A54,Inputs!$A:$A,Inputs!L:L,,0)</f>
        <v>0</v>
      </c>
      <c r="M54" s="631">
        <f>_xlfn.XLOOKUP($A54,Inputs!$A:$A,Inputs!M:M,,0)</f>
        <v>0</v>
      </c>
    </row>
    <row r="55" spans="1:13" x14ac:dyDescent="0.15">
      <c r="A55" s="633" t="s">
        <v>777</v>
      </c>
      <c r="B55" s="631">
        <f>_xlfn.XLOOKUP($A55,Inputs!$A:$A,Inputs!B:B,,0)</f>
        <v>12839</v>
      </c>
      <c r="C55" s="631">
        <f>_xlfn.XLOOKUP($A55,Inputs!$A:$A,Inputs!C:C,,0)</f>
        <v>11787</v>
      </c>
      <c r="D55" s="631">
        <f>_xlfn.XLOOKUP($A55,Inputs!$A:$A,Inputs!D:D,,0)</f>
        <v>12315</v>
      </c>
      <c r="E55" s="631">
        <f>_xlfn.XLOOKUP($A55,Inputs!$A:$A,Inputs!E:E,,0)</f>
        <v>10144</v>
      </c>
      <c r="F55" s="631">
        <f>_xlfn.XLOOKUP($A55,Inputs!$A:$A,Inputs!F:F,,0)</f>
        <v>5730</v>
      </c>
      <c r="G55" s="631">
        <f>_xlfn.XLOOKUP($A55,Inputs!$A:$A,Inputs!G:G,,0)</f>
        <v>5556</v>
      </c>
      <c r="H55" s="631">
        <f>_xlfn.XLOOKUP($A55,Inputs!$A:$A,Inputs!H:H,,0)</f>
        <v>2307</v>
      </c>
      <c r="I55" s="631">
        <f>_xlfn.XLOOKUP($A55,Inputs!$A:$A,Inputs!I:I,,0)</f>
        <v>1481</v>
      </c>
      <c r="J55" s="631">
        <f>_xlfn.XLOOKUP($A55,Inputs!$A:$A,Inputs!J:J,,0)</f>
        <v>1357</v>
      </c>
      <c r="K55" s="631">
        <f>_xlfn.XLOOKUP($A55,Inputs!$A:$A,Inputs!K:K,,0)</f>
        <v>1525</v>
      </c>
      <c r="L55" s="631">
        <f>_xlfn.XLOOKUP($A55,Inputs!$A:$A,Inputs!L:L,,0)</f>
        <v>1535</v>
      </c>
      <c r="M55" s="631">
        <f>_xlfn.XLOOKUP($A55,Inputs!$A:$A,Inputs!M:M,,0)</f>
        <v>1223</v>
      </c>
    </row>
    <row r="56" spans="1:13" x14ac:dyDescent="0.15">
      <c r="A56" s="639" t="s">
        <v>46</v>
      </c>
      <c r="B56" s="11">
        <f>_xlfn.XLOOKUP($A56,Inputs!$A:$A,Inputs!B:B,,0)</f>
        <v>159358</v>
      </c>
      <c r="C56" s="11">
        <f>_xlfn.XLOOKUP($A56,Inputs!$A:$A,Inputs!C:C,,0)</f>
        <v>135727</v>
      </c>
      <c r="D56" s="11">
        <f>_xlfn.XLOOKUP($A56,Inputs!$A:$A,Inputs!D:D,,0)</f>
        <v>126750</v>
      </c>
      <c r="E56" s="11">
        <f>_xlfn.XLOOKUP($A56,Inputs!$A:$A,Inputs!E:E,,0)</f>
        <v>111727</v>
      </c>
      <c r="F56" s="11">
        <f>_xlfn.XLOOKUP($A56,Inputs!$A:$A,Inputs!F:F,,0)</f>
        <v>95994</v>
      </c>
      <c r="G56" s="11">
        <f>_xlfn.XLOOKUP($A56,Inputs!$A:$A,Inputs!G:G,,0)</f>
        <v>87036</v>
      </c>
      <c r="H56" s="11">
        <f>_xlfn.XLOOKUP($A56,Inputs!$A:$A,Inputs!H:H,,0)</f>
        <v>82621</v>
      </c>
      <c r="I56" s="11">
        <f>_xlfn.XLOOKUP($A56,Inputs!$A:$A,Inputs!I:I,,0)</f>
        <v>75793</v>
      </c>
      <c r="J56" s="11">
        <f>_xlfn.XLOOKUP($A56,Inputs!$A:$A,Inputs!J:J,,0)</f>
        <v>52540</v>
      </c>
      <c r="K56" s="11">
        <f>_xlfn.XLOOKUP($A56,Inputs!$A:$A,Inputs!K:K,,0)</f>
        <v>48558</v>
      </c>
      <c r="L56" s="11">
        <f>_xlfn.XLOOKUP($A56,Inputs!$A:$A,Inputs!L:L,,0)</f>
        <v>47586</v>
      </c>
      <c r="M56" s="11">
        <f>_xlfn.XLOOKUP($A56,Inputs!$A:$A,Inputs!M:M,,0)</f>
        <v>39597</v>
      </c>
    </row>
    <row r="57" spans="1:13" x14ac:dyDescent="0.15">
      <c r="B57" s="188"/>
      <c r="C57" s="188"/>
      <c r="D57" s="188"/>
      <c r="E57" s="188"/>
      <c r="F57" s="188"/>
      <c r="G57" s="188"/>
      <c r="H57" s="188"/>
      <c r="I57" s="188"/>
      <c r="J57" s="188"/>
      <c r="K57" s="188"/>
      <c r="L57" s="188"/>
      <c r="M57" s="188"/>
    </row>
    <row r="58" spans="1:13" x14ac:dyDescent="0.15">
      <c r="A58" s="639" t="s">
        <v>367</v>
      </c>
      <c r="B58" s="11">
        <f>B49+B53+B50+B54</f>
        <v>63467</v>
      </c>
      <c r="C58" s="11">
        <f t="shared" ref="C58:M58" si="30">C49+C53+C50+C54</f>
        <v>51839</v>
      </c>
      <c r="D58" s="11">
        <f t="shared" si="30"/>
        <v>49676</v>
      </c>
      <c r="E58" s="11">
        <f t="shared" si="30"/>
        <v>46293</v>
      </c>
      <c r="F58" s="11">
        <f t="shared" si="30"/>
        <v>41424</v>
      </c>
      <c r="G58" s="11">
        <f t="shared" si="30"/>
        <v>36143</v>
      </c>
      <c r="H58" s="11">
        <f t="shared" si="30"/>
        <v>40223</v>
      </c>
      <c r="I58" s="11">
        <f t="shared" si="30"/>
        <v>40190</v>
      </c>
      <c r="J58" s="11">
        <f t="shared" si="30"/>
        <v>23931</v>
      </c>
      <c r="K58" s="11">
        <f t="shared" si="30"/>
        <v>22721</v>
      </c>
      <c r="L58" s="11">
        <f t="shared" si="30"/>
        <v>23153</v>
      </c>
      <c r="M58" s="11">
        <f t="shared" si="30"/>
        <v>16659</v>
      </c>
    </row>
    <row r="59" spans="1:13" x14ac:dyDescent="0.15">
      <c r="A59" s="640" t="s">
        <v>68</v>
      </c>
      <c r="B59" s="7">
        <f>IFERROR(B58/B44,"-")</f>
        <v>0.25830569178486396</v>
      </c>
      <c r="C59" s="7">
        <f t="shared" ref="C59:M59" si="31">IFERROR(C58/C44,"-")</f>
        <v>0.24428621245393628</v>
      </c>
      <c r="D59" s="7">
        <f t="shared" si="31"/>
        <v>0.25179305485860842</v>
      </c>
      <c r="E59" s="7">
        <f t="shared" si="31"/>
        <v>0.26622155512999673</v>
      </c>
      <c r="F59" s="7">
        <f t="shared" si="31"/>
        <v>0.27213065214392235</v>
      </c>
      <c r="G59" s="7">
        <f t="shared" si="31"/>
        <v>0.25991312977318815</v>
      </c>
      <c r="H59" s="7">
        <f t="shared" si="31"/>
        <v>0.32752218874684474</v>
      </c>
      <c r="I59" s="7">
        <f t="shared" si="31"/>
        <v>0.361245438366261</v>
      </c>
      <c r="J59" s="7">
        <f t="shared" si="31"/>
        <v>0.27703688268389248</v>
      </c>
      <c r="K59" s="7">
        <f t="shared" si="31"/>
        <v>0.27748467306611951</v>
      </c>
      <c r="L59" s="7">
        <f t="shared" si="31"/>
        <v>0.28624590467948324</v>
      </c>
      <c r="M59" s="7">
        <f t="shared" si="31"/>
        <v>0.24538585043232336</v>
      </c>
    </row>
    <row r="60" spans="1:13" x14ac:dyDescent="0.15">
      <c r="A60" s="639" t="s">
        <v>778</v>
      </c>
      <c r="B60" s="11">
        <f>B58-B39</f>
        <v>35556</v>
      </c>
      <c r="C60" s="11">
        <f t="shared" ref="C60:M60" si="32">C58-C39</f>
        <v>27932</v>
      </c>
      <c r="D60" s="11">
        <f t="shared" si="32"/>
        <v>29895</v>
      </c>
      <c r="E60" s="11">
        <f t="shared" si="32"/>
        <v>32048</v>
      </c>
      <c r="F60" s="11">
        <f t="shared" si="32"/>
        <v>27100</v>
      </c>
      <c r="G60" s="11">
        <f t="shared" si="32"/>
        <v>20653</v>
      </c>
      <c r="H60" s="11">
        <f t="shared" si="32"/>
        <v>26948</v>
      </c>
      <c r="I60" s="11">
        <f t="shared" si="32"/>
        <v>27279</v>
      </c>
      <c r="J60" s="11">
        <f t="shared" si="32"/>
        <v>14695</v>
      </c>
      <c r="K60" s="11">
        <f t="shared" si="32"/>
        <v>13508</v>
      </c>
      <c r="L60" s="11">
        <f t="shared" si="32"/>
        <v>11716</v>
      </c>
      <c r="M60" s="11">
        <f t="shared" si="32"/>
        <v>4653</v>
      </c>
    </row>
    <row r="61" spans="1:13" x14ac:dyDescent="0.15">
      <c r="B61" s="188"/>
      <c r="C61" s="188"/>
      <c r="D61" s="188"/>
      <c r="E61" s="188"/>
      <c r="F61" s="188"/>
      <c r="G61" s="188"/>
      <c r="H61" s="188"/>
      <c r="I61" s="188"/>
      <c r="J61" s="188"/>
      <c r="K61" s="188"/>
      <c r="L61" s="188"/>
      <c r="M61" s="188"/>
    </row>
    <row r="62" spans="1:13" s="641" customFormat="1" x14ac:dyDescent="0.15">
      <c r="A62" s="639" t="s">
        <v>779</v>
      </c>
      <c r="B62" s="11">
        <f>_xlfn.XLOOKUP($A62,Inputs!$A:$A,Inputs!B:B,,0)</f>
        <v>8575</v>
      </c>
      <c r="C62" s="11">
        <f>_xlfn.XLOOKUP($A62,Inputs!$A:$A,Inputs!C:C,,0)</f>
        <v>4719</v>
      </c>
      <c r="D62" s="11">
        <f>_xlfn.XLOOKUP($A62,Inputs!$A:$A,Inputs!D:D,,0)</f>
        <v>5048</v>
      </c>
      <c r="E62" s="11">
        <f>_xlfn.XLOOKUP($A62,Inputs!$A:$A,Inputs!E:E,,0)</f>
        <v>4546</v>
      </c>
      <c r="F62" s="11">
        <f>_xlfn.XLOOKUP($A62,Inputs!$A:$A,Inputs!F:F,,0)</f>
        <v>4531</v>
      </c>
      <c r="G62" s="11">
        <f>_xlfn.XLOOKUP($A62,Inputs!$A:$A,Inputs!G:G,,0)</f>
        <v>4246</v>
      </c>
      <c r="H62" s="11">
        <f>_xlfn.XLOOKUP($A62,Inputs!$A:$A,Inputs!H:H,,0)</f>
        <v>1915</v>
      </c>
      <c r="I62" s="11">
        <f>_xlfn.XLOOKUP($A62,Inputs!$A:$A,Inputs!I:I,,0)</f>
        <v>1631</v>
      </c>
      <c r="J62" s="11">
        <f>_xlfn.XLOOKUP($A62,Inputs!$A:$A,Inputs!J:J,,0)</f>
        <v>1388</v>
      </c>
      <c r="K62" s="11">
        <f>_xlfn.XLOOKUP($A62,Inputs!$A:$A,Inputs!K:K,,0)</f>
        <v>1175</v>
      </c>
      <c r="L62" s="11">
        <f>_xlfn.XLOOKUP($A62,Inputs!$A:$A,Inputs!L:L,,0)</f>
        <v>2121</v>
      </c>
      <c r="M62" s="11">
        <f>_xlfn.XLOOKUP($A62,Inputs!$A:$A,Inputs!M:M,,0)</f>
        <v>0</v>
      </c>
    </row>
    <row r="63" spans="1:13" x14ac:dyDescent="0.15">
      <c r="B63" s="188"/>
      <c r="C63" s="188"/>
      <c r="D63" s="188"/>
      <c r="E63" s="188"/>
      <c r="F63" s="188"/>
      <c r="G63" s="188"/>
      <c r="H63" s="188"/>
      <c r="I63" s="188"/>
      <c r="J63" s="188"/>
      <c r="K63" s="188"/>
      <c r="L63" s="188"/>
      <c r="M63" s="188"/>
    </row>
    <row r="64" spans="1:13" x14ac:dyDescent="0.15">
      <c r="A64" s="639" t="s">
        <v>780</v>
      </c>
      <c r="B64" s="11">
        <f>_xlfn.XLOOKUP($A64,Inputs!$A:$A,Inputs!B:B,,0)</f>
        <v>77772</v>
      </c>
      <c r="C64" s="11">
        <f>_xlfn.XLOOKUP($A64,Inputs!$A:$A,Inputs!C:C,,0)</f>
        <v>71760</v>
      </c>
      <c r="D64" s="11">
        <f>_xlfn.XLOOKUP($A64,Inputs!$A:$A,Inputs!D:D,,0)</f>
        <v>65491</v>
      </c>
      <c r="E64" s="11">
        <f>_xlfn.XLOOKUP($A64,Inputs!$A:$A,Inputs!E:E,,0)</f>
        <v>57616</v>
      </c>
      <c r="F64" s="11">
        <f>_xlfn.XLOOKUP($A64,Inputs!$A:$A,Inputs!F:F,,0)</f>
        <v>51696</v>
      </c>
      <c r="G64" s="11">
        <f>_xlfn.XLOOKUP($A64,Inputs!$A:$A,Inputs!G:G,,0)</f>
        <v>47776</v>
      </c>
      <c r="H64" s="11">
        <f>_xlfn.XLOOKUP($A64,Inputs!$A:$A,Inputs!H:H,,0)</f>
        <v>38274</v>
      </c>
      <c r="I64" s="11">
        <f>_xlfn.XLOOKUP($A64,Inputs!$A:$A,Inputs!I:I,,0)</f>
        <v>33830</v>
      </c>
      <c r="J64" s="11">
        <f>_xlfn.XLOOKUP($A64,Inputs!$A:$A,Inputs!J:J,,0)</f>
        <v>32454</v>
      </c>
      <c r="K64" s="11">
        <f>_xlfn.XLOOKUP($A64,Inputs!$A:$A,Inputs!K:K,,0)</f>
        <v>32149</v>
      </c>
      <c r="L64" s="11">
        <f>_xlfn.XLOOKUP($A64,Inputs!$A:$A,Inputs!L:L,,0)</f>
        <v>31178</v>
      </c>
      <c r="M64" s="11">
        <f>_xlfn.XLOOKUP($A64,Inputs!$A:$A,Inputs!M:M,,0)</f>
        <v>28292</v>
      </c>
    </row>
    <row r="65" spans="1:235" x14ac:dyDescent="0.15">
      <c r="K65" s="642"/>
      <c r="L65" s="642"/>
      <c r="M65" s="642"/>
    </row>
    <row r="66" spans="1:235" ht="20.25" x14ac:dyDescent="0.25">
      <c r="A66" s="1270" t="s">
        <v>129</v>
      </c>
      <c r="B66" s="1270"/>
      <c r="C66" s="1270"/>
      <c r="D66" s="1270"/>
      <c r="E66" s="1270"/>
      <c r="F66" s="1270"/>
      <c r="G66" s="1270"/>
      <c r="H66" s="1270"/>
      <c r="I66" s="1270"/>
      <c r="J66" s="1270"/>
      <c r="K66" s="1270"/>
      <c r="L66" s="1270"/>
      <c r="M66" s="1270"/>
    </row>
    <row r="67" spans="1:235" x14ac:dyDescent="0.15">
      <c r="A67" s="639" t="s">
        <v>130</v>
      </c>
      <c r="B67" s="11">
        <f>_xlfn.XLOOKUP($A67,Inputs!$A:$A,Inputs!B:B,,0)</f>
        <v>26206</v>
      </c>
      <c r="C67" s="11">
        <f>_xlfn.XLOOKUP($A67,Inputs!$A:$A,Inputs!C:C,,0)</f>
        <v>22343</v>
      </c>
      <c r="D67" s="11">
        <f>_xlfn.XLOOKUP($A67,Inputs!$A:$A,Inputs!D:D,,0)</f>
        <v>22174</v>
      </c>
      <c r="E67" s="11">
        <f>_xlfn.XLOOKUP($A67,Inputs!$A:$A,Inputs!E:E,,0)</f>
        <v>18463</v>
      </c>
      <c r="F67" s="11">
        <f>_xlfn.XLOOKUP($A67,Inputs!$A:$A,Inputs!F:F,,0)</f>
        <v>15713</v>
      </c>
      <c r="G67" s="11">
        <f>_xlfn.XLOOKUP($A67,Inputs!$A:$A,Inputs!G:G,,0)</f>
        <v>13596</v>
      </c>
      <c r="H67" s="11">
        <f>_xlfn.XLOOKUP($A67,Inputs!$A:$A,Inputs!H:H,,0)</f>
        <v>9795</v>
      </c>
      <c r="I67" s="11">
        <f>_xlfn.XLOOKUP($A67,Inputs!$A:$A,Inputs!I:I,,0)</f>
        <v>9740</v>
      </c>
      <c r="J67" s="11">
        <f>_xlfn.XLOOKUP($A67,Inputs!$A:$A,Inputs!J:J,,0)</f>
        <v>8051</v>
      </c>
      <c r="K67" s="11">
        <f>_xlfn.XLOOKUP($A67,Inputs!$A:$A,Inputs!K:K,,0)</f>
        <v>6991</v>
      </c>
      <c r="L67" s="11">
        <f>_xlfn.XLOOKUP($A67,Inputs!$A:$A,Inputs!L:L,,0)</f>
        <v>7155</v>
      </c>
      <c r="M67" s="11">
        <f>_xlfn.XLOOKUP($A67,Inputs!$A:$A,Inputs!M:M,,0)</f>
        <v>6968</v>
      </c>
    </row>
    <row r="68" spans="1:235" x14ac:dyDescent="0.15">
      <c r="A68" s="639" t="s">
        <v>131</v>
      </c>
      <c r="B68" s="11">
        <f>_xlfn.XLOOKUP($A68,Inputs!$A:$A,Inputs!B:B,,0)</f>
        <v>-28476</v>
      </c>
      <c r="C68" s="11">
        <f>_xlfn.XLOOKUP($A68,Inputs!$A:$A,Inputs!C:C,,0)</f>
        <v>-10372</v>
      </c>
      <c r="D68" s="11">
        <f>_xlfn.XLOOKUP($A68,Inputs!$A:$A,Inputs!D:D,,0)</f>
        <v>-12532</v>
      </c>
      <c r="E68" s="11">
        <f>_xlfn.XLOOKUP($A68,Inputs!$A:$A,Inputs!E:E,,0)</f>
        <v>-12699</v>
      </c>
      <c r="F68" s="11">
        <f>_xlfn.XLOOKUP($A68,Inputs!$A:$A,Inputs!F:F,,0)</f>
        <v>-12385</v>
      </c>
      <c r="G68" s="11">
        <f>_xlfn.XLOOKUP($A68,Inputs!$A:$A,Inputs!G:G,,0)</f>
        <v>-8599</v>
      </c>
      <c r="H68" s="11">
        <f>_xlfn.XLOOKUP($A68,Inputs!$A:$A,Inputs!H:H,,0)</f>
        <v>-9355</v>
      </c>
      <c r="I68" s="11">
        <f>_xlfn.XLOOKUP($A68,Inputs!$A:$A,Inputs!I:I,,0)</f>
        <v>-18395</v>
      </c>
      <c r="J68" s="11">
        <f>_xlfn.XLOOKUP($A68,Inputs!$A:$A,Inputs!J:J,,0)</f>
        <v>-2534</v>
      </c>
      <c r="K68" s="11">
        <f>_xlfn.XLOOKUP($A68,Inputs!$A:$A,Inputs!K:K,,0)</f>
        <v>-3089</v>
      </c>
      <c r="L68" s="11">
        <f>_xlfn.XLOOKUP($A68,Inputs!$A:$A,Inputs!L:L,,0)</f>
        <v>-8649</v>
      </c>
      <c r="M68" s="11">
        <f>_xlfn.XLOOKUP($A68,Inputs!$A:$A,Inputs!M:M,,0)</f>
        <v>-4172</v>
      </c>
    </row>
    <row r="69" spans="1:235" x14ac:dyDescent="0.15">
      <c r="A69" s="633" t="s">
        <v>132</v>
      </c>
      <c r="B69" s="631">
        <f>_xlfn.XLOOKUP($A69,Inputs!$A:$A,Inputs!B:B,,0)</f>
        <v>-2802</v>
      </c>
      <c r="C69" s="631">
        <f>_xlfn.XLOOKUP($A69,Inputs!$A:$A,Inputs!C:C,,0)</f>
        <v>-2454</v>
      </c>
      <c r="D69" s="631">
        <f>_xlfn.XLOOKUP($A69,Inputs!$A:$A,Inputs!D:D,,0)</f>
        <v>-2051</v>
      </c>
      <c r="E69" s="631">
        <f>_xlfn.XLOOKUP($A69,Inputs!$A:$A,Inputs!E:E,,0)</f>
        <v>-2071</v>
      </c>
      <c r="F69" s="631">
        <f>_xlfn.XLOOKUP($A69,Inputs!$A:$A,Inputs!F:F,,0)</f>
        <v>-2063</v>
      </c>
      <c r="G69" s="631">
        <f>_xlfn.XLOOKUP($A69,Inputs!$A:$A,Inputs!G:G,,0)</f>
        <v>-2023</v>
      </c>
      <c r="H69" s="631">
        <f>_xlfn.XLOOKUP($A69,Inputs!$A:$A,Inputs!H:H,,0)</f>
        <v>-1705</v>
      </c>
      <c r="I69" s="631">
        <f>_xlfn.XLOOKUP($A69,Inputs!$A:$A,Inputs!I:I,,0)</f>
        <v>-1556</v>
      </c>
      <c r="J69" s="631">
        <f>_xlfn.XLOOKUP($A69,Inputs!$A:$A,Inputs!J:J,,0)</f>
        <v>-1525</v>
      </c>
      <c r="K69" s="631">
        <f>_xlfn.XLOOKUP($A69,Inputs!$A:$A,Inputs!K:K,,0)</f>
        <v>-1307</v>
      </c>
      <c r="L69" s="631">
        <f>_xlfn.XLOOKUP($A69,Inputs!$A:$A,Inputs!L:L,,0)</f>
        <v>-1070</v>
      </c>
      <c r="M69" s="631">
        <f>_xlfn.XLOOKUP($A69,Inputs!$A:$A,Inputs!M:M,,0)</f>
        <v>-1067</v>
      </c>
    </row>
    <row r="70" spans="1:235" x14ac:dyDescent="0.15">
      <c r="A70" s="633" t="s">
        <v>133</v>
      </c>
      <c r="B70" s="631">
        <f>_xlfn.XLOOKUP($A70,Inputs!$A:$A,Inputs!B:B,,0)</f>
        <v>-25674</v>
      </c>
      <c r="C70" s="631">
        <f>_xlfn.XLOOKUP($A70,Inputs!$A:$A,Inputs!C:C,,0)</f>
        <v>-7918</v>
      </c>
      <c r="D70" s="631">
        <f>_xlfn.XLOOKUP($A70,Inputs!$A:$A,Inputs!D:D,,0)</f>
        <v>-10481</v>
      </c>
      <c r="E70" s="631">
        <f>_xlfn.XLOOKUP($A70,Inputs!$A:$A,Inputs!E:E,,0)</f>
        <v>-10628</v>
      </c>
      <c r="F70" s="631">
        <f>_xlfn.XLOOKUP($A70,Inputs!$A:$A,Inputs!F:F,,0)</f>
        <v>-10322</v>
      </c>
      <c r="G70" s="631">
        <f>_xlfn.XLOOKUP($A70,Inputs!$A:$A,Inputs!G:G,,0)</f>
        <v>-6576</v>
      </c>
      <c r="H70" s="631">
        <f>_xlfn.XLOOKUP($A70,Inputs!$A:$A,Inputs!H:H,,0)</f>
        <v>-7650</v>
      </c>
      <c r="I70" s="631">
        <f>_xlfn.XLOOKUP($A70,Inputs!$A:$A,Inputs!I:I,,0)</f>
        <v>-16839</v>
      </c>
      <c r="J70" s="631">
        <f>_xlfn.XLOOKUP($A70,Inputs!$A:$A,Inputs!J:J,,0)</f>
        <v>-1009</v>
      </c>
      <c r="K70" s="631">
        <f>_xlfn.XLOOKUP($A70,Inputs!$A:$A,Inputs!K:K,,0)</f>
        <v>-1782</v>
      </c>
      <c r="L70" s="631">
        <f>_xlfn.XLOOKUP($A70,Inputs!$A:$A,Inputs!L:L,,0)</f>
        <v>-7579</v>
      </c>
      <c r="M70" s="631">
        <f>_xlfn.XLOOKUP($A70,Inputs!$A:$A,Inputs!M:M,,0)</f>
        <v>-3105</v>
      </c>
      <c r="IA70" s="642"/>
    </row>
    <row r="71" spans="1:235" x14ac:dyDescent="0.15">
      <c r="A71" s="639" t="s">
        <v>134</v>
      </c>
      <c r="B71" s="11">
        <f>_xlfn.XLOOKUP($A71,Inputs!$A:$A,Inputs!B:B,,0)</f>
        <v>4226</v>
      </c>
      <c r="C71" s="11">
        <f>_xlfn.XLOOKUP($A71,Inputs!$A:$A,Inputs!C:C,,0)</f>
        <v>-7455</v>
      </c>
      <c r="D71" s="11">
        <f>_xlfn.XLOOKUP($A71,Inputs!$A:$A,Inputs!D:D,,0)</f>
        <v>-3590</v>
      </c>
      <c r="E71" s="11">
        <f>_xlfn.XLOOKUP($A71,Inputs!$A:$A,Inputs!E:E,,0)</f>
        <v>-5625</v>
      </c>
      <c r="F71" s="11">
        <f>_xlfn.XLOOKUP($A71,Inputs!$A:$A,Inputs!F:F,,0)</f>
        <v>-4365</v>
      </c>
      <c r="G71" s="11">
        <f>_xlfn.XLOOKUP($A71,Inputs!$A:$A,Inputs!G:G,,0)</f>
        <v>-3441</v>
      </c>
      <c r="H71" s="11">
        <f>_xlfn.XLOOKUP($A71,Inputs!$A:$A,Inputs!H:H,,0)</f>
        <v>-1011</v>
      </c>
      <c r="I71" s="11">
        <f>_xlfn.XLOOKUP($A71,Inputs!$A:$A,Inputs!I:I,,0)</f>
        <v>12239</v>
      </c>
      <c r="J71" s="11">
        <f>_xlfn.XLOOKUP($A71,Inputs!$A:$A,Inputs!J:J,,0)</f>
        <v>-5293</v>
      </c>
      <c r="K71" s="11">
        <f>_xlfn.XLOOKUP($A71,Inputs!$A:$A,Inputs!K:K,,0)</f>
        <v>-4946</v>
      </c>
      <c r="L71" s="11">
        <f>_xlfn.XLOOKUP($A71,Inputs!$A:$A,Inputs!L:L,,0)</f>
        <v>471</v>
      </c>
      <c r="M71" s="11">
        <f>_xlfn.XLOOKUP($A71,Inputs!$A:$A,Inputs!M:M,,0)</f>
        <v>-2490</v>
      </c>
      <c r="IA71" s="642"/>
    </row>
    <row r="72" spans="1:235" x14ac:dyDescent="0.15">
      <c r="A72" s="633" t="s">
        <v>135</v>
      </c>
      <c r="B72" s="631">
        <f>_xlfn.XLOOKUP($A72,Inputs!$A:$A,Inputs!B:B,,0)</f>
        <v>-5991</v>
      </c>
      <c r="C72" s="631">
        <f>_xlfn.XLOOKUP($A72,Inputs!$A:$A,Inputs!C:C,,0)</f>
        <v>-5280</v>
      </c>
      <c r="D72" s="631">
        <f>_xlfn.XLOOKUP($A72,Inputs!$A:$A,Inputs!D:D,,0)</f>
        <v>-4584</v>
      </c>
      <c r="E72" s="631">
        <f>_xlfn.XLOOKUP($A72,Inputs!$A:$A,Inputs!E:E,,0)</f>
        <v>-3932</v>
      </c>
      <c r="F72" s="631">
        <f>_xlfn.XLOOKUP($A72,Inputs!$A:$A,Inputs!F:F,,0)</f>
        <v>-3320</v>
      </c>
      <c r="G72" s="631">
        <f>_xlfn.XLOOKUP($A72,Inputs!$A:$A,Inputs!G:G,,0)</f>
        <v>-2773</v>
      </c>
      <c r="H72" s="631">
        <f>_xlfn.XLOOKUP($A72,Inputs!$A:$A,Inputs!H:H,,0)</f>
        <v>-2261</v>
      </c>
      <c r="I72" s="631">
        <f>_xlfn.XLOOKUP($A72,Inputs!$A:$A,Inputs!I:I,,0)</f>
        <v>-1786</v>
      </c>
      <c r="J72" s="631">
        <f>_xlfn.XLOOKUP($A72,Inputs!$A:$A,Inputs!J:J,,0)</f>
        <v>-1362</v>
      </c>
      <c r="K72" s="631">
        <f>_xlfn.XLOOKUP($A72,Inputs!$A:$A,Inputs!K:K,,0)</f>
        <v>-1056</v>
      </c>
      <c r="L72" s="631">
        <f>_xlfn.XLOOKUP($A72,Inputs!$A:$A,Inputs!L:L,,0)</f>
        <v>-820</v>
      </c>
      <c r="M72" s="631">
        <f>_xlfn.XLOOKUP($A72,Inputs!$A:$A,Inputs!M:M,,0)</f>
        <v>-651</v>
      </c>
      <c r="IA72" s="642"/>
    </row>
    <row r="73" spans="1:235" x14ac:dyDescent="0.15">
      <c r="A73" s="633" t="s">
        <v>762</v>
      </c>
      <c r="B73" s="631">
        <f>_xlfn.XLOOKUP($A73,Inputs!$A:$A,Inputs!B:B,,0)</f>
        <v>-5747</v>
      </c>
      <c r="C73" s="631">
        <f>_xlfn.XLOOKUP($A73,Inputs!$A:$A,Inputs!C:C,,0)</f>
        <v>-3645</v>
      </c>
      <c r="D73" s="631">
        <f>_xlfn.XLOOKUP($A73,Inputs!$A:$A,Inputs!D:D,,0)</f>
        <v>-2810</v>
      </c>
      <c r="E73" s="631">
        <f>_xlfn.XLOOKUP($A73,Inputs!$A:$A,Inputs!E:E,,0)</f>
        <v>-4463</v>
      </c>
      <c r="F73" s="631">
        <f>_xlfn.XLOOKUP($A73,Inputs!$A:$A,Inputs!F:F,,0)</f>
        <v>-3662</v>
      </c>
      <c r="G73" s="631">
        <f>_xlfn.XLOOKUP($A73,Inputs!$A:$A,Inputs!G:G,,0)</f>
        <v>-812</v>
      </c>
      <c r="H73" s="631">
        <f>_xlfn.XLOOKUP($A73,Inputs!$A:$A,Inputs!H:H,,0)</f>
        <v>-851</v>
      </c>
      <c r="I73" s="631">
        <f>_xlfn.XLOOKUP($A73,Inputs!$A:$A,Inputs!I:I,,0)</f>
        <v>-798</v>
      </c>
      <c r="J73" s="631">
        <f>_xlfn.XLOOKUP($A73,Inputs!$A:$A,Inputs!J:J,,0)</f>
        <v>-3546</v>
      </c>
      <c r="K73" s="631">
        <f>_xlfn.XLOOKUP($A73,Inputs!$A:$A,Inputs!K:K,,0)</f>
        <v>-2572</v>
      </c>
      <c r="L73" s="631">
        <f>_xlfn.XLOOKUP($A73,Inputs!$A:$A,Inputs!L:L,,0)</f>
        <v>-2006</v>
      </c>
      <c r="M73" s="631">
        <f>_xlfn.XLOOKUP($A73,Inputs!$A:$A,Inputs!M:M,,0)</f>
        <v>-2613</v>
      </c>
    </row>
    <row r="74" spans="1:235" x14ac:dyDescent="0.15">
      <c r="A74" s="639" t="s">
        <v>138</v>
      </c>
      <c r="B74" s="11">
        <f>_xlfn.XLOOKUP($A74,Inputs!$A:$A,Inputs!B:B,,0)</f>
        <v>34</v>
      </c>
      <c r="C74" s="11">
        <f>_xlfn.XLOOKUP($A74,Inputs!$A:$A,Inputs!C:C,,0)</f>
        <v>-62</v>
      </c>
      <c r="D74" s="11">
        <f>_xlfn.XLOOKUP($A74,Inputs!$A:$A,Inputs!D:D,,0)</f>
        <v>-116</v>
      </c>
      <c r="E74" s="11">
        <f>_xlfn.XLOOKUP($A74,Inputs!$A:$A,Inputs!E:E,,0)</f>
        <v>-20</v>
      </c>
      <c r="F74" s="11">
        <f>_xlfn.XLOOKUP($A74,Inputs!$A:$A,Inputs!F:F,,0)</f>
        <v>-78</v>
      </c>
      <c r="G74" s="11">
        <f>_xlfn.XLOOKUP($A74,Inputs!$A:$A,Inputs!G:G,,0)</f>
        <v>-5</v>
      </c>
      <c r="H74" s="11">
        <f>_xlfn.XLOOKUP($A74,Inputs!$A:$A,Inputs!H:H,,0)</f>
        <v>78</v>
      </c>
      <c r="I74" s="11">
        <f>_xlfn.XLOOKUP($A74,Inputs!$A:$A,Inputs!I:I,,0)</f>
        <v>-156</v>
      </c>
      <c r="J74" s="11">
        <f>_xlfn.XLOOKUP($A74,Inputs!$A:$A,Inputs!J:J,,0)</f>
        <v>-5</v>
      </c>
      <c r="K74" s="11">
        <f>_xlfn.XLOOKUP($A74,Inputs!$A:$A,Inputs!K:K,,0)</f>
        <v>-86</v>
      </c>
      <c r="L74" s="11">
        <f>_xlfn.XLOOKUP($A74,Inputs!$A:$A,Inputs!L:L,,0)</f>
        <v>0</v>
      </c>
      <c r="M74" s="11">
        <f>_xlfn.XLOOKUP($A74,Inputs!$A:$A,Inputs!M:M,,0)</f>
        <v>0</v>
      </c>
    </row>
    <row r="75" spans="1:235" x14ac:dyDescent="0.15">
      <c r="A75" s="639" t="s">
        <v>781</v>
      </c>
      <c r="B75" s="11">
        <f>_xlfn.XLOOKUP($A75,Inputs!$A:$A,Inputs!B:B,,0)</f>
        <v>1990</v>
      </c>
      <c r="C75" s="11">
        <f>_xlfn.XLOOKUP($A75,Inputs!$A:$A,Inputs!C:C,,0)</f>
        <v>4454</v>
      </c>
      <c r="D75" s="11">
        <f>_xlfn.XLOOKUP($A75,Inputs!$A:$A,Inputs!D:D,,0)</f>
        <v>5936</v>
      </c>
      <c r="E75" s="11">
        <f>_xlfn.XLOOKUP($A75,Inputs!$A:$A,Inputs!E:E,,0)</f>
        <v>119</v>
      </c>
      <c r="F75" s="11">
        <f>_xlfn.XLOOKUP($A75,Inputs!$A:$A,Inputs!F:F,,0)</f>
        <v>-1115</v>
      </c>
      <c r="G75" s="11">
        <f>_xlfn.XLOOKUP($A75,Inputs!$A:$A,Inputs!G:G,,0)</f>
        <v>1551</v>
      </c>
      <c r="H75" s="11">
        <f>_xlfn.XLOOKUP($A75,Inputs!$A:$A,Inputs!H:H,,0)</f>
        <v>-493</v>
      </c>
      <c r="I75" s="11">
        <f>_xlfn.XLOOKUP($A75,Inputs!$A:$A,Inputs!I:I,,0)</f>
        <v>3428</v>
      </c>
      <c r="J75" s="11">
        <f>_xlfn.XLOOKUP($A75,Inputs!$A:$A,Inputs!J:J,,0)</f>
        <v>219</v>
      </c>
      <c r="K75" s="11">
        <f>_xlfn.XLOOKUP($A75,Inputs!$A:$A,Inputs!K:K,,0)</f>
        <v>-1130</v>
      </c>
      <c r="L75" s="11">
        <f>_xlfn.XLOOKUP($A75,Inputs!$A:$A,Inputs!L:L,,0)</f>
        <v>-1023</v>
      </c>
      <c r="M75" s="11">
        <f>_xlfn.XLOOKUP($A75,Inputs!$A:$A,Inputs!M:M,,0)</f>
        <v>306</v>
      </c>
    </row>
    <row r="76" spans="1:235" x14ac:dyDescent="0.15">
      <c r="K76" s="642"/>
      <c r="L76" s="642"/>
      <c r="M76" s="642"/>
    </row>
    <row r="77" spans="1:235" ht="20.25" x14ac:dyDescent="0.25">
      <c r="A77" s="1270" t="s">
        <v>782</v>
      </c>
      <c r="B77" s="1270"/>
      <c r="C77" s="1270"/>
      <c r="D77" s="1270"/>
      <c r="E77" s="1270"/>
      <c r="F77" s="1270"/>
      <c r="G77" s="1270"/>
      <c r="H77" s="1270"/>
      <c r="I77" s="1270"/>
      <c r="J77" s="1270"/>
      <c r="K77" s="1270"/>
      <c r="L77" s="1270"/>
      <c r="M77" s="1270"/>
    </row>
    <row r="78" spans="1:235" x14ac:dyDescent="0.15">
      <c r="A78" s="630" t="s">
        <v>783</v>
      </c>
      <c r="B78" s="631">
        <v>400000</v>
      </c>
      <c r="C78" s="631" t="e">
        <f>_xlfn.XLOOKUP($A78,Inputs!$A:$A,Inputs!C:C,,0)</f>
        <v>#N/A</v>
      </c>
      <c r="D78" s="631" t="e">
        <f>_xlfn.XLOOKUP($A78,Inputs!$A:$A,Inputs!D:D,,0)</f>
        <v>#N/A</v>
      </c>
      <c r="E78" s="631" t="e">
        <f>_xlfn.XLOOKUP($A78,Inputs!$A:$A,Inputs!E:E,,0)</f>
        <v>#N/A</v>
      </c>
      <c r="F78" s="631" t="e">
        <f>_xlfn.XLOOKUP($A78,Inputs!$A:$A,Inputs!F:F,,0)</f>
        <v>#N/A</v>
      </c>
      <c r="G78" s="631" t="e">
        <f>_xlfn.XLOOKUP($A78,Inputs!$A:$A,Inputs!G:G,,0)</f>
        <v>#N/A</v>
      </c>
      <c r="H78" s="631" t="e">
        <f>_xlfn.XLOOKUP($A78,Inputs!$A:$A,Inputs!H:H,,0)</f>
        <v>#N/A</v>
      </c>
      <c r="I78" s="631" t="e">
        <f>_xlfn.XLOOKUP($A78,Inputs!$A:$A,Inputs!I:I,,0)</f>
        <v>#N/A</v>
      </c>
      <c r="J78" s="631" t="e">
        <f>_xlfn.XLOOKUP($A78,Inputs!$A:$A,Inputs!J:J,,0)</f>
        <v>#N/A</v>
      </c>
      <c r="K78" s="631" t="e">
        <f>_xlfn.XLOOKUP($A78,Inputs!$A:$A,Inputs!K:K,,0)</f>
        <v>#N/A</v>
      </c>
      <c r="L78" s="631" t="e">
        <f>_xlfn.XLOOKUP($A78,Inputs!$A:$A,Inputs!L:L,,0)</f>
        <v>#N/A</v>
      </c>
      <c r="M78" s="631" t="e">
        <f>_xlfn.XLOOKUP($A78,Inputs!$A:$A,Inputs!M:M,,0)</f>
        <v>#N/A</v>
      </c>
    </row>
    <row r="79" spans="1:235" x14ac:dyDescent="0.15">
      <c r="A79" s="640" t="s">
        <v>784</v>
      </c>
      <c r="B79" s="631">
        <v>924920</v>
      </c>
      <c r="C79" s="631" t="e">
        <f>_xlfn.XLOOKUP($A79,Inputs!$A:$A,Inputs!C:C,,0)</f>
        <v>#N/A</v>
      </c>
      <c r="D79" s="631" t="e">
        <f>_xlfn.XLOOKUP($A79,Inputs!$A:$A,Inputs!D:D,,0)</f>
        <v>#N/A</v>
      </c>
      <c r="E79" s="631" t="e">
        <f>_xlfn.XLOOKUP($A79,Inputs!$A:$A,Inputs!E:E,,0)</f>
        <v>#N/A</v>
      </c>
      <c r="F79" s="631" t="e">
        <f>_xlfn.XLOOKUP($A79,Inputs!$A:$A,Inputs!F:F,,0)</f>
        <v>#N/A</v>
      </c>
      <c r="G79" s="631" t="e">
        <f>_xlfn.XLOOKUP($A79,Inputs!$A:$A,Inputs!G:G,,0)</f>
        <v>#N/A</v>
      </c>
      <c r="H79" s="631" t="e">
        <f>_xlfn.XLOOKUP($A79,Inputs!$A:$A,Inputs!H:H,,0)</f>
        <v>#N/A</v>
      </c>
      <c r="I79" s="631" t="e">
        <f>_xlfn.XLOOKUP($A79,Inputs!$A:$A,Inputs!I:I,,0)</f>
        <v>#N/A</v>
      </c>
      <c r="J79" s="631" t="e">
        <f>_xlfn.XLOOKUP($A79,Inputs!$A:$A,Inputs!J:J,,0)</f>
        <v>#N/A</v>
      </c>
      <c r="K79" s="631" t="e">
        <f>_xlfn.XLOOKUP($A79,Inputs!$A:$A,Inputs!K:K,,0)</f>
        <v>#N/A</v>
      </c>
      <c r="L79" s="631" t="e">
        <f>_xlfn.XLOOKUP($A79,Inputs!$A:$A,Inputs!L:L,,0)</f>
        <v>#N/A</v>
      </c>
      <c r="M79" s="631" t="e">
        <f>_xlfn.XLOOKUP($A79,Inputs!$A:$A,Inputs!M:M,,0)</f>
        <v>#N/A</v>
      </c>
    </row>
    <row r="80" spans="1:235" x14ac:dyDescent="0.15">
      <c r="A80" s="630" t="s">
        <v>44</v>
      </c>
      <c r="B80" s="631">
        <f>_xlfn.XLOOKUP($A80,Inputs!$A:$A,Inputs!B:B,,0)</f>
        <v>0.99619999999999997</v>
      </c>
      <c r="C80" s="631" t="str">
        <f>_xlfn.XLOOKUP($A80,Inputs!$A:$A,Inputs!C:C,,0)</f>
        <v>Yahoo finance</v>
      </c>
      <c r="D80" s="631">
        <f>_xlfn.XLOOKUP($A80,Inputs!$A:$A,Inputs!D:D,,0)</f>
        <v>0</v>
      </c>
      <c r="E80" s="631">
        <f>_xlfn.XLOOKUP($A80,Inputs!$A:$A,Inputs!E:E,,0)</f>
        <v>0</v>
      </c>
      <c r="F80" s="631">
        <f>_xlfn.XLOOKUP($A80,Inputs!$A:$A,Inputs!F:F,,0)</f>
        <v>0</v>
      </c>
      <c r="G80" s="631">
        <f>_xlfn.XLOOKUP($A80,Inputs!$A:$A,Inputs!G:G,,0)</f>
        <v>0</v>
      </c>
      <c r="H80" s="631">
        <f>_xlfn.XLOOKUP($A80,Inputs!$A:$A,Inputs!H:H,,0)</f>
        <v>0</v>
      </c>
      <c r="I80" s="631">
        <f>_xlfn.XLOOKUP($A80,Inputs!$A:$A,Inputs!I:I,,0)</f>
        <v>0</v>
      </c>
      <c r="J80" s="631">
        <f>_xlfn.XLOOKUP($A80,Inputs!$A:$A,Inputs!J:J,,0)</f>
        <v>0</v>
      </c>
      <c r="K80" s="631">
        <f>_xlfn.XLOOKUP($A80,Inputs!$A:$A,Inputs!K:K,,0)</f>
        <v>0</v>
      </c>
      <c r="L80" s="631">
        <f>_xlfn.XLOOKUP($A80,Inputs!$A:$A,Inputs!L:L,,0)</f>
        <v>0</v>
      </c>
      <c r="M80" s="631">
        <f>_xlfn.XLOOKUP($A80,Inputs!$A:$A,Inputs!M:M,,0)</f>
        <v>0</v>
      </c>
    </row>
    <row r="81" spans="1:13" x14ac:dyDescent="0.15">
      <c r="A81" s="640" t="s">
        <v>49</v>
      </c>
      <c r="B81" s="643">
        <f>_xlfn.XLOOKUP($A81,Inputs!$A:$A,Inputs!B:B,,0)</f>
        <v>2.7000000000000001E-3</v>
      </c>
      <c r="C81" s="631" t="str">
        <f>_xlfn.XLOOKUP($A81,Inputs!$A:$A,Inputs!C:C,,0)</f>
        <v>Yahoo finance</v>
      </c>
      <c r="D81" s="631">
        <f>_xlfn.XLOOKUP($A81,Inputs!$A:$A,Inputs!D:D,,0)</f>
        <v>0</v>
      </c>
      <c r="E81" s="631">
        <f>_xlfn.XLOOKUP($A81,Inputs!$A:$A,Inputs!E:E,,0)</f>
        <v>0</v>
      </c>
      <c r="F81" s="631">
        <f>_xlfn.XLOOKUP($A81,Inputs!$A:$A,Inputs!F:F,,0)</f>
        <v>0</v>
      </c>
      <c r="G81" s="631">
        <f>_xlfn.XLOOKUP($A81,Inputs!$A:$A,Inputs!G:G,,0)</f>
        <v>0</v>
      </c>
      <c r="H81" s="631">
        <f>_xlfn.XLOOKUP($A81,Inputs!$A:$A,Inputs!H:H,,0)</f>
        <v>0</v>
      </c>
      <c r="I81" s="631">
        <f>_xlfn.XLOOKUP($A81,Inputs!$A:$A,Inputs!I:I,,0)</f>
        <v>0</v>
      </c>
      <c r="J81" s="631">
        <f>_xlfn.XLOOKUP($A81,Inputs!$A:$A,Inputs!J:J,,0)</f>
        <v>0</v>
      </c>
      <c r="K81" s="631">
        <f>_xlfn.XLOOKUP($A81,Inputs!$A:$A,Inputs!K:K,,0)</f>
        <v>0</v>
      </c>
      <c r="L81" s="631">
        <f>_xlfn.XLOOKUP($A81,Inputs!$A:$A,Inputs!L:L,,0)</f>
        <v>0</v>
      </c>
      <c r="M81" s="631">
        <f>_xlfn.XLOOKUP($A81,Inputs!$A:$A,Inputs!M:M,,0)</f>
        <v>0</v>
      </c>
    </row>
    <row r="82" spans="1:13" x14ac:dyDescent="0.15">
      <c r="A82" s="630" t="s">
        <v>785</v>
      </c>
      <c r="B82" s="631" t="str">
        <f>_xlfn.XLOOKUP($A82,Inputs!$A:$A,Inputs!B:B,,0)</f>
        <v>A/A+</v>
      </c>
      <c r="C82" s="631" t="str">
        <f>_xlfn.XLOOKUP($A82,Inputs!$A:$A,Inputs!C:C,,0)</f>
        <v>10-K</v>
      </c>
      <c r="D82" s="631">
        <f>_xlfn.XLOOKUP($A82,Inputs!$A:$A,Inputs!D:D,,0)</f>
        <v>0</v>
      </c>
      <c r="E82" s="631">
        <f>_xlfn.XLOOKUP($A82,Inputs!$A:$A,Inputs!E:E,,0)</f>
        <v>0</v>
      </c>
      <c r="F82" s="631">
        <f>_xlfn.XLOOKUP($A82,Inputs!$A:$A,Inputs!F:F,,0)</f>
        <v>0</v>
      </c>
      <c r="G82" s="631">
        <f>_xlfn.XLOOKUP($A82,Inputs!$A:$A,Inputs!G:G,,0)</f>
        <v>0</v>
      </c>
      <c r="H82" s="631">
        <f>_xlfn.XLOOKUP($A82,Inputs!$A:$A,Inputs!H:H,,0)</f>
        <v>0</v>
      </c>
      <c r="I82" s="631">
        <f>_xlfn.XLOOKUP($A82,Inputs!$A:$A,Inputs!I:I,,0)</f>
        <v>0</v>
      </c>
      <c r="J82" s="631">
        <f>_xlfn.XLOOKUP($A82,Inputs!$A:$A,Inputs!J:J,,0)</f>
        <v>0</v>
      </c>
      <c r="K82" s="631">
        <f>_xlfn.XLOOKUP($A82,Inputs!$A:$A,Inputs!K:K,,0)</f>
        <v>0</v>
      </c>
      <c r="L82" s="631">
        <f>_xlfn.XLOOKUP($A82,Inputs!$A:$A,Inputs!L:L,,0)</f>
        <v>0</v>
      </c>
      <c r="M82" s="631">
        <f>_xlfn.XLOOKUP($A82,Inputs!$A:$A,Inputs!M:M,,0)</f>
        <v>0</v>
      </c>
    </row>
    <row r="83" spans="1:13" x14ac:dyDescent="0.15">
      <c r="A83" s="630" t="s">
        <v>786</v>
      </c>
      <c r="B83" s="643">
        <v>1.3899999999999999E-2</v>
      </c>
      <c r="C83" s="631" t="e">
        <f>_xlfn.XLOOKUP($A83,Inputs!$A:$A,Inputs!C:C,,0)</f>
        <v>#N/A</v>
      </c>
      <c r="D83" s="631" t="e">
        <f>_xlfn.XLOOKUP($A83,Inputs!$A:$A,Inputs!D:D,,0)</f>
        <v>#N/A</v>
      </c>
      <c r="E83" s="631" t="e">
        <f>_xlfn.XLOOKUP($A83,Inputs!$A:$A,Inputs!E:E,,0)</f>
        <v>#N/A</v>
      </c>
      <c r="F83" s="631" t="e">
        <f>_xlfn.XLOOKUP($A83,Inputs!$A:$A,Inputs!F:F,,0)</f>
        <v>#N/A</v>
      </c>
      <c r="G83" s="631" t="e">
        <f>_xlfn.XLOOKUP($A83,Inputs!$A:$A,Inputs!G:G,,0)</f>
        <v>#N/A</v>
      </c>
      <c r="H83" s="631" t="e">
        <f>_xlfn.XLOOKUP($A83,Inputs!$A:$A,Inputs!H:H,,0)</f>
        <v>#N/A</v>
      </c>
      <c r="I83" s="631" t="e">
        <f>_xlfn.XLOOKUP($A83,Inputs!$A:$A,Inputs!I:I,,0)</f>
        <v>#N/A</v>
      </c>
      <c r="J83" s="631" t="e">
        <f>_xlfn.XLOOKUP($A83,Inputs!$A:$A,Inputs!J:J,,0)</f>
        <v>#N/A</v>
      </c>
      <c r="K83" s="631" t="e">
        <f>_xlfn.XLOOKUP($A83,Inputs!$A:$A,Inputs!K:K,,0)</f>
        <v>#N/A</v>
      </c>
      <c r="L83" s="631" t="e">
        <f>_xlfn.XLOOKUP($A83,Inputs!$A:$A,Inputs!L:L,,0)</f>
        <v>#N/A</v>
      </c>
      <c r="M83" s="631" t="e">
        <f>_xlfn.XLOOKUP($A83,Inputs!$A:$A,Inputs!M:M,,0)</f>
        <v>#N/A</v>
      </c>
    </row>
    <row r="84" spans="1:13" x14ac:dyDescent="0.15">
      <c r="A84" s="640" t="s">
        <v>787</v>
      </c>
      <c r="B84" s="631">
        <f>_xlfn.XLOOKUP($A84,Inputs!$A:$A,Inputs!B:B,,0)</f>
        <v>3098388</v>
      </c>
      <c r="C84" s="631" t="str">
        <f>_xlfn.XLOOKUP($A84,Inputs!$A:$A,Inputs!C:C,,0)</f>
        <v>Yahoo Finance</v>
      </c>
      <c r="D84" s="631">
        <f>_xlfn.XLOOKUP($A84,Inputs!$A:$A,Inputs!D:D,,0)</f>
        <v>0</v>
      </c>
      <c r="E84" s="631">
        <f>_xlfn.XLOOKUP($A84,Inputs!$A:$A,Inputs!E:E,,0)</f>
        <v>0</v>
      </c>
      <c r="F84" s="631">
        <f>_xlfn.XLOOKUP($A84,Inputs!$A:$A,Inputs!F:F,,0)</f>
        <v>0</v>
      </c>
      <c r="G84" s="631">
        <f>_xlfn.XLOOKUP($A84,Inputs!$A:$A,Inputs!G:G,,0)</f>
        <v>0</v>
      </c>
      <c r="H84" s="631">
        <f>_xlfn.XLOOKUP($A84,Inputs!$A:$A,Inputs!H:H,,0)</f>
        <v>0</v>
      </c>
      <c r="I84" s="631">
        <f>_xlfn.XLOOKUP($A84,Inputs!$A:$A,Inputs!I:I,,0)</f>
        <v>0</v>
      </c>
      <c r="J84" s="631">
        <f>_xlfn.XLOOKUP($A84,Inputs!$A:$A,Inputs!J:J,,0)</f>
        <v>0</v>
      </c>
      <c r="K84" s="631">
        <f>_xlfn.XLOOKUP($A84,Inputs!$A:$A,Inputs!K:K,,0)</f>
        <v>0</v>
      </c>
      <c r="L84" s="631">
        <f>_xlfn.XLOOKUP($A84,Inputs!$A:$A,Inputs!L:L,,0)</f>
        <v>0</v>
      </c>
      <c r="M84" s="631">
        <f>_xlfn.XLOOKUP($A84,Inputs!$A:$A,Inputs!M:M,,0)</f>
        <v>0</v>
      </c>
    </row>
    <row r="85" spans="1:13" x14ac:dyDescent="0.15">
      <c r="B85" s="644"/>
      <c r="C85" s="644"/>
      <c r="D85" s="644"/>
      <c r="E85" s="644"/>
      <c r="F85" s="644"/>
      <c r="G85" s="644"/>
      <c r="H85" s="644"/>
      <c r="I85" s="644"/>
      <c r="J85" s="644"/>
      <c r="K85" s="644"/>
      <c r="L85" s="644"/>
      <c r="M85" s="644"/>
    </row>
    <row r="86" spans="1:13" x14ac:dyDescent="0.15">
      <c r="B86" s="629">
        <v>2020</v>
      </c>
      <c r="C86" s="629">
        <v>2021</v>
      </c>
      <c r="D86" s="629">
        <v>2022</v>
      </c>
      <c r="G86" s="629"/>
      <c r="H86" s="644"/>
      <c r="I86" s="644"/>
      <c r="J86" s="644"/>
      <c r="K86" s="644"/>
      <c r="L86" s="644"/>
      <c r="M86" s="644"/>
    </row>
    <row r="87" spans="1:13" x14ac:dyDescent="0.15">
      <c r="A87" s="630" t="s">
        <v>788</v>
      </c>
      <c r="B87" s="259">
        <v>6.7999999999999996E-3</v>
      </c>
      <c r="C87" s="259">
        <v>5.7000000000000002E-3</v>
      </c>
      <c r="D87" s="260">
        <v>1.12E-2</v>
      </c>
      <c r="G87" s="644"/>
      <c r="H87" s="644"/>
      <c r="I87" s="644"/>
      <c r="J87" s="644"/>
      <c r="K87" s="644"/>
      <c r="L87" s="644"/>
      <c r="M87" s="644"/>
    </row>
    <row r="88" spans="1:13" x14ac:dyDescent="0.15">
      <c r="A88" s="640" t="s">
        <v>70</v>
      </c>
      <c r="B88" s="257">
        <v>21.47</v>
      </c>
      <c r="C88" s="257">
        <v>18.329999999999998</v>
      </c>
      <c r="D88" s="258">
        <v>16.23</v>
      </c>
    </row>
    <row r="90" spans="1:13" x14ac:dyDescent="0.15">
      <c r="A90" s="190" t="s">
        <v>789</v>
      </c>
      <c r="B90" s="629" t="s">
        <v>790</v>
      </c>
      <c r="C90" s="629" t="s">
        <v>791</v>
      </c>
      <c r="D90" s="629" t="s">
        <v>792</v>
      </c>
      <c r="E90" s="629" t="s">
        <v>793</v>
      </c>
      <c r="G90" s="629"/>
    </row>
    <row r="91" spans="1:13" x14ac:dyDescent="0.15">
      <c r="B91" s="645" t="e">
        <f>VLOOKUP($A91,Inputs!$A$5:$M$98,MATCH(B$4,Inputs!$B$5:$M$5,0)+1,FALSE)</f>
        <v>#N/A</v>
      </c>
      <c r="C91" s="645" t="e">
        <f>VLOOKUP($A91,Inputs!$A$5:$M$98,MATCH(C$4,Inputs!$B$5:$M$5,0)+1,FALSE)</f>
        <v>#N/A</v>
      </c>
      <c r="D91" s="645" t="e">
        <f>VLOOKUP($A91,Inputs!$A$5:$M$98,MATCH(D$4,Inputs!$B$5:$M$5,0)+1,FALSE)</f>
        <v>#N/A</v>
      </c>
      <c r="E91" s="645" t="e">
        <f>VLOOKUP($A91,Inputs!$A$5:$M$98,MATCH(E$4,Inputs!$B$5:$M$5,0)+1,FALSE)</f>
        <v>#N/A</v>
      </c>
    </row>
    <row r="92" spans="1:13" x14ac:dyDescent="0.15">
      <c r="B92" s="646"/>
      <c r="C92" s="646"/>
      <c r="D92" s="294"/>
      <c r="E92" s="646"/>
      <c r="F92" s="294"/>
    </row>
    <row r="93" spans="1:13" x14ac:dyDescent="0.15">
      <c r="B93" s="646"/>
      <c r="C93" s="646"/>
      <c r="D93" s="294"/>
      <c r="E93" s="646"/>
      <c r="F93" s="294"/>
    </row>
    <row r="94" spans="1:13" x14ac:dyDescent="0.15">
      <c r="B94" s="646"/>
      <c r="C94" s="646"/>
      <c r="D94" s="294"/>
      <c r="E94" s="646"/>
      <c r="F94" s="294"/>
    </row>
    <row r="95" spans="1:13" x14ac:dyDescent="0.15">
      <c r="B95" s="646"/>
      <c r="C95" s="646"/>
      <c r="D95" s="294"/>
      <c r="E95" s="646"/>
      <c r="F95" s="294"/>
    </row>
    <row r="96" spans="1:13" x14ac:dyDescent="0.15">
      <c r="B96" s="646"/>
      <c r="C96" s="646"/>
      <c r="D96" s="294"/>
      <c r="E96" s="646"/>
      <c r="F96" s="294"/>
    </row>
    <row r="97" spans="2:6" x14ac:dyDescent="0.15">
      <c r="B97" s="646"/>
      <c r="C97" s="646"/>
      <c r="D97" s="294"/>
      <c r="E97" s="646"/>
      <c r="F97" s="294"/>
    </row>
    <row r="98" spans="2:6" x14ac:dyDescent="0.15">
      <c r="B98" s="646"/>
      <c r="C98" s="646"/>
      <c r="D98" s="294"/>
      <c r="E98" s="646"/>
      <c r="F98" s="294"/>
    </row>
    <row r="99" spans="2:6" x14ac:dyDescent="0.15">
      <c r="B99" s="646"/>
      <c r="C99" s="646"/>
      <c r="D99" s="294"/>
      <c r="E99" s="646"/>
      <c r="F99" s="294"/>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42614-4331-B24D-B440-29EA5823C7D9}">
  <dimension ref="A1:EV100"/>
  <sheetViews>
    <sheetView topLeftCell="D1" workbookViewId="0">
      <selection activeCell="B88" sqref="B88"/>
    </sheetView>
  </sheetViews>
  <sheetFormatPr defaultColWidth="10.3828125" defaultRowHeight="13.5" x14ac:dyDescent="0.15"/>
  <cols>
    <col min="1" max="1" width="40.18359375" style="647" bestFit="1" customWidth="1"/>
    <col min="2" max="5" width="13.484375" style="647" customWidth="1"/>
    <col min="6" max="6" width="13.078125" style="647" customWidth="1"/>
    <col min="7" max="9" width="13.88671875" style="647" customWidth="1"/>
    <col min="10" max="10" width="14.15625" style="647" customWidth="1"/>
    <col min="11" max="11" width="15.1015625" style="650" customWidth="1"/>
    <col min="12" max="12" width="16.98828125" style="650" customWidth="1"/>
    <col min="13" max="13" width="14.15625" style="647" customWidth="1"/>
    <col min="14" max="14" width="21.44140625" style="647" bestFit="1" customWidth="1"/>
    <col min="15" max="15" width="32.09375" style="647" customWidth="1"/>
    <col min="16" max="16" width="11.4609375" style="647" customWidth="1"/>
    <col min="17" max="23" width="0" style="647" hidden="1" customWidth="1"/>
    <col min="24" max="24" width="15.37109375" style="647" bestFit="1" customWidth="1"/>
    <col min="25" max="25" width="17.39453125" style="647" bestFit="1" customWidth="1"/>
    <col min="26" max="33" width="0" style="647" hidden="1" customWidth="1"/>
    <col min="34" max="16384" width="10.3828125" style="647"/>
  </cols>
  <sheetData>
    <row r="1" spans="1:33" x14ac:dyDescent="0.15">
      <c r="B1" s="648"/>
      <c r="C1" s="648"/>
      <c r="D1" s="648"/>
      <c r="E1" s="648"/>
      <c r="F1" s="648"/>
      <c r="G1" s="648"/>
      <c r="H1" s="648"/>
      <c r="I1" s="648"/>
      <c r="J1" s="648"/>
      <c r="K1" s="648"/>
      <c r="L1" s="648"/>
      <c r="M1" s="648"/>
      <c r="N1" s="188"/>
      <c r="O1" s="188"/>
    </row>
    <row r="2" spans="1:33" x14ac:dyDescent="0.15">
      <c r="G2" s="1275" t="s">
        <v>794</v>
      </c>
      <c r="H2" s="1275"/>
      <c r="I2" s="1275"/>
      <c r="J2" s="1275"/>
      <c r="K2" s="649"/>
      <c r="L2" s="649"/>
      <c r="M2" s="649"/>
      <c r="N2" s="649"/>
      <c r="O2" s="649"/>
    </row>
    <row r="3" spans="1:33" x14ac:dyDescent="0.15">
      <c r="G3" s="647" t="s">
        <v>795</v>
      </c>
      <c r="H3" s="647" t="e" vm="4">
        <v>#VALUE!</v>
      </c>
      <c r="M3" s="188"/>
      <c r="N3" s="188"/>
      <c r="O3" s="188"/>
    </row>
    <row r="4" spans="1:33" x14ac:dyDescent="0.15">
      <c r="D4" s="1275" t="s">
        <v>796</v>
      </c>
      <c r="E4" s="1275"/>
      <c r="F4" s="1275"/>
      <c r="G4" s="1275"/>
      <c r="H4" s="1275"/>
      <c r="I4" s="1275"/>
      <c r="J4" s="1275"/>
      <c r="K4" s="1275"/>
      <c r="L4" s="1275"/>
      <c r="M4" s="1275"/>
      <c r="N4" s="188"/>
      <c r="O4" s="188"/>
    </row>
    <row r="5" spans="1:33" x14ac:dyDescent="0.15">
      <c r="A5" s="648" t="s">
        <v>797</v>
      </c>
      <c r="B5" s="651">
        <v>2022</v>
      </c>
      <c r="C5" s="651">
        <f>B5-1</f>
        <v>2021</v>
      </c>
      <c r="D5" s="651">
        <f t="shared" ref="D5:M5" si="0">C5-1</f>
        <v>2020</v>
      </c>
      <c r="E5" s="651">
        <f t="shared" si="0"/>
        <v>2019</v>
      </c>
      <c r="F5" s="651">
        <f t="shared" si="0"/>
        <v>2018</v>
      </c>
      <c r="G5" s="651">
        <f t="shared" si="0"/>
        <v>2017</v>
      </c>
      <c r="H5" s="651">
        <f t="shared" si="0"/>
        <v>2016</v>
      </c>
      <c r="I5" s="651">
        <f t="shared" si="0"/>
        <v>2015</v>
      </c>
      <c r="J5" s="651">
        <f t="shared" si="0"/>
        <v>2014</v>
      </c>
      <c r="K5" s="651">
        <f t="shared" si="0"/>
        <v>2013</v>
      </c>
      <c r="L5" s="651">
        <f t="shared" si="0"/>
        <v>2012</v>
      </c>
      <c r="M5" s="651">
        <f t="shared" si="0"/>
        <v>2011</v>
      </c>
      <c r="N5" s="188"/>
      <c r="O5" s="188"/>
      <c r="Q5" s="652" t="s">
        <v>798</v>
      </c>
      <c r="R5" s="1276" t="s">
        <v>799</v>
      </c>
      <c r="S5" s="1276"/>
      <c r="T5" s="647" t="s">
        <v>800</v>
      </c>
      <c r="Z5" s="648">
        <v>2016</v>
      </c>
      <c r="AA5" s="648">
        <v>2015</v>
      </c>
      <c r="AB5" s="648">
        <v>2014</v>
      </c>
      <c r="AC5" s="648">
        <v>2013</v>
      </c>
      <c r="AD5" s="648">
        <v>2012</v>
      </c>
      <c r="AE5" s="648">
        <v>2011</v>
      </c>
      <c r="AF5" s="648">
        <v>2010</v>
      </c>
      <c r="AG5" s="648">
        <v>2009</v>
      </c>
    </row>
    <row r="6" spans="1:33" x14ac:dyDescent="0.15">
      <c r="A6" s="653" t="s">
        <v>124</v>
      </c>
      <c r="B6" s="654">
        <v>324162</v>
      </c>
      <c r="C6" s="654">
        <v>287597</v>
      </c>
      <c r="D6" s="654">
        <v>257141</v>
      </c>
      <c r="E6" s="654">
        <v>242155</v>
      </c>
      <c r="F6" s="654">
        <v>226247</v>
      </c>
      <c r="G6" s="654">
        <v>201159</v>
      </c>
      <c r="H6" s="655">
        <v>184840</v>
      </c>
      <c r="I6" s="654">
        <v>157107</v>
      </c>
      <c r="J6" s="654">
        <v>130474</v>
      </c>
      <c r="K6" s="654">
        <v>122489</v>
      </c>
      <c r="L6" s="654">
        <v>110618</v>
      </c>
      <c r="M6" s="654">
        <v>101862</v>
      </c>
      <c r="N6" s="656" t="s">
        <v>801</v>
      </c>
      <c r="O6" s="188" t="s">
        <v>802</v>
      </c>
      <c r="P6" s="188"/>
      <c r="Q6" s="647" t="s">
        <v>803</v>
      </c>
      <c r="R6" s="647" t="s">
        <v>803</v>
      </c>
      <c r="X6" s="657"/>
      <c r="Y6" s="657"/>
      <c r="Z6" s="658">
        <v>38537</v>
      </c>
      <c r="AA6" s="658">
        <v>47011</v>
      </c>
      <c r="AB6" s="658">
        <v>55184</v>
      </c>
      <c r="AC6" s="658">
        <v>55656</v>
      </c>
      <c r="AD6" s="658">
        <v>65875</v>
      </c>
      <c r="AE6" s="658">
        <v>60138</v>
      </c>
      <c r="AF6" s="658">
        <v>42588</v>
      </c>
      <c r="AG6" s="658">
        <v>32396</v>
      </c>
    </row>
    <row r="7" spans="1:33" x14ac:dyDescent="0.15">
      <c r="A7" s="653" t="s">
        <v>753</v>
      </c>
      <c r="B7" s="654">
        <f>B6-33703</f>
        <v>290459</v>
      </c>
      <c r="C7" s="654">
        <f>C6-31034</f>
        <v>256563</v>
      </c>
      <c r="D7" s="654">
        <v>226396</v>
      </c>
      <c r="E7" s="654">
        <v>214038</v>
      </c>
      <c r="F7" s="654">
        <v>199249</v>
      </c>
      <c r="G7" s="654">
        <v>177047</v>
      </c>
      <c r="H7" s="659">
        <v>160424</v>
      </c>
      <c r="I7" s="660">
        <v>140901</v>
      </c>
      <c r="J7" s="654">
        <v>126690</v>
      </c>
      <c r="K7" s="654">
        <v>119650</v>
      </c>
      <c r="L7" s="654">
        <v>108095</v>
      </c>
      <c r="M7" s="654">
        <v>99477</v>
      </c>
      <c r="N7" s="656" t="s">
        <v>801</v>
      </c>
      <c r="O7" s="188" t="str">
        <f>+A7</f>
        <v>Gross Profit</v>
      </c>
      <c r="P7" s="188"/>
      <c r="Q7" s="647" t="s">
        <v>803</v>
      </c>
      <c r="R7" s="647" t="s">
        <v>804</v>
      </c>
      <c r="Z7" s="661">
        <f>Z6-28044</f>
        <v>10493</v>
      </c>
      <c r="AA7" s="661">
        <f>AA6-33546</f>
        <v>13465</v>
      </c>
      <c r="AB7" s="661">
        <f>AB6-40718</f>
        <v>14466</v>
      </c>
      <c r="AC7" s="661">
        <f>AC6-40727</f>
        <v>14929</v>
      </c>
      <c r="AD7" s="662">
        <f>+AD6-47055</f>
        <v>18820</v>
      </c>
      <c r="AE7" s="662">
        <f>+AE6-43578</f>
        <v>16560</v>
      </c>
      <c r="AF7" s="662">
        <f>+AF6-30367</f>
        <v>12221</v>
      </c>
      <c r="AG7" s="662">
        <f>+AG6-23886</f>
        <v>8510</v>
      </c>
    </row>
    <row r="8" spans="1:33" x14ac:dyDescent="0.15">
      <c r="A8" s="653" t="s">
        <v>355</v>
      </c>
      <c r="B8" s="654">
        <v>28435</v>
      </c>
      <c r="C8" s="654">
        <v>23970</v>
      </c>
      <c r="D8" s="654">
        <v>22405</v>
      </c>
      <c r="E8" s="654">
        <v>19685</v>
      </c>
      <c r="F8" s="654">
        <v>17344</v>
      </c>
      <c r="G8" s="654">
        <v>15209</v>
      </c>
      <c r="H8" s="659">
        <v>12930</v>
      </c>
      <c r="I8" s="660">
        <v>11021</v>
      </c>
      <c r="J8" s="660">
        <v>10274</v>
      </c>
      <c r="K8" s="660">
        <v>9623</v>
      </c>
      <c r="L8" s="660">
        <v>9254</v>
      </c>
      <c r="M8" s="660">
        <v>8464</v>
      </c>
      <c r="N8" s="656" t="s">
        <v>801</v>
      </c>
      <c r="O8" s="188" t="s">
        <v>355</v>
      </c>
      <c r="P8" s="188"/>
      <c r="Q8" s="647" t="s">
        <v>803</v>
      </c>
      <c r="R8" s="5" t="s">
        <v>805</v>
      </c>
      <c r="Z8" s="661">
        <f>Z7-4383</f>
        <v>6110</v>
      </c>
      <c r="AA8" s="661">
        <f>AA7-4951</f>
        <v>8514</v>
      </c>
      <c r="AB8" s="661">
        <f>AB7-6529</f>
        <v>7937</v>
      </c>
      <c r="AC8" s="661">
        <f>AC7-5547</f>
        <v>9382</v>
      </c>
      <c r="AD8" s="662">
        <f>AD7-5919-2466-797-580-485</f>
        <v>8573</v>
      </c>
      <c r="AE8" s="662">
        <f>+AE7-5203-2297-826-1081</f>
        <v>7153</v>
      </c>
      <c r="AF8" s="662">
        <f>+AF7-4248-1905-914-1191</f>
        <v>3963</v>
      </c>
      <c r="AG8" s="662">
        <f>+AG7-3645-1421-1045-1822</f>
        <v>577</v>
      </c>
    </row>
    <row r="9" spans="1:33" x14ac:dyDescent="0.15">
      <c r="A9" s="653" t="s">
        <v>757</v>
      </c>
      <c r="B9" s="654"/>
      <c r="C9" s="654"/>
      <c r="D9" s="654"/>
      <c r="E9" s="654"/>
      <c r="F9" s="654"/>
      <c r="G9" s="654"/>
      <c r="H9" s="654"/>
      <c r="I9" s="654"/>
      <c r="J9" s="654"/>
      <c r="K9" s="654"/>
      <c r="L9" s="654"/>
      <c r="M9" s="654"/>
      <c r="N9" s="656" t="s">
        <v>801</v>
      </c>
      <c r="O9" s="188" t="s">
        <v>806</v>
      </c>
      <c r="P9" s="188"/>
      <c r="Q9" s="647" t="s">
        <v>803</v>
      </c>
      <c r="R9" s="647" t="s">
        <v>807</v>
      </c>
      <c r="S9" s="647" t="s">
        <v>808</v>
      </c>
      <c r="T9" s="647" t="s">
        <v>809</v>
      </c>
      <c r="U9" s="647" t="s">
        <v>810</v>
      </c>
      <c r="V9" s="647" t="s">
        <v>811</v>
      </c>
      <c r="Z9" s="661">
        <f>1853+596+595+1904+6+8</f>
        <v>4962</v>
      </c>
      <c r="AA9" s="661">
        <f>2119+587+2023+11</f>
        <v>4740</v>
      </c>
      <c r="AB9" s="661">
        <f>2380+624+1619-8+16</f>
        <v>4631</v>
      </c>
      <c r="AC9" s="661">
        <f>2046+727+981+6+14</f>
        <v>3774</v>
      </c>
      <c r="AD9" s="662">
        <f>-14+41</f>
        <v>27</v>
      </c>
      <c r="AE9" s="661">
        <v>53</v>
      </c>
      <c r="AF9" s="661">
        <f>58+24</f>
        <v>82</v>
      </c>
      <c r="AG9" s="661">
        <f>12-68</f>
        <v>-56</v>
      </c>
    </row>
    <row r="10" spans="1:33" x14ac:dyDescent="0.15">
      <c r="A10" s="653" t="s">
        <v>356</v>
      </c>
      <c r="B10" s="654">
        <v>-2092</v>
      </c>
      <c r="C10" s="654">
        <v>-1660</v>
      </c>
      <c r="D10" s="654">
        <v>-1663</v>
      </c>
      <c r="E10" s="654">
        <v>-1704</v>
      </c>
      <c r="F10" s="654">
        <v>-1400</v>
      </c>
      <c r="G10" s="654">
        <v>-1186</v>
      </c>
      <c r="H10" s="659">
        <v>-1067</v>
      </c>
      <c r="I10" s="660">
        <v>-790</v>
      </c>
      <c r="J10" s="654">
        <v>-618</v>
      </c>
      <c r="K10" s="654">
        <v>-708</v>
      </c>
      <c r="L10" s="654">
        <v>-632</v>
      </c>
      <c r="M10" s="654">
        <v>-505</v>
      </c>
      <c r="N10" s="656" t="s">
        <v>801</v>
      </c>
      <c r="O10" s="188" t="s">
        <v>812</v>
      </c>
      <c r="P10" s="188"/>
      <c r="Q10" s="647" t="s">
        <v>803</v>
      </c>
      <c r="R10" s="647" t="s">
        <v>813</v>
      </c>
      <c r="Z10" s="661">
        <f>505+518</f>
        <v>1023</v>
      </c>
      <c r="AA10" s="661">
        <f>507-161</f>
        <v>346</v>
      </c>
      <c r="AB10" s="661">
        <f>484-322</f>
        <v>162</v>
      </c>
      <c r="AC10" s="661">
        <f>465+35</f>
        <v>500</v>
      </c>
      <c r="AD10" s="662">
        <f>467-130</f>
        <v>337</v>
      </c>
      <c r="AE10" s="661">
        <f>396+32</f>
        <v>428</v>
      </c>
      <c r="AF10" s="661">
        <f>343-130</f>
        <v>213</v>
      </c>
      <c r="AG10" s="661">
        <f>389-381</f>
        <v>8</v>
      </c>
    </row>
    <row r="11" spans="1:33" x14ac:dyDescent="0.15">
      <c r="A11" s="653" t="s">
        <v>357</v>
      </c>
      <c r="B11" s="654">
        <v>-5704</v>
      </c>
      <c r="C11" s="654">
        <v>-4578</v>
      </c>
      <c r="D11" s="654">
        <v>-4973</v>
      </c>
      <c r="E11" s="654">
        <v>-3742</v>
      </c>
      <c r="F11" s="654">
        <v>-3562</v>
      </c>
      <c r="G11" s="654">
        <v>-4400</v>
      </c>
      <c r="H11" s="659">
        <v>-4790</v>
      </c>
      <c r="I11" s="660">
        <v>-4363</v>
      </c>
      <c r="J11" s="654">
        <v>-4037</v>
      </c>
      <c r="K11" s="654">
        <v>-3242</v>
      </c>
      <c r="L11" s="654">
        <v>-3096</v>
      </c>
      <c r="M11" s="654">
        <v>-2817</v>
      </c>
      <c r="N11" s="656" t="s">
        <v>801</v>
      </c>
      <c r="O11" s="188" t="s">
        <v>357</v>
      </c>
      <c r="P11" s="188"/>
      <c r="Q11" s="647" t="s">
        <v>803</v>
      </c>
      <c r="R11" s="647" t="s">
        <v>814</v>
      </c>
      <c r="Z11" s="658">
        <v>192</v>
      </c>
      <c r="AA11" s="658">
        <v>916</v>
      </c>
      <c r="AB11" s="658">
        <v>692</v>
      </c>
      <c r="AC11" s="658">
        <v>1319</v>
      </c>
      <c r="AD11" s="663">
        <f>2528</f>
        <v>2528</v>
      </c>
      <c r="AE11" s="658">
        <f>1720</f>
        <v>1720</v>
      </c>
      <c r="AF11" s="658">
        <f>968</f>
        <v>968</v>
      </c>
      <c r="AG11" s="658">
        <f>-270</f>
        <v>-270</v>
      </c>
    </row>
    <row r="12" spans="1:33" x14ac:dyDescent="0.15">
      <c r="A12" s="653" t="s">
        <v>64</v>
      </c>
      <c r="B12" s="654">
        <v>20639</v>
      </c>
      <c r="C12" s="654">
        <v>17732</v>
      </c>
      <c r="D12" s="654">
        <v>15769</v>
      </c>
      <c r="E12" s="654">
        <v>14239</v>
      </c>
      <c r="F12" s="654">
        <v>12382</v>
      </c>
      <c r="G12" s="654">
        <v>9623</v>
      </c>
      <c r="H12" s="655">
        <v>7073</v>
      </c>
      <c r="I12" s="654">
        <v>5868</v>
      </c>
      <c r="J12" s="654">
        <v>5619</v>
      </c>
      <c r="K12" s="654">
        <v>5673</v>
      </c>
      <c r="L12" s="654">
        <v>5526</v>
      </c>
      <c r="M12" s="654">
        <v>5142</v>
      </c>
      <c r="N12" s="656" t="s">
        <v>801</v>
      </c>
      <c r="O12" s="188" t="s">
        <v>64</v>
      </c>
      <c r="P12" s="188"/>
      <c r="Q12" s="647" t="s">
        <v>815</v>
      </c>
      <c r="R12" s="647" t="s">
        <v>816</v>
      </c>
      <c r="Z12" s="658">
        <v>-67</v>
      </c>
      <c r="AA12" s="658">
        <v>2512</v>
      </c>
      <c r="AB12" s="658">
        <v>2452</v>
      </c>
      <c r="AC12" s="658">
        <v>3789</v>
      </c>
      <c r="AD12" s="658">
        <v>5681</v>
      </c>
      <c r="AE12" s="658">
        <f>4928+24</f>
        <v>4952</v>
      </c>
      <c r="AF12" s="658">
        <v>2700</v>
      </c>
      <c r="AG12" s="658">
        <v>895</v>
      </c>
    </row>
    <row r="13" spans="1:33" x14ac:dyDescent="0.15">
      <c r="B13" s="664">
        <f>SUM(B8:B11)</f>
        <v>20639</v>
      </c>
      <c r="C13" s="664">
        <f t="shared" ref="C13:M13" si="1">SUM(C8:C11)</f>
        <v>17732</v>
      </c>
      <c r="D13" s="664">
        <f t="shared" si="1"/>
        <v>15769</v>
      </c>
      <c r="E13" s="664">
        <f>SUM(E8:E11)</f>
        <v>14239</v>
      </c>
      <c r="F13" s="664">
        <f t="shared" si="1"/>
        <v>12382</v>
      </c>
      <c r="G13" s="664">
        <f t="shared" si="1"/>
        <v>9623</v>
      </c>
      <c r="H13" s="664">
        <f t="shared" si="1"/>
        <v>7073</v>
      </c>
      <c r="I13" s="664">
        <f t="shared" si="1"/>
        <v>5868</v>
      </c>
      <c r="J13" s="664">
        <f t="shared" si="1"/>
        <v>5619</v>
      </c>
      <c r="K13" s="664">
        <f t="shared" si="1"/>
        <v>5673</v>
      </c>
      <c r="L13" s="664">
        <f t="shared" si="1"/>
        <v>5526</v>
      </c>
      <c r="M13" s="664">
        <f t="shared" si="1"/>
        <v>5142</v>
      </c>
      <c r="N13" s="188"/>
      <c r="O13" s="188"/>
      <c r="P13" s="188"/>
      <c r="Z13" s="650">
        <f t="shared" ref="Z13:AG13" si="2">Z8-Z10-Z9-Z11</f>
        <v>-67</v>
      </c>
      <c r="AA13" s="650">
        <f t="shared" si="2"/>
        <v>2512</v>
      </c>
      <c r="AB13" s="650">
        <f t="shared" si="2"/>
        <v>2452</v>
      </c>
      <c r="AC13" s="650">
        <f t="shared" si="2"/>
        <v>3789</v>
      </c>
      <c r="AD13" s="650">
        <f t="shared" si="2"/>
        <v>5681</v>
      </c>
      <c r="AE13" s="650">
        <f t="shared" si="2"/>
        <v>4952</v>
      </c>
      <c r="AF13" s="650">
        <f t="shared" si="2"/>
        <v>2700</v>
      </c>
      <c r="AG13" s="650">
        <f t="shared" si="2"/>
        <v>895</v>
      </c>
    </row>
    <row r="14" spans="1:33" x14ac:dyDescent="0.15">
      <c r="A14" s="648" t="s">
        <v>817</v>
      </c>
      <c r="B14" s="665">
        <f>B12-B13</f>
        <v>0</v>
      </c>
      <c r="C14" s="665">
        <f t="shared" ref="C14:M14" si="3">C12-C13</f>
        <v>0</v>
      </c>
      <c r="D14" s="665">
        <f t="shared" si="3"/>
        <v>0</v>
      </c>
      <c r="E14" s="665">
        <f t="shared" si="3"/>
        <v>0</v>
      </c>
      <c r="F14" s="665">
        <f t="shared" si="3"/>
        <v>0</v>
      </c>
      <c r="G14" s="665">
        <f t="shared" si="3"/>
        <v>0</v>
      </c>
      <c r="H14" s="665">
        <f t="shared" si="3"/>
        <v>0</v>
      </c>
      <c r="I14" s="665">
        <f t="shared" si="3"/>
        <v>0</v>
      </c>
      <c r="J14" s="665">
        <f t="shared" si="3"/>
        <v>0</v>
      </c>
      <c r="K14" s="665">
        <f t="shared" si="3"/>
        <v>0</v>
      </c>
      <c r="L14" s="665">
        <f t="shared" si="3"/>
        <v>0</v>
      </c>
      <c r="M14" s="665">
        <f t="shared" si="3"/>
        <v>0</v>
      </c>
      <c r="N14" s="188"/>
      <c r="O14" s="188"/>
      <c r="P14" s="188"/>
      <c r="Z14" s="666">
        <f t="shared" ref="Z14:AG14" si="4">Z12-Z13</f>
        <v>0</v>
      </c>
      <c r="AA14" s="666">
        <f t="shared" si="4"/>
        <v>0</v>
      </c>
      <c r="AB14" s="666">
        <f t="shared" si="4"/>
        <v>0</v>
      </c>
      <c r="AC14" s="666">
        <f t="shared" si="4"/>
        <v>0</v>
      </c>
      <c r="AD14" s="666">
        <f t="shared" si="4"/>
        <v>0</v>
      </c>
      <c r="AE14" s="666">
        <f t="shared" si="4"/>
        <v>0</v>
      </c>
      <c r="AF14" s="666">
        <f t="shared" si="4"/>
        <v>0</v>
      </c>
      <c r="AG14" s="666">
        <f t="shared" si="4"/>
        <v>0</v>
      </c>
    </row>
    <row r="15" spans="1:33" x14ac:dyDescent="0.15">
      <c r="A15" s="188"/>
      <c r="B15" s="208"/>
      <c r="C15" s="208"/>
      <c r="D15" s="208"/>
      <c r="E15" s="208"/>
      <c r="F15" s="208"/>
      <c r="G15" s="208"/>
      <c r="H15" s="208"/>
      <c r="I15" s="208"/>
      <c r="J15" s="208"/>
      <c r="K15" s="208"/>
      <c r="L15" s="208"/>
      <c r="M15" s="208"/>
      <c r="N15" s="188"/>
      <c r="O15" s="188"/>
      <c r="P15" s="188"/>
      <c r="Z15" s="658"/>
      <c r="AA15" s="658"/>
      <c r="AB15" s="658"/>
      <c r="AC15" s="658"/>
      <c r="AD15" s="658"/>
      <c r="AE15" s="658"/>
      <c r="AF15" s="658"/>
      <c r="AG15" s="658"/>
    </row>
    <row r="16" spans="1:33" x14ac:dyDescent="0.15">
      <c r="A16" s="653" t="s">
        <v>818</v>
      </c>
      <c r="B16" s="667">
        <v>937</v>
      </c>
      <c r="C16" s="667">
        <v>943</v>
      </c>
      <c r="D16" s="667">
        <v>949</v>
      </c>
      <c r="E16" s="667">
        <v>951</v>
      </c>
      <c r="F16" s="667">
        <v>963</v>
      </c>
      <c r="G16" s="667">
        <v>964</v>
      </c>
      <c r="H16" s="668">
        <v>952</v>
      </c>
      <c r="I16" s="667">
        <v>953</v>
      </c>
      <c r="J16" s="667">
        <v>986</v>
      </c>
      <c r="K16" s="667">
        <v>1006</v>
      </c>
      <c r="L16" s="667">
        <v>1027</v>
      </c>
      <c r="M16" s="667">
        <v>1070</v>
      </c>
      <c r="N16" s="656"/>
      <c r="O16" s="188"/>
      <c r="P16" s="188"/>
      <c r="Z16" s="658"/>
      <c r="AA16" s="658"/>
      <c r="AB16" s="658"/>
      <c r="AC16" s="658"/>
      <c r="AD16" s="658"/>
      <c r="AE16" s="658"/>
      <c r="AF16" s="658"/>
      <c r="AG16" s="658"/>
    </row>
    <row r="17" spans="1:152" x14ac:dyDescent="0.15">
      <c r="A17" s="653" t="s">
        <v>819</v>
      </c>
      <c r="B17" s="667">
        <v>950</v>
      </c>
      <c r="C17" s="667">
        <v>956</v>
      </c>
      <c r="D17" s="667">
        <v>961</v>
      </c>
      <c r="E17" s="667">
        <v>966</v>
      </c>
      <c r="F17" s="667">
        <v>983</v>
      </c>
      <c r="G17" s="667">
        <v>985</v>
      </c>
      <c r="H17" s="668">
        <v>968</v>
      </c>
      <c r="I17" s="667">
        <v>967</v>
      </c>
      <c r="J17" s="667">
        <v>986</v>
      </c>
      <c r="K17" s="667">
        <v>1023</v>
      </c>
      <c r="L17" s="667">
        <v>1046</v>
      </c>
      <c r="M17" s="667">
        <v>1087</v>
      </c>
      <c r="N17" s="656"/>
      <c r="O17" s="188"/>
      <c r="P17" s="188"/>
      <c r="Z17" s="658"/>
      <c r="AA17" s="658"/>
      <c r="AB17" s="658"/>
      <c r="AC17" s="658"/>
      <c r="AD17" s="658"/>
      <c r="AE17" s="658"/>
      <c r="AF17" s="658"/>
      <c r="AG17" s="658"/>
    </row>
    <row r="18" spans="1:152" s="188" customFormat="1" ht="12.75" x14ac:dyDescent="0.15">
      <c r="B18" s="208"/>
      <c r="C18" s="208"/>
      <c r="D18" s="208"/>
      <c r="E18" s="208"/>
      <c r="F18" s="208"/>
      <c r="G18" s="208"/>
      <c r="H18" s="208"/>
      <c r="I18" s="208"/>
      <c r="J18" s="208"/>
      <c r="K18" s="208"/>
      <c r="L18" s="208"/>
      <c r="M18" s="208"/>
    </row>
    <row r="19" spans="1:152" x14ac:dyDescent="0.15">
      <c r="A19" s="653" t="s">
        <v>820</v>
      </c>
      <c r="B19" s="654">
        <v>192</v>
      </c>
      <c r="C19" s="654">
        <v>-657</v>
      </c>
      <c r="D19" s="654">
        <v>-983</v>
      </c>
      <c r="E19" s="654">
        <v>-271</v>
      </c>
      <c r="F19" s="654">
        <v>-1242</v>
      </c>
      <c r="G19" s="654">
        <v>-70</v>
      </c>
      <c r="H19" s="655">
        <v>806</v>
      </c>
      <c r="I19" s="654">
        <v>-1775</v>
      </c>
      <c r="J19" s="654">
        <v>-653</v>
      </c>
      <c r="K19" s="654">
        <v>-884</v>
      </c>
      <c r="L19" s="654">
        <v>-63</v>
      </c>
      <c r="M19" s="654">
        <v>13</v>
      </c>
      <c r="N19" s="656"/>
      <c r="O19" s="188"/>
      <c r="P19" s="188"/>
      <c r="Z19" s="658"/>
      <c r="AA19" s="658"/>
      <c r="AB19" s="658"/>
      <c r="AC19" s="658"/>
      <c r="AD19" s="658"/>
      <c r="AE19" s="658"/>
      <c r="AF19" s="658"/>
      <c r="AG19" s="658"/>
    </row>
    <row r="20" spans="1:152" x14ac:dyDescent="0.15">
      <c r="A20" s="652" t="s">
        <v>821</v>
      </c>
      <c r="B20" s="654">
        <v>17630</v>
      </c>
      <c r="C20" s="654">
        <v>16162</v>
      </c>
      <c r="D20" s="654">
        <v>15533</v>
      </c>
      <c r="E20" s="654">
        <v>14821</v>
      </c>
      <c r="F20" s="654">
        <v>10865</v>
      </c>
      <c r="G20" s="654">
        <v>10837</v>
      </c>
      <c r="H20" s="655">
        <v>7726</v>
      </c>
      <c r="I20" s="654">
        <v>3926</v>
      </c>
      <c r="J20" s="654">
        <v>5135</v>
      </c>
      <c r="K20" s="654">
        <v>4327</v>
      </c>
      <c r="L20" s="654">
        <v>5503</v>
      </c>
      <c r="M20" s="654">
        <v>5351</v>
      </c>
      <c r="N20" s="656"/>
      <c r="O20" s="188"/>
      <c r="P20" s="188"/>
      <c r="Z20" s="658"/>
      <c r="AA20" s="658"/>
      <c r="AB20" s="658"/>
      <c r="AC20" s="658"/>
      <c r="AD20" s="658"/>
      <c r="AE20" s="658"/>
      <c r="AF20" s="658"/>
      <c r="AG20" s="658"/>
    </row>
    <row r="21" spans="1:152" s="188" customFormat="1" ht="12.75" x14ac:dyDescent="0.15">
      <c r="B21" s="208"/>
      <c r="C21" s="208"/>
      <c r="D21" s="208"/>
      <c r="E21" s="208"/>
      <c r="F21" s="208"/>
      <c r="G21" s="208"/>
      <c r="H21" s="208"/>
      <c r="I21" s="208"/>
      <c r="J21" s="208"/>
      <c r="K21" s="208"/>
      <c r="L21" s="208"/>
      <c r="M21" s="208"/>
    </row>
    <row r="22" spans="1:152" x14ac:dyDescent="0.15">
      <c r="A22" s="647" t="s">
        <v>758</v>
      </c>
      <c r="B22" s="664">
        <f>B23-C23</f>
        <v>-7638</v>
      </c>
      <c r="C22" s="664">
        <f t="shared" ref="C22:L22" si="5">C23-D23</f>
        <v>-1958</v>
      </c>
      <c r="D22" s="664">
        <f t="shared" si="5"/>
        <v>-5090</v>
      </c>
      <c r="E22" s="664">
        <f t="shared" si="5"/>
        <v>-4552</v>
      </c>
      <c r="F22" s="664">
        <f t="shared" si="5"/>
        <v>28</v>
      </c>
      <c r="G22" s="664">
        <f t="shared" si="5"/>
        <v>-221</v>
      </c>
      <c r="H22" s="664">
        <f t="shared" si="5"/>
        <v>-4468</v>
      </c>
      <c r="I22" s="664">
        <f t="shared" si="5"/>
        <v>-7877</v>
      </c>
      <c r="J22" s="664">
        <f t="shared" si="5"/>
        <v>411</v>
      </c>
      <c r="K22" s="664">
        <f t="shared" si="5"/>
        <v>787</v>
      </c>
      <c r="L22" s="664">
        <f t="shared" si="5"/>
        <v>-1923</v>
      </c>
      <c r="M22" s="664"/>
      <c r="N22" s="669" t="s">
        <v>822</v>
      </c>
      <c r="O22" s="188" t="s">
        <v>823</v>
      </c>
      <c r="P22" s="188"/>
      <c r="Q22" s="647" t="s">
        <v>815</v>
      </c>
      <c r="Z22" s="658"/>
      <c r="AA22" s="658"/>
      <c r="AB22" s="658"/>
      <c r="AC22" s="658"/>
      <c r="AD22" s="663"/>
      <c r="AE22" s="658"/>
      <c r="AF22" s="658"/>
      <c r="AG22" s="658"/>
    </row>
    <row r="23" spans="1:152" x14ac:dyDescent="0.15">
      <c r="A23" s="653" t="s">
        <v>824</v>
      </c>
      <c r="B23" s="654">
        <f>B27-B42-B28</f>
        <v>-48079</v>
      </c>
      <c r="C23" s="654">
        <f t="shared" ref="C23:M23" si="6">C27-C42-C28</f>
        <v>-40441</v>
      </c>
      <c r="D23" s="654">
        <f t="shared" si="6"/>
        <v>-38483</v>
      </c>
      <c r="E23" s="654">
        <f t="shared" si="6"/>
        <v>-33393</v>
      </c>
      <c r="F23" s="654">
        <f t="shared" si="6"/>
        <v>-28841</v>
      </c>
      <c r="G23" s="654">
        <f t="shared" si="6"/>
        <v>-28869</v>
      </c>
      <c r="H23" s="654">
        <f t="shared" si="6"/>
        <v>-28648</v>
      </c>
      <c r="I23" s="654">
        <f t="shared" si="6"/>
        <v>-24180</v>
      </c>
      <c r="J23" s="654">
        <f t="shared" si="6"/>
        <v>-16303</v>
      </c>
      <c r="K23" s="654">
        <f t="shared" si="6"/>
        <v>-16714</v>
      </c>
      <c r="L23" s="654">
        <f t="shared" si="6"/>
        <v>-17501</v>
      </c>
      <c r="M23" s="654">
        <f t="shared" si="6"/>
        <v>-15578</v>
      </c>
      <c r="N23" s="669"/>
      <c r="O23" s="188"/>
      <c r="P23" s="188"/>
      <c r="Z23" s="658"/>
      <c r="AA23" s="658"/>
      <c r="AB23" s="658"/>
      <c r="AC23" s="658"/>
      <c r="AD23" s="663"/>
      <c r="AE23" s="658"/>
      <c r="AF23" s="658"/>
      <c r="AG23" s="658"/>
    </row>
    <row r="24" spans="1:152" x14ac:dyDescent="0.15">
      <c r="A24" s="351">
        <v>2625</v>
      </c>
      <c r="B24" s="670">
        <v>2246</v>
      </c>
      <c r="C24" s="670">
        <v>1522</v>
      </c>
      <c r="D24" s="670">
        <v>2895</v>
      </c>
      <c r="E24" s="671">
        <v>683</v>
      </c>
      <c r="F24" s="671">
        <v>294</v>
      </c>
      <c r="G24" s="671">
        <v>679</v>
      </c>
      <c r="H24" s="671">
        <v>183</v>
      </c>
      <c r="I24" s="670">
        <v>2081</v>
      </c>
      <c r="J24" s="670">
        <v>1005</v>
      </c>
      <c r="K24" s="671">
        <v>-306</v>
      </c>
      <c r="L24" s="671">
        <v>-178</v>
      </c>
      <c r="M24" s="671">
        <v>309</v>
      </c>
      <c r="N24" s="351">
        <v>2625</v>
      </c>
      <c r="O24" s="188"/>
      <c r="P24" s="188"/>
      <c r="Q24" s="647" t="s">
        <v>815</v>
      </c>
      <c r="R24" s="647" t="s">
        <v>825</v>
      </c>
      <c r="T24" s="647" t="s">
        <v>826</v>
      </c>
      <c r="Z24" s="658">
        <v>1799</v>
      </c>
      <c r="AA24" s="658">
        <v>1757</v>
      </c>
      <c r="AB24" s="658">
        <v>1620</v>
      </c>
      <c r="AC24" s="658">
        <v>1111</v>
      </c>
      <c r="AD24" s="658">
        <v>1617</v>
      </c>
      <c r="AE24" s="658">
        <v>1159</v>
      </c>
      <c r="AF24" s="658">
        <v>1084</v>
      </c>
      <c r="AG24" s="658">
        <v>1029</v>
      </c>
    </row>
    <row r="25" spans="1:152" x14ac:dyDescent="0.15">
      <c r="A25" s="648" t="s">
        <v>530</v>
      </c>
      <c r="B25" s="671">
        <v>2625</v>
      </c>
      <c r="C25" s="671">
        <v>2625</v>
      </c>
      <c r="D25" s="671">
        <v>2625</v>
      </c>
      <c r="E25" s="671">
        <v>2625</v>
      </c>
      <c r="F25" s="671">
        <v>2625</v>
      </c>
      <c r="G25" s="671">
        <v>2625</v>
      </c>
      <c r="H25" s="671">
        <v>2625</v>
      </c>
      <c r="I25" s="671">
        <v>2625</v>
      </c>
      <c r="J25" s="671">
        <v>2625</v>
      </c>
      <c r="K25" s="671">
        <v>2625</v>
      </c>
      <c r="L25" s="671">
        <v>2625</v>
      </c>
      <c r="M25" s="671">
        <v>2625</v>
      </c>
      <c r="N25" s="351">
        <v>2625</v>
      </c>
      <c r="O25" s="188"/>
      <c r="P25" s="188"/>
      <c r="Q25" s="647" t="s">
        <v>815</v>
      </c>
      <c r="R25" s="647" t="s">
        <v>827</v>
      </c>
      <c r="S25" s="647" t="s">
        <v>828</v>
      </c>
      <c r="T25" s="647" t="s">
        <v>829</v>
      </c>
      <c r="Z25" s="658">
        <v>23</v>
      </c>
      <c r="AA25" s="658">
        <f>-33+2025</f>
        <v>1992</v>
      </c>
      <c r="AB25" s="658">
        <v>3817</v>
      </c>
      <c r="AC25" s="658">
        <v>1776</v>
      </c>
      <c r="AD25" s="658">
        <v>-244</v>
      </c>
      <c r="AE25" s="658">
        <v>-312</v>
      </c>
      <c r="AF25" s="658">
        <v>-449</v>
      </c>
      <c r="AG25" s="658">
        <v>-110</v>
      </c>
    </row>
    <row r="26" spans="1:152" x14ac:dyDescent="0.15">
      <c r="A26" s="672" t="s">
        <v>830</v>
      </c>
      <c r="B26" s="125"/>
      <c r="C26" s="125"/>
      <c r="D26" s="125"/>
      <c r="E26" s="125"/>
      <c r="F26" s="125"/>
      <c r="G26" s="125"/>
      <c r="H26" s="125"/>
      <c r="I26" s="125"/>
      <c r="J26" s="125"/>
      <c r="K26" s="125"/>
      <c r="L26" s="125"/>
      <c r="M26" s="125"/>
      <c r="N26" s="351">
        <v>1922</v>
      </c>
      <c r="O26" s="351">
        <v>2625</v>
      </c>
      <c r="P26" s="188"/>
      <c r="Z26" s="658"/>
      <c r="AA26" s="658"/>
      <c r="AB26" s="658"/>
      <c r="AC26" s="658"/>
      <c r="AD26" s="658"/>
      <c r="AE26" s="658"/>
      <c r="AF26" s="658"/>
      <c r="AG26" s="658"/>
    </row>
    <row r="27" spans="1:152" x14ac:dyDescent="0.15">
      <c r="A27" s="652" t="s">
        <v>831</v>
      </c>
      <c r="B27" s="673">
        <v>69069</v>
      </c>
      <c r="C27" s="673">
        <v>61758</v>
      </c>
      <c r="D27" s="673">
        <v>53718</v>
      </c>
      <c r="E27" s="673">
        <v>42634</v>
      </c>
      <c r="F27" s="673">
        <v>38692</v>
      </c>
      <c r="G27" s="673">
        <v>37084</v>
      </c>
      <c r="H27" s="673">
        <v>33879</v>
      </c>
      <c r="I27" s="673">
        <v>31629</v>
      </c>
      <c r="J27" s="673">
        <v>23556</v>
      </c>
      <c r="K27" s="673">
        <v>20380</v>
      </c>
      <c r="L27" s="673">
        <v>21052</v>
      </c>
      <c r="M27" s="673">
        <v>20350</v>
      </c>
      <c r="N27" s="351"/>
      <c r="O27" s="351"/>
      <c r="P27" s="188"/>
      <c r="Z27" s="658"/>
      <c r="AA27" s="658"/>
      <c r="AB27" s="658"/>
      <c r="AC27" s="658"/>
      <c r="AD27" s="658"/>
      <c r="AE27" s="658"/>
      <c r="AF27" s="658"/>
      <c r="AG27" s="658"/>
    </row>
    <row r="28" spans="1:152" x14ac:dyDescent="0.15">
      <c r="A28" s="674" t="s">
        <v>360</v>
      </c>
      <c r="B28" s="654">
        <v>27911</v>
      </c>
      <c r="C28" s="654">
        <v>23907</v>
      </c>
      <c r="D28" s="654">
        <v>19781</v>
      </c>
      <c r="E28" s="654">
        <v>14245</v>
      </c>
      <c r="F28" s="654">
        <v>14324</v>
      </c>
      <c r="G28" s="654">
        <v>15490</v>
      </c>
      <c r="H28" s="654">
        <v>13275</v>
      </c>
      <c r="I28" s="654">
        <v>12911</v>
      </c>
      <c r="J28" s="654">
        <v>9236</v>
      </c>
      <c r="K28" s="654">
        <v>9213</v>
      </c>
      <c r="L28" s="654">
        <v>11437</v>
      </c>
      <c r="M28" s="654">
        <v>12006</v>
      </c>
      <c r="N28" s="675" t="s">
        <v>832</v>
      </c>
      <c r="O28" s="188" t="s">
        <v>360</v>
      </c>
      <c r="P28" s="188"/>
      <c r="Z28" s="676"/>
      <c r="AA28" s="676"/>
      <c r="AB28" s="676"/>
      <c r="AC28" s="676"/>
      <c r="AD28" s="676"/>
      <c r="AE28" s="666"/>
      <c r="AF28" s="666"/>
      <c r="AG28" s="666"/>
    </row>
    <row r="29" spans="1:152" x14ac:dyDescent="0.15">
      <c r="A29" s="677" t="s">
        <v>766</v>
      </c>
      <c r="B29" s="654">
        <v>30450</v>
      </c>
      <c r="C29" s="654">
        <v>28082</v>
      </c>
      <c r="D29" s="654">
        <v>25404</v>
      </c>
      <c r="E29" s="654">
        <v>21462</v>
      </c>
      <c r="F29" s="654">
        <v>18250</v>
      </c>
      <c r="G29" s="654">
        <v>15830</v>
      </c>
      <c r="H29" s="654">
        <v>15651</v>
      </c>
      <c r="I29" s="654">
        <v>13324</v>
      </c>
      <c r="J29" s="654">
        <v>9750</v>
      </c>
      <c r="K29" s="654">
        <v>7050</v>
      </c>
      <c r="L29" s="654">
        <v>5598</v>
      </c>
      <c r="M29" s="654">
        <v>4549</v>
      </c>
      <c r="N29" s="675" t="s">
        <v>832</v>
      </c>
      <c r="O29" s="188" t="s">
        <v>766</v>
      </c>
      <c r="P29" s="188"/>
      <c r="Z29" s="676"/>
      <c r="AA29" s="676"/>
      <c r="AB29" s="676"/>
      <c r="AC29" s="676"/>
      <c r="AD29" s="676"/>
      <c r="AE29" s="666"/>
      <c r="AF29" s="666"/>
      <c r="AG29" s="666"/>
    </row>
    <row r="30" spans="1:152" x14ac:dyDescent="0.15">
      <c r="A30" s="674" t="s">
        <v>833</v>
      </c>
      <c r="B30" s="654">
        <v>3500</v>
      </c>
      <c r="C30" s="654">
        <v>2900</v>
      </c>
      <c r="D30" s="654"/>
      <c r="E30" s="654"/>
      <c r="F30" s="654"/>
      <c r="G30" s="654"/>
      <c r="H30" s="654"/>
      <c r="I30" s="654"/>
      <c r="J30" s="654"/>
      <c r="K30" s="654"/>
      <c r="L30" s="654"/>
      <c r="M30" s="654"/>
      <c r="N30" s="675" t="s">
        <v>832</v>
      </c>
      <c r="O30" s="188" t="s">
        <v>362</v>
      </c>
      <c r="P30" s="188"/>
      <c r="Q30" s="647" t="s">
        <v>834</v>
      </c>
      <c r="R30" s="647" t="s">
        <v>835</v>
      </c>
      <c r="Z30" s="658">
        <v>7168</v>
      </c>
      <c r="AA30" s="658">
        <v>6460</v>
      </c>
      <c r="AB30" s="658">
        <v>7341</v>
      </c>
      <c r="AC30" s="658">
        <v>6081</v>
      </c>
      <c r="AD30" s="658">
        <v>5490</v>
      </c>
      <c r="AE30" s="658">
        <v>3057</v>
      </c>
      <c r="AF30" s="658">
        <v>3592</v>
      </c>
      <c r="AG30" s="658">
        <v>4867</v>
      </c>
    </row>
    <row r="31" spans="1:152" s="678" customFormat="1" x14ac:dyDescent="0.15">
      <c r="A31" s="674" t="s">
        <v>836</v>
      </c>
      <c r="B31" s="654">
        <f>B27-SUM(B28:B30)</f>
        <v>7208</v>
      </c>
      <c r="C31" s="654">
        <f t="shared" ref="C31:K31" si="7">C27-SUM(C28:C30)</f>
        <v>6869</v>
      </c>
      <c r="D31" s="654">
        <f t="shared" si="7"/>
        <v>8533</v>
      </c>
      <c r="E31" s="654">
        <f t="shared" si="7"/>
        <v>6927</v>
      </c>
      <c r="F31" s="654">
        <f t="shared" si="7"/>
        <v>6118</v>
      </c>
      <c r="G31" s="654">
        <f t="shared" si="7"/>
        <v>5764</v>
      </c>
      <c r="H31" s="654">
        <f t="shared" si="7"/>
        <v>4953</v>
      </c>
      <c r="I31" s="654">
        <f t="shared" si="7"/>
        <v>5394</v>
      </c>
      <c r="J31" s="654">
        <f t="shared" si="7"/>
        <v>4570</v>
      </c>
      <c r="K31" s="654">
        <f t="shared" si="7"/>
        <v>4117</v>
      </c>
      <c r="L31" s="654">
        <v>4017</v>
      </c>
      <c r="M31" s="654">
        <v>3795</v>
      </c>
      <c r="N31" s="675" t="s">
        <v>832</v>
      </c>
      <c r="O31" s="188" t="s">
        <v>362</v>
      </c>
      <c r="P31" s="188"/>
      <c r="Q31" s="647" t="s">
        <v>834</v>
      </c>
      <c r="R31" s="647" t="s">
        <v>837</v>
      </c>
      <c r="S31" s="647" t="s">
        <v>838</v>
      </c>
      <c r="T31" s="647" t="s">
        <v>839</v>
      </c>
      <c r="U31" s="647"/>
      <c r="V31" s="647"/>
      <c r="W31" s="647"/>
      <c r="X31" s="647"/>
      <c r="Y31" s="647"/>
      <c r="Z31" s="661">
        <f>5981+8522+1029+13556</f>
        <v>29088</v>
      </c>
      <c r="AA31" s="661">
        <f>6695+8991+1170+13651</f>
        <v>30507</v>
      </c>
      <c r="AB31" s="661">
        <f>7737+9027+1364+14644</f>
        <v>32772</v>
      </c>
      <c r="AC31" s="661">
        <v>33499</v>
      </c>
      <c r="AD31" s="661">
        <v>33911</v>
      </c>
      <c r="AE31" s="661">
        <v>31031</v>
      </c>
      <c r="AF31" s="661">
        <v>28849</v>
      </c>
      <c r="AG31" s="661">
        <v>27162</v>
      </c>
      <c r="AH31" s="647"/>
      <c r="AI31" s="647"/>
      <c r="AJ31" s="647"/>
      <c r="AK31" s="647"/>
      <c r="AL31" s="647"/>
      <c r="AM31" s="647"/>
      <c r="AN31" s="647"/>
      <c r="AO31" s="647"/>
      <c r="AP31" s="647"/>
      <c r="AQ31" s="647"/>
      <c r="AR31" s="647"/>
      <c r="AS31" s="647"/>
      <c r="AT31" s="647"/>
      <c r="AU31" s="647"/>
      <c r="AV31" s="647"/>
      <c r="AW31" s="647"/>
      <c r="AX31" s="647"/>
      <c r="AY31" s="647"/>
      <c r="AZ31" s="647"/>
      <c r="BA31" s="647"/>
      <c r="BB31" s="647"/>
      <c r="BC31" s="647"/>
      <c r="BD31" s="647"/>
      <c r="BE31" s="647"/>
      <c r="BF31" s="647"/>
      <c r="BG31" s="647"/>
      <c r="BH31" s="647"/>
      <c r="BI31" s="647"/>
      <c r="BJ31" s="647"/>
      <c r="BK31" s="647"/>
      <c r="BL31" s="647"/>
      <c r="BM31" s="647"/>
      <c r="BN31" s="647"/>
      <c r="BO31" s="647"/>
      <c r="BP31" s="647"/>
      <c r="BQ31" s="647"/>
      <c r="BR31" s="647"/>
      <c r="BS31" s="647"/>
      <c r="BT31" s="647"/>
      <c r="BU31" s="647"/>
      <c r="BV31" s="647"/>
      <c r="BW31" s="647"/>
      <c r="BX31" s="647"/>
      <c r="BY31" s="647"/>
      <c r="BZ31" s="647"/>
      <c r="CA31" s="647"/>
      <c r="CB31" s="647"/>
      <c r="CC31" s="647"/>
      <c r="CD31" s="647"/>
      <c r="CE31" s="647"/>
      <c r="CF31" s="647"/>
      <c r="CG31" s="647"/>
      <c r="CH31" s="647"/>
      <c r="CI31" s="647"/>
      <c r="CJ31" s="647"/>
      <c r="CK31" s="647"/>
      <c r="CL31" s="647"/>
      <c r="CM31" s="647"/>
      <c r="CN31" s="647"/>
      <c r="CO31" s="647"/>
      <c r="CP31" s="647"/>
      <c r="CQ31" s="647"/>
      <c r="CR31" s="647"/>
      <c r="CS31" s="647"/>
      <c r="CT31" s="647"/>
      <c r="CU31" s="647"/>
      <c r="CV31" s="647"/>
      <c r="CW31" s="647"/>
      <c r="CX31" s="647"/>
      <c r="CY31" s="647"/>
      <c r="CZ31" s="647"/>
      <c r="DA31" s="647"/>
      <c r="DB31" s="647"/>
      <c r="DC31" s="647"/>
      <c r="DD31" s="647"/>
      <c r="DE31" s="647"/>
      <c r="DF31" s="647"/>
      <c r="DG31" s="647"/>
      <c r="DH31" s="647"/>
      <c r="DI31" s="647"/>
      <c r="DJ31" s="647"/>
      <c r="DK31" s="647"/>
      <c r="DL31" s="647"/>
      <c r="DM31" s="647"/>
      <c r="DN31" s="647"/>
      <c r="DO31" s="647"/>
      <c r="DP31" s="647"/>
      <c r="DQ31" s="647"/>
      <c r="DR31" s="647"/>
      <c r="DS31" s="647"/>
      <c r="DT31" s="647"/>
      <c r="DU31" s="647"/>
      <c r="DV31" s="647"/>
      <c r="DW31" s="647"/>
      <c r="DX31" s="647"/>
      <c r="DY31" s="647"/>
      <c r="DZ31" s="647"/>
      <c r="EA31" s="647"/>
      <c r="EB31" s="647"/>
      <c r="EC31" s="647"/>
      <c r="ED31" s="647"/>
      <c r="EE31" s="647"/>
      <c r="EF31" s="647"/>
      <c r="EG31" s="647"/>
      <c r="EH31" s="647"/>
      <c r="EI31" s="647"/>
      <c r="EJ31" s="647"/>
      <c r="EK31" s="647"/>
      <c r="EL31" s="647"/>
      <c r="EM31" s="647"/>
      <c r="EN31" s="647"/>
      <c r="EO31" s="647"/>
      <c r="EP31" s="647"/>
      <c r="EQ31" s="647"/>
      <c r="ER31" s="647"/>
      <c r="ES31" s="647"/>
      <c r="ET31" s="647"/>
      <c r="EU31" s="647"/>
      <c r="EV31" s="647"/>
    </row>
    <row r="32" spans="1:152" s="678" customFormat="1" x14ac:dyDescent="0.15">
      <c r="A32" s="652" t="s">
        <v>840</v>
      </c>
      <c r="B32" s="673">
        <f>B38-B27</f>
        <v>176636</v>
      </c>
      <c r="C32" s="673">
        <f t="shared" ref="C32:M32" si="8">C38-C27</f>
        <v>150448</v>
      </c>
      <c r="D32" s="673">
        <f t="shared" si="8"/>
        <v>143571</v>
      </c>
      <c r="E32" s="673">
        <f t="shared" si="8"/>
        <v>131255</v>
      </c>
      <c r="F32" s="673">
        <f t="shared" si="8"/>
        <v>113529</v>
      </c>
      <c r="G32" s="673">
        <f t="shared" si="8"/>
        <v>101974</v>
      </c>
      <c r="H32" s="673">
        <f t="shared" si="8"/>
        <v>88931</v>
      </c>
      <c r="I32" s="673">
        <f t="shared" si="8"/>
        <v>79625</v>
      </c>
      <c r="J32" s="673">
        <f t="shared" si="8"/>
        <v>62826</v>
      </c>
      <c r="K32" s="673">
        <f t="shared" si="8"/>
        <v>61502</v>
      </c>
      <c r="L32" s="673">
        <f t="shared" si="8"/>
        <v>59833</v>
      </c>
      <c r="M32" s="673">
        <f t="shared" si="8"/>
        <v>47539</v>
      </c>
      <c r="N32" s="675"/>
      <c r="O32" s="188"/>
      <c r="P32" s="188"/>
      <c r="Q32" s="647"/>
      <c r="R32" s="647"/>
      <c r="S32" s="647"/>
      <c r="T32" s="647"/>
      <c r="U32" s="647"/>
      <c r="V32" s="647"/>
      <c r="W32" s="647"/>
      <c r="X32" s="647"/>
      <c r="Y32" s="647"/>
      <c r="Z32" s="661"/>
      <c r="AA32" s="661"/>
      <c r="AB32" s="661"/>
      <c r="AC32" s="661"/>
      <c r="AD32" s="661"/>
      <c r="AE32" s="661"/>
      <c r="AF32" s="661"/>
      <c r="AG32" s="661"/>
      <c r="AH32" s="647"/>
      <c r="AI32" s="647"/>
      <c r="AJ32" s="647"/>
      <c r="AK32" s="647"/>
      <c r="AL32" s="647"/>
      <c r="AM32" s="647"/>
      <c r="AN32" s="647"/>
      <c r="AO32" s="647"/>
      <c r="AP32" s="647"/>
      <c r="AQ32" s="647"/>
      <c r="AR32" s="647"/>
      <c r="AS32" s="647"/>
      <c r="AT32" s="647"/>
      <c r="AU32" s="647"/>
      <c r="AV32" s="647"/>
      <c r="AW32" s="647"/>
      <c r="AX32" s="647"/>
      <c r="AY32" s="647"/>
      <c r="AZ32" s="647"/>
      <c r="BA32" s="647"/>
      <c r="BB32" s="647"/>
      <c r="BC32" s="647"/>
      <c r="BD32" s="647"/>
      <c r="BE32" s="647"/>
      <c r="BF32" s="647"/>
      <c r="BG32" s="647"/>
      <c r="BH32" s="647"/>
      <c r="BI32" s="647"/>
      <c r="BJ32" s="647"/>
      <c r="BK32" s="647"/>
      <c r="BL32" s="647"/>
      <c r="BM32" s="647"/>
      <c r="BN32" s="647"/>
      <c r="BO32" s="647"/>
      <c r="BP32" s="647"/>
      <c r="BQ32" s="647"/>
      <c r="BR32" s="647"/>
      <c r="BS32" s="647"/>
      <c r="BT32" s="647"/>
      <c r="BU32" s="647"/>
      <c r="BV32" s="647"/>
      <c r="BW32" s="647"/>
      <c r="BX32" s="647"/>
      <c r="BY32" s="647"/>
      <c r="BZ32" s="647"/>
      <c r="CA32" s="647"/>
      <c r="CB32" s="647"/>
      <c r="CC32" s="647"/>
      <c r="CD32" s="647"/>
      <c r="CE32" s="647"/>
      <c r="CF32" s="647"/>
      <c r="CG32" s="647"/>
      <c r="CH32" s="647"/>
      <c r="CI32" s="647"/>
      <c r="CJ32" s="647"/>
      <c r="CK32" s="647"/>
      <c r="CL32" s="647"/>
      <c r="CM32" s="647"/>
      <c r="CN32" s="647"/>
      <c r="CO32" s="647"/>
      <c r="CP32" s="647"/>
      <c r="CQ32" s="647"/>
      <c r="CR32" s="647"/>
      <c r="CS32" s="647"/>
      <c r="CT32" s="647"/>
      <c r="CU32" s="647"/>
      <c r="CV32" s="647"/>
      <c r="CW32" s="647"/>
      <c r="CX32" s="647"/>
      <c r="CY32" s="647"/>
      <c r="CZ32" s="647"/>
      <c r="DA32" s="647"/>
      <c r="DB32" s="647"/>
      <c r="DC32" s="647"/>
      <c r="DD32" s="647"/>
      <c r="DE32" s="647"/>
      <c r="DF32" s="647"/>
      <c r="DG32" s="647"/>
      <c r="DH32" s="647"/>
      <c r="DI32" s="647"/>
      <c r="DJ32" s="647"/>
      <c r="DK32" s="647"/>
      <c r="DL32" s="647"/>
      <c r="DM32" s="647"/>
      <c r="DN32" s="647"/>
      <c r="DO32" s="647"/>
      <c r="DP32" s="647"/>
      <c r="DQ32" s="647"/>
      <c r="DR32" s="647"/>
      <c r="DS32" s="647"/>
      <c r="DT32" s="647"/>
      <c r="DU32" s="647"/>
      <c r="DV32" s="647"/>
      <c r="DW32" s="647"/>
      <c r="DX32" s="647"/>
      <c r="DY32" s="647"/>
      <c r="DZ32" s="647"/>
      <c r="EA32" s="647"/>
      <c r="EB32" s="647"/>
      <c r="EC32" s="647"/>
      <c r="ED32" s="647"/>
      <c r="EE32" s="647"/>
      <c r="EF32" s="647"/>
      <c r="EG32" s="647"/>
      <c r="EH32" s="647"/>
      <c r="EI32" s="647"/>
      <c r="EJ32" s="647"/>
      <c r="EK32" s="647"/>
      <c r="EL32" s="647"/>
      <c r="EM32" s="647"/>
      <c r="EN32" s="647"/>
      <c r="EO32" s="647"/>
      <c r="EP32" s="647"/>
      <c r="EQ32" s="647"/>
      <c r="ER32" s="647"/>
      <c r="ES32" s="647"/>
      <c r="ET32" s="647"/>
      <c r="EU32" s="647"/>
      <c r="EV32" s="647"/>
    </row>
    <row r="33" spans="1:33" x14ac:dyDescent="0.15">
      <c r="A33" s="679" t="s">
        <v>768</v>
      </c>
      <c r="B33" s="654">
        <v>10128</v>
      </c>
      <c r="C33" s="654">
        <v>8969</v>
      </c>
      <c r="D33" s="654">
        <v>8626</v>
      </c>
      <c r="E33" s="654">
        <v>8704</v>
      </c>
      <c r="F33" s="654">
        <v>8458</v>
      </c>
      <c r="G33" s="654">
        <v>7013</v>
      </c>
      <c r="H33" s="654">
        <v>5901</v>
      </c>
      <c r="I33" s="654">
        <v>4861</v>
      </c>
      <c r="J33" s="654">
        <v>4418</v>
      </c>
      <c r="K33" s="654">
        <v>4010</v>
      </c>
      <c r="L33" s="654">
        <v>3939</v>
      </c>
      <c r="M33" s="654">
        <v>2515</v>
      </c>
      <c r="N33" s="675"/>
      <c r="O33" s="188"/>
      <c r="P33" s="188"/>
      <c r="Q33" s="647" t="s">
        <v>834</v>
      </c>
      <c r="R33" s="647" t="s">
        <v>841</v>
      </c>
      <c r="Z33" s="658">
        <v>8614</v>
      </c>
      <c r="AA33" s="658">
        <v>9700</v>
      </c>
      <c r="AB33" s="658">
        <v>12205</v>
      </c>
      <c r="AC33" s="658">
        <v>12625</v>
      </c>
      <c r="AD33" s="658">
        <v>15547</v>
      </c>
      <c r="AE33" s="658">
        <v>14544</v>
      </c>
      <c r="AF33" s="658">
        <v>9587</v>
      </c>
      <c r="AG33" s="658">
        <v>6360</v>
      </c>
    </row>
    <row r="34" spans="1:33" x14ac:dyDescent="0.15">
      <c r="A34" s="679" t="s">
        <v>842</v>
      </c>
      <c r="B34" s="654"/>
      <c r="C34" s="654"/>
      <c r="D34" s="654"/>
      <c r="E34" s="654"/>
      <c r="F34" s="654"/>
      <c r="G34" s="654"/>
      <c r="H34" s="654"/>
      <c r="I34" s="654"/>
      <c r="J34" s="654"/>
      <c r="K34" s="654"/>
      <c r="L34" s="654"/>
      <c r="M34" s="654"/>
      <c r="N34" s="675"/>
      <c r="O34" s="188"/>
      <c r="P34" s="188"/>
      <c r="Z34" s="658"/>
      <c r="AA34" s="658"/>
      <c r="AB34" s="658"/>
      <c r="AC34" s="658"/>
      <c r="AD34" s="658"/>
      <c r="AE34" s="658"/>
      <c r="AF34" s="658"/>
      <c r="AG34" s="658"/>
    </row>
    <row r="35" spans="1:33" x14ac:dyDescent="0.15">
      <c r="A35" s="679" t="s">
        <v>843</v>
      </c>
      <c r="B35" s="654">
        <v>43728</v>
      </c>
      <c r="C35" s="654">
        <v>43114</v>
      </c>
      <c r="D35" s="654">
        <v>41242</v>
      </c>
      <c r="E35" s="654">
        <v>37209</v>
      </c>
      <c r="F35" s="654">
        <v>32510</v>
      </c>
      <c r="G35" s="654">
        <v>28341</v>
      </c>
      <c r="H35" s="654">
        <v>23868</v>
      </c>
      <c r="I35" s="654">
        <v>18792</v>
      </c>
      <c r="J35" s="654">
        <v>18827</v>
      </c>
      <c r="K35" s="654">
        <v>19605</v>
      </c>
      <c r="L35" s="654">
        <v>17711</v>
      </c>
      <c r="M35" s="654">
        <v>16166</v>
      </c>
      <c r="N35" s="675"/>
      <c r="O35" s="188"/>
      <c r="P35" s="188"/>
      <c r="Z35" s="658"/>
      <c r="AA35" s="658"/>
      <c r="AB35" s="658"/>
      <c r="AC35" s="658"/>
      <c r="AD35" s="658"/>
      <c r="AE35" s="658"/>
      <c r="AF35" s="658"/>
      <c r="AG35" s="658"/>
    </row>
    <row r="36" spans="1:33" x14ac:dyDescent="0.15">
      <c r="A36" s="679" t="s">
        <v>844</v>
      </c>
      <c r="B36" s="654">
        <f t="shared" ref="B36:D36" si="9">B32-SUM(B33:B35)</f>
        <v>122780</v>
      </c>
      <c r="C36" s="654">
        <f t="shared" si="9"/>
        <v>98365</v>
      </c>
      <c r="D36" s="654">
        <f t="shared" si="9"/>
        <v>93703</v>
      </c>
      <c r="E36" s="654">
        <f>E32-SUM(E33:E35)</f>
        <v>85342</v>
      </c>
      <c r="F36" s="654">
        <f t="shared" ref="F36:M36" si="10">F32-SUM(F33:F35)</f>
        <v>72561</v>
      </c>
      <c r="G36" s="654">
        <f t="shared" si="10"/>
        <v>66620</v>
      </c>
      <c r="H36" s="654">
        <f t="shared" si="10"/>
        <v>59162</v>
      </c>
      <c r="I36" s="654">
        <f t="shared" si="10"/>
        <v>55972</v>
      </c>
      <c r="J36" s="654">
        <f t="shared" si="10"/>
        <v>39581</v>
      </c>
      <c r="K36" s="654">
        <f t="shared" si="10"/>
        <v>37887</v>
      </c>
      <c r="L36" s="654">
        <f t="shared" si="10"/>
        <v>38183</v>
      </c>
      <c r="M36" s="654">
        <f t="shared" si="10"/>
        <v>28858</v>
      </c>
      <c r="N36" s="675" t="s">
        <v>832</v>
      </c>
      <c r="O36" s="188" t="s">
        <v>768</v>
      </c>
      <c r="P36" s="188"/>
      <c r="Z36" s="658"/>
      <c r="AA36" s="658"/>
      <c r="AB36" s="658"/>
      <c r="AC36" s="658"/>
      <c r="AD36" s="658"/>
      <c r="AE36" s="658"/>
      <c r="AF36" s="658"/>
      <c r="AG36" s="658"/>
    </row>
    <row r="37" spans="1:33" x14ac:dyDescent="0.15">
      <c r="A37" s="647" t="s">
        <v>769</v>
      </c>
      <c r="B37" s="664">
        <f>B31+B36</f>
        <v>129988</v>
      </c>
      <c r="C37" s="664">
        <f>C31+C36</f>
        <v>105234</v>
      </c>
      <c r="D37" s="664">
        <f t="shared" ref="D37:M37" si="11">D31+D36</f>
        <v>102236</v>
      </c>
      <c r="E37" s="664">
        <f t="shared" si="11"/>
        <v>92269</v>
      </c>
      <c r="F37" s="664">
        <f t="shared" si="11"/>
        <v>78679</v>
      </c>
      <c r="G37" s="664">
        <f t="shared" si="11"/>
        <v>72384</v>
      </c>
      <c r="H37" s="664">
        <f t="shared" si="11"/>
        <v>64115</v>
      </c>
      <c r="I37" s="664">
        <f t="shared" si="11"/>
        <v>61366</v>
      </c>
      <c r="J37" s="664">
        <f t="shared" si="11"/>
        <v>44151</v>
      </c>
      <c r="K37" s="664">
        <f t="shared" si="11"/>
        <v>42004</v>
      </c>
      <c r="L37" s="664">
        <f t="shared" si="11"/>
        <v>42200</v>
      </c>
      <c r="M37" s="664">
        <f t="shared" si="11"/>
        <v>32653</v>
      </c>
      <c r="N37" s="675" t="s">
        <v>832</v>
      </c>
      <c r="O37" s="188"/>
      <c r="P37" s="188"/>
      <c r="Z37" s="658"/>
      <c r="AA37" s="658"/>
      <c r="AB37" s="658"/>
      <c r="AC37" s="658"/>
      <c r="AD37" s="658"/>
      <c r="AE37" s="658"/>
      <c r="AF37" s="658"/>
      <c r="AG37" s="658"/>
    </row>
    <row r="38" spans="1:33" x14ac:dyDescent="0.15">
      <c r="A38" s="652" t="s">
        <v>40</v>
      </c>
      <c r="B38" s="673">
        <v>245705</v>
      </c>
      <c r="C38" s="673">
        <v>212206</v>
      </c>
      <c r="D38" s="673">
        <v>197289</v>
      </c>
      <c r="E38" s="673">
        <v>173889</v>
      </c>
      <c r="F38" s="673">
        <v>152221</v>
      </c>
      <c r="G38" s="673">
        <v>139058</v>
      </c>
      <c r="H38" s="673">
        <v>122810</v>
      </c>
      <c r="I38" s="673">
        <v>111254</v>
      </c>
      <c r="J38" s="673">
        <v>86382</v>
      </c>
      <c r="K38" s="673">
        <v>81882</v>
      </c>
      <c r="L38" s="673">
        <v>80885</v>
      </c>
      <c r="M38" s="673">
        <v>67889</v>
      </c>
      <c r="N38" s="675" t="s">
        <v>832</v>
      </c>
      <c r="O38" s="188" t="s">
        <v>40</v>
      </c>
      <c r="P38" s="188"/>
      <c r="Q38" s="647" t="s">
        <v>834</v>
      </c>
      <c r="R38" s="647" t="s">
        <v>845</v>
      </c>
      <c r="Z38" s="658">
        <v>15322</v>
      </c>
      <c r="AA38" s="658">
        <v>16090</v>
      </c>
      <c r="AB38" s="658">
        <f>16577</f>
        <v>16577</v>
      </c>
      <c r="AC38" s="658">
        <v>17075</v>
      </c>
      <c r="AD38" s="658">
        <v>16461</v>
      </c>
      <c r="AE38" s="658">
        <v>14395</v>
      </c>
      <c r="AF38" s="658">
        <v>12539</v>
      </c>
      <c r="AG38" s="658">
        <v>12386</v>
      </c>
    </row>
    <row r="39" spans="1:33" x14ac:dyDescent="0.15">
      <c r="B39" s="664"/>
      <c r="C39" s="664"/>
      <c r="D39" s="664"/>
      <c r="E39" s="664"/>
      <c r="F39" s="664"/>
      <c r="G39" s="664"/>
      <c r="H39" s="664"/>
      <c r="I39" s="664"/>
      <c r="J39" s="664"/>
      <c r="K39" s="664"/>
      <c r="L39" s="664"/>
      <c r="M39" s="664"/>
      <c r="N39" s="675" t="s">
        <v>832</v>
      </c>
      <c r="O39" s="188"/>
      <c r="P39" s="188"/>
      <c r="Z39" s="650">
        <f t="shared" ref="Z39:AG39" si="12">Z40-SUM(Z30:Z38)</f>
        <v>14512</v>
      </c>
      <c r="AA39" s="650">
        <f t="shared" si="12"/>
        <v>15585</v>
      </c>
      <c r="AB39" s="650">
        <f t="shared" si="12"/>
        <v>15786</v>
      </c>
      <c r="AC39" s="650">
        <f t="shared" si="12"/>
        <v>15616</v>
      </c>
      <c r="AD39" s="650">
        <f t="shared" si="12"/>
        <v>17947</v>
      </c>
      <c r="AE39" s="650">
        <f t="shared" si="12"/>
        <v>18419</v>
      </c>
      <c r="AF39" s="650">
        <f t="shared" si="12"/>
        <v>9453</v>
      </c>
      <c r="AG39" s="650">
        <f t="shared" si="12"/>
        <v>9263</v>
      </c>
    </row>
    <row r="40" spans="1:33" x14ac:dyDescent="0.15">
      <c r="B40" s="664"/>
      <c r="C40" s="664"/>
      <c r="D40" s="664"/>
      <c r="E40" s="664"/>
      <c r="F40" s="664"/>
      <c r="G40" s="664"/>
      <c r="H40" s="664"/>
      <c r="I40" s="664"/>
      <c r="J40" s="664"/>
      <c r="K40" s="664"/>
      <c r="L40" s="664"/>
      <c r="M40" s="664"/>
      <c r="N40" s="675" t="s">
        <v>832</v>
      </c>
      <c r="O40" s="188"/>
      <c r="P40" s="188"/>
      <c r="Q40" s="647" t="s">
        <v>834</v>
      </c>
      <c r="R40" s="647" t="s">
        <v>846</v>
      </c>
      <c r="Z40" s="680">
        <v>74704</v>
      </c>
      <c r="AA40" s="680">
        <v>78342</v>
      </c>
      <c r="AB40" s="680">
        <v>84681</v>
      </c>
      <c r="AC40" s="680">
        <v>84896</v>
      </c>
      <c r="AD40" s="680">
        <v>89356</v>
      </c>
      <c r="AE40" s="680">
        <v>81446</v>
      </c>
      <c r="AF40" s="680">
        <v>64020</v>
      </c>
      <c r="AG40" s="680">
        <v>60038</v>
      </c>
    </row>
    <row r="41" spans="1:33" x14ac:dyDescent="0.15">
      <c r="A41" s="672" t="s">
        <v>847</v>
      </c>
      <c r="B41" s="673"/>
      <c r="C41" s="673"/>
      <c r="D41" s="673"/>
      <c r="E41" s="673"/>
      <c r="F41" s="673"/>
      <c r="G41" s="673"/>
      <c r="H41" s="673"/>
      <c r="I41" s="673"/>
      <c r="J41" s="673"/>
      <c r="K41" s="673"/>
      <c r="L41" s="673"/>
      <c r="M41" s="673"/>
      <c r="N41" s="675" t="s">
        <v>832</v>
      </c>
      <c r="O41" s="188"/>
      <c r="P41" s="188"/>
      <c r="Z41" s="657"/>
      <c r="AA41" s="657"/>
      <c r="AB41" s="657"/>
      <c r="AC41" s="657"/>
      <c r="AD41" s="657"/>
      <c r="AE41" s="657"/>
      <c r="AF41" s="657"/>
      <c r="AG41" s="657"/>
    </row>
    <row r="42" spans="1:33" x14ac:dyDescent="0.15">
      <c r="A42" s="652" t="s">
        <v>366</v>
      </c>
      <c r="B42" s="673">
        <v>89237</v>
      </c>
      <c r="C42" s="673">
        <v>78292</v>
      </c>
      <c r="D42" s="673">
        <v>72420</v>
      </c>
      <c r="E42" s="673">
        <v>61782</v>
      </c>
      <c r="F42" s="673">
        <v>53209</v>
      </c>
      <c r="G42" s="673">
        <v>50463</v>
      </c>
      <c r="H42" s="673">
        <v>49252</v>
      </c>
      <c r="I42" s="673">
        <v>42898</v>
      </c>
      <c r="J42" s="673">
        <v>30623</v>
      </c>
      <c r="K42" s="673">
        <v>27881</v>
      </c>
      <c r="L42" s="673">
        <v>27116</v>
      </c>
      <c r="M42" s="673">
        <v>23922</v>
      </c>
      <c r="N42" s="675" t="s">
        <v>832</v>
      </c>
      <c r="O42" s="188" t="s">
        <v>366</v>
      </c>
      <c r="P42" s="188"/>
      <c r="Z42" s="657"/>
      <c r="AA42" s="657"/>
      <c r="AB42" s="657"/>
      <c r="AC42" s="657"/>
      <c r="AD42" s="657"/>
      <c r="AE42" s="657"/>
      <c r="AF42" s="657"/>
      <c r="AG42" s="657"/>
    </row>
    <row r="43" spans="1:33" x14ac:dyDescent="0.15">
      <c r="A43" s="674" t="s">
        <v>848</v>
      </c>
      <c r="B43" s="654">
        <v>56771</v>
      </c>
      <c r="C43" s="654">
        <v>49126</v>
      </c>
      <c r="D43" s="654">
        <v>44367</v>
      </c>
      <c r="E43" s="654">
        <v>40695</v>
      </c>
      <c r="F43" s="654">
        <v>36596</v>
      </c>
      <c r="G43" s="654">
        <v>33051</v>
      </c>
      <c r="H43" s="654">
        <v>29752</v>
      </c>
      <c r="I43" s="654">
        <v>26324</v>
      </c>
      <c r="J43" s="654">
        <v>21287</v>
      </c>
      <c r="K43" s="654">
        <v>19033</v>
      </c>
      <c r="L43" s="654">
        <v>17988</v>
      </c>
      <c r="M43" s="654">
        <v>16652</v>
      </c>
      <c r="N43" s="675"/>
      <c r="O43" s="188"/>
      <c r="P43" s="188"/>
      <c r="Z43" s="676"/>
      <c r="AA43" s="676"/>
      <c r="AB43" s="676"/>
      <c r="AC43" s="676"/>
      <c r="AD43" s="676"/>
      <c r="AE43" s="666"/>
      <c r="AF43" s="666"/>
      <c r="AG43" s="666"/>
    </row>
    <row r="44" spans="1:33" s="652" customFormat="1" x14ac:dyDescent="0.15">
      <c r="A44" s="653" t="s">
        <v>771</v>
      </c>
      <c r="B44" s="654">
        <v>6185</v>
      </c>
      <c r="C44" s="654">
        <v>6191</v>
      </c>
      <c r="D44" s="654">
        <v>7661</v>
      </c>
      <c r="E44" s="654">
        <v>6492</v>
      </c>
      <c r="F44" s="654">
        <v>4369</v>
      </c>
      <c r="G44" s="654">
        <v>5126</v>
      </c>
      <c r="H44" s="654">
        <v>9161</v>
      </c>
      <c r="I44" s="654">
        <v>8776</v>
      </c>
      <c r="J44" s="654">
        <v>3371</v>
      </c>
      <c r="K44" s="654">
        <v>3569</v>
      </c>
      <c r="L44" s="654">
        <v>4218</v>
      </c>
      <c r="M44" s="654">
        <v>2207</v>
      </c>
      <c r="N44" s="675" t="s">
        <v>832</v>
      </c>
      <c r="O44" s="188" t="s">
        <v>849</v>
      </c>
      <c r="P44" s="188"/>
      <c r="Q44" s="647" t="s">
        <v>834</v>
      </c>
      <c r="R44" s="652" t="s">
        <v>850</v>
      </c>
      <c r="Z44" s="680">
        <v>26132</v>
      </c>
      <c r="AA44" s="680">
        <v>26242</v>
      </c>
      <c r="AB44" s="680">
        <v>27877</v>
      </c>
      <c r="AC44" s="680">
        <v>27297</v>
      </c>
      <c r="AD44" s="680">
        <v>29415</v>
      </c>
      <c r="AE44" s="680">
        <f>93+3895+8161+3386+2410+2691+298+1967+558+5102</f>
        <v>28561</v>
      </c>
      <c r="AF44" s="680">
        <f>204+3852+5856+2880+1670+1831+281+1521+495+3430</f>
        <v>22020</v>
      </c>
      <c r="AG44" s="680">
        <f>433+3650+2993+3351+797+1217+262+888+302+5399</f>
        <v>19292</v>
      </c>
    </row>
    <row r="45" spans="1:33" s="652" customFormat="1" x14ac:dyDescent="0.15">
      <c r="A45" s="653" t="s">
        <v>772</v>
      </c>
      <c r="B45" s="654"/>
      <c r="C45" s="654"/>
      <c r="D45" s="654"/>
      <c r="E45" s="654"/>
      <c r="F45" s="654"/>
      <c r="G45" s="654"/>
      <c r="H45" s="654"/>
      <c r="I45" s="654"/>
      <c r="J45" s="654"/>
      <c r="K45" s="654"/>
      <c r="L45" s="654"/>
      <c r="M45" s="654"/>
      <c r="N45" s="675"/>
      <c r="O45" s="188"/>
      <c r="P45" s="188"/>
      <c r="Q45" s="647"/>
      <c r="Z45" s="680"/>
      <c r="AA45" s="680"/>
      <c r="AB45" s="680"/>
      <c r="AC45" s="680"/>
      <c r="AD45" s="680"/>
      <c r="AE45" s="680"/>
      <c r="AF45" s="680"/>
      <c r="AG45" s="680"/>
    </row>
    <row r="46" spans="1:33" x14ac:dyDescent="0.15">
      <c r="A46" s="674" t="s">
        <v>773</v>
      </c>
      <c r="B46" s="654">
        <f t="shared" ref="B46" si="13">B42-SUM(B43:B45)</f>
        <v>26281</v>
      </c>
      <c r="C46" s="654">
        <f t="shared" ref="C46:M46" si="14">C42-SUM(C43:C45)</f>
        <v>22975</v>
      </c>
      <c r="D46" s="654">
        <f t="shared" si="14"/>
        <v>20392</v>
      </c>
      <c r="E46" s="654">
        <f t="shared" si="14"/>
        <v>14595</v>
      </c>
      <c r="F46" s="654">
        <f>F42-SUM(F43:F45)</f>
        <v>12244</v>
      </c>
      <c r="G46" s="654">
        <f t="shared" si="14"/>
        <v>12286</v>
      </c>
      <c r="H46" s="654">
        <f t="shared" si="14"/>
        <v>10339</v>
      </c>
      <c r="I46" s="654">
        <f t="shared" si="14"/>
        <v>7798</v>
      </c>
      <c r="J46" s="654">
        <f t="shared" si="14"/>
        <v>5965</v>
      </c>
      <c r="K46" s="654">
        <f t="shared" si="14"/>
        <v>5279</v>
      </c>
      <c r="L46" s="654">
        <f t="shared" si="14"/>
        <v>4910</v>
      </c>
      <c r="M46" s="654">
        <f t="shared" si="14"/>
        <v>5063</v>
      </c>
      <c r="N46" s="675" t="s">
        <v>832</v>
      </c>
      <c r="O46" s="188"/>
      <c r="P46" s="188"/>
      <c r="R46" s="647" t="s">
        <v>851</v>
      </c>
      <c r="Z46" s="661">
        <v>7303</v>
      </c>
      <c r="AA46" s="661">
        <v>6967</v>
      </c>
      <c r="AB46" s="661">
        <v>4708</v>
      </c>
      <c r="AC46" s="661">
        <v>3679</v>
      </c>
      <c r="AD46" s="661">
        <v>5287</v>
      </c>
      <c r="AE46" s="661">
        <v>5660</v>
      </c>
      <c r="AF46" s="661">
        <v>3925</v>
      </c>
      <c r="AG46" s="661">
        <v>5701</v>
      </c>
    </row>
    <row r="47" spans="1:33" x14ac:dyDescent="0.15">
      <c r="A47" s="652" t="s">
        <v>774</v>
      </c>
      <c r="B47" s="673">
        <f t="shared" ref="B47:M47" si="15">B51-B42</f>
        <v>70121</v>
      </c>
      <c r="C47" s="673">
        <f t="shared" si="15"/>
        <v>57435</v>
      </c>
      <c r="D47" s="673">
        <f t="shared" si="15"/>
        <v>54330</v>
      </c>
      <c r="E47" s="673">
        <f t="shared" si="15"/>
        <v>49945</v>
      </c>
      <c r="F47" s="673">
        <f t="shared" si="15"/>
        <v>42785</v>
      </c>
      <c r="G47" s="673">
        <f t="shared" si="15"/>
        <v>36573</v>
      </c>
      <c r="H47" s="673">
        <f t="shared" si="15"/>
        <v>33369</v>
      </c>
      <c r="I47" s="673">
        <f t="shared" si="15"/>
        <v>32895</v>
      </c>
      <c r="J47" s="673">
        <f t="shared" si="15"/>
        <v>21917</v>
      </c>
      <c r="K47" s="673">
        <f t="shared" si="15"/>
        <v>20677</v>
      </c>
      <c r="L47" s="673">
        <f t="shared" si="15"/>
        <v>20470</v>
      </c>
      <c r="M47" s="673">
        <f t="shared" si="15"/>
        <v>15675</v>
      </c>
      <c r="N47" s="675" t="s">
        <v>832</v>
      </c>
      <c r="O47" s="188" t="s">
        <v>852</v>
      </c>
      <c r="P47" s="188"/>
      <c r="Z47" s="661"/>
      <c r="AA47" s="661"/>
      <c r="AB47" s="661"/>
      <c r="AC47" s="661"/>
      <c r="AD47" s="661"/>
      <c r="AE47" s="661"/>
      <c r="AF47" s="661"/>
      <c r="AG47" s="661"/>
    </row>
    <row r="48" spans="1:33" x14ac:dyDescent="0.15">
      <c r="A48" s="653" t="s">
        <v>775</v>
      </c>
      <c r="B48" s="654">
        <v>57282</v>
      </c>
      <c r="C48" s="654">
        <v>45648</v>
      </c>
      <c r="D48" s="654">
        <v>42015</v>
      </c>
      <c r="E48" s="654">
        <v>39801</v>
      </c>
      <c r="F48" s="654">
        <v>37055</v>
      </c>
      <c r="G48" s="654">
        <v>31017</v>
      </c>
      <c r="H48" s="654">
        <v>31062</v>
      </c>
      <c r="I48" s="654">
        <v>31414</v>
      </c>
      <c r="J48" s="654">
        <v>20560</v>
      </c>
      <c r="K48" s="654">
        <v>19152</v>
      </c>
      <c r="L48" s="654">
        <v>18935</v>
      </c>
      <c r="M48" s="654">
        <v>14452</v>
      </c>
      <c r="N48" s="675" t="s">
        <v>832</v>
      </c>
      <c r="O48" s="188" t="s">
        <v>853</v>
      </c>
      <c r="P48" s="188"/>
      <c r="Z48" s="650">
        <f t="shared" ref="Z48:AG48" si="16">Z44-Z46</f>
        <v>18829</v>
      </c>
      <c r="AA48" s="650">
        <f t="shared" si="16"/>
        <v>19275</v>
      </c>
      <c r="AB48" s="650">
        <f t="shared" si="16"/>
        <v>23169</v>
      </c>
      <c r="AC48" s="650">
        <f t="shared" si="16"/>
        <v>23618</v>
      </c>
      <c r="AD48" s="650">
        <f t="shared" si="16"/>
        <v>24128</v>
      </c>
      <c r="AE48" s="650">
        <f t="shared" si="16"/>
        <v>22901</v>
      </c>
      <c r="AF48" s="650">
        <f t="shared" si="16"/>
        <v>18095</v>
      </c>
      <c r="AG48" s="650">
        <f t="shared" si="16"/>
        <v>13591</v>
      </c>
    </row>
    <row r="49" spans="1:33" s="652" customFormat="1" x14ac:dyDescent="0.15">
      <c r="A49" s="653" t="s">
        <v>776</v>
      </c>
      <c r="B49" s="654"/>
      <c r="C49" s="654"/>
      <c r="D49" s="654"/>
      <c r="E49" s="654"/>
      <c r="F49" s="654"/>
      <c r="G49" s="654"/>
      <c r="H49" s="654"/>
      <c r="I49" s="654"/>
      <c r="J49" s="654"/>
      <c r="K49" s="654"/>
      <c r="L49" s="654"/>
      <c r="M49" s="654"/>
      <c r="N49" s="675"/>
      <c r="O49" s="188"/>
      <c r="P49" s="188"/>
      <c r="Q49" s="647" t="s">
        <v>834</v>
      </c>
      <c r="R49" s="652" t="s">
        <v>854</v>
      </c>
      <c r="Z49" s="680">
        <f>61491-Z44</f>
        <v>35359</v>
      </c>
      <c r="AA49" s="680">
        <f>63457-AA44</f>
        <v>37215</v>
      </c>
      <c r="AB49" s="680">
        <f>67855-AB44</f>
        <v>39978</v>
      </c>
      <c r="AC49" s="680">
        <v>36721</v>
      </c>
      <c r="AD49" s="680">
        <v>41973</v>
      </c>
      <c r="AE49" s="680">
        <f>8415+16529+10956+3583</f>
        <v>39483</v>
      </c>
      <c r="AF49" s="680">
        <f>4505+15932+7584+2654</f>
        <v>30675</v>
      </c>
      <c r="AG49" s="680">
        <f>5652+16195+7420+2179</f>
        <v>31446</v>
      </c>
    </row>
    <row r="50" spans="1:33" x14ac:dyDescent="0.15">
      <c r="A50" s="674" t="s">
        <v>777</v>
      </c>
      <c r="B50" s="654">
        <f t="shared" ref="B50:M50" si="17">B47-SUM(B48:B49)</f>
        <v>12839</v>
      </c>
      <c r="C50" s="654">
        <f t="shared" si="17"/>
        <v>11787</v>
      </c>
      <c r="D50" s="654">
        <f t="shared" si="17"/>
        <v>12315</v>
      </c>
      <c r="E50" s="654">
        <f t="shared" si="17"/>
        <v>10144</v>
      </c>
      <c r="F50" s="654">
        <f t="shared" si="17"/>
        <v>5730</v>
      </c>
      <c r="G50" s="654">
        <f t="shared" si="17"/>
        <v>5556</v>
      </c>
      <c r="H50" s="654">
        <f t="shared" si="17"/>
        <v>2307</v>
      </c>
      <c r="I50" s="654">
        <f t="shared" si="17"/>
        <v>1481</v>
      </c>
      <c r="J50" s="654">
        <f t="shared" si="17"/>
        <v>1357</v>
      </c>
      <c r="K50" s="654">
        <f>K47-SUM(K48:K49)</f>
        <v>1525</v>
      </c>
      <c r="L50" s="654">
        <f t="shared" si="17"/>
        <v>1535</v>
      </c>
      <c r="M50" s="654">
        <f t="shared" si="17"/>
        <v>1223</v>
      </c>
      <c r="N50" s="675" t="s">
        <v>832</v>
      </c>
      <c r="O50" s="188" t="s">
        <v>855</v>
      </c>
      <c r="P50" s="188"/>
      <c r="R50" s="647" t="s">
        <v>856</v>
      </c>
      <c r="Z50" s="658">
        <v>22818</v>
      </c>
      <c r="AA50" s="658">
        <v>25169</v>
      </c>
      <c r="AB50" s="658">
        <v>27784</v>
      </c>
      <c r="AC50" s="658">
        <v>26719</v>
      </c>
      <c r="AD50" s="658">
        <v>27752</v>
      </c>
      <c r="AE50" s="658">
        <v>24944</v>
      </c>
      <c r="AF50" s="658">
        <v>20437</v>
      </c>
      <c r="AG50" s="658">
        <v>21847</v>
      </c>
    </row>
    <row r="51" spans="1:33" x14ac:dyDescent="0.15">
      <c r="A51" s="652" t="s">
        <v>46</v>
      </c>
      <c r="B51" s="673">
        <v>159358</v>
      </c>
      <c r="C51" s="673">
        <v>135727</v>
      </c>
      <c r="D51" s="673">
        <v>126750</v>
      </c>
      <c r="E51" s="673">
        <v>111727</v>
      </c>
      <c r="F51" s="673">
        <v>95994</v>
      </c>
      <c r="G51" s="673">
        <v>87036</v>
      </c>
      <c r="H51" s="673">
        <v>82621</v>
      </c>
      <c r="I51" s="673">
        <v>75793</v>
      </c>
      <c r="J51" s="673">
        <v>52540</v>
      </c>
      <c r="K51" s="673">
        <v>48558</v>
      </c>
      <c r="L51" s="673">
        <v>47586</v>
      </c>
      <c r="M51" s="673">
        <v>39597</v>
      </c>
      <c r="N51" s="675" t="s">
        <v>832</v>
      </c>
      <c r="O51" s="188" t="s">
        <v>46</v>
      </c>
      <c r="P51" s="188"/>
      <c r="Z51" s="658"/>
      <c r="AA51" s="658"/>
      <c r="AB51" s="658"/>
      <c r="AC51" s="658"/>
      <c r="AD51" s="658"/>
      <c r="AE51" s="658"/>
      <c r="AF51" s="658"/>
      <c r="AG51" s="658"/>
    </row>
    <row r="52" spans="1:33" x14ac:dyDescent="0.15">
      <c r="B52" s="664"/>
      <c r="C52" s="664"/>
      <c r="D52" s="664"/>
      <c r="E52" s="664"/>
      <c r="F52" s="664"/>
      <c r="G52" s="664"/>
      <c r="H52" s="664"/>
      <c r="I52" s="664"/>
      <c r="J52" s="664"/>
      <c r="K52" s="664"/>
      <c r="L52" s="664"/>
      <c r="M52" s="664"/>
      <c r="N52" s="675" t="s">
        <v>832</v>
      </c>
      <c r="O52" s="188"/>
      <c r="P52" s="188"/>
      <c r="Z52" s="650">
        <f t="shared" ref="Z52:AG52" si="18">Z49-Z50</f>
        <v>12541</v>
      </c>
      <c r="AA52" s="650">
        <f t="shared" si="18"/>
        <v>12046</v>
      </c>
      <c r="AB52" s="650">
        <f t="shared" si="18"/>
        <v>12194</v>
      </c>
      <c r="AC52" s="650">
        <f t="shared" si="18"/>
        <v>10002</v>
      </c>
      <c r="AD52" s="650">
        <f t="shared" si="18"/>
        <v>14221</v>
      </c>
      <c r="AE52" s="650">
        <f t="shared" si="18"/>
        <v>14539</v>
      </c>
      <c r="AF52" s="650">
        <f t="shared" si="18"/>
        <v>10238</v>
      </c>
      <c r="AG52" s="650">
        <f t="shared" si="18"/>
        <v>9599</v>
      </c>
    </row>
    <row r="53" spans="1:33" s="652" customFormat="1" x14ac:dyDescent="0.15">
      <c r="A53" s="647"/>
      <c r="B53" s="664"/>
      <c r="C53" s="664"/>
      <c r="D53" s="664"/>
      <c r="E53" s="664"/>
      <c r="F53" s="664"/>
      <c r="G53" s="664"/>
      <c r="H53" s="664"/>
      <c r="I53" s="664"/>
      <c r="J53" s="664"/>
      <c r="K53" s="664"/>
      <c r="L53" s="664"/>
      <c r="M53" s="664"/>
      <c r="N53" s="675" t="s">
        <v>832</v>
      </c>
      <c r="O53" s="188"/>
      <c r="P53" s="188"/>
      <c r="Z53" s="666">
        <f>+Z49+Z44</f>
        <v>61491</v>
      </c>
      <c r="AA53" s="666">
        <f>+AA49+AA44</f>
        <v>63457</v>
      </c>
      <c r="AB53" s="666">
        <f>+AB49+AB44</f>
        <v>67855</v>
      </c>
      <c r="AC53" s="666">
        <f>AC44+AC49</f>
        <v>64018</v>
      </c>
      <c r="AD53" s="666">
        <f>AD49+AD44</f>
        <v>71388</v>
      </c>
      <c r="AE53" s="666">
        <f>AE49+AE44</f>
        <v>68044</v>
      </c>
      <c r="AF53" s="666">
        <f>AF49+AF44</f>
        <v>52695</v>
      </c>
      <c r="AG53" s="666">
        <f>AG49+AG44</f>
        <v>50738</v>
      </c>
    </row>
    <row r="54" spans="1:33" x14ac:dyDescent="0.15">
      <c r="A54" s="681" t="s">
        <v>779</v>
      </c>
      <c r="B54" s="682">
        <v>8575</v>
      </c>
      <c r="C54" s="682">
        <v>4719</v>
      </c>
      <c r="D54" s="682">
        <v>5048</v>
      </c>
      <c r="E54" s="682">
        <v>4546</v>
      </c>
      <c r="F54" s="682">
        <v>4531</v>
      </c>
      <c r="G54" s="682">
        <v>4246</v>
      </c>
      <c r="H54" s="682">
        <v>1915</v>
      </c>
      <c r="I54" s="682">
        <v>1631</v>
      </c>
      <c r="J54" s="682">
        <v>1388</v>
      </c>
      <c r="K54" s="682">
        <v>1175</v>
      </c>
      <c r="L54" s="682">
        <v>2121</v>
      </c>
      <c r="M54" s="682">
        <v>0</v>
      </c>
      <c r="N54" s="675" t="s">
        <v>832</v>
      </c>
      <c r="O54" s="188" t="s">
        <v>779</v>
      </c>
      <c r="P54" s="188"/>
    </row>
    <row r="55" spans="1:33" x14ac:dyDescent="0.15">
      <c r="B55" s="664"/>
      <c r="C55" s="664"/>
      <c r="D55" s="664"/>
      <c r="E55" s="664"/>
      <c r="F55" s="664"/>
      <c r="G55" s="664"/>
      <c r="H55" s="664"/>
      <c r="I55" s="664"/>
      <c r="J55" s="664"/>
      <c r="K55" s="664"/>
      <c r="L55" s="664"/>
      <c r="M55" s="664"/>
      <c r="N55" s="675" t="s">
        <v>832</v>
      </c>
      <c r="O55" s="188"/>
      <c r="P55" s="188"/>
    </row>
    <row r="56" spans="1:33" s="652" customFormat="1" x14ac:dyDescent="0.15">
      <c r="A56" s="652" t="s">
        <v>780</v>
      </c>
      <c r="B56" s="673">
        <f>B38-B51-B54</f>
        <v>77772</v>
      </c>
      <c r="C56" s="673">
        <f t="shared" ref="C56:M56" si="19">C38-C51-C54</f>
        <v>71760</v>
      </c>
      <c r="D56" s="673">
        <f t="shared" si="19"/>
        <v>65491</v>
      </c>
      <c r="E56" s="673">
        <f>E38-E51-E54</f>
        <v>57616</v>
      </c>
      <c r="F56" s="673">
        <f t="shared" si="19"/>
        <v>51696</v>
      </c>
      <c r="G56" s="673">
        <f t="shared" si="19"/>
        <v>47776</v>
      </c>
      <c r="H56" s="673">
        <f t="shared" si="19"/>
        <v>38274</v>
      </c>
      <c r="I56" s="673">
        <f t="shared" si="19"/>
        <v>33830</v>
      </c>
      <c r="J56" s="673">
        <f>J38-J51-J54</f>
        <v>32454</v>
      </c>
      <c r="K56" s="673">
        <f>K38-K51-K54</f>
        <v>32149</v>
      </c>
      <c r="L56" s="673">
        <f t="shared" si="19"/>
        <v>31178</v>
      </c>
      <c r="M56" s="673">
        <f t="shared" si="19"/>
        <v>28292</v>
      </c>
      <c r="N56" s="675" t="s">
        <v>832</v>
      </c>
      <c r="O56" s="188"/>
      <c r="P56" s="188"/>
      <c r="Q56" s="647" t="s">
        <v>834</v>
      </c>
      <c r="R56" s="652" t="s">
        <v>857</v>
      </c>
    </row>
    <row r="57" spans="1:33" x14ac:dyDescent="0.15">
      <c r="A57" s="652"/>
      <c r="B57" s="673"/>
      <c r="C57" s="673"/>
      <c r="D57" s="673"/>
      <c r="E57" s="673"/>
      <c r="F57" s="673"/>
      <c r="G57" s="673"/>
      <c r="H57" s="673"/>
      <c r="I57" s="673"/>
      <c r="J57" s="673"/>
      <c r="K57" s="673"/>
      <c r="L57" s="673"/>
      <c r="M57" s="673"/>
      <c r="N57" s="675"/>
      <c r="O57" s="188"/>
      <c r="P57" s="188"/>
    </row>
    <row r="58" spans="1:33" x14ac:dyDescent="0.15">
      <c r="A58" s="648" t="s">
        <v>858</v>
      </c>
      <c r="B58" s="673"/>
      <c r="C58" s="673"/>
      <c r="D58" s="673" t="s">
        <v>859</v>
      </c>
      <c r="E58" s="673"/>
      <c r="F58" s="673"/>
      <c r="G58" s="673"/>
      <c r="H58" s="673"/>
      <c r="I58" s="673"/>
      <c r="J58" s="673"/>
      <c r="K58" s="673"/>
      <c r="L58" s="673"/>
      <c r="M58" s="673"/>
      <c r="N58" s="675"/>
      <c r="O58" s="188"/>
      <c r="P58" s="188"/>
    </row>
    <row r="59" spans="1:33" x14ac:dyDescent="0.15">
      <c r="A59" s="652" t="s">
        <v>130</v>
      </c>
      <c r="B59" s="673">
        <v>26206</v>
      </c>
      <c r="C59" s="673">
        <v>22343</v>
      </c>
      <c r="D59" s="928">
        <v>22174</v>
      </c>
      <c r="E59" s="928">
        <v>18463</v>
      </c>
      <c r="F59" s="928">
        <v>15713</v>
      </c>
      <c r="G59" s="928">
        <v>13596</v>
      </c>
      <c r="H59" s="928">
        <v>9795</v>
      </c>
      <c r="I59" s="673">
        <v>9740</v>
      </c>
      <c r="J59" s="673">
        <v>8051</v>
      </c>
      <c r="K59" s="673">
        <v>6991</v>
      </c>
      <c r="L59" s="673">
        <v>7155</v>
      </c>
      <c r="M59" s="673">
        <v>6968</v>
      </c>
      <c r="N59" s="675"/>
      <c r="O59" s="188"/>
      <c r="P59" s="188"/>
    </row>
    <row r="60" spans="1:33" x14ac:dyDescent="0.15">
      <c r="A60" s="653" t="s">
        <v>64</v>
      </c>
      <c r="B60" s="654">
        <f t="shared" ref="B60:M60" si="20">B12</f>
        <v>20639</v>
      </c>
      <c r="C60" s="654">
        <f t="shared" si="20"/>
        <v>17732</v>
      </c>
      <c r="D60" s="654">
        <f t="shared" si="20"/>
        <v>15769</v>
      </c>
      <c r="E60" s="654">
        <f t="shared" si="20"/>
        <v>14239</v>
      </c>
      <c r="F60" s="654">
        <f t="shared" si="20"/>
        <v>12382</v>
      </c>
      <c r="G60" s="654">
        <f t="shared" si="20"/>
        <v>9623</v>
      </c>
      <c r="H60" s="654">
        <f t="shared" si="20"/>
        <v>7073</v>
      </c>
      <c r="I60" s="654">
        <f t="shared" si="20"/>
        <v>5868</v>
      </c>
      <c r="J60" s="654">
        <f t="shared" si="20"/>
        <v>5619</v>
      </c>
      <c r="K60" s="654">
        <f t="shared" si="20"/>
        <v>5673</v>
      </c>
      <c r="L60" s="654">
        <f t="shared" si="20"/>
        <v>5526</v>
      </c>
      <c r="M60" s="654">
        <f t="shared" si="20"/>
        <v>5142</v>
      </c>
      <c r="N60" s="675"/>
      <c r="O60" s="188"/>
      <c r="P60" s="188"/>
    </row>
    <row r="61" spans="1:33" x14ac:dyDescent="0.15">
      <c r="A61" s="674" t="s">
        <v>56</v>
      </c>
      <c r="B61" s="654">
        <v>3400</v>
      </c>
      <c r="C61" s="654">
        <v>3103</v>
      </c>
      <c r="D61" s="654">
        <v>2891</v>
      </c>
      <c r="E61" s="654">
        <v>2720</v>
      </c>
      <c r="F61" s="654">
        <v>2428</v>
      </c>
      <c r="G61" s="654">
        <v>2245</v>
      </c>
      <c r="H61" s="654">
        <v>2055</v>
      </c>
      <c r="I61" s="654">
        <v>1693</v>
      </c>
      <c r="J61" s="654">
        <v>1478</v>
      </c>
      <c r="K61" s="654">
        <v>1375</v>
      </c>
      <c r="L61" s="654">
        <v>1309</v>
      </c>
      <c r="M61" s="654">
        <v>1124</v>
      </c>
      <c r="N61" s="675"/>
      <c r="O61" s="188"/>
      <c r="P61" s="188"/>
    </row>
    <row r="62" spans="1:33" x14ac:dyDescent="0.15">
      <c r="A62" s="674" t="s">
        <v>860</v>
      </c>
      <c r="B62" s="654">
        <v>2246</v>
      </c>
      <c r="C62" s="654">
        <v>1522</v>
      </c>
      <c r="D62" s="654">
        <v>2895</v>
      </c>
      <c r="E62" s="654">
        <v>683</v>
      </c>
      <c r="F62" s="654">
        <v>294</v>
      </c>
      <c r="G62" s="654">
        <v>679</v>
      </c>
      <c r="H62" s="654">
        <v>183</v>
      </c>
      <c r="I62" s="654">
        <v>2081</v>
      </c>
      <c r="J62" s="654">
        <v>1005</v>
      </c>
      <c r="K62" s="654">
        <v>-306</v>
      </c>
      <c r="L62" s="654">
        <v>-178</v>
      </c>
      <c r="M62" s="654">
        <v>309</v>
      </c>
      <c r="N62" s="675"/>
      <c r="O62" s="188"/>
      <c r="P62" s="188"/>
    </row>
    <row r="63" spans="1:33" x14ac:dyDescent="0.15">
      <c r="A63" s="674" t="s">
        <v>861</v>
      </c>
      <c r="B63" s="654">
        <f t="shared" ref="B63:C63" si="21">B59-B60-B61-B62</f>
        <v>-79</v>
      </c>
      <c r="C63" s="654">
        <f t="shared" si="21"/>
        <v>-14</v>
      </c>
      <c r="D63" s="654">
        <f>D59-D60-D61-D62</f>
        <v>619</v>
      </c>
      <c r="E63" s="654">
        <f t="shared" ref="E63:M63" si="22">E59-E60-E61-E62</f>
        <v>821</v>
      </c>
      <c r="F63" s="654">
        <f t="shared" si="22"/>
        <v>609</v>
      </c>
      <c r="G63" s="654">
        <f t="shared" si="22"/>
        <v>1049</v>
      </c>
      <c r="H63" s="654">
        <f t="shared" si="22"/>
        <v>484</v>
      </c>
      <c r="I63" s="654">
        <f t="shared" si="22"/>
        <v>98</v>
      </c>
      <c r="J63" s="654">
        <f t="shared" si="22"/>
        <v>-51</v>
      </c>
      <c r="K63" s="654">
        <f t="shared" si="22"/>
        <v>249</v>
      </c>
      <c r="L63" s="654">
        <f t="shared" si="22"/>
        <v>498</v>
      </c>
      <c r="M63" s="654">
        <f t="shared" si="22"/>
        <v>393</v>
      </c>
      <c r="N63" s="675"/>
      <c r="O63" s="188"/>
      <c r="P63" s="188"/>
    </row>
    <row r="64" spans="1:33" x14ac:dyDescent="0.15">
      <c r="A64" s="652" t="s">
        <v>131</v>
      </c>
      <c r="B64" s="928">
        <v>-28476</v>
      </c>
      <c r="C64" s="673">
        <v>-10372</v>
      </c>
      <c r="D64" s="673">
        <v>-12532</v>
      </c>
      <c r="E64" s="673">
        <v>-12699</v>
      </c>
      <c r="F64" s="673">
        <v>-12385</v>
      </c>
      <c r="G64" s="673">
        <v>-8599</v>
      </c>
      <c r="H64" s="673">
        <v>-9355</v>
      </c>
      <c r="I64" s="928">
        <v>-18395</v>
      </c>
      <c r="J64" s="673">
        <v>-2534</v>
      </c>
      <c r="K64" s="673">
        <v>-3089</v>
      </c>
      <c r="L64" s="673">
        <v>-8649</v>
      </c>
      <c r="M64" s="673">
        <v>-4172</v>
      </c>
      <c r="N64" s="675"/>
      <c r="O64" s="188"/>
      <c r="P64" s="188"/>
    </row>
    <row r="65" spans="1:16" x14ac:dyDescent="0.15">
      <c r="A65" s="674" t="s">
        <v>132</v>
      </c>
      <c r="B65" s="654">
        <v>-2802</v>
      </c>
      <c r="C65" s="654">
        <v>-2454</v>
      </c>
      <c r="D65" s="654">
        <v>-2051</v>
      </c>
      <c r="E65" s="654">
        <v>-2071</v>
      </c>
      <c r="F65" s="654">
        <v>-2063</v>
      </c>
      <c r="G65" s="654">
        <v>-2023</v>
      </c>
      <c r="H65" s="654">
        <v>-1705</v>
      </c>
      <c r="I65" s="654">
        <v>-1556</v>
      </c>
      <c r="J65" s="654">
        <v>-1525</v>
      </c>
      <c r="K65" s="654">
        <v>-1307</v>
      </c>
      <c r="L65" s="654">
        <v>-1070</v>
      </c>
      <c r="M65" s="654">
        <v>-1067</v>
      </c>
      <c r="N65" s="675"/>
      <c r="O65" s="188"/>
      <c r="P65" s="188"/>
    </row>
    <row r="66" spans="1:16" x14ac:dyDescent="0.15">
      <c r="A66" s="674" t="s">
        <v>133</v>
      </c>
      <c r="B66" s="654">
        <v>-25674</v>
      </c>
      <c r="C66" s="654">
        <v>-7918</v>
      </c>
      <c r="D66" s="654">
        <v>-10481</v>
      </c>
      <c r="E66" s="654">
        <v>-10628</v>
      </c>
      <c r="F66" s="654">
        <v>-10322</v>
      </c>
      <c r="G66" s="654">
        <v>-6576</v>
      </c>
      <c r="H66" s="654">
        <v>-7650</v>
      </c>
      <c r="I66" s="654">
        <v>-16839</v>
      </c>
      <c r="J66" s="654">
        <v>-1009</v>
      </c>
      <c r="K66" s="654">
        <v>-1782</v>
      </c>
      <c r="L66" s="654">
        <v>-7579</v>
      </c>
      <c r="M66" s="654">
        <v>-3105</v>
      </c>
      <c r="N66" s="675"/>
      <c r="O66" s="188"/>
      <c r="P66" s="188"/>
    </row>
    <row r="67" spans="1:16" x14ac:dyDescent="0.15">
      <c r="A67" s="674" t="s">
        <v>862</v>
      </c>
      <c r="B67" s="654">
        <f>B64-B65-B66</f>
        <v>0</v>
      </c>
      <c r="C67" s="654">
        <f>C64-C65-C66</f>
        <v>0</v>
      </c>
      <c r="D67" s="654">
        <f>D64-D65-D66</f>
        <v>0</v>
      </c>
      <c r="E67" s="654">
        <f t="shared" ref="E67:M67" si="23">E64-E65-E66</f>
        <v>0</v>
      </c>
      <c r="F67" s="654">
        <f t="shared" si="23"/>
        <v>0</v>
      </c>
      <c r="G67" s="654">
        <f t="shared" si="23"/>
        <v>0</v>
      </c>
      <c r="H67" s="654">
        <f t="shared" si="23"/>
        <v>0</v>
      </c>
      <c r="I67" s="654">
        <f t="shared" si="23"/>
        <v>0</v>
      </c>
      <c r="J67" s="654">
        <f t="shared" si="23"/>
        <v>0</v>
      </c>
      <c r="K67" s="654">
        <f t="shared" si="23"/>
        <v>0</v>
      </c>
      <c r="L67" s="654">
        <f t="shared" si="23"/>
        <v>0</v>
      </c>
      <c r="M67" s="654">
        <f t="shared" si="23"/>
        <v>0</v>
      </c>
      <c r="N67" s="675"/>
      <c r="O67" s="188"/>
      <c r="P67" s="188"/>
    </row>
    <row r="68" spans="1:16" x14ac:dyDescent="0.15">
      <c r="A68" s="652" t="s">
        <v>134</v>
      </c>
      <c r="B68" s="673">
        <v>4226</v>
      </c>
      <c r="C68" s="928">
        <v>-7455</v>
      </c>
      <c r="D68" s="673">
        <v>-3590</v>
      </c>
      <c r="E68" s="673">
        <v>-5625</v>
      </c>
      <c r="F68" s="673">
        <v>-4365</v>
      </c>
      <c r="G68" s="673">
        <v>-3441</v>
      </c>
      <c r="H68" s="673">
        <v>-1011</v>
      </c>
      <c r="I68" s="928">
        <v>12239</v>
      </c>
      <c r="J68" s="673">
        <v>-5293</v>
      </c>
      <c r="K68" s="673">
        <v>-4946</v>
      </c>
      <c r="L68" s="673">
        <v>471</v>
      </c>
      <c r="M68" s="673">
        <v>-2490</v>
      </c>
      <c r="N68" s="675"/>
      <c r="O68" s="188"/>
      <c r="P68" s="188"/>
    </row>
    <row r="69" spans="1:16" x14ac:dyDescent="0.15">
      <c r="A69" s="674" t="s">
        <v>863</v>
      </c>
      <c r="B69" s="654">
        <v>15551</v>
      </c>
      <c r="C69" s="654">
        <v>6933</v>
      </c>
      <c r="D69" s="654">
        <v>5736</v>
      </c>
      <c r="E69" s="654">
        <v>5744</v>
      </c>
      <c r="F69" s="654">
        <v>6935</v>
      </c>
      <c r="G69" s="654">
        <v>5291</v>
      </c>
      <c r="H69" s="654">
        <v>3968</v>
      </c>
      <c r="I69" s="654">
        <v>15648</v>
      </c>
      <c r="J69" s="654">
        <v>1997</v>
      </c>
      <c r="K69" s="654">
        <v>2235</v>
      </c>
      <c r="L69" s="654">
        <v>5553</v>
      </c>
      <c r="M69" s="654">
        <v>2234</v>
      </c>
      <c r="N69" s="675"/>
      <c r="O69" s="188"/>
      <c r="P69" s="188"/>
    </row>
    <row r="70" spans="1:16" x14ac:dyDescent="0.15">
      <c r="A70" s="674" t="s">
        <v>864</v>
      </c>
      <c r="B70" s="654">
        <v>-3015</v>
      </c>
      <c r="C70" s="654">
        <v>-4452</v>
      </c>
      <c r="D70" s="654">
        <v>-3150</v>
      </c>
      <c r="E70" s="654">
        <v>-1750</v>
      </c>
      <c r="F70" s="654">
        <v>-2801</v>
      </c>
      <c r="G70" s="654">
        <v>-7906</v>
      </c>
      <c r="H70" s="654">
        <v>-2978</v>
      </c>
      <c r="I70" s="654">
        <v>-1041</v>
      </c>
      <c r="J70" s="654">
        <v>-1606</v>
      </c>
      <c r="K70" s="654">
        <v>-2083</v>
      </c>
      <c r="L70" s="654">
        <v>-986</v>
      </c>
      <c r="M70" s="654">
        <v>-1888</v>
      </c>
      <c r="N70" s="675"/>
      <c r="O70" s="188"/>
      <c r="P70" s="188"/>
    </row>
    <row r="71" spans="1:16" x14ac:dyDescent="0.15">
      <c r="A71" s="674" t="s">
        <v>865</v>
      </c>
      <c r="B71" s="654"/>
      <c r="C71" s="654"/>
      <c r="D71" s="654"/>
      <c r="E71" s="654"/>
      <c r="F71" s="654"/>
      <c r="G71" s="654"/>
      <c r="H71" s="654"/>
      <c r="I71" s="654"/>
      <c r="J71" s="654"/>
      <c r="K71" s="654"/>
      <c r="L71" s="654"/>
      <c r="M71" s="654"/>
      <c r="N71" s="675"/>
      <c r="O71" s="188"/>
      <c r="P71" s="188"/>
    </row>
    <row r="72" spans="1:16" x14ac:dyDescent="0.15">
      <c r="A72" s="674" t="s">
        <v>866</v>
      </c>
      <c r="B72" s="654"/>
      <c r="C72" s="654"/>
      <c r="D72" s="654"/>
      <c r="E72" s="654"/>
      <c r="F72" s="654"/>
      <c r="G72" s="654"/>
      <c r="H72" s="654"/>
      <c r="I72" s="654"/>
      <c r="J72" s="654"/>
      <c r="K72" s="654"/>
      <c r="L72" s="654"/>
      <c r="M72" s="654"/>
      <c r="N72" s="675"/>
      <c r="O72" s="188"/>
      <c r="P72" s="188"/>
    </row>
    <row r="73" spans="1:16" x14ac:dyDescent="0.15">
      <c r="A73" s="674" t="s">
        <v>135</v>
      </c>
      <c r="B73" s="654">
        <v>-5991</v>
      </c>
      <c r="C73" s="654">
        <v>-5280</v>
      </c>
      <c r="D73" s="654">
        <v>-4584</v>
      </c>
      <c r="E73" s="654">
        <v>-3932</v>
      </c>
      <c r="F73" s="654">
        <v>-3320</v>
      </c>
      <c r="G73" s="654">
        <v>-2773</v>
      </c>
      <c r="H73" s="655">
        <v>-2261</v>
      </c>
      <c r="I73" s="654">
        <v>-1786</v>
      </c>
      <c r="J73" s="655">
        <v>-1362</v>
      </c>
      <c r="K73" s="654">
        <v>-1056</v>
      </c>
      <c r="L73" s="654">
        <v>-820</v>
      </c>
      <c r="M73" s="654">
        <v>-651</v>
      </c>
      <c r="N73" s="669" t="s">
        <v>867</v>
      </c>
      <c r="O73" s="188" t="s">
        <v>868</v>
      </c>
      <c r="P73" s="188"/>
    </row>
    <row r="74" spans="1:16" x14ac:dyDescent="0.15">
      <c r="A74" s="674" t="s">
        <v>762</v>
      </c>
      <c r="B74" s="654">
        <v>-5747</v>
      </c>
      <c r="C74" s="654">
        <v>-3645</v>
      </c>
      <c r="D74" s="654">
        <v>-2810</v>
      </c>
      <c r="E74" s="654">
        <v>-4463</v>
      </c>
      <c r="F74" s="654">
        <v>-3662</v>
      </c>
      <c r="G74" s="654">
        <v>-812</v>
      </c>
      <c r="H74" s="655">
        <v>-851</v>
      </c>
      <c r="I74" s="654">
        <v>-798</v>
      </c>
      <c r="J74" s="655">
        <v>-3546</v>
      </c>
      <c r="K74" s="654">
        <v>-2572</v>
      </c>
      <c r="L74" s="654">
        <v>-2006</v>
      </c>
      <c r="M74" s="654">
        <v>-2613</v>
      </c>
      <c r="N74" s="669" t="s">
        <v>867</v>
      </c>
      <c r="O74" s="188" t="str">
        <f>+A74</f>
        <v>Share buyback</v>
      </c>
      <c r="P74" s="188"/>
    </row>
    <row r="75" spans="1:16" x14ac:dyDescent="0.15">
      <c r="A75" s="674" t="s">
        <v>862</v>
      </c>
      <c r="B75" s="654">
        <f t="shared" ref="B75" si="24">B68-B69-B70-B71-B72-B73-B74</f>
        <v>3428</v>
      </c>
      <c r="C75" s="654">
        <f>C68-C69-C70-C71-C72-C73-C74</f>
        <v>-1011</v>
      </c>
      <c r="D75" s="654">
        <f t="shared" ref="D75:M75" si="25">D68-D69-D70-D71-D72-D73-D74</f>
        <v>1218</v>
      </c>
      <c r="E75" s="654">
        <f t="shared" si="25"/>
        <v>-1224</v>
      </c>
      <c r="F75" s="654">
        <f t="shared" si="25"/>
        <v>-1517</v>
      </c>
      <c r="G75" s="654">
        <f t="shared" si="25"/>
        <v>2759</v>
      </c>
      <c r="H75" s="654">
        <f t="shared" si="25"/>
        <v>1111</v>
      </c>
      <c r="I75" s="654">
        <f t="shared" si="25"/>
        <v>216</v>
      </c>
      <c r="J75" s="654">
        <f t="shared" si="25"/>
        <v>-776</v>
      </c>
      <c r="K75" s="654">
        <f t="shared" si="25"/>
        <v>-1470</v>
      </c>
      <c r="L75" s="654">
        <f t="shared" si="25"/>
        <v>-1270</v>
      </c>
      <c r="M75" s="654">
        <f t="shared" si="25"/>
        <v>428</v>
      </c>
      <c r="N75" s="675"/>
      <c r="O75" s="188"/>
      <c r="P75" s="188"/>
    </row>
    <row r="76" spans="1:16" x14ac:dyDescent="0.15">
      <c r="A76" s="652" t="s">
        <v>138</v>
      </c>
      <c r="B76" s="673">
        <v>34</v>
      </c>
      <c r="C76" s="673">
        <v>-62</v>
      </c>
      <c r="D76" s="673">
        <v>-116</v>
      </c>
      <c r="E76" s="673">
        <v>-20</v>
      </c>
      <c r="F76" s="673">
        <v>-78</v>
      </c>
      <c r="G76" s="673">
        <v>-5</v>
      </c>
      <c r="H76" s="673">
        <v>78</v>
      </c>
      <c r="I76" s="673">
        <v>-156</v>
      </c>
      <c r="J76" s="673">
        <v>-5</v>
      </c>
      <c r="K76" s="673">
        <v>-86</v>
      </c>
      <c r="L76" s="673">
        <v>0</v>
      </c>
      <c r="M76" s="673">
        <v>0</v>
      </c>
      <c r="N76" s="675"/>
      <c r="O76" s="188"/>
      <c r="P76" s="188"/>
    </row>
    <row r="77" spans="1:16" x14ac:dyDescent="0.15">
      <c r="A77" s="652" t="s">
        <v>781</v>
      </c>
      <c r="B77" s="673">
        <f>B59+B64+B68+B76</f>
        <v>1990</v>
      </c>
      <c r="C77" s="673">
        <f t="shared" ref="C77:M77" si="26">C59+C64+C68+C76</f>
        <v>4454</v>
      </c>
      <c r="D77" s="673">
        <f t="shared" si="26"/>
        <v>5936</v>
      </c>
      <c r="E77" s="673">
        <f t="shared" si="26"/>
        <v>119</v>
      </c>
      <c r="F77" s="673">
        <f t="shared" si="26"/>
        <v>-1115</v>
      </c>
      <c r="G77" s="673">
        <f t="shared" si="26"/>
        <v>1551</v>
      </c>
      <c r="H77" s="673">
        <f t="shared" si="26"/>
        <v>-493</v>
      </c>
      <c r="I77" s="673">
        <f t="shared" si="26"/>
        <v>3428</v>
      </c>
      <c r="J77" s="673">
        <f t="shared" si="26"/>
        <v>219</v>
      </c>
      <c r="K77" s="673">
        <f t="shared" si="26"/>
        <v>-1130</v>
      </c>
      <c r="L77" s="673">
        <f t="shared" si="26"/>
        <v>-1023</v>
      </c>
      <c r="M77" s="673">
        <f t="shared" si="26"/>
        <v>306</v>
      </c>
      <c r="N77" s="675"/>
      <c r="O77" s="188"/>
      <c r="P77" s="188"/>
    </row>
    <row r="78" spans="1:16" x14ac:dyDescent="0.15">
      <c r="M78" s="650"/>
      <c r="N78" s="188"/>
      <c r="O78" s="188" t="s">
        <v>869</v>
      </c>
      <c r="P78" s="188"/>
    </row>
    <row r="79" spans="1:16" x14ac:dyDescent="0.15">
      <c r="A79" s="648" t="s">
        <v>870</v>
      </c>
      <c r="B79" s="648"/>
      <c r="C79" s="648"/>
      <c r="D79" s="648"/>
      <c r="E79" s="1276" t="s">
        <v>789</v>
      </c>
      <c r="F79" s="1276"/>
      <c r="G79" s="1276"/>
      <c r="H79" s="1276" t="s">
        <v>871</v>
      </c>
      <c r="I79" s="1276"/>
      <c r="J79" s="648" t="s">
        <v>791</v>
      </c>
      <c r="K79" s="648" t="s">
        <v>792</v>
      </c>
      <c r="L79" s="648" t="s">
        <v>793</v>
      </c>
      <c r="M79" s="666"/>
      <c r="N79" s="188"/>
      <c r="O79" s="188"/>
      <c r="P79" s="188"/>
    </row>
    <row r="80" spans="1:16" x14ac:dyDescent="0.15">
      <c r="A80" s="653" t="s">
        <v>872</v>
      </c>
      <c r="B80" s="658">
        <v>400000</v>
      </c>
      <c r="C80" s="683" t="s">
        <v>873</v>
      </c>
      <c r="D80" s="650"/>
      <c r="E80" s="1273"/>
      <c r="F80" s="1273"/>
      <c r="G80" s="1273"/>
      <c r="H80" s="1274"/>
      <c r="I80" s="1274"/>
      <c r="J80" s="685"/>
      <c r="K80" s="684"/>
      <c r="L80" s="684"/>
      <c r="M80" s="650"/>
      <c r="N80" s="683" t="s">
        <v>874</v>
      </c>
      <c r="O80" s="188"/>
      <c r="P80" s="188"/>
    </row>
    <row r="81" spans="1:16" x14ac:dyDescent="0.15">
      <c r="A81" s="653" t="s">
        <v>875</v>
      </c>
      <c r="B81" s="658">
        <v>924920</v>
      </c>
      <c r="C81" s="683" t="s">
        <v>876</v>
      </c>
      <c r="D81" s="650"/>
      <c r="E81" s="1273"/>
      <c r="F81" s="1273"/>
      <c r="G81" s="1273"/>
      <c r="H81" s="1274"/>
      <c r="I81" s="1274"/>
      <c r="J81" s="685"/>
      <c r="K81" s="684"/>
      <c r="L81" s="684"/>
      <c r="M81" s="650"/>
      <c r="N81" s="683" t="s">
        <v>874</v>
      </c>
      <c r="O81" s="188"/>
      <c r="P81" s="188"/>
    </row>
    <row r="82" spans="1:16" x14ac:dyDescent="0.15">
      <c r="A82" s="653" t="s">
        <v>44</v>
      </c>
      <c r="B82" s="256">
        <v>0.99619999999999997</v>
      </c>
      <c r="C82" s="683" t="s">
        <v>876</v>
      </c>
      <c r="D82" s="12"/>
      <c r="E82" s="1273"/>
      <c r="F82" s="1273"/>
      <c r="G82" s="1273"/>
      <c r="H82" s="1274"/>
      <c r="I82" s="1274"/>
      <c r="J82" s="685"/>
      <c r="K82" s="684"/>
      <c r="L82" s="684"/>
      <c r="M82" s="14"/>
      <c r="N82" s="683" t="s">
        <v>874</v>
      </c>
      <c r="O82" s="188"/>
      <c r="P82" s="188"/>
    </row>
    <row r="83" spans="1:16" x14ac:dyDescent="0.15">
      <c r="A83" s="653" t="s">
        <v>49</v>
      </c>
      <c r="B83" s="256">
        <v>2.7000000000000001E-3</v>
      </c>
      <c r="C83" s="683" t="s">
        <v>876</v>
      </c>
      <c r="D83" s="13"/>
      <c r="E83" s="1273"/>
      <c r="F83" s="1273"/>
      <c r="G83" s="1273"/>
      <c r="H83" s="1274"/>
      <c r="I83" s="1274"/>
      <c r="J83" s="685"/>
      <c r="K83" s="684"/>
      <c r="L83" s="684"/>
      <c r="M83" s="14"/>
      <c r="N83" s="683" t="s">
        <v>874</v>
      </c>
      <c r="O83" s="188"/>
      <c r="P83" s="188"/>
    </row>
    <row r="84" spans="1:16" x14ac:dyDescent="0.15">
      <c r="A84" s="653" t="s">
        <v>785</v>
      </c>
      <c r="B84" s="658" t="s">
        <v>877</v>
      </c>
      <c r="C84" s="683" t="s">
        <v>873</v>
      </c>
      <c r="D84" s="650"/>
      <c r="E84" s="1273"/>
      <c r="F84" s="1273"/>
      <c r="G84" s="1273"/>
      <c r="H84" s="1274"/>
      <c r="I84" s="1274"/>
      <c r="J84" s="685"/>
      <c r="K84" s="684"/>
      <c r="L84" s="684"/>
      <c r="M84" s="650"/>
      <c r="N84" s="683" t="s">
        <v>874</v>
      </c>
      <c r="O84" s="188"/>
      <c r="P84" s="188"/>
    </row>
    <row r="85" spans="1:16" x14ac:dyDescent="0.15">
      <c r="A85" s="653" t="s">
        <v>878</v>
      </c>
      <c r="B85" s="686">
        <v>1.3899999999999999E-2</v>
      </c>
      <c r="C85" s="683" t="s">
        <v>876</v>
      </c>
      <c r="D85" s="650"/>
      <c r="E85" s="1273"/>
      <c r="F85" s="1273"/>
      <c r="G85" s="1273"/>
      <c r="H85" s="1274"/>
      <c r="I85" s="1274"/>
      <c r="J85" s="684"/>
      <c r="K85" s="684"/>
      <c r="L85" s="684"/>
      <c r="M85" s="650"/>
      <c r="N85" s="683" t="s">
        <v>874</v>
      </c>
      <c r="O85" s="188"/>
    </row>
    <row r="86" spans="1:16" x14ac:dyDescent="0.15">
      <c r="A86" s="653" t="s">
        <v>787</v>
      </c>
      <c r="B86" s="658">
        <v>3098388</v>
      </c>
      <c r="C86" s="683" t="s">
        <v>879</v>
      </c>
      <c r="D86" s="650"/>
      <c r="E86" s="1273"/>
      <c r="F86" s="1273"/>
      <c r="G86" s="1273"/>
      <c r="H86" s="1274"/>
      <c r="I86" s="1274"/>
      <c r="J86" s="684"/>
      <c r="K86" s="684"/>
      <c r="L86" s="684"/>
      <c r="M86" s="650"/>
      <c r="N86" s="683" t="s">
        <v>874</v>
      </c>
    </row>
    <row r="87" spans="1:16" x14ac:dyDescent="0.15">
      <c r="B87" s="648">
        <f>B5</f>
        <v>2022</v>
      </c>
      <c r="C87" s="648">
        <f t="shared" ref="C87:D87" si="27">C5</f>
        <v>2021</v>
      </c>
      <c r="D87" s="648">
        <f t="shared" si="27"/>
        <v>2020</v>
      </c>
      <c r="E87" s="687"/>
      <c r="G87" s="687"/>
      <c r="H87" s="687"/>
      <c r="I87" s="687"/>
      <c r="J87" s="687"/>
      <c r="K87" s="687"/>
      <c r="L87" s="687"/>
      <c r="M87" s="687"/>
      <c r="N87" s="188"/>
    </row>
    <row r="88" spans="1:16" x14ac:dyDescent="0.15">
      <c r="A88" s="653" t="s">
        <v>788</v>
      </c>
      <c r="B88" s="688">
        <v>6.7999999999999996E-3</v>
      </c>
      <c r="C88" s="688">
        <v>5.7000000000000002E-3</v>
      </c>
      <c r="D88" s="688">
        <v>1.12E-2</v>
      </c>
      <c r="E88" s="683" t="s">
        <v>879</v>
      </c>
      <c r="K88" s="647"/>
      <c r="L88" s="647"/>
      <c r="O88" s="188"/>
      <c r="P88" s="188"/>
    </row>
    <row r="89" spans="1:16" x14ac:dyDescent="0.15">
      <c r="A89" s="653" t="s">
        <v>70</v>
      </c>
      <c r="B89" s="689">
        <v>21.47</v>
      </c>
      <c r="C89" s="689">
        <v>18.329999999999998</v>
      </c>
      <c r="D89" s="689">
        <v>16.23</v>
      </c>
      <c r="E89" s="683" t="s">
        <v>879</v>
      </c>
      <c r="K89" s="647"/>
      <c r="L89" s="647"/>
      <c r="O89" s="648"/>
    </row>
    <row r="90" spans="1:16" x14ac:dyDescent="0.15">
      <c r="M90" s="188"/>
      <c r="N90" s="191"/>
      <c r="O90" s="648"/>
    </row>
    <row r="91" spans="1:16" x14ac:dyDescent="0.15">
      <c r="J91" s="650"/>
      <c r="L91" s="188"/>
      <c r="M91" s="188"/>
      <c r="N91" s="188"/>
    </row>
    <row r="92" spans="1:16" x14ac:dyDescent="0.15">
      <c r="J92" s="650"/>
      <c r="L92" s="188"/>
      <c r="M92" s="188"/>
      <c r="N92" s="188"/>
    </row>
    <row r="93" spans="1:16" x14ac:dyDescent="0.15">
      <c r="J93" s="650"/>
      <c r="L93" s="188"/>
      <c r="M93" s="188"/>
      <c r="N93" s="188"/>
    </row>
    <row r="94" spans="1:16" x14ac:dyDescent="0.15">
      <c r="J94" s="650"/>
      <c r="L94" s="188"/>
      <c r="M94" s="188"/>
      <c r="N94" s="188"/>
    </row>
    <row r="95" spans="1:16" x14ac:dyDescent="0.15">
      <c r="J95" s="650"/>
      <c r="L95" s="188"/>
      <c r="M95" s="188"/>
      <c r="N95" s="188"/>
    </row>
    <row r="96" spans="1:16" x14ac:dyDescent="0.15">
      <c r="J96" s="650"/>
      <c r="L96" s="188"/>
      <c r="M96" s="188"/>
      <c r="N96" s="188"/>
      <c r="O96" s="188"/>
    </row>
    <row r="97" spans="1:14" x14ac:dyDescent="0.15">
      <c r="J97" s="650"/>
      <c r="L97" s="188"/>
      <c r="M97" s="188"/>
      <c r="N97" s="188"/>
    </row>
    <row r="98" spans="1:14" x14ac:dyDescent="0.15">
      <c r="G98" s="188"/>
      <c r="M98" s="188"/>
      <c r="N98" s="188"/>
    </row>
    <row r="99" spans="1:14" x14ac:dyDescent="0.15">
      <c r="A99" s="188"/>
      <c r="B99" s="188"/>
      <c r="C99" s="188"/>
      <c r="D99" s="188"/>
      <c r="E99" s="188"/>
      <c r="F99" s="188"/>
      <c r="G99" s="188"/>
    </row>
    <row r="100" spans="1:14" x14ac:dyDescent="0.15">
      <c r="A100" s="188"/>
      <c r="B100" s="188"/>
      <c r="C100" s="188"/>
      <c r="D100" s="188"/>
      <c r="E100" s="188"/>
      <c r="F100" s="188"/>
      <c r="G100" s="188"/>
    </row>
  </sheetData>
  <mergeCells count="19">
    <mergeCell ref="E84:G84"/>
    <mergeCell ref="H84:I84"/>
    <mergeCell ref="E85:G85"/>
    <mergeCell ref="H85:I85"/>
    <mergeCell ref="E86:G86"/>
    <mergeCell ref="H86:I86"/>
    <mergeCell ref="E81:G81"/>
    <mergeCell ref="H81:I81"/>
    <mergeCell ref="E82:G82"/>
    <mergeCell ref="H82:I82"/>
    <mergeCell ref="E83:G83"/>
    <mergeCell ref="H83:I83"/>
    <mergeCell ref="E80:G80"/>
    <mergeCell ref="H80:I80"/>
    <mergeCell ref="G2:J2"/>
    <mergeCell ref="D4:M4"/>
    <mergeCell ref="R5:S5"/>
    <mergeCell ref="E79:G79"/>
    <mergeCell ref="H79:I79"/>
  </mergeCells>
  <pageMargins left="0.75" right="0.75" top="1" bottom="1" header="0" footer="0"/>
  <pageSetup orientation="portrait" horizontalDpi="4294967292"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984375" defaultRowHeight="12.75" x14ac:dyDescent="0.15"/>
  <cols>
    <col min="1" max="9" width="0" hidden="1" customWidth="1"/>
    <col min="11" max="11" width="21.84375" bestFit="1" customWidth="1"/>
  </cols>
  <sheetData>
    <row r="2" spans="2:27" x14ac:dyDescent="0.15">
      <c r="E2" s="2" t="s">
        <v>880</v>
      </c>
      <c r="F2" s="2" t="s">
        <v>881</v>
      </c>
      <c r="H2" s="2" t="s">
        <v>450</v>
      </c>
      <c r="K2" s="1277" t="s">
        <v>880</v>
      </c>
      <c r="L2" s="1279" t="s">
        <v>882</v>
      </c>
      <c r="M2" s="1280"/>
      <c r="N2" s="1280"/>
      <c r="O2" s="1280"/>
      <c r="P2" s="1281"/>
      <c r="Q2" s="1280" t="s">
        <v>404</v>
      </c>
      <c r="R2" s="1280"/>
      <c r="S2" s="1280"/>
      <c r="T2" s="1280"/>
      <c r="U2" s="1280"/>
      <c r="V2" s="1280"/>
      <c r="W2" s="1280"/>
      <c r="X2" s="1280"/>
      <c r="Y2" s="1280"/>
      <c r="Z2" s="1280"/>
      <c r="AA2" s="1281"/>
    </row>
    <row r="3" spans="2:27" x14ac:dyDescent="0.15">
      <c r="E3" t="s">
        <v>883</v>
      </c>
      <c r="F3" t="s">
        <v>884</v>
      </c>
      <c r="H3" s="2" t="s">
        <v>388</v>
      </c>
      <c r="K3" s="1278"/>
      <c r="L3" s="16" t="s">
        <v>885</v>
      </c>
      <c r="M3" s="33" t="s">
        <v>886</v>
      </c>
      <c r="N3" s="33" t="s">
        <v>887</v>
      </c>
      <c r="O3" s="33" t="s">
        <v>888</v>
      </c>
      <c r="P3" s="34" t="s">
        <v>889</v>
      </c>
      <c r="Q3" s="33" t="s">
        <v>890</v>
      </c>
      <c r="R3" s="33" t="s">
        <v>891</v>
      </c>
      <c r="S3" s="33" t="s">
        <v>412</v>
      </c>
      <c r="T3" s="33" t="s">
        <v>892</v>
      </c>
      <c r="U3" s="33" t="s">
        <v>893</v>
      </c>
      <c r="V3" s="33" t="s">
        <v>894</v>
      </c>
      <c r="W3" s="33" t="s">
        <v>895</v>
      </c>
      <c r="X3" s="33" t="s">
        <v>896</v>
      </c>
      <c r="Y3" s="33" t="s">
        <v>897</v>
      </c>
      <c r="Z3" s="33" t="s">
        <v>898</v>
      </c>
      <c r="AA3" s="34" t="s">
        <v>438</v>
      </c>
    </row>
    <row r="4" spans="2:27" x14ac:dyDescent="0.15">
      <c r="B4" s="17"/>
      <c r="E4" t="s">
        <v>883</v>
      </c>
      <c r="F4" t="s">
        <v>899</v>
      </c>
      <c r="H4" s="2" t="s">
        <v>457</v>
      </c>
      <c r="K4" s="35" t="s">
        <v>883</v>
      </c>
      <c r="L4" s="36" t="s">
        <v>450</v>
      </c>
      <c r="M4" t="s">
        <v>450</v>
      </c>
      <c r="N4" t="s">
        <v>388</v>
      </c>
      <c r="O4" t="s">
        <v>450</v>
      </c>
      <c r="P4" s="37" t="s">
        <v>450</v>
      </c>
      <c r="Q4" t="s">
        <v>388</v>
      </c>
      <c r="R4" t="s">
        <v>388</v>
      </c>
      <c r="S4" t="s">
        <v>450</v>
      </c>
      <c r="T4" t="s">
        <v>450</v>
      </c>
      <c r="U4" t="s">
        <v>457</v>
      </c>
      <c r="V4" t="s">
        <v>450</v>
      </c>
      <c r="W4" t="s">
        <v>450</v>
      </c>
      <c r="X4" t="s">
        <v>450</v>
      </c>
      <c r="Y4" t="s">
        <v>450</v>
      </c>
      <c r="Z4" t="s">
        <v>450</v>
      </c>
      <c r="AA4" s="37" t="s">
        <v>388</v>
      </c>
    </row>
    <row r="5" spans="2:27" ht="13.5" x14ac:dyDescent="0.15">
      <c r="B5" s="29" t="s">
        <v>385</v>
      </c>
      <c r="E5" t="s">
        <v>883</v>
      </c>
      <c r="F5" t="s">
        <v>900</v>
      </c>
      <c r="H5" s="2" t="s">
        <v>901</v>
      </c>
      <c r="K5" s="35" t="s">
        <v>902</v>
      </c>
      <c r="L5" s="36" t="s">
        <v>450</v>
      </c>
      <c r="M5" t="s">
        <v>450</v>
      </c>
      <c r="N5" t="s">
        <v>388</v>
      </c>
      <c r="O5" t="s">
        <v>388</v>
      </c>
      <c r="P5" s="37" t="s">
        <v>450</v>
      </c>
      <c r="Q5" t="s">
        <v>388</v>
      </c>
      <c r="R5" t="s">
        <v>388</v>
      </c>
      <c r="S5" t="s">
        <v>450</v>
      </c>
      <c r="T5" t="s">
        <v>450</v>
      </c>
      <c r="U5" t="s">
        <v>388</v>
      </c>
      <c r="V5" t="s">
        <v>388</v>
      </c>
      <c r="W5" t="s">
        <v>388</v>
      </c>
      <c r="X5" t="s">
        <v>457</v>
      </c>
      <c r="Y5" t="s">
        <v>450</v>
      </c>
      <c r="Z5" t="s">
        <v>457</v>
      </c>
      <c r="AA5" s="37" t="s">
        <v>450</v>
      </c>
    </row>
    <row r="6" spans="2:27" x14ac:dyDescent="0.15">
      <c r="B6" s="31" t="s">
        <v>903</v>
      </c>
      <c r="E6" t="s">
        <v>883</v>
      </c>
      <c r="F6" t="s">
        <v>904</v>
      </c>
      <c r="K6" s="35" t="s">
        <v>905</v>
      </c>
      <c r="L6" s="36" t="s">
        <v>457</v>
      </c>
      <c r="M6" t="s">
        <v>901</v>
      </c>
      <c r="N6" t="s">
        <v>457</v>
      </c>
      <c r="O6" t="s">
        <v>457</v>
      </c>
      <c r="P6" s="37" t="s">
        <v>457</v>
      </c>
      <c r="Q6" t="s">
        <v>388</v>
      </c>
      <c r="R6" t="s">
        <v>457</v>
      </c>
      <c r="S6" t="s">
        <v>457</v>
      </c>
      <c r="T6" t="s">
        <v>450</v>
      </c>
      <c r="U6" t="s">
        <v>388</v>
      </c>
      <c r="V6" t="s">
        <v>388</v>
      </c>
      <c r="W6" t="s">
        <v>450</v>
      </c>
      <c r="X6" t="s">
        <v>457</v>
      </c>
      <c r="Y6" t="s">
        <v>450</v>
      </c>
      <c r="Z6" t="s">
        <v>901</v>
      </c>
      <c r="AA6" s="37" t="s">
        <v>450</v>
      </c>
    </row>
    <row r="7" spans="2:27" x14ac:dyDescent="0.15">
      <c r="B7" s="31" t="s">
        <v>906</v>
      </c>
      <c r="E7" t="s">
        <v>883</v>
      </c>
      <c r="F7" t="s">
        <v>907</v>
      </c>
      <c r="K7" s="35" t="s">
        <v>887</v>
      </c>
      <c r="L7" s="36" t="s">
        <v>901</v>
      </c>
      <c r="M7" t="s">
        <v>901</v>
      </c>
      <c r="N7" t="s">
        <v>388</v>
      </c>
      <c r="O7" t="s">
        <v>901</v>
      </c>
      <c r="P7" s="37" t="s">
        <v>457</v>
      </c>
      <c r="Q7" t="s">
        <v>457</v>
      </c>
      <c r="R7" t="s">
        <v>388</v>
      </c>
      <c r="S7" t="s">
        <v>388</v>
      </c>
      <c r="T7" t="s">
        <v>388</v>
      </c>
      <c r="U7" t="s">
        <v>388</v>
      </c>
      <c r="V7" t="s">
        <v>457</v>
      </c>
      <c r="W7" t="s">
        <v>388</v>
      </c>
      <c r="X7" t="s">
        <v>388</v>
      </c>
      <c r="Y7" t="s">
        <v>457</v>
      </c>
      <c r="Z7" t="s">
        <v>457</v>
      </c>
      <c r="AA7" s="37" t="s">
        <v>450</v>
      </c>
    </row>
    <row r="8" spans="2:27" x14ac:dyDescent="0.15">
      <c r="B8" s="31"/>
      <c r="K8" s="35" t="s">
        <v>908</v>
      </c>
      <c r="L8" s="36" t="s">
        <v>450</v>
      </c>
      <c r="M8" t="s">
        <v>450</v>
      </c>
      <c r="N8" t="s">
        <v>450</v>
      </c>
      <c r="O8" t="s">
        <v>388</v>
      </c>
      <c r="P8" s="37" t="s">
        <v>388</v>
      </c>
      <c r="Q8" t="s">
        <v>450</v>
      </c>
      <c r="R8" t="s">
        <v>388</v>
      </c>
      <c r="S8" t="s">
        <v>388</v>
      </c>
      <c r="T8" t="s">
        <v>457</v>
      </c>
      <c r="U8" t="s">
        <v>388</v>
      </c>
      <c r="V8" t="s">
        <v>450</v>
      </c>
      <c r="W8" t="s">
        <v>450</v>
      </c>
      <c r="X8" t="s">
        <v>388</v>
      </c>
      <c r="Y8" t="s">
        <v>388</v>
      </c>
      <c r="Z8" t="s">
        <v>457</v>
      </c>
      <c r="AA8" s="37" t="s">
        <v>450</v>
      </c>
    </row>
    <row r="9" spans="2:27" x14ac:dyDescent="0.15">
      <c r="B9" s="31" t="s">
        <v>397</v>
      </c>
      <c r="E9" t="s">
        <v>883</v>
      </c>
      <c r="F9" t="s">
        <v>909</v>
      </c>
      <c r="K9" s="35" t="s">
        <v>910</v>
      </c>
      <c r="L9" s="36" t="s">
        <v>450</v>
      </c>
      <c r="M9" t="s">
        <v>450</v>
      </c>
      <c r="N9" t="s">
        <v>450</v>
      </c>
      <c r="O9" t="s">
        <v>450</v>
      </c>
      <c r="P9" s="37" t="s">
        <v>450</v>
      </c>
      <c r="Q9" t="s">
        <v>450</v>
      </c>
      <c r="R9" t="s">
        <v>450</v>
      </c>
      <c r="S9" t="s">
        <v>388</v>
      </c>
      <c r="T9" t="s">
        <v>457</v>
      </c>
      <c r="U9" t="s">
        <v>388</v>
      </c>
      <c r="V9" t="s">
        <v>450</v>
      </c>
      <c r="W9" t="s">
        <v>450</v>
      </c>
      <c r="X9" t="s">
        <v>450</v>
      </c>
      <c r="Y9" t="s">
        <v>450</v>
      </c>
      <c r="Z9" t="s">
        <v>388</v>
      </c>
      <c r="AA9" s="37" t="s">
        <v>450</v>
      </c>
    </row>
    <row r="10" spans="2:27" x14ac:dyDescent="0.15">
      <c r="B10" s="31"/>
      <c r="K10" s="35" t="s">
        <v>911</v>
      </c>
      <c r="L10" s="36" t="s">
        <v>450</v>
      </c>
      <c r="M10" t="s">
        <v>388</v>
      </c>
      <c r="N10" t="s">
        <v>450</v>
      </c>
      <c r="O10" t="s">
        <v>388</v>
      </c>
      <c r="P10" s="37" t="s">
        <v>457</v>
      </c>
      <c r="Q10" t="s">
        <v>450</v>
      </c>
      <c r="R10" t="s">
        <v>450</v>
      </c>
      <c r="S10" t="s">
        <v>450</v>
      </c>
      <c r="T10" t="s">
        <v>450</v>
      </c>
      <c r="U10" t="s">
        <v>450</v>
      </c>
      <c r="V10" t="s">
        <v>450</v>
      </c>
      <c r="W10" t="s">
        <v>450</v>
      </c>
      <c r="X10" t="s">
        <v>450</v>
      </c>
      <c r="Y10" t="s">
        <v>388</v>
      </c>
      <c r="Z10" t="s">
        <v>450</v>
      </c>
      <c r="AA10" s="37" t="s">
        <v>450</v>
      </c>
    </row>
    <row r="11" spans="2:27" x14ac:dyDescent="0.15">
      <c r="B11" s="31" t="s">
        <v>399</v>
      </c>
      <c r="E11" t="s">
        <v>883</v>
      </c>
      <c r="F11" t="s">
        <v>912</v>
      </c>
      <c r="K11" s="35" t="s">
        <v>370</v>
      </c>
      <c r="L11" s="36" t="s">
        <v>450</v>
      </c>
      <c r="M11" t="s">
        <v>388</v>
      </c>
      <c r="N11" t="s">
        <v>450</v>
      </c>
      <c r="O11" t="s">
        <v>450</v>
      </c>
      <c r="P11" s="37" t="s">
        <v>450</v>
      </c>
      <c r="Q11" t="s">
        <v>450</v>
      </c>
      <c r="R11" t="s">
        <v>450</v>
      </c>
      <c r="S11" t="s">
        <v>388</v>
      </c>
      <c r="T11" t="s">
        <v>450</v>
      </c>
      <c r="U11" t="s">
        <v>457</v>
      </c>
      <c r="V11" t="s">
        <v>450</v>
      </c>
      <c r="W11" t="s">
        <v>450</v>
      </c>
      <c r="X11" t="s">
        <v>450</v>
      </c>
      <c r="Y11" t="s">
        <v>450</v>
      </c>
      <c r="Z11" t="s">
        <v>450</v>
      </c>
      <c r="AA11" s="37" t="s">
        <v>450</v>
      </c>
    </row>
    <row r="12" spans="2:27" x14ac:dyDescent="0.15">
      <c r="B12" s="30" t="s">
        <v>913</v>
      </c>
      <c r="E12" t="s">
        <v>883</v>
      </c>
      <c r="F12" t="s">
        <v>914</v>
      </c>
      <c r="K12" s="35" t="s">
        <v>915</v>
      </c>
      <c r="L12" s="36" t="s">
        <v>901</v>
      </c>
      <c r="M12" t="s">
        <v>901</v>
      </c>
      <c r="N12" t="s">
        <v>901</v>
      </c>
      <c r="O12" t="s">
        <v>457</v>
      </c>
      <c r="P12" s="37" t="s">
        <v>457</v>
      </c>
      <c r="Q12" t="s">
        <v>450</v>
      </c>
      <c r="R12" t="s">
        <v>388</v>
      </c>
      <c r="S12" t="s">
        <v>457</v>
      </c>
      <c r="T12" t="s">
        <v>901</v>
      </c>
      <c r="U12" t="s">
        <v>388</v>
      </c>
      <c r="V12" t="s">
        <v>901</v>
      </c>
      <c r="W12" t="s">
        <v>388</v>
      </c>
      <c r="X12" t="s">
        <v>901</v>
      </c>
      <c r="Y12" t="s">
        <v>901</v>
      </c>
      <c r="Z12" t="s">
        <v>901</v>
      </c>
      <c r="AA12" s="37" t="s">
        <v>457</v>
      </c>
    </row>
    <row r="13" spans="2:27" ht="13.5" x14ac:dyDescent="0.15">
      <c r="B13" s="29" t="s">
        <v>404</v>
      </c>
      <c r="E13" t="s">
        <v>883</v>
      </c>
      <c r="F13" t="s">
        <v>916</v>
      </c>
      <c r="K13" s="35" t="s">
        <v>917</v>
      </c>
      <c r="L13" s="36" t="s">
        <v>388</v>
      </c>
      <c r="M13" t="s">
        <v>450</v>
      </c>
      <c r="N13" t="s">
        <v>457</v>
      </c>
      <c r="O13" t="s">
        <v>450</v>
      </c>
      <c r="P13" s="37" t="s">
        <v>450</v>
      </c>
      <c r="Q13" t="s">
        <v>450</v>
      </c>
      <c r="R13" t="s">
        <v>450</v>
      </c>
      <c r="S13" t="s">
        <v>450</v>
      </c>
      <c r="T13" t="s">
        <v>450</v>
      </c>
      <c r="U13" t="s">
        <v>457</v>
      </c>
      <c r="V13" t="s">
        <v>450</v>
      </c>
      <c r="W13" t="s">
        <v>450</v>
      </c>
      <c r="X13" t="s">
        <v>450</v>
      </c>
      <c r="Y13" t="s">
        <v>450</v>
      </c>
      <c r="Z13" t="s">
        <v>388</v>
      </c>
      <c r="AA13" s="37" t="s">
        <v>901</v>
      </c>
    </row>
    <row r="14" spans="2:27" x14ac:dyDescent="0.15">
      <c r="B14" s="21" t="s">
        <v>918</v>
      </c>
      <c r="E14" t="s">
        <v>883</v>
      </c>
      <c r="F14" t="s">
        <v>919</v>
      </c>
      <c r="K14" s="35" t="s">
        <v>920</v>
      </c>
      <c r="L14" s="36" t="s">
        <v>901</v>
      </c>
      <c r="M14" t="s">
        <v>901</v>
      </c>
      <c r="N14" t="s">
        <v>901</v>
      </c>
      <c r="O14" t="s">
        <v>901</v>
      </c>
      <c r="P14" s="37" t="s">
        <v>457</v>
      </c>
      <c r="Q14" t="s">
        <v>457</v>
      </c>
      <c r="R14" t="s">
        <v>457</v>
      </c>
      <c r="S14" t="s">
        <v>388</v>
      </c>
      <c r="T14" t="s">
        <v>457</v>
      </c>
      <c r="U14" t="s">
        <v>450</v>
      </c>
      <c r="V14" t="s">
        <v>901</v>
      </c>
      <c r="W14" t="s">
        <v>388</v>
      </c>
      <c r="X14" t="s">
        <v>388</v>
      </c>
      <c r="Y14" t="s">
        <v>901</v>
      </c>
      <c r="Z14" t="s">
        <v>457</v>
      </c>
      <c r="AA14" s="37" t="s">
        <v>388</v>
      </c>
    </row>
    <row r="15" spans="2:27" x14ac:dyDescent="0.15">
      <c r="B15" s="21" t="s">
        <v>921</v>
      </c>
      <c r="E15" t="s">
        <v>902</v>
      </c>
      <c r="F15" t="s">
        <v>922</v>
      </c>
      <c r="K15" s="35" t="s">
        <v>923</v>
      </c>
      <c r="L15" s="36" t="s">
        <v>450</v>
      </c>
      <c r="M15" t="s">
        <v>450</v>
      </c>
      <c r="N15" t="s">
        <v>388</v>
      </c>
      <c r="O15" t="s">
        <v>450</v>
      </c>
      <c r="P15" s="37" t="s">
        <v>450</v>
      </c>
      <c r="Q15" t="s">
        <v>388</v>
      </c>
      <c r="R15" t="s">
        <v>450</v>
      </c>
      <c r="S15" t="s">
        <v>450</v>
      </c>
      <c r="T15" t="s">
        <v>450</v>
      </c>
      <c r="U15" t="s">
        <v>457</v>
      </c>
      <c r="V15" t="s">
        <v>450</v>
      </c>
      <c r="W15" t="s">
        <v>388</v>
      </c>
      <c r="X15" t="s">
        <v>450</v>
      </c>
      <c r="Y15" t="s">
        <v>388</v>
      </c>
      <c r="Z15" t="s">
        <v>450</v>
      </c>
      <c r="AA15" s="37" t="s">
        <v>450</v>
      </c>
    </row>
    <row r="16" spans="2:27" x14ac:dyDescent="0.15">
      <c r="B16" s="24" t="s">
        <v>924</v>
      </c>
      <c r="E16" t="s">
        <v>902</v>
      </c>
      <c r="F16" t="s">
        <v>925</v>
      </c>
      <c r="K16" s="38" t="s">
        <v>926</v>
      </c>
      <c r="L16" s="39" t="s">
        <v>901</v>
      </c>
      <c r="M16" s="40" t="s">
        <v>457</v>
      </c>
      <c r="N16" s="40" t="s">
        <v>457</v>
      </c>
      <c r="O16" s="40" t="s">
        <v>388</v>
      </c>
      <c r="P16" s="41" t="s">
        <v>457</v>
      </c>
      <c r="Q16" s="40" t="s">
        <v>450</v>
      </c>
      <c r="R16" s="40" t="s">
        <v>388</v>
      </c>
      <c r="S16" s="40" t="s">
        <v>388</v>
      </c>
      <c r="T16" s="40" t="s">
        <v>450</v>
      </c>
      <c r="U16" s="40" t="s">
        <v>388</v>
      </c>
      <c r="V16" s="40" t="s">
        <v>388</v>
      </c>
      <c r="W16" s="40" t="s">
        <v>388</v>
      </c>
      <c r="X16" s="40" t="s">
        <v>388</v>
      </c>
      <c r="Y16" s="40" t="s">
        <v>450</v>
      </c>
      <c r="Z16" s="40" t="s">
        <v>388</v>
      </c>
      <c r="AA16" s="41" t="s">
        <v>450</v>
      </c>
    </row>
    <row r="17" spans="2:22" x14ac:dyDescent="0.15">
      <c r="B17" s="24" t="s">
        <v>927</v>
      </c>
      <c r="E17" t="s">
        <v>902</v>
      </c>
      <c r="F17" t="s">
        <v>928</v>
      </c>
    </row>
    <row r="18" spans="2:22" hidden="1" x14ac:dyDescent="0.15">
      <c r="B18" s="21" t="s">
        <v>929</v>
      </c>
      <c r="E18" t="s">
        <v>902</v>
      </c>
      <c r="F18" t="s">
        <v>930</v>
      </c>
    </row>
    <row r="19" spans="2:22" hidden="1" x14ac:dyDescent="0.15">
      <c r="B19" s="21" t="s">
        <v>931</v>
      </c>
      <c r="E19" t="s">
        <v>902</v>
      </c>
      <c r="F19" t="s">
        <v>932</v>
      </c>
      <c r="L19" s="42" t="s">
        <v>883</v>
      </c>
      <c r="M19" s="43" t="s">
        <v>902</v>
      </c>
      <c r="N19" s="43" t="s">
        <v>905</v>
      </c>
      <c r="O19" s="43" t="s">
        <v>887</v>
      </c>
      <c r="P19" s="43" t="s">
        <v>910</v>
      </c>
      <c r="Q19" s="43" t="s">
        <v>370</v>
      </c>
      <c r="R19" s="43" t="s">
        <v>915</v>
      </c>
      <c r="S19" s="43" t="s">
        <v>917</v>
      </c>
      <c r="T19" s="43" t="s">
        <v>920</v>
      </c>
      <c r="U19" s="43" t="s">
        <v>923</v>
      </c>
      <c r="V19" s="44" t="s">
        <v>926</v>
      </c>
    </row>
    <row r="20" spans="2:22" hidden="1" x14ac:dyDescent="0.15">
      <c r="B20" s="21" t="s">
        <v>424</v>
      </c>
      <c r="E20" t="s">
        <v>902</v>
      </c>
      <c r="F20" t="s">
        <v>933</v>
      </c>
      <c r="L20" s="36" t="s">
        <v>884</v>
      </c>
      <c r="M20" t="s">
        <v>922</v>
      </c>
      <c r="N20" t="s">
        <v>934</v>
      </c>
      <c r="O20" t="s">
        <v>935</v>
      </c>
      <c r="P20" t="s">
        <v>936</v>
      </c>
      <c r="Q20" t="s">
        <v>937</v>
      </c>
      <c r="R20" t="s">
        <v>938</v>
      </c>
      <c r="S20" t="s">
        <v>939</v>
      </c>
      <c r="T20" t="s">
        <v>940</v>
      </c>
      <c r="U20" t="s">
        <v>941</v>
      </c>
      <c r="V20" s="37" t="s">
        <v>942</v>
      </c>
    </row>
    <row r="21" spans="2:22" hidden="1" x14ac:dyDescent="0.15">
      <c r="B21" s="21" t="s">
        <v>426</v>
      </c>
      <c r="E21" t="s">
        <v>902</v>
      </c>
      <c r="F21" t="s">
        <v>943</v>
      </c>
      <c r="L21" s="36" t="s">
        <v>899</v>
      </c>
      <c r="M21" t="s">
        <v>925</v>
      </c>
      <c r="N21" t="s">
        <v>944</v>
      </c>
      <c r="O21" t="s">
        <v>945</v>
      </c>
      <c r="P21" t="s">
        <v>946</v>
      </c>
      <c r="Q21" t="s">
        <v>947</v>
      </c>
      <c r="R21" t="s">
        <v>948</v>
      </c>
      <c r="S21" t="s">
        <v>949</v>
      </c>
      <c r="T21" t="s">
        <v>950</v>
      </c>
      <c r="U21" t="s">
        <v>951</v>
      </c>
      <c r="V21" s="37" t="s">
        <v>952</v>
      </c>
    </row>
    <row r="22" spans="2:22" hidden="1" x14ac:dyDescent="0.15">
      <c r="B22" s="21" t="s">
        <v>432</v>
      </c>
      <c r="E22" t="s">
        <v>902</v>
      </c>
      <c r="F22" t="s">
        <v>953</v>
      </c>
      <c r="L22" s="36" t="s">
        <v>900</v>
      </c>
      <c r="M22" t="s">
        <v>928</v>
      </c>
      <c r="N22" t="s">
        <v>954</v>
      </c>
      <c r="O22" t="s">
        <v>955</v>
      </c>
      <c r="P22" t="s">
        <v>956</v>
      </c>
      <c r="Q22" t="s">
        <v>957</v>
      </c>
      <c r="R22" t="s">
        <v>958</v>
      </c>
      <c r="S22" t="s">
        <v>959</v>
      </c>
      <c r="T22" t="s">
        <v>960</v>
      </c>
      <c r="U22" t="s">
        <v>961</v>
      </c>
      <c r="V22" s="37" t="s">
        <v>962</v>
      </c>
    </row>
    <row r="23" spans="2:22" hidden="1" x14ac:dyDescent="0.15">
      <c r="B23" s="21" t="s">
        <v>436</v>
      </c>
      <c r="E23" t="s">
        <v>902</v>
      </c>
      <c r="F23" t="s">
        <v>963</v>
      </c>
      <c r="L23" s="36" t="s">
        <v>904</v>
      </c>
      <c r="M23" t="s">
        <v>930</v>
      </c>
      <c r="N23" t="s">
        <v>964</v>
      </c>
      <c r="O23" t="s">
        <v>965</v>
      </c>
      <c r="P23" t="s">
        <v>966</v>
      </c>
      <c r="Q23" t="s">
        <v>967</v>
      </c>
      <c r="R23" t="s">
        <v>968</v>
      </c>
      <c r="S23" t="s">
        <v>969</v>
      </c>
      <c r="T23" t="s">
        <v>970</v>
      </c>
      <c r="U23" t="s">
        <v>971</v>
      </c>
      <c r="V23" s="37" t="s">
        <v>972</v>
      </c>
    </row>
    <row r="24" spans="2:22" hidden="1" x14ac:dyDescent="0.15">
      <c r="B24" s="23" t="s">
        <v>438</v>
      </c>
      <c r="E24" t="s">
        <v>902</v>
      </c>
      <c r="F24" t="s">
        <v>973</v>
      </c>
      <c r="L24" s="36" t="s">
        <v>907</v>
      </c>
      <c r="M24" t="s">
        <v>932</v>
      </c>
      <c r="N24" t="s">
        <v>974</v>
      </c>
      <c r="O24" t="s">
        <v>975</v>
      </c>
      <c r="P24" t="s">
        <v>976</v>
      </c>
      <c r="Q24" t="s">
        <v>977</v>
      </c>
      <c r="R24" t="s">
        <v>978</v>
      </c>
      <c r="S24" t="s">
        <v>979</v>
      </c>
      <c r="T24" t="s">
        <v>980</v>
      </c>
      <c r="U24" t="s">
        <v>981</v>
      </c>
      <c r="V24" s="37" t="s">
        <v>982</v>
      </c>
    </row>
    <row r="25" spans="2:22" hidden="1" x14ac:dyDescent="0.15">
      <c r="E25" t="s">
        <v>902</v>
      </c>
      <c r="F25" t="s">
        <v>983</v>
      </c>
      <c r="L25" s="36" t="s">
        <v>909</v>
      </c>
      <c r="M25" t="s">
        <v>933</v>
      </c>
      <c r="N25" t="s">
        <v>984</v>
      </c>
      <c r="P25" t="s">
        <v>985</v>
      </c>
      <c r="Q25" t="s">
        <v>986</v>
      </c>
      <c r="R25" t="s">
        <v>987</v>
      </c>
      <c r="S25" t="s">
        <v>988</v>
      </c>
      <c r="T25" t="s">
        <v>989</v>
      </c>
      <c r="U25" t="s">
        <v>990</v>
      </c>
      <c r="V25" s="37"/>
    </row>
    <row r="26" spans="2:22" hidden="1" x14ac:dyDescent="0.15">
      <c r="E26" t="s">
        <v>902</v>
      </c>
      <c r="F26" t="s">
        <v>991</v>
      </c>
      <c r="L26" s="36" t="s">
        <v>912</v>
      </c>
      <c r="M26" t="s">
        <v>943</v>
      </c>
      <c r="N26" t="s">
        <v>992</v>
      </c>
      <c r="P26" t="s">
        <v>993</v>
      </c>
      <c r="Q26" t="s">
        <v>994</v>
      </c>
      <c r="R26" t="s">
        <v>995</v>
      </c>
      <c r="S26" t="s">
        <v>996</v>
      </c>
      <c r="T26" t="s">
        <v>997</v>
      </c>
      <c r="U26" t="s">
        <v>998</v>
      </c>
      <c r="V26" s="37"/>
    </row>
    <row r="27" spans="2:22" hidden="1" x14ac:dyDescent="0.15">
      <c r="E27" t="s">
        <v>902</v>
      </c>
      <c r="F27" t="s">
        <v>999</v>
      </c>
      <c r="L27" s="36" t="s">
        <v>914</v>
      </c>
      <c r="M27" t="s">
        <v>953</v>
      </c>
      <c r="N27" t="s">
        <v>1000</v>
      </c>
      <c r="P27" t="s">
        <v>1001</v>
      </c>
      <c r="Q27" t="s">
        <v>1002</v>
      </c>
      <c r="R27" t="s">
        <v>1003</v>
      </c>
      <c r="S27" t="s">
        <v>1004</v>
      </c>
      <c r="T27" t="s">
        <v>1005</v>
      </c>
      <c r="U27" t="s">
        <v>1006</v>
      </c>
      <c r="V27" s="37"/>
    </row>
    <row r="28" spans="2:22" hidden="1" x14ac:dyDescent="0.15">
      <c r="E28" t="s">
        <v>902</v>
      </c>
      <c r="F28" t="s">
        <v>1007</v>
      </c>
      <c r="L28" s="36" t="s">
        <v>916</v>
      </c>
      <c r="M28" t="s">
        <v>963</v>
      </c>
      <c r="N28" t="s">
        <v>1008</v>
      </c>
      <c r="P28" t="s">
        <v>1009</v>
      </c>
      <c r="Q28" t="s">
        <v>1010</v>
      </c>
      <c r="R28" t="s">
        <v>1011</v>
      </c>
      <c r="S28" t="s">
        <v>1012</v>
      </c>
      <c r="T28" t="s">
        <v>1013</v>
      </c>
      <c r="V28" s="37"/>
    </row>
    <row r="29" spans="2:22" hidden="1" x14ac:dyDescent="0.15">
      <c r="E29" t="s">
        <v>902</v>
      </c>
      <c r="F29" t="s">
        <v>1014</v>
      </c>
      <c r="L29" s="39" t="s">
        <v>919</v>
      </c>
      <c r="M29" s="40" t="s">
        <v>973</v>
      </c>
      <c r="N29" s="40" t="s">
        <v>1015</v>
      </c>
      <c r="O29" s="40"/>
      <c r="P29" s="40" t="s">
        <v>1016</v>
      </c>
      <c r="Q29" s="40" t="s">
        <v>1017</v>
      </c>
      <c r="R29" s="40" t="s">
        <v>1018</v>
      </c>
      <c r="S29" s="40" t="s">
        <v>1019</v>
      </c>
      <c r="T29" s="40" t="s">
        <v>1020</v>
      </c>
      <c r="U29" s="40"/>
      <c r="V29" s="41"/>
    </row>
    <row r="30" spans="2:22" hidden="1" x14ac:dyDescent="0.15">
      <c r="E30" t="s">
        <v>902</v>
      </c>
      <c r="F30" t="s">
        <v>1021</v>
      </c>
      <c r="M30" t="s">
        <v>983</v>
      </c>
      <c r="N30" t="s">
        <v>1022</v>
      </c>
      <c r="P30" t="s">
        <v>1023</v>
      </c>
      <c r="R30" t="s">
        <v>1024</v>
      </c>
      <c r="S30" t="s">
        <v>1025</v>
      </c>
      <c r="T30" t="s">
        <v>1026</v>
      </c>
    </row>
    <row r="31" spans="2:22" hidden="1" x14ac:dyDescent="0.15">
      <c r="E31" t="s">
        <v>902</v>
      </c>
      <c r="F31" t="s">
        <v>1027</v>
      </c>
      <c r="M31" t="s">
        <v>991</v>
      </c>
      <c r="N31" t="s">
        <v>1028</v>
      </c>
      <c r="P31" t="s">
        <v>1029</v>
      </c>
      <c r="R31" t="s">
        <v>1030</v>
      </c>
      <c r="S31" t="s">
        <v>1031</v>
      </c>
    </row>
    <row r="32" spans="2:22" hidden="1" x14ac:dyDescent="0.15">
      <c r="E32" t="s">
        <v>902</v>
      </c>
      <c r="F32" t="s">
        <v>1032</v>
      </c>
      <c r="M32" t="s">
        <v>999</v>
      </c>
      <c r="P32" t="s">
        <v>1033</v>
      </c>
      <c r="R32" t="s">
        <v>1034</v>
      </c>
      <c r="S32" t="s">
        <v>1035</v>
      </c>
    </row>
    <row r="33" spans="5:18" hidden="1" x14ac:dyDescent="0.15">
      <c r="E33" t="s">
        <v>902</v>
      </c>
      <c r="F33" t="s">
        <v>1036</v>
      </c>
      <c r="M33" t="s">
        <v>1007</v>
      </c>
      <c r="R33" t="s">
        <v>1037</v>
      </c>
    </row>
    <row r="34" spans="5:18" hidden="1" x14ac:dyDescent="0.15">
      <c r="E34" t="s">
        <v>902</v>
      </c>
      <c r="F34" t="s">
        <v>1038</v>
      </c>
      <c r="M34" t="s">
        <v>1014</v>
      </c>
      <c r="R34" t="s">
        <v>1039</v>
      </c>
    </row>
    <row r="35" spans="5:18" hidden="1" x14ac:dyDescent="0.15">
      <c r="E35" t="s">
        <v>905</v>
      </c>
      <c r="F35" t="s">
        <v>934</v>
      </c>
      <c r="M35" t="s">
        <v>1021</v>
      </c>
      <c r="R35" t="s">
        <v>1040</v>
      </c>
    </row>
    <row r="36" spans="5:18" hidden="1" x14ac:dyDescent="0.15">
      <c r="E36" t="s">
        <v>905</v>
      </c>
      <c r="F36" t="s">
        <v>944</v>
      </c>
      <c r="M36" t="s">
        <v>1027</v>
      </c>
      <c r="R36" t="s">
        <v>1041</v>
      </c>
    </row>
    <row r="37" spans="5:18" hidden="1" x14ac:dyDescent="0.15">
      <c r="E37" t="s">
        <v>905</v>
      </c>
      <c r="F37" t="s">
        <v>954</v>
      </c>
      <c r="M37" t="s">
        <v>1032</v>
      </c>
    </row>
    <row r="38" spans="5:18" hidden="1" x14ac:dyDescent="0.15">
      <c r="E38" t="s">
        <v>905</v>
      </c>
      <c r="F38" t="s">
        <v>964</v>
      </c>
      <c r="M38" t="s">
        <v>1036</v>
      </c>
    </row>
    <row r="39" spans="5:18" hidden="1" x14ac:dyDescent="0.15">
      <c r="E39" t="s">
        <v>905</v>
      </c>
      <c r="F39" t="s">
        <v>974</v>
      </c>
      <c r="M39" t="s">
        <v>1038</v>
      </c>
    </row>
    <row r="40" spans="5:18" hidden="1" x14ac:dyDescent="0.15">
      <c r="E40" t="s">
        <v>905</v>
      </c>
      <c r="F40" t="s">
        <v>984</v>
      </c>
    </row>
    <row r="41" spans="5:18" hidden="1" x14ac:dyDescent="0.15">
      <c r="E41" t="s">
        <v>905</v>
      </c>
      <c r="F41" t="s">
        <v>992</v>
      </c>
    </row>
    <row r="42" spans="5:18" x14ac:dyDescent="0.15">
      <c r="E42" t="s">
        <v>905</v>
      </c>
      <c r="F42" t="s">
        <v>1000</v>
      </c>
    </row>
    <row r="43" spans="5:18" x14ac:dyDescent="0.15">
      <c r="E43" t="s">
        <v>905</v>
      </c>
      <c r="F43" t="s">
        <v>1008</v>
      </c>
    </row>
    <row r="44" spans="5:18" x14ac:dyDescent="0.15">
      <c r="E44" t="s">
        <v>905</v>
      </c>
      <c r="F44" t="s">
        <v>1015</v>
      </c>
    </row>
    <row r="45" spans="5:18" x14ac:dyDescent="0.15">
      <c r="E45" t="s">
        <v>905</v>
      </c>
      <c r="F45" t="s">
        <v>1022</v>
      </c>
    </row>
    <row r="46" spans="5:18" x14ac:dyDescent="0.15">
      <c r="E46" t="s">
        <v>905</v>
      </c>
      <c r="F46" t="s">
        <v>1028</v>
      </c>
    </row>
    <row r="47" spans="5:18" x14ac:dyDescent="0.15">
      <c r="E47" t="s">
        <v>887</v>
      </c>
      <c r="F47" t="s">
        <v>935</v>
      </c>
    </row>
    <row r="48" spans="5:18" x14ac:dyDescent="0.15">
      <c r="E48" t="s">
        <v>887</v>
      </c>
      <c r="F48" t="s">
        <v>945</v>
      </c>
    </row>
    <row r="49" spans="5:6" x14ac:dyDescent="0.15">
      <c r="E49" t="s">
        <v>887</v>
      </c>
      <c r="F49" t="s">
        <v>955</v>
      </c>
    </row>
    <row r="50" spans="5:6" x14ac:dyDescent="0.15">
      <c r="E50" t="s">
        <v>887</v>
      </c>
      <c r="F50" t="s">
        <v>965</v>
      </c>
    </row>
    <row r="51" spans="5:6" x14ac:dyDescent="0.15">
      <c r="E51" t="s">
        <v>887</v>
      </c>
      <c r="F51" t="s">
        <v>975</v>
      </c>
    </row>
    <row r="52" spans="5:6" x14ac:dyDescent="0.15">
      <c r="E52" t="s">
        <v>910</v>
      </c>
      <c r="F52" t="s">
        <v>936</v>
      </c>
    </row>
    <row r="53" spans="5:6" x14ac:dyDescent="0.15">
      <c r="E53" t="s">
        <v>910</v>
      </c>
      <c r="F53" t="s">
        <v>946</v>
      </c>
    </row>
    <row r="54" spans="5:6" x14ac:dyDescent="0.15">
      <c r="E54" t="s">
        <v>910</v>
      </c>
      <c r="F54" t="s">
        <v>956</v>
      </c>
    </row>
    <row r="55" spans="5:6" x14ac:dyDescent="0.15">
      <c r="E55" t="s">
        <v>910</v>
      </c>
      <c r="F55" t="s">
        <v>966</v>
      </c>
    </row>
    <row r="56" spans="5:6" x14ac:dyDescent="0.15">
      <c r="E56" t="s">
        <v>910</v>
      </c>
      <c r="F56" t="s">
        <v>976</v>
      </c>
    </row>
    <row r="57" spans="5:6" x14ac:dyDescent="0.15">
      <c r="E57" t="s">
        <v>910</v>
      </c>
      <c r="F57" t="s">
        <v>985</v>
      </c>
    </row>
    <row r="58" spans="5:6" x14ac:dyDescent="0.15">
      <c r="E58" t="s">
        <v>910</v>
      </c>
      <c r="F58" t="s">
        <v>993</v>
      </c>
    </row>
    <row r="59" spans="5:6" x14ac:dyDescent="0.15">
      <c r="E59" t="s">
        <v>910</v>
      </c>
      <c r="F59" t="s">
        <v>1001</v>
      </c>
    </row>
    <row r="60" spans="5:6" x14ac:dyDescent="0.15">
      <c r="E60" t="s">
        <v>910</v>
      </c>
      <c r="F60" t="s">
        <v>1009</v>
      </c>
    </row>
    <row r="61" spans="5:6" x14ac:dyDescent="0.15">
      <c r="E61" t="s">
        <v>910</v>
      </c>
      <c r="F61" t="s">
        <v>1016</v>
      </c>
    </row>
    <row r="62" spans="5:6" x14ac:dyDescent="0.15">
      <c r="E62" t="s">
        <v>910</v>
      </c>
      <c r="F62" t="s">
        <v>1023</v>
      </c>
    </row>
    <row r="63" spans="5:6" x14ac:dyDescent="0.15">
      <c r="E63" t="s">
        <v>910</v>
      </c>
      <c r="F63" t="s">
        <v>1029</v>
      </c>
    </row>
    <row r="64" spans="5:6" x14ac:dyDescent="0.15">
      <c r="E64" t="s">
        <v>910</v>
      </c>
      <c r="F64" t="s">
        <v>1033</v>
      </c>
    </row>
    <row r="65" spans="5:6" x14ac:dyDescent="0.15">
      <c r="E65" t="s">
        <v>370</v>
      </c>
      <c r="F65" t="s">
        <v>937</v>
      </c>
    </row>
    <row r="66" spans="5:6" x14ac:dyDescent="0.15">
      <c r="E66" t="s">
        <v>370</v>
      </c>
      <c r="F66" t="s">
        <v>947</v>
      </c>
    </row>
    <row r="67" spans="5:6" x14ac:dyDescent="0.15">
      <c r="E67" t="s">
        <v>370</v>
      </c>
      <c r="F67" t="s">
        <v>957</v>
      </c>
    </row>
    <row r="68" spans="5:6" x14ac:dyDescent="0.15">
      <c r="E68" t="s">
        <v>370</v>
      </c>
      <c r="F68" t="s">
        <v>967</v>
      </c>
    </row>
    <row r="69" spans="5:6" x14ac:dyDescent="0.15">
      <c r="E69" t="s">
        <v>370</v>
      </c>
      <c r="F69" t="s">
        <v>977</v>
      </c>
    </row>
    <row r="70" spans="5:6" x14ac:dyDescent="0.15">
      <c r="E70" t="s">
        <v>370</v>
      </c>
      <c r="F70" t="s">
        <v>986</v>
      </c>
    </row>
    <row r="71" spans="5:6" x14ac:dyDescent="0.15">
      <c r="E71" t="s">
        <v>370</v>
      </c>
      <c r="F71" t="s">
        <v>994</v>
      </c>
    </row>
    <row r="72" spans="5:6" x14ac:dyDescent="0.15">
      <c r="E72" t="s">
        <v>370</v>
      </c>
      <c r="F72" t="s">
        <v>1002</v>
      </c>
    </row>
    <row r="73" spans="5:6" x14ac:dyDescent="0.15">
      <c r="E73" t="s">
        <v>370</v>
      </c>
      <c r="F73" t="s">
        <v>1010</v>
      </c>
    </row>
    <row r="74" spans="5:6" x14ac:dyDescent="0.15">
      <c r="E74" t="s">
        <v>370</v>
      </c>
      <c r="F74" t="s">
        <v>1017</v>
      </c>
    </row>
    <row r="75" spans="5:6" x14ac:dyDescent="0.15">
      <c r="E75" t="s">
        <v>915</v>
      </c>
      <c r="F75" t="s">
        <v>938</v>
      </c>
    </row>
    <row r="76" spans="5:6" x14ac:dyDescent="0.15">
      <c r="E76" t="s">
        <v>915</v>
      </c>
      <c r="F76" t="s">
        <v>948</v>
      </c>
    </row>
    <row r="77" spans="5:6" x14ac:dyDescent="0.15">
      <c r="E77" t="s">
        <v>915</v>
      </c>
      <c r="F77" t="s">
        <v>958</v>
      </c>
    </row>
    <row r="78" spans="5:6" x14ac:dyDescent="0.15">
      <c r="E78" t="s">
        <v>915</v>
      </c>
      <c r="F78" t="s">
        <v>968</v>
      </c>
    </row>
    <row r="79" spans="5:6" x14ac:dyDescent="0.15">
      <c r="E79" t="s">
        <v>915</v>
      </c>
      <c r="F79" t="s">
        <v>978</v>
      </c>
    </row>
    <row r="80" spans="5:6" x14ac:dyDescent="0.15">
      <c r="E80" t="s">
        <v>915</v>
      </c>
      <c r="F80" t="s">
        <v>987</v>
      </c>
    </row>
    <row r="81" spans="5:6" x14ac:dyDescent="0.15">
      <c r="E81" t="s">
        <v>915</v>
      </c>
      <c r="F81" t="s">
        <v>995</v>
      </c>
    </row>
    <row r="82" spans="5:6" x14ac:dyDescent="0.15">
      <c r="E82" t="s">
        <v>915</v>
      </c>
      <c r="F82" t="s">
        <v>1003</v>
      </c>
    </row>
    <row r="83" spans="5:6" x14ac:dyDescent="0.15">
      <c r="E83" t="s">
        <v>915</v>
      </c>
      <c r="F83" t="s">
        <v>1011</v>
      </c>
    </row>
    <row r="84" spans="5:6" x14ac:dyDescent="0.15">
      <c r="E84" t="s">
        <v>915</v>
      </c>
      <c r="F84" t="s">
        <v>1018</v>
      </c>
    </row>
    <row r="85" spans="5:6" x14ac:dyDescent="0.15">
      <c r="E85" t="s">
        <v>915</v>
      </c>
      <c r="F85" t="s">
        <v>1024</v>
      </c>
    </row>
    <row r="86" spans="5:6" x14ac:dyDescent="0.15">
      <c r="E86" t="s">
        <v>915</v>
      </c>
      <c r="F86" t="s">
        <v>1030</v>
      </c>
    </row>
    <row r="87" spans="5:6" x14ac:dyDescent="0.15">
      <c r="E87" t="s">
        <v>915</v>
      </c>
      <c r="F87" t="s">
        <v>1034</v>
      </c>
    </row>
    <row r="88" spans="5:6" x14ac:dyDescent="0.15">
      <c r="E88" t="s">
        <v>915</v>
      </c>
      <c r="F88" t="s">
        <v>1037</v>
      </c>
    </row>
    <row r="89" spans="5:6" x14ac:dyDescent="0.15">
      <c r="E89" t="s">
        <v>915</v>
      </c>
      <c r="F89" t="s">
        <v>1039</v>
      </c>
    </row>
    <row r="90" spans="5:6" x14ac:dyDescent="0.15">
      <c r="E90" t="s">
        <v>915</v>
      </c>
      <c r="F90" t="s">
        <v>1040</v>
      </c>
    </row>
    <row r="91" spans="5:6" x14ac:dyDescent="0.15">
      <c r="E91" t="s">
        <v>915</v>
      </c>
      <c r="F91" t="s">
        <v>1041</v>
      </c>
    </row>
    <row r="92" spans="5:6" x14ac:dyDescent="0.15">
      <c r="E92" t="s">
        <v>917</v>
      </c>
      <c r="F92" t="s">
        <v>939</v>
      </c>
    </row>
    <row r="93" spans="5:6" x14ac:dyDescent="0.15">
      <c r="E93" t="s">
        <v>917</v>
      </c>
      <c r="F93" t="s">
        <v>949</v>
      </c>
    </row>
    <row r="94" spans="5:6" x14ac:dyDescent="0.15">
      <c r="E94" t="s">
        <v>917</v>
      </c>
      <c r="F94" t="s">
        <v>959</v>
      </c>
    </row>
    <row r="95" spans="5:6" x14ac:dyDescent="0.15">
      <c r="E95" t="s">
        <v>917</v>
      </c>
      <c r="F95" t="s">
        <v>969</v>
      </c>
    </row>
    <row r="96" spans="5:6" x14ac:dyDescent="0.15">
      <c r="E96" t="s">
        <v>917</v>
      </c>
      <c r="F96" t="s">
        <v>979</v>
      </c>
    </row>
    <row r="97" spans="5:6" x14ac:dyDescent="0.15">
      <c r="E97" t="s">
        <v>917</v>
      </c>
      <c r="F97" t="s">
        <v>988</v>
      </c>
    </row>
    <row r="98" spans="5:6" x14ac:dyDescent="0.15">
      <c r="E98" t="s">
        <v>917</v>
      </c>
      <c r="F98" t="s">
        <v>996</v>
      </c>
    </row>
    <row r="99" spans="5:6" x14ac:dyDescent="0.15">
      <c r="E99" t="s">
        <v>917</v>
      </c>
      <c r="F99" t="s">
        <v>1004</v>
      </c>
    </row>
    <row r="100" spans="5:6" x14ac:dyDescent="0.15">
      <c r="E100" t="s">
        <v>917</v>
      </c>
      <c r="F100" t="s">
        <v>1012</v>
      </c>
    </row>
    <row r="101" spans="5:6" x14ac:dyDescent="0.15">
      <c r="E101" t="s">
        <v>917</v>
      </c>
      <c r="F101" t="s">
        <v>1019</v>
      </c>
    </row>
    <row r="102" spans="5:6" x14ac:dyDescent="0.15">
      <c r="E102" t="s">
        <v>917</v>
      </c>
      <c r="F102" t="s">
        <v>1025</v>
      </c>
    </row>
    <row r="103" spans="5:6" x14ac:dyDescent="0.15">
      <c r="E103" t="s">
        <v>917</v>
      </c>
      <c r="F103" t="s">
        <v>1031</v>
      </c>
    </row>
    <row r="104" spans="5:6" x14ac:dyDescent="0.15">
      <c r="E104" t="s">
        <v>917</v>
      </c>
      <c r="F104" t="s">
        <v>1035</v>
      </c>
    </row>
    <row r="105" spans="5:6" x14ac:dyDescent="0.15">
      <c r="E105" t="s">
        <v>920</v>
      </c>
      <c r="F105" t="s">
        <v>940</v>
      </c>
    </row>
    <row r="106" spans="5:6" x14ac:dyDescent="0.15">
      <c r="E106" t="s">
        <v>920</v>
      </c>
      <c r="F106" t="s">
        <v>950</v>
      </c>
    </row>
    <row r="107" spans="5:6" x14ac:dyDescent="0.15">
      <c r="E107" t="s">
        <v>920</v>
      </c>
      <c r="F107" t="s">
        <v>960</v>
      </c>
    </row>
    <row r="108" spans="5:6" x14ac:dyDescent="0.15">
      <c r="E108" t="s">
        <v>920</v>
      </c>
      <c r="F108" t="s">
        <v>970</v>
      </c>
    </row>
    <row r="109" spans="5:6" x14ac:dyDescent="0.15">
      <c r="E109" t="s">
        <v>920</v>
      </c>
      <c r="F109" t="s">
        <v>980</v>
      </c>
    </row>
    <row r="110" spans="5:6" x14ac:dyDescent="0.15">
      <c r="E110" t="s">
        <v>920</v>
      </c>
      <c r="F110" t="s">
        <v>989</v>
      </c>
    </row>
    <row r="111" spans="5:6" x14ac:dyDescent="0.15">
      <c r="E111" t="s">
        <v>920</v>
      </c>
      <c r="F111" t="s">
        <v>997</v>
      </c>
    </row>
    <row r="112" spans="5:6" x14ac:dyDescent="0.15">
      <c r="E112" t="s">
        <v>920</v>
      </c>
      <c r="F112" t="s">
        <v>1005</v>
      </c>
    </row>
    <row r="113" spans="5:6" x14ac:dyDescent="0.15">
      <c r="E113" t="s">
        <v>920</v>
      </c>
      <c r="F113" t="s">
        <v>1013</v>
      </c>
    </row>
    <row r="114" spans="5:6" x14ac:dyDescent="0.15">
      <c r="E114" t="s">
        <v>920</v>
      </c>
      <c r="F114" t="s">
        <v>1020</v>
      </c>
    </row>
    <row r="115" spans="5:6" x14ac:dyDescent="0.15">
      <c r="E115" t="s">
        <v>920</v>
      </c>
      <c r="F115" t="s">
        <v>1026</v>
      </c>
    </row>
    <row r="116" spans="5:6" x14ac:dyDescent="0.15">
      <c r="E116" t="s">
        <v>923</v>
      </c>
      <c r="F116" t="s">
        <v>941</v>
      </c>
    </row>
    <row r="117" spans="5:6" x14ac:dyDescent="0.15">
      <c r="E117" t="s">
        <v>923</v>
      </c>
      <c r="F117" t="s">
        <v>951</v>
      </c>
    </row>
    <row r="118" spans="5:6" x14ac:dyDescent="0.15">
      <c r="E118" t="s">
        <v>923</v>
      </c>
      <c r="F118" t="s">
        <v>961</v>
      </c>
    </row>
    <row r="119" spans="5:6" x14ac:dyDescent="0.15">
      <c r="E119" t="s">
        <v>923</v>
      </c>
      <c r="F119" t="s">
        <v>971</v>
      </c>
    </row>
    <row r="120" spans="5:6" x14ac:dyDescent="0.15">
      <c r="E120" t="s">
        <v>923</v>
      </c>
      <c r="F120" t="s">
        <v>981</v>
      </c>
    </row>
    <row r="121" spans="5:6" x14ac:dyDescent="0.15">
      <c r="E121" t="s">
        <v>923</v>
      </c>
      <c r="F121" t="s">
        <v>990</v>
      </c>
    </row>
    <row r="122" spans="5:6" x14ac:dyDescent="0.15">
      <c r="E122" t="s">
        <v>923</v>
      </c>
      <c r="F122" t="s">
        <v>998</v>
      </c>
    </row>
    <row r="123" spans="5:6" x14ac:dyDescent="0.15">
      <c r="E123" t="s">
        <v>923</v>
      </c>
      <c r="F123" t="s">
        <v>1006</v>
      </c>
    </row>
    <row r="124" spans="5:6" x14ac:dyDescent="0.15">
      <c r="E124" t="s">
        <v>926</v>
      </c>
      <c r="F124" t="s">
        <v>942</v>
      </c>
    </row>
    <row r="125" spans="5:6" x14ac:dyDescent="0.15">
      <c r="E125" t="s">
        <v>926</v>
      </c>
      <c r="F125" t="s">
        <v>952</v>
      </c>
    </row>
    <row r="126" spans="5:6" x14ac:dyDescent="0.15">
      <c r="E126" t="s">
        <v>926</v>
      </c>
      <c r="F126" t="s">
        <v>962</v>
      </c>
    </row>
    <row r="127" spans="5:6" x14ac:dyDescent="0.15">
      <c r="E127" t="s">
        <v>926</v>
      </c>
      <c r="F127" t="s">
        <v>972</v>
      </c>
    </row>
    <row r="128" spans="5:6" x14ac:dyDescent="0.15">
      <c r="E128" t="s">
        <v>926</v>
      </c>
      <c r="F128" t="s">
        <v>982</v>
      </c>
    </row>
  </sheetData>
  <mergeCells count="3">
    <mergeCell ref="K2:K3"/>
    <mergeCell ref="L2:P2"/>
    <mergeCell ref="Q2:AA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Props1.xml><?xml version="1.0" encoding="utf-8"?>
<ds:datastoreItem xmlns:ds="http://schemas.openxmlformats.org/officeDocument/2006/customXml" ds:itemID="{F0119E7F-ACEC-4EAF-BBF8-DE092F6A326B}">
  <ds:schemaRefs>
    <ds:schemaRef ds:uri="http://schemas.microsoft.com/office/2006/metadata/contentType"/>
    <ds:schemaRef ds:uri="http://schemas.microsoft.com/office/2006/metadata/properties/metaAttributes"/>
    <ds:schemaRef ds:uri="http://www.w3.org/2000/xmlns/"/>
    <ds:schemaRef ds:uri="http://www.w3.org/2001/XMLSchema"/>
    <ds:schemaRef ds:uri="6ba73c8a-1af7-4183-b158-1cd1291da2b6"/>
    <ds:schemaRef ds:uri="8c89d0e4-a8d9-42ba-a773-c59a56f7723e"/>
  </ds:schemaRefs>
</ds:datastoreItem>
</file>

<file path=customXml/itemProps2.xml><?xml version="1.0" encoding="utf-8"?>
<ds:datastoreItem xmlns:ds="http://schemas.openxmlformats.org/officeDocument/2006/customXml" ds:itemID="{E4E33FEE-1117-4802-A5BB-FA073D1C6E04}">
  <ds:schemaRefs>
    <ds:schemaRef ds:uri="http://schemas.microsoft.com/sharepoint/v3/contenttype/forms"/>
  </ds:schemaRefs>
</ds:datastoreItem>
</file>

<file path=customXml/itemProps3.xml><?xml version="1.0" encoding="utf-8"?>
<ds:datastoreItem xmlns:ds="http://schemas.openxmlformats.org/officeDocument/2006/customXml" ds:itemID="{A881089C-6E2A-4FD7-A402-55E9C86C97B5}">
  <ds:schemaRefs>
    <ds:schemaRef ds:uri="http://schemas.microsoft.com/office/2006/metadata/properties"/>
    <ds:schemaRef ds:uri="http://www.w3.org/2000/xmlns/"/>
    <ds:schemaRef ds:uri="6ba73c8a-1af7-4183-b158-1cd1291da2b6"/>
    <ds:schemaRef ds:uri="http://schemas.microsoft.com/office/infopath/2007/PartnerControls"/>
    <ds:schemaRef ds:uri="8c89d0e4-a8d9-42ba-a773-c59a56f7723e"/>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Planilhas</vt:lpstr>
      </vt:variant>
      <vt:variant>
        <vt:i4>11</vt:i4>
      </vt:variant>
      <vt:variant>
        <vt:lpstr>Intervalos Nomeados</vt:lpstr>
      </vt:variant>
      <vt:variant>
        <vt:i4>2</vt:i4>
      </vt:variant>
    </vt:vector>
  </HeadingPairs>
  <TitlesOfParts>
    <vt:vector size="13" baseType="lpstr">
      <vt:lpstr>OP</vt:lpstr>
      <vt:lpstr>Segments</vt:lpstr>
      <vt:lpstr>Acuerdo</vt:lpstr>
      <vt:lpstr>SARD</vt:lpstr>
      <vt:lpstr>Peers</vt:lpstr>
      <vt:lpstr>ESG</vt:lpstr>
      <vt:lpstr>DCF</vt:lpstr>
      <vt:lpstr>Assumptions</vt:lpstr>
      <vt:lpstr>Fin. Data</vt:lpstr>
      <vt:lpstr>Inputs</vt:lpstr>
      <vt:lpstr>Sector Impact</vt:lpstr>
      <vt:lpstr>OP!Area_de_impressao</vt:lpstr>
      <vt:lpstr>Sectors</vt:lpstr>
    </vt:vector>
  </TitlesOfParts>
  <Manager/>
  <Company>HIL CONSULTORES, 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Cristina Lin</cp:lastModifiedBy>
  <cp:revision/>
  <dcterms:created xsi:type="dcterms:W3CDTF">2000-04-19T14:51:26Z</dcterms:created>
  <dcterms:modified xsi:type="dcterms:W3CDTF">2025-01-20T17:24:00Z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